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filterPrivacy="1" codeName="ThisWorkbook"/>
  <xr:revisionPtr revIDLastSave="0" documentId="13_ncr:1_{65835116-D9C4-4B9C-A109-CDE98B1D335C}" xr6:coauthVersionLast="47" xr6:coauthVersionMax="47" xr10:uidLastSave="{00000000-0000-0000-0000-000000000000}"/>
  <workbookProtection workbookAlgorithmName="SHA-512" workbookHashValue="RQ/sT+7QcDrFJLS2exPXG/iecyb/6Dk0lNwg+FwnCdB8OHcQf+ncUIUbcqpicnOpn/tnqSc9OWYY6F3Ilu6BGQ==" workbookSaltValue="rXf/VcSaXuuUwlCEEhqpGw==" workbookSpinCount="100000" lockStructure="1"/>
  <bookViews>
    <workbookView xWindow="-120" yWindow="-120" windowWidth="29040" windowHeight="15840" tabRatio="846" firstSheet="3" activeTab="3" xr2:uid="{3B1F0775-B64A-49AA-8ECE-FB302C1C0B1A}"/>
  </bookViews>
  <sheets>
    <sheet name="テーブル" sheetId="6" state="hidden" r:id="rId1"/>
    <sheet name="リスト" sheetId="49" state="hidden" r:id="rId2"/>
    <sheet name="計上" sheetId="23" state="hidden" r:id="rId3"/>
    <sheet name="はじめに入力してください" sheetId="5" r:id="rId4"/>
    <sheet name="協議書" sheetId="1" r:id="rId5"/>
    <sheet name="別紙" sheetId="2" r:id="rId6"/>
    <sheet name="《基礎情報》" sheetId="54" state="hidden" r:id="rId7"/>
    <sheet name="基礎情報" sheetId="55" r:id="rId8"/>
    <sheet name="表紙" sheetId="50" r:id="rId9"/>
    <sheet name="振込先情報" sheetId="52" r:id="rId10"/>
    <sheet name="請求書" sheetId="51" state="hidden" r:id="rId11"/>
    <sheet name="経費書" sheetId="25" r:id="rId12"/>
    <sheet name="額内訳書" sheetId="24" r:id="rId13"/>
    <sheet name="歳入歳出抄本" sheetId="53" r:id="rId14"/>
    <sheet name="明細→" sheetId="3" r:id="rId15"/>
    <sheet name="初度設備" sheetId="4" r:id="rId16"/>
    <sheet name="人工呼吸器" sheetId="36" r:id="rId17"/>
    <sheet name="防護具" sheetId="58" r:id="rId18"/>
    <sheet name="PPE差引簿" sheetId="62" r:id="rId19"/>
    <sheet name="簡易陰圧装置" sheetId="37" r:id="rId20"/>
    <sheet name="消毒経費" sheetId="56" state="hidden" r:id="rId21"/>
    <sheet name="人件費積算" sheetId="60" state="hidden" r:id="rId22"/>
    <sheet name="空清機・パーテ・ベッド" sheetId="57" r:id="rId23"/>
    <sheet name="体外式膜型人工肺" sheetId="38" r:id="rId24"/>
    <sheet name="簡易病室" sheetId="40" r:id="rId25"/>
    <sheet name="紫外線照射装置" sheetId="41" r:id="rId26"/>
    <sheet name="超音波画像診断装置" sheetId="42" state="hidden" r:id="rId27"/>
    <sheet name="血液浄化装置" sheetId="43" state="hidden" r:id="rId28"/>
    <sheet name="気管支鏡" sheetId="44" state="hidden" r:id="rId29"/>
    <sheet name="CT撮影装置" sheetId="45" state="hidden" r:id="rId30"/>
    <sheet name="生体情報モニタ" sheetId="46" state="hidden" r:id="rId31"/>
    <sheet name="分娩監視装置" sheetId="47" state="hidden" r:id="rId32"/>
    <sheet name="新生児モニタ" sheetId="48" state="hidden" r:id="rId33"/>
    <sheet name="審査意見書（申請の際は入力不要です。）" sheetId="59" r:id="rId34"/>
  </sheets>
  <externalReferences>
    <externalReference r:id="rId35"/>
  </externalReferences>
  <definedNames>
    <definedName name="_xlnm._FilterDatabase" localSheetId="1" hidden="1">リスト!$A$2:$DX$2</definedName>
    <definedName name="_xlnm.Print_Area" localSheetId="6">《基礎情報》!$A$1:$AY$150</definedName>
    <definedName name="_xlnm.Print_Area" localSheetId="29">CT撮影装置!$A$1:$M$54</definedName>
    <definedName name="_xlnm.Print_Area" localSheetId="3">はじめに入力してください!$A$1:$AC$59</definedName>
    <definedName name="_xlnm.Print_Area" localSheetId="1">リスト!$A$1:$DX$55</definedName>
    <definedName name="_xlnm.Print_Area" localSheetId="12">額内訳書!$A$1:$R$27</definedName>
    <definedName name="_xlnm.Print_Area" localSheetId="19">簡易陰圧装置!$A$1:$P$54</definedName>
    <definedName name="_xlnm.Print_Area" localSheetId="24">簡易病室!$A$1:$P$76</definedName>
    <definedName name="_xlnm.Print_Area" localSheetId="7">基礎情報!$A$1:$AY$184</definedName>
    <definedName name="_xlnm.Print_Area" localSheetId="28">気管支鏡!$A$1:$M$54</definedName>
    <definedName name="_xlnm.Print_Area" localSheetId="4">協議書!$A$2:$AJ$47</definedName>
    <definedName name="_xlnm.Print_Area" localSheetId="22">空清機・パーテ・ベッド!$A$1:$AL$64</definedName>
    <definedName name="_xlnm.Print_Area" localSheetId="11">経費書!$A$1:$N$49</definedName>
    <definedName name="_xlnm.Print_Area" localSheetId="27">血液浄化装置!$A$1:$M$54</definedName>
    <definedName name="_xlnm.Print_Area" localSheetId="13">歳入歳出抄本!$A$1:$I$45</definedName>
    <definedName name="_xlnm.Print_Area" localSheetId="25">紫外線照射装置!$A$1:$P$75</definedName>
    <definedName name="_xlnm.Print_Area" localSheetId="15">初度設備!$A$1:$P$54</definedName>
    <definedName name="_xlnm.Print_Area" localSheetId="20">消毒経費!$A$1:$P$52</definedName>
    <definedName name="_xlnm.Print_Area" localSheetId="33">'審査意見書（申請の際は入力不要です。）'!$A$1:$E$11</definedName>
    <definedName name="_xlnm.Print_Area" localSheetId="9">振込先情報!$A$2:$AJ$69</definedName>
    <definedName name="_xlnm.Print_Area" localSheetId="32">新生児モニタ!$A$1:$M$54</definedName>
    <definedName name="_xlnm.Print_Area" localSheetId="21">人件費積算!$A$2:$AJ$51</definedName>
    <definedName name="_xlnm.Print_Area" localSheetId="16">人工呼吸器!$A$1:$P$54</definedName>
    <definedName name="_xlnm.Print_Area" localSheetId="30">生体情報モニタ!$A$1:$M$54</definedName>
    <definedName name="_xlnm.Print_Area" localSheetId="10">請求書!$A$1:$I$28</definedName>
    <definedName name="_xlnm.Print_Area" localSheetId="23">体外式膜型人工肺!$A$1:$P$75</definedName>
    <definedName name="_xlnm.Print_Area" localSheetId="26">超音波画像診断装置!$A$1:$M$54</definedName>
    <definedName name="_xlnm.Print_Area" localSheetId="8">表紙!$A$2:$S$47</definedName>
    <definedName name="_xlnm.Print_Area" localSheetId="31">分娩監視装置!$A$1:$M$54</definedName>
    <definedName name="_xlnm.Print_Area" localSheetId="5">別紙!$A$2:$AW$28</definedName>
    <definedName name="_xlnm.Print_Area" localSheetId="17">防護具!$A$1:$T$82</definedName>
    <definedName name="_xlnm.Print_Titles" localSheetId="12">額内訳書!$2:$5</definedName>
    <definedName name="ガウン">防護具!$AY$130:$AY$132</definedName>
    <definedName name="キャップ">防護具!$AY$135</definedName>
    <definedName name="グローブ">防護具!$AY$133:$AY$134</definedName>
    <definedName name="ゴーグル">防護具!$AY$127:$AY$129</definedName>
    <definedName name="フェイスシールド">防護具!$AY$136:$AY$139</definedName>
    <definedName name="マスク">防護具!$AY$123:$AY$126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C3" i="1" l="1"/>
  <c r="B1" i="24"/>
  <c r="L7" i="25" s="1"/>
  <c r="B1" i="25"/>
  <c r="N2" i="50"/>
  <c r="K18" i="25"/>
  <c r="J18" i="25"/>
  <c r="I18" i="25"/>
  <c r="H18" i="25"/>
  <c r="G18" i="25"/>
  <c r="F18" i="25"/>
  <c r="E18" i="25"/>
  <c r="D18" i="25"/>
  <c r="K44" i="25"/>
  <c r="J44" i="25"/>
  <c r="I44" i="25"/>
  <c r="H44" i="25"/>
  <c r="G44" i="25"/>
  <c r="F44" i="25"/>
  <c r="E44" i="25"/>
  <c r="D44" i="25"/>
  <c r="O43" i="25"/>
  <c r="K42" i="25"/>
  <c r="J42" i="25"/>
  <c r="I42" i="25"/>
  <c r="H42" i="25"/>
  <c r="G42" i="25"/>
  <c r="F42" i="25"/>
  <c r="E42" i="25"/>
  <c r="D42" i="25"/>
  <c r="O41" i="25"/>
  <c r="K40" i="25"/>
  <c r="J40" i="25"/>
  <c r="I40" i="25"/>
  <c r="H40" i="25"/>
  <c r="G40" i="25"/>
  <c r="F40" i="25"/>
  <c r="E40" i="25"/>
  <c r="D40" i="25"/>
  <c r="O39" i="25"/>
  <c r="K38" i="25"/>
  <c r="J38" i="25"/>
  <c r="I38" i="25"/>
  <c r="H38" i="25"/>
  <c r="G38" i="25"/>
  <c r="F38" i="25"/>
  <c r="E38" i="25"/>
  <c r="D38" i="25"/>
  <c r="O37" i="25"/>
  <c r="K36" i="25"/>
  <c r="J36" i="25"/>
  <c r="I36" i="25"/>
  <c r="H36" i="25"/>
  <c r="G36" i="25"/>
  <c r="F36" i="25"/>
  <c r="E36" i="25"/>
  <c r="D36" i="25"/>
  <c r="O35" i="25"/>
  <c r="K34" i="25"/>
  <c r="J34" i="25"/>
  <c r="I34" i="25"/>
  <c r="H34" i="25"/>
  <c r="G34" i="25"/>
  <c r="F34" i="25"/>
  <c r="E34" i="25"/>
  <c r="D34" i="25"/>
  <c r="O33" i="25"/>
  <c r="K32" i="25"/>
  <c r="J32" i="25"/>
  <c r="I32" i="25"/>
  <c r="H32" i="25"/>
  <c r="G32" i="25"/>
  <c r="F32" i="25"/>
  <c r="E32" i="25"/>
  <c r="D32" i="25"/>
  <c r="O31" i="25"/>
  <c r="K30" i="25"/>
  <c r="J30" i="25"/>
  <c r="I30" i="25"/>
  <c r="H30" i="25"/>
  <c r="G30" i="25"/>
  <c r="F30" i="25"/>
  <c r="E30" i="25"/>
  <c r="D30" i="25"/>
  <c r="K26" i="25"/>
  <c r="J26" i="25"/>
  <c r="I26" i="25"/>
  <c r="H26" i="25"/>
  <c r="G26" i="25"/>
  <c r="F26" i="25"/>
  <c r="E26" i="25"/>
  <c r="D26" i="25"/>
  <c r="O25" i="25"/>
  <c r="K24" i="25"/>
  <c r="J24" i="25"/>
  <c r="I24" i="25"/>
  <c r="H24" i="25"/>
  <c r="G24" i="25"/>
  <c r="F24" i="25"/>
  <c r="E24" i="25"/>
  <c r="D24" i="25"/>
  <c r="O23" i="25"/>
  <c r="K22" i="25"/>
  <c r="J22" i="25"/>
  <c r="I22" i="25"/>
  <c r="H22" i="25"/>
  <c r="G22" i="25"/>
  <c r="F22" i="25"/>
  <c r="E22" i="25"/>
  <c r="D22" i="25"/>
  <c r="O21" i="25"/>
  <c r="K20" i="25"/>
  <c r="J20" i="25"/>
  <c r="I20" i="25"/>
  <c r="H20" i="25"/>
  <c r="G20" i="25"/>
  <c r="F20" i="25"/>
  <c r="E20" i="25"/>
  <c r="D20" i="25"/>
  <c r="O19" i="25"/>
  <c r="K16" i="25"/>
  <c r="J16" i="25"/>
  <c r="I16" i="25"/>
  <c r="H16" i="25"/>
  <c r="G16" i="25"/>
  <c r="F16" i="25"/>
  <c r="E16" i="25"/>
  <c r="D16" i="25"/>
  <c r="K14" i="25"/>
  <c r="J14" i="25"/>
  <c r="I14" i="25"/>
  <c r="H14" i="25"/>
  <c r="G14" i="25"/>
  <c r="F14" i="25"/>
  <c r="E14" i="25"/>
  <c r="D14" i="25"/>
  <c r="O13" i="25"/>
  <c r="K12" i="25"/>
  <c r="J12" i="25"/>
  <c r="I12" i="25"/>
  <c r="H12" i="25"/>
  <c r="G12" i="25"/>
  <c r="F12" i="25"/>
  <c r="E12" i="25"/>
  <c r="D12" i="25"/>
  <c r="O11" i="25"/>
  <c r="K10" i="25"/>
  <c r="J10" i="25"/>
  <c r="I10" i="25"/>
  <c r="H10" i="25"/>
  <c r="G10" i="25"/>
  <c r="F10" i="25"/>
  <c r="E10" i="25"/>
  <c r="D10" i="25"/>
  <c r="O9" i="25"/>
  <c r="K8" i="25"/>
  <c r="J8" i="25"/>
  <c r="I8" i="25"/>
  <c r="H8" i="25"/>
  <c r="G8" i="25"/>
  <c r="F8" i="25"/>
  <c r="E8" i="25"/>
  <c r="D8" i="25"/>
  <c r="O7" i="25"/>
  <c r="O17" i="25"/>
  <c r="O15" i="25"/>
  <c r="AG6" i="53"/>
  <c r="AE8" i="53"/>
  <c r="AD8" i="53"/>
  <c r="AC8" i="53"/>
  <c r="AB8" i="53"/>
  <c r="AA8" i="53"/>
  <c r="Z8" i="53"/>
  <c r="AE6" i="53"/>
  <c r="AD6" i="53"/>
  <c r="AC6" i="53"/>
  <c r="AB6" i="53"/>
  <c r="AA6" i="53"/>
  <c r="Z6" i="53"/>
  <c r="B23" i="50"/>
  <c r="B25" i="50"/>
  <c r="AU173" i="55"/>
  <c r="AU171" i="55"/>
  <c r="AU159" i="55"/>
  <c r="AU175" i="55"/>
  <c r="K181" i="55"/>
  <c r="AU181" i="55" s="1"/>
  <c r="K179" i="55"/>
  <c r="AU179" i="55" s="1"/>
  <c r="K177" i="55"/>
  <c r="AU177" i="55" s="1"/>
  <c r="K175" i="55"/>
  <c r="K173" i="55"/>
  <c r="K171" i="55"/>
  <c r="K169" i="55"/>
  <c r="AU169" i="55" s="1"/>
  <c r="K167" i="55"/>
  <c r="K165" i="55"/>
  <c r="K163" i="55"/>
  <c r="AU163" i="55" s="1"/>
  <c r="K161" i="55"/>
  <c r="AU161" i="55" s="1"/>
  <c r="K159" i="55"/>
  <c r="AZ16" i="55"/>
  <c r="BG16" i="55"/>
  <c r="B12" i="41"/>
  <c r="B12" i="40"/>
  <c r="B12" i="38"/>
  <c r="B12" i="37"/>
  <c r="B12" i="36"/>
  <c r="N22" i="56"/>
  <c r="N23" i="56"/>
  <c r="N24" i="56"/>
  <c r="N25" i="56"/>
  <c r="N26" i="56"/>
  <c r="N27" i="56"/>
  <c r="N28" i="56"/>
  <c r="N29" i="56"/>
  <c r="N30" i="56"/>
  <c r="N31" i="56"/>
  <c r="N32" i="56"/>
  <c r="N33" i="56"/>
  <c r="N34" i="56"/>
  <c r="N35" i="56"/>
  <c r="N36" i="56"/>
  <c r="N37" i="56"/>
  <c r="N38" i="56"/>
  <c r="N39" i="56"/>
  <c r="N40" i="56"/>
  <c r="N41" i="56"/>
  <c r="N42" i="56"/>
  <c r="N43" i="56"/>
  <c r="N44" i="56"/>
  <c r="N45" i="56"/>
  <c r="N46" i="56"/>
  <c r="N47" i="56"/>
  <c r="N48" i="56"/>
  <c r="N49" i="56"/>
  <c r="N50" i="56"/>
  <c r="N51" i="56"/>
  <c r="N52" i="56"/>
  <c r="N53" i="56"/>
  <c r="N54" i="56"/>
  <c r="N55" i="56"/>
  <c r="N56" i="56"/>
  <c r="N57" i="56"/>
  <c r="N58" i="56"/>
  <c r="N59" i="56"/>
  <c r="N60" i="56"/>
  <c r="N61" i="56"/>
  <c r="N62" i="56"/>
  <c r="N63" i="56"/>
  <c r="N64" i="56"/>
  <c r="N65" i="56"/>
  <c r="N66" i="56"/>
  <c r="N67" i="56"/>
  <c r="N68" i="56"/>
  <c r="N69" i="56"/>
  <c r="N70" i="56"/>
  <c r="N71" i="56"/>
  <c r="N72" i="56"/>
  <c r="N73" i="56"/>
  <c r="N74" i="56"/>
  <c r="N75" i="56"/>
  <c r="N76" i="56"/>
  <c r="N77" i="56"/>
  <c r="N78" i="56"/>
  <c r="N79" i="56"/>
  <c r="N80" i="56"/>
  <c r="N81" i="56"/>
  <c r="N82" i="56"/>
  <c r="N83" i="56"/>
  <c r="N84" i="56"/>
  <c r="N85" i="56"/>
  <c r="N86" i="56"/>
  <c r="N87" i="56"/>
  <c r="N88" i="56"/>
  <c r="N89" i="56"/>
  <c r="N90" i="56"/>
  <c r="N91" i="56"/>
  <c r="N92" i="56"/>
  <c r="N93" i="56"/>
  <c r="N94" i="56"/>
  <c r="N95" i="56"/>
  <c r="N96" i="56"/>
  <c r="N97" i="56"/>
  <c r="N98" i="56"/>
  <c r="N99" i="56"/>
  <c r="N100" i="56"/>
  <c r="N101" i="56"/>
  <c r="N102" i="56"/>
  <c r="N103" i="56"/>
  <c r="N104" i="56"/>
  <c r="N105" i="56"/>
  <c r="N106" i="56"/>
  <c r="N107" i="56"/>
  <c r="N108" i="56"/>
  <c r="N109" i="56"/>
  <c r="N110" i="56"/>
  <c r="N111" i="56"/>
  <c r="N112" i="56"/>
  <c r="N14" i="56"/>
  <c r="N15" i="56"/>
  <c r="N16" i="56"/>
  <c r="N17" i="56"/>
  <c r="N18" i="56"/>
  <c r="N19" i="56"/>
  <c r="N20" i="56"/>
  <c r="N21" i="56"/>
  <c r="N13" i="56"/>
  <c r="D25" i="51"/>
  <c r="H2" i="62"/>
  <c r="I2" i="62"/>
  <c r="J2" i="62"/>
  <c r="K2" i="62"/>
  <c r="L2" i="62"/>
  <c r="M2" i="62"/>
  <c r="N2" i="62"/>
  <c r="O2" i="62"/>
  <c r="P2" i="62"/>
  <c r="Q2" i="62"/>
  <c r="R2" i="62"/>
  <c r="S2" i="62"/>
  <c r="T2" i="62"/>
  <c r="U2" i="62"/>
  <c r="V2" i="62"/>
  <c r="W2" i="62"/>
  <c r="X2" i="62"/>
  <c r="Y2" i="62"/>
  <c r="Z2" i="62"/>
  <c r="AA2" i="62"/>
  <c r="AB2" i="62"/>
  <c r="AC2" i="62"/>
  <c r="AD2" i="62"/>
  <c r="AE2" i="62"/>
  <c r="AF2" i="62"/>
  <c r="AG2" i="62"/>
  <c r="AH2" i="62"/>
  <c r="AI2" i="62"/>
  <c r="AJ2" i="62"/>
  <c r="AK2" i="62"/>
  <c r="AL2" i="62"/>
  <c r="AM2" i="62"/>
  <c r="AN2" i="62"/>
  <c r="AO2" i="62"/>
  <c r="AP2" i="62"/>
  <c r="AQ2" i="62"/>
  <c r="AR2" i="62"/>
  <c r="AS2" i="62"/>
  <c r="AT2" i="62"/>
  <c r="AU2" i="62"/>
  <c r="AV2" i="62"/>
  <c r="AW2" i="62"/>
  <c r="AX2" i="62"/>
  <c r="AY2" i="62"/>
  <c r="AZ2" i="62"/>
  <c r="BA2" i="62"/>
  <c r="BB2" i="62"/>
  <c r="BC2" i="62"/>
  <c r="BD2" i="62"/>
  <c r="BE2" i="62"/>
  <c r="BF2" i="62"/>
  <c r="BG2" i="62"/>
  <c r="BH2" i="62"/>
  <c r="BI2" i="62"/>
  <c r="BJ2" i="62"/>
  <c r="BK2" i="62"/>
  <c r="BL2" i="62"/>
  <c r="BM2" i="62"/>
  <c r="BN2" i="62"/>
  <c r="BO2" i="62"/>
  <c r="BP2" i="62"/>
  <c r="BQ2" i="62"/>
  <c r="BR2" i="62"/>
  <c r="BS2" i="62"/>
  <c r="BT2" i="62"/>
  <c r="BU2" i="62"/>
  <c r="BV2" i="62"/>
  <c r="BW2" i="62"/>
  <c r="BX2" i="62"/>
  <c r="BY2" i="62"/>
  <c r="BZ2" i="62"/>
  <c r="CA2" i="62"/>
  <c r="CB2" i="62"/>
  <c r="CC2" i="62"/>
  <c r="CD2" i="62"/>
  <c r="CE2" i="62"/>
  <c r="CF2" i="62"/>
  <c r="CG2" i="62"/>
  <c r="CH2" i="62"/>
  <c r="CI2" i="62"/>
  <c r="CJ2" i="62"/>
  <c r="CK2" i="62"/>
  <c r="CL2" i="62"/>
  <c r="CM2" i="62"/>
  <c r="CN2" i="62"/>
  <c r="CO2" i="62"/>
  <c r="CP2" i="62"/>
  <c r="CQ2" i="62"/>
  <c r="CR2" i="62"/>
  <c r="CS2" i="62"/>
  <c r="CT2" i="62"/>
  <c r="CU2" i="62"/>
  <c r="CV2" i="62"/>
  <c r="CW2" i="62"/>
  <c r="CX2" i="62"/>
  <c r="CY2" i="62"/>
  <c r="CZ2" i="62"/>
  <c r="DA2" i="62"/>
  <c r="DB2" i="62"/>
  <c r="DC2" i="62"/>
  <c r="DD2" i="62"/>
  <c r="DE2" i="62"/>
  <c r="DF2" i="62"/>
  <c r="DG2" i="62"/>
  <c r="DH2" i="62"/>
  <c r="DI2" i="62"/>
  <c r="DJ2" i="62"/>
  <c r="DK2" i="62"/>
  <c r="DL2" i="62"/>
  <c r="DM2" i="62"/>
  <c r="DN2" i="62"/>
  <c r="DO2" i="62"/>
  <c r="DP2" i="62"/>
  <c r="DQ2" i="62"/>
  <c r="DR2" i="62"/>
  <c r="DS2" i="62"/>
  <c r="DT2" i="62"/>
  <c r="DU2" i="62"/>
  <c r="DV2" i="62"/>
  <c r="DW2" i="62"/>
  <c r="DX2" i="62"/>
  <c r="DY2" i="62"/>
  <c r="DZ2" i="62"/>
  <c r="EA2" i="62"/>
  <c r="EB2" i="62"/>
  <c r="EC2" i="62"/>
  <c r="ED2" i="62"/>
  <c r="EE2" i="62"/>
  <c r="EF2" i="62"/>
  <c r="EG2" i="62"/>
  <c r="EH2" i="62"/>
  <c r="EI2" i="62"/>
  <c r="EJ2" i="62"/>
  <c r="EK2" i="62"/>
  <c r="EL2" i="62"/>
  <c r="EM2" i="62"/>
  <c r="EN2" i="62"/>
  <c r="EO2" i="62"/>
  <c r="EP2" i="62"/>
  <c r="EQ2" i="62"/>
  <c r="ER2" i="62"/>
  <c r="ES2" i="62"/>
  <c r="ET2" i="62"/>
  <c r="EU2" i="62"/>
  <c r="EV2" i="62"/>
  <c r="EW2" i="62"/>
  <c r="EX2" i="62"/>
  <c r="EY2" i="62"/>
  <c r="EZ2" i="62"/>
  <c r="FA2" i="62"/>
  <c r="FB2" i="62"/>
  <c r="FC2" i="62"/>
  <c r="FD2" i="62"/>
  <c r="FE2" i="62"/>
  <c r="FF2" i="62"/>
  <c r="FG2" i="62"/>
  <c r="FH2" i="62"/>
  <c r="FI2" i="62"/>
  <c r="FJ2" i="62"/>
  <c r="FK2" i="62"/>
  <c r="FL2" i="62"/>
  <c r="FM2" i="62"/>
  <c r="FN2" i="62"/>
  <c r="FO2" i="62"/>
  <c r="FP2" i="62"/>
  <c r="FQ2" i="62"/>
  <c r="FR2" i="62"/>
  <c r="FS2" i="62"/>
  <c r="FT2" i="62"/>
  <c r="FU2" i="62"/>
  <c r="FV2" i="62"/>
  <c r="FW2" i="62"/>
  <c r="FX2" i="62"/>
  <c r="FY2" i="62"/>
  <c r="FZ2" i="62"/>
  <c r="GA2" i="62"/>
  <c r="GB2" i="62"/>
  <c r="GC2" i="62"/>
  <c r="GD2" i="62"/>
  <c r="GE2" i="62"/>
  <c r="GF2" i="62"/>
  <c r="GG2" i="62"/>
  <c r="GH2" i="62"/>
  <c r="GI2" i="62"/>
  <c r="GJ2" i="62"/>
  <c r="H3" i="62"/>
  <c r="I3" i="62"/>
  <c r="J3" i="62"/>
  <c r="K3" i="62"/>
  <c r="L3" i="62"/>
  <c r="M3" i="62"/>
  <c r="N3" i="62"/>
  <c r="O3" i="62"/>
  <c r="P3" i="62"/>
  <c r="Q3" i="62"/>
  <c r="R3" i="62"/>
  <c r="S3" i="62"/>
  <c r="T3" i="62"/>
  <c r="U3" i="62"/>
  <c r="V3" i="62"/>
  <c r="W3" i="62"/>
  <c r="X3" i="62"/>
  <c r="Y3" i="62"/>
  <c r="Z3" i="62"/>
  <c r="AA3" i="62"/>
  <c r="AB3" i="62"/>
  <c r="AC3" i="62"/>
  <c r="AD3" i="62"/>
  <c r="AE3" i="62"/>
  <c r="AF3" i="62"/>
  <c r="AG3" i="62"/>
  <c r="AH3" i="62"/>
  <c r="AI3" i="62"/>
  <c r="AJ3" i="62"/>
  <c r="AK3" i="62"/>
  <c r="AL3" i="62"/>
  <c r="AM3" i="62"/>
  <c r="AN3" i="62"/>
  <c r="AO3" i="62"/>
  <c r="AP3" i="62"/>
  <c r="AQ3" i="62"/>
  <c r="AR3" i="62"/>
  <c r="AS3" i="62"/>
  <c r="AT3" i="62"/>
  <c r="AU3" i="62"/>
  <c r="AV3" i="62"/>
  <c r="AW3" i="62"/>
  <c r="AX3" i="62"/>
  <c r="AY3" i="62"/>
  <c r="AZ3" i="62"/>
  <c r="BA3" i="62"/>
  <c r="BB3" i="62"/>
  <c r="BC3" i="62"/>
  <c r="BD3" i="62"/>
  <c r="BE3" i="62"/>
  <c r="BF3" i="62"/>
  <c r="BG3" i="62"/>
  <c r="BH3" i="62"/>
  <c r="BI3" i="62"/>
  <c r="BJ3" i="62"/>
  <c r="BK3" i="62"/>
  <c r="BL3" i="62"/>
  <c r="BM3" i="62"/>
  <c r="BN3" i="62"/>
  <c r="BO3" i="62"/>
  <c r="BP3" i="62"/>
  <c r="BQ3" i="62"/>
  <c r="BR3" i="62"/>
  <c r="BS3" i="62"/>
  <c r="BT3" i="62"/>
  <c r="BU3" i="62"/>
  <c r="BV3" i="62"/>
  <c r="BW3" i="62"/>
  <c r="BX3" i="62"/>
  <c r="BY3" i="62"/>
  <c r="BZ3" i="62"/>
  <c r="CA3" i="62"/>
  <c r="CB3" i="62"/>
  <c r="CC3" i="62"/>
  <c r="CD3" i="62"/>
  <c r="CE3" i="62"/>
  <c r="CF3" i="62"/>
  <c r="CG3" i="62"/>
  <c r="CH3" i="62"/>
  <c r="CI3" i="62"/>
  <c r="CJ3" i="62"/>
  <c r="CK3" i="62"/>
  <c r="CL3" i="62"/>
  <c r="CM3" i="62"/>
  <c r="CN3" i="62"/>
  <c r="CO3" i="62"/>
  <c r="CP3" i="62"/>
  <c r="CQ3" i="62"/>
  <c r="CR3" i="62"/>
  <c r="CS3" i="62"/>
  <c r="CT3" i="62"/>
  <c r="CU3" i="62"/>
  <c r="CV3" i="62"/>
  <c r="CW3" i="62"/>
  <c r="CX3" i="62"/>
  <c r="CY3" i="62"/>
  <c r="CZ3" i="62"/>
  <c r="DA3" i="62"/>
  <c r="DB3" i="62"/>
  <c r="DC3" i="62"/>
  <c r="DD3" i="62"/>
  <c r="DE3" i="62"/>
  <c r="DF3" i="62"/>
  <c r="DG3" i="62"/>
  <c r="DH3" i="62"/>
  <c r="DI3" i="62"/>
  <c r="DJ3" i="62"/>
  <c r="DK3" i="62"/>
  <c r="DL3" i="62"/>
  <c r="DM3" i="62"/>
  <c r="DN3" i="62"/>
  <c r="DO3" i="62"/>
  <c r="DP3" i="62"/>
  <c r="DQ3" i="62"/>
  <c r="DR3" i="62"/>
  <c r="H4" i="62"/>
  <c r="I4" i="62"/>
  <c r="J4" i="62"/>
  <c r="K4" i="62"/>
  <c r="L4" i="62"/>
  <c r="M4" i="62"/>
  <c r="N4" i="62"/>
  <c r="O4" i="62"/>
  <c r="P4" i="62"/>
  <c r="Q4" i="62"/>
  <c r="R4" i="62"/>
  <c r="S4" i="62"/>
  <c r="T4" i="62"/>
  <c r="U4" i="62"/>
  <c r="V4" i="62"/>
  <c r="W4" i="62"/>
  <c r="X4" i="62"/>
  <c r="Y4" i="62"/>
  <c r="Z4" i="62"/>
  <c r="AA4" i="62"/>
  <c r="AB4" i="62"/>
  <c r="AC4" i="62"/>
  <c r="AD4" i="62"/>
  <c r="AE4" i="62"/>
  <c r="AF4" i="62"/>
  <c r="AG4" i="62"/>
  <c r="AH4" i="62"/>
  <c r="AI4" i="62"/>
  <c r="AJ4" i="62"/>
  <c r="AK4" i="62"/>
  <c r="AL4" i="62"/>
  <c r="AM4" i="62"/>
  <c r="AN4" i="62"/>
  <c r="AO4" i="62"/>
  <c r="AP4" i="62"/>
  <c r="AQ4" i="62"/>
  <c r="AR4" i="62"/>
  <c r="AS4" i="62"/>
  <c r="AT4" i="62"/>
  <c r="AU4" i="62"/>
  <c r="AV4" i="62"/>
  <c r="AW4" i="62"/>
  <c r="AX4" i="62"/>
  <c r="AY4" i="62"/>
  <c r="AZ4" i="62"/>
  <c r="BA4" i="62"/>
  <c r="BB4" i="62"/>
  <c r="BC4" i="62"/>
  <c r="BD4" i="62"/>
  <c r="BE4" i="62"/>
  <c r="BF4" i="62"/>
  <c r="BG4" i="62"/>
  <c r="BH4" i="62"/>
  <c r="BI4" i="62"/>
  <c r="BJ4" i="62"/>
  <c r="BK4" i="62"/>
  <c r="BL4" i="62"/>
  <c r="BM4" i="62"/>
  <c r="BN4" i="62"/>
  <c r="BO4" i="62"/>
  <c r="BP4" i="62"/>
  <c r="BQ4" i="62"/>
  <c r="BR4" i="62"/>
  <c r="BS4" i="62"/>
  <c r="BT4" i="62"/>
  <c r="BU4" i="62"/>
  <c r="BV4" i="62"/>
  <c r="BW4" i="62"/>
  <c r="BX4" i="62"/>
  <c r="BY4" i="62"/>
  <c r="BZ4" i="62"/>
  <c r="CA4" i="62"/>
  <c r="CB4" i="62"/>
  <c r="CC4" i="62"/>
  <c r="CD4" i="62"/>
  <c r="CE4" i="62"/>
  <c r="CF4" i="62"/>
  <c r="CG4" i="62"/>
  <c r="CH4" i="62"/>
  <c r="CI4" i="62"/>
  <c r="CJ4" i="62"/>
  <c r="CK4" i="62"/>
  <c r="CL4" i="62"/>
  <c r="CM4" i="62"/>
  <c r="CN4" i="62"/>
  <c r="CO4" i="62"/>
  <c r="CP4" i="62"/>
  <c r="CQ4" i="62"/>
  <c r="CR4" i="62"/>
  <c r="CS4" i="62"/>
  <c r="CT4" i="62"/>
  <c r="CU4" i="62"/>
  <c r="CV4" i="62"/>
  <c r="CW4" i="62"/>
  <c r="CX4" i="62"/>
  <c r="CY4" i="62"/>
  <c r="CZ4" i="62"/>
  <c r="DA4" i="62"/>
  <c r="DB4" i="62"/>
  <c r="DC4" i="62"/>
  <c r="DD4" i="62"/>
  <c r="DE4" i="62"/>
  <c r="DF4" i="62"/>
  <c r="DG4" i="62"/>
  <c r="DH4" i="62"/>
  <c r="DI4" i="62"/>
  <c r="DJ4" i="62"/>
  <c r="DK4" i="62"/>
  <c r="DL4" i="62"/>
  <c r="DM4" i="62"/>
  <c r="DN4" i="62"/>
  <c r="DO4" i="62"/>
  <c r="DP4" i="62"/>
  <c r="DQ4" i="62"/>
  <c r="DR4" i="62"/>
  <c r="H5" i="62"/>
  <c r="I5" i="62"/>
  <c r="J5" i="62"/>
  <c r="K5" i="62"/>
  <c r="L5" i="62"/>
  <c r="M5" i="62"/>
  <c r="N5" i="62"/>
  <c r="O5" i="62"/>
  <c r="P5" i="62"/>
  <c r="Q5" i="62"/>
  <c r="R5" i="62"/>
  <c r="S5" i="62"/>
  <c r="T5" i="62"/>
  <c r="U5" i="62"/>
  <c r="V5" i="62"/>
  <c r="W5" i="62"/>
  <c r="X5" i="62"/>
  <c r="Y5" i="62"/>
  <c r="Z5" i="62"/>
  <c r="AA5" i="62"/>
  <c r="AB5" i="62"/>
  <c r="AC5" i="62"/>
  <c r="AD5" i="62"/>
  <c r="AE5" i="62"/>
  <c r="AF5" i="62"/>
  <c r="AG5" i="62"/>
  <c r="AH5" i="62"/>
  <c r="AI5" i="62"/>
  <c r="AJ5" i="62"/>
  <c r="AK5" i="62"/>
  <c r="AL5" i="62"/>
  <c r="AM5" i="62"/>
  <c r="AN5" i="62"/>
  <c r="AO5" i="62"/>
  <c r="AP5" i="62"/>
  <c r="AQ5" i="62"/>
  <c r="AR5" i="62"/>
  <c r="AS5" i="62"/>
  <c r="AT5" i="62"/>
  <c r="AU5" i="62"/>
  <c r="AV5" i="62"/>
  <c r="AW5" i="62"/>
  <c r="AX5" i="62"/>
  <c r="AY5" i="62"/>
  <c r="AZ5" i="62"/>
  <c r="BA5" i="62"/>
  <c r="BB5" i="62"/>
  <c r="BC5" i="62"/>
  <c r="BD5" i="62"/>
  <c r="BE5" i="62"/>
  <c r="BF5" i="62"/>
  <c r="BG5" i="62"/>
  <c r="BH5" i="62"/>
  <c r="BI5" i="62"/>
  <c r="BJ5" i="62"/>
  <c r="BK5" i="62"/>
  <c r="BL5" i="62"/>
  <c r="BM5" i="62"/>
  <c r="BN5" i="62"/>
  <c r="BO5" i="62"/>
  <c r="BP5" i="62"/>
  <c r="BQ5" i="62"/>
  <c r="BR5" i="62"/>
  <c r="BS5" i="62"/>
  <c r="BT5" i="62"/>
  <c r="BU5" i="62"/>
  <c r="BV5" i="62"/>
  <c r="BW5" i="62"/>
  <c r="BX5" i="62"/>
  <c r="BY5" i="62"/>
  <c r="BZ5" i="62"/>
  <c r="CA5" i="62"/>
  <c r="CB5" i="62"/>
  <c r="CC5" i="62"/>
  <c r="CD5" i="62"/>
  <c r="CE5" i="62"/>
  <c r="CF5" i="62"/>
  <c r="CG5" i="62"/>
  <c r="CH5" i="62"/>
  <c r="CI5" i="62"/>
  <c r="CJ5" i="62"/>
  <c r="CK5" i="62"/>
  <c r="CL5" i="62"/>
  <c r="CM5" i="62"/>
  <c r="CN5" i="62"/>
  <c r="CO5" i="62"/>
  <c r="CP5" i="62"/>
  <c r="CQ5" i="62"/>
  <c r="CR5" i="62"/>
  <c r="CS5" i="62"/>
  <c r="CT5" i="62"/>
  <c r="CU5" i="62"/>
  <c r="CV5" i="62"/>
  <c r="CW5" i="62"/>
  <c r="CX5" i="62"/>
  <c r="CY5" i="62"/>
  <c r="CZ5" i="62"/>
  <c r="DA5" i="62"/>
  <c r="DB5" i="62"/>
  <c r="DC5" i="62"/>
  <c r="DD5" i="62"/>
  <c r="DE5" i="62"/>
  <c r="DF5" i="62"/>
  <c r="DG5" i="62"/>
  <c r="DH5" i="62"/>
  <c r="DI5" i="62"/>
  <c r="DJ5" i="62"/>
  <c r="DK5" i="62"/>
  <c r="DL5" i="62"/>
  <c r="DM5" i="62"/>
  <c r="DN5" i="62"/>
  <c r="DO5" i="62"/>
  <c r="DP5" i="62"/>
  <c r="DQ5" i="62"/>
  <c r="DR5" i="62"/>
  <c r="H6" i="62"/>
  <c r="I6" i="62"/>
  <c r="J6" i="62"/>
  <c r="K6" i="62"/>
  <c r="L6" i="62"/>
  <c r="M6" i="62"/>
  <c r="N6" i="62"/>
  <c r="O6" i="62"/>
  <c r="P6" i="62"/>
  <c r="Q6" i="62"/>
  <c r="R6" i="62"/>
  <c r="S6" i="62"/>
  <c r="T6" i="62"/>
  <c r="U6" i="62"/>
  <c r="V6" i="62"/>
  <c r="W6" i="62"/>
  <c r="X6" i="62"/>
  <c r="Y6" i="62"/>
  <c r="Z6" i="62"/>
  <c r="AA6" i="62"/>
  <c r="AB6" i="62"/>
  <c r="AC6" i="62"/>
  <c r="AD6" i="62"/>
  <c r="AE6" i="62"/>
  <c r="AF6" i="62"/>
  <c r="AG6" i="62"/>
  <c r="AH6" i="62"/>
  <c r="AI6" i="62"/>
  <c r="AJ6" i="62"/>
  <c r="AK6" i="62"/>
  <c r="AL6" i="62"/>
  <c r="AM6" i="62"/>
  <c r="AN6" i="62"/>
  <c r="AO6" i="62"/>
  <c r="AP6" i="62"/>
  <c r="AQ6" i="62"/>
  <c r="AR6" i="62"/>
  <c r="AS6" i="62"/>
  <c r="AT6" i="62"/>
  <c r="AU6" i="62"/>
  <c r="AV6" i="62"/>
  <c r="AW6" i="62"/>
  <c r="AX6" i="62"/>
  <c r="AY6" i="62"/>
  <c r="AZ6" i="62"/>
  <c r="BA6" i="62"/>
  <c r="BB6" i="62"/>
  <c r="BC6" i="62"/>
  <c r="BD6" i="62"/>
  <c r="BE6" i="62"/>
  <c r="BF6" i="62"/>
  <c r="BG6" i="62"/>
  <c r="BH6" i="62"/>
  <c r="BI6" i="62"/>
  <c r="BJ6" i="62"/>
  <c r="BK6" i="62"/>
  <c r="BL6" i="62"/>
  <c r="BM6" i="62"/>
  <c r="BN6" i="62"/>
  <c r="BO6" i="62"/>
  <c r="BP6" i="62"/>
  <c r="BQ6" i="62"/>
  <c r="BR6" i="62"/>
  <c r="BS6" i="62"/>
  <c r="BT6" i="62"/>
  <c r="BU6" i="62"/>
  <c r="BV6" i="62"/>
  <c r="BW6" i="62"/>
  <c r="BX6" i="62"/>
  <c r="BY6" i="62"/>
  <c r="BZ6" i="62"/>
  <c r="CA6" i="62"/>
  <c r="CB6" i="62"/>
  <c r="CC6" i="62"/>
  <c r="CD6" i="62"/>
  <c r="CE6" i="62"/>
  <c r="CF6" i="62"/>
  <c r="CG6" i="62"/>
  <c r="CH6" i="62"/>
  <c r="CI6" i="62"/>
  <c r="CJ6" i="62"/>
  <c r="CK6" i="62"/>
  <c r="CL6" i="62"/>
  <c r="CM6" i="62"/>
  <c r="CN6" i="62"/>
  <c r="CO6" i="62"/>
  <c r="CP6" i="62"/>
  <c r="CQ6" i="62"/>
  <c r="CR6" i="62"/>
  <c r="CS6" i="62"/>
  <c r="CT6" i="62"/>
  <c r="CU6" i="62"/>
  <c r="CV6" i="62"/>
  <c r="CW6" i="62"/>
  <c r="CX6" i="62"/>
  <c r="CY6" i="62"/>
  <c r="CZ6" i="62"/>
  <c r="DA6" i="62"/>
  <c r="DB6" i="62"/>
  <c r="DC6" i="62"/>
  <c r="DD6" i="62"/>
  <c r="DE6" i="62"/>
  <c r="DF6" i="62"/>
  <c r="DG6" i="62"/>
  <c r="DH6" i="62"/>
  <c r="DI6" i="62"/>
  <c r="DJ6" i="62"/>
  <c r="DK6" i="62"/>
  <c r="DL6" i="62"/>
  <c r="DM6" i="62"/>
  <c r="DN6" i="62"/>
  <c r="DO6" i="62"/>
  <c r="DP6" i="62"/>
  <c r="DQ6" i="62"/>
  <c r="DR6" i="62"/>
  <c r="H7" i="62"/>
  <c r="I7" i="62"/>
  <c r="J7" i="62"/>
  <c r="K7" i="62"/>
  <c r="L7" i="62"/>
  <c r="M7" i="62"/>
  <c r="N7" i="62"/>
  <c r="O7" i="62"/>
  <c r="P7" i="62"/>
  <c r="Q7" i="62"/>
  <c r="R7" i="62"/>
  <c r="S7" i="62"/>
  <c r="T7" i="62"/>
  <c r="U7" i="62"/>
  <c r="V7" i="62"/>
  <c r="W7" i="62"/>
  <c r="X7" i="62"/>
  <c r="Y7" i="62"/>
  <c r="Z7" i="62"/>
  <c r="AA7" i="62"/>
  <c r="AB7" i="62"/>
  <c r="AC7" i="62"/>
  <c r="AD7" i="62"/>
  <c r="AE7" i="62"/>
  <c r="AF7" i="62"/>
  <c r="AG7" i="62"/>
  <c r="AH7" i="62"/>
  <c r="AI7" i="62"/>
  <c r="AJ7" i="62"/>
  <c r="AK7" i="62"/>
  <c r="AL7" i="62"/>
  <c r="AM7" i="62"/>
  <c r="AN7" i="62"/>
  <c r="AO7" i="62"/>
  <c r="AP7" i="62"/>
  <c r="AQ7" i="62"/>
  <c r="AR7" i="62"/>
  <c r="AS7" i="62"/>
  <c r="AT7" i="62"/>
  <c r="AU7" i="62"/>
  <c r="AV7" i="62"/>
  <c r="AW7" i="62"/>
  <c r="AX7" i="62"/>
  <c r="AY7" i="62"/>
  <c r="AZ7" i="62"/>
  <c r="BA7" i="62"/>
  <c r="BB7" i="62"/>
  <c r="BC7" i="62"/>
  <c r="BD7" i="62"/>
  <c r="BE7" i="62"/>
  <c r="BF7" i="62"/>
  <c r="BG7" i="62"/>
  <c r="BH7" i="62"/>
  <c r="BI7" i="62"/>
  <c r="BJ7" i="62"/>
  <c r="BK7" i="62"/>
  <c r="BL7" i="62"/>
  <c r="BM7" i="62"/>
  <c r="BN7" i="62"/>
  <c r="BO7" i="62"/>
  <c r="BP7" i="62"/>
  <c r="BQ7" i="62"/>
  <c r="BR7" i="62"/>
  <c r="BS7" i="62"/>
  <c r="BT7" i="62"/>
  <c r="BU7" i="62"/>
  <c r="BV7" i="62"/>
  <c r="BW7" i="62"/>
  <c r="BX7" i="62"/>
  <c r="BY7" i="62"/>
  <c r="BZ7" i="62"/>
  <c r="CA7" i="62"/>
  <c r="CB7" i="62"/>
  <c r="CC7" i="62"/>
  <c r="CD7" i="62"/>
  <c r="CE7" i="62"/>
  <c r="CF7" i="62"/>
  <c r="CG7" i="62"/>
  <c r="CH7" i="62"/>
  <c r="CI7" i="62"/>
  <c r="CJ7" i="62"/>
  <c r="CK7" i="62"/>
  <c r="CL7" i="62"/>
  <c r="CM7" i="62"/>
  <c r="CN7" i="62"/>
  <c r="CO7" i="62"/>
  <c r="CP7" i="62"/>
  <c r="CQ7" i="62"/>
  <c r="CR7" i="62"/>
  <c r="CS7" i="62"/>
  <c r="CT7" i="62"/>
  <c r="CU7" i="62"/>
  <c r="CV7" i="62"/>
  <c r="CW7" i="62"/>
  <c r="CX7" i="62"/>
  <c r="CY7" i="62"/>
  <c r="CZ7" i="62"/>
  <c r="DA7" i="62"/>
  <c r="DB7" i="62"/>
  <c r="DC7" i="62"/>
  <c r="DD7" i="62"/>
  <c r="DE7" i="62"/>
  <c r="DF7" i="62"/>
  <c r="DG7" i="62"/>
  <c r="DH7" i="62"/>
  <c r="DI7" i="62"/>
  <c r="DJ7" i="62"/>
  <c r="DK7" i="62"/>
  <c r="DL7" i="62"/>
  <c r="DM7" i="62"/>
  <c r="DN7" i="62"/>
  <c r="DO7" i="62"/>
  <c r="DP7" i="62"/>
  <c r="DQ7" i="62"/>
  <c r="DR7" i="62"/>
  <c r="H8" i="62"/>
  <c r="I8" i="62"/>
  <c r="J8" i="62"/>
  <c r="K8" i="62"/>
  <c r="L8" i="62"/>
  <c r="M8" i="62"/>
  <c r="N8" i="62"/>
  <c r="O8" i="62"/>
  <c r="P8" i="62"/>
  <c r="Q8" i="62"/>
  <c r="R8" i="62"/>
  <c r="S8" i="62"/>
  <c r="T8" i="62"/>
  <c r="U8" i="62"/>
  <c r="V8" i="62"/>
  <c r="W8" i="62"/>
  <c r="X8" i="62"/>
  <c r="Y8" i="62"/>
  <c r="Z8" i="62"/>
  <c r="AA8" i="62"/>
  <c r="AB8" i="62"/>
  <c r="AC8" i="62"/>
  <c r="AD8" i="62"/>
  <c r="AE8" i="62"/>
  <c r="AF8" i="62"/>
  <c r="AG8" i="62"/>
  <c r="AH8" i="62"/>
  <c r="AI8" i="62"/>
  <c r="AJ8" i="62"/>
  <c r="AK8" i="62"/>
  <c r="AL8" i="62"/>
  <c r="AM8" i="62"/>
  <c r="AN8" i="62"/>
  <c r="AO8" i="62"/>
  <c r="AP8" i="62"/>
  <c r="AQ8" i="62"/>
  <c r="AR8" i="62"/>
  <c r="AS8" i="62"/>
  <c r="AT8" i="62"/>
  <c r="AU8" i="62"/>
  <c r="AV8" i="62"/>
  <c r="AW8" i="62"/>
  <c r="AX8" i="62"/>
  <c r="AY8" i="62"/>
  <c r="AZ8" i="62"/>
  <c r="BA8" i="62"/>
  <c r="BB8" i="62"/>
  <c r="BC8" i="62"/>
  <c r="BD8" i="62"/>
  <c r="BE8" i="62"/>
  <c r="BF8" i="62"/>
  <c r="BG8" i="62"/>
  <c r="BH8" i="62"/>
  <c r="BI8" i="62"/>
  <c r="BJ8" i="62"/>
  <c r="BK8" i="62"/>
  <c r="BL8" i="62"/>
  <c r="BM8" i="62"/>
  <c r="BN8" i="62"/>
  <c r="BO8" i="62"/>
  <c r="BP8" i="62"/>
  <c r="BQ8" i="62"/>
  <c r="BR8" i="62"/>
  <c r="BS8" i="62"/>
  <c r="BT8" i="62"/>
  <c r="BU8" i="62"/>
  <c r="BV8" i="62"/>
  <c r="BW8" i="62"/>
  <c r="BX8" i="62"/>
  <c r="BY8" i="62"/>
  <c r="BZ8" i="62"/>
  <c r="CA8" i="62"/>
  <c r="CB8" i="62"/>
  <c r="CC8" i="62"/>
  <c r="CD8" i="62"/>
  <c r="CE8" i="62"/>
  <c r="CF8" i="62"/>
  <c r="CG8" i="62"/>
  <c r="CH8" i="62"/>
  <c r="CI8" i="62"/>
  <c r="CJ8" i="62"/>
  <c r="CK8" i="62"/>
  <c r="CL8" i="62"/>
  <c r="CM8" i="62"/>
  <c r="CN8" i="62"/>
  <c r="CO8" i="62"/>
  <c r="CP8" i="62"/>
  <c r="CQ8" i="62"/>
  <c r="CR8" i="62"/>
  <c r="CS8" i="62"/>
  <c r="CT8" i="62"/>
  <c r="CU8" i="62"/>
  <c r="CV8" i="62"/>
  <c r="CW8" i="62"/>
  <c r="CX8" i="62"/>
  <c r="CY8" i="62"/>
  <c r="CZ8" i="62"/>
  <c r="DA8" i="62"/>
  <c r="DB8" i="62"/>
  <c r="DC8" i="62"/>
  <c r="DD8" i="62"/>
  <c r="DE8" i="62"/>
  <c r="DF8" i="62"/>
  <c r="DG8" i="62"/>
  <c r="DH8" i="62"/>
  <c r="DI8" i="62"/>
  <c r="DJ8" i="62"/>
  <c r="DK8" i="62"/>
  <c r="DL8" i="62"/>
  <c r="DM8" i="62"/>
  <c r="DN8" i="62"/>
  <c r="DO8" i="62"/>
  <c r="DP8" i="62"/>
  <c r="DQ8" i="62"/>
  <c r="DR8" i="62"/>
  <c r="H9" i="62"/>
  <c r="I9" i="62"/>
  <c r="J9" i="62"/>
  <c r="K9" i="62"/>
  <c r="L9" i="62"/>
  <c r="M9" i="62"/>
  <c r="N9" i="62"/>
  <c r="O9" i="62"/>
  <c r="P9" i="62"/>
  <c r="Q9" i="62"/>
  <c r="R9" i="62"/>
  <c r="S9" i="62"/>
  <c r="T9" i="62"/>
  <c r="U9" i="62"/>
  <c r="V9" i="62"/>
  <c r="W9" i="62"/>
  <c r="X9" i="62"/>
  <c r="Y9" i="62"/>
  <c r="Z9" i="62"/>
  <c r="AA9" i="62"/>
  <c r="AB9" i="62"/>
  <c r="AC9" i="62"/>
  <c r="AD9" i="62"/>
  <c r="AE9" i="62"/>
  <c r="AF9" i="62"/>
  <c r="AG9" i="62"/>
  <c r="AH9" i="62"/>
  <c r="AI9" i="62"/>
  <c r="AJ9" i="62"/>
  <c r="AK9" i="62"/>
  <c r="AL9" i="62"/>
  <c r="AM9" i="62"/>
  <c r="AN9" i="62"/>
  <c r="AO9" i="62"/>
  <c r="AP9" i="62"/>
  <c r="AQ9" i="62"/>
  <c r="AR9" i="62"/>
  <c r="AS9" i="62"/>
  <c r="AT9" i="62"/>
  <c r="AU9" i="62"/>
  <c r="AV9" i="62"/>
  <c r="AW9" i="62"/>
  <c r="AX9" i="62"/>
  <c r="AY9" i="62"/>
  <c r="AZ9" i="62"/>
  <c r="BA9" i="62"/>
  <c r="BB9" i="62"/>
  <c r="BC9" i="62"/>
  <c r="BD9" i="62"/>
  <c r="BE9" i="62"/>
  <c r="BF9" i="62"/>
  <c r="BG9" i="62"/>
  <c r="BH9" i="62"/>
  <c r="BI9" i="62"/>
  <c r="BJ9" i="62"/>
  <c r="BK9" i="62"/>
  <c r="BL9" i="62"/>
  <c r="BM9" i="62"/>
  <c r="BN9" i="62"/>
  <c r="BO9" i="62"/>
  <c r="BP9" i="62"/>
  <c r="BQ9" i="62"/>
  <c r="BR9" i="62"/>
  <c r="BS9" i="62"/>
  <c r="BT9" i="62"/>
  <c r="BU9" i="62"/>
  <c r="BV9" i="62"/>
  <c r="BW9" i="62"/>
  <c r="BX9" i="62"/>
  <c r="BY9" i="62"/>
  <c r="BZ9" i="62"/>
  <c r="CA9" i="62"/>
  <c r="CB9" i="62"/>
  <c r="CC9" i="62"/>
  <c r="CD9" i="62"/>
  <c r="CE9" i="62"/>
  <c r="CF9" i="62"/>
  <c r="CG9" i="62"/>
  <c r="CH9" i="62"/>
  <c r="CI9" i="62"/>
  <c r="CJ9" i="62"/>
  <c r="CK9" i="62"/>
  <c r="CL9" i="62"/>
  <c r="CM9" i="62"/>
  <c r="CN9" i="62"/>
  <c r="CO9" i="62"/>
  <c r="CP9" i="62"/>
  <c r="CQ9" i="62"/>
  <c r="CR9" i="62"/>
  <c r="CS9" i="62"/>
  <c r="CT9" i="62"/>
  <c r="CU9" i="62"/>
  <c r="CV9" i="62"/>
  <c r="CW9" i="62"/>
  <c r="CX9" i="62"/>
  <c r="CY9" i="62"/>
  <c r="CZ9" i="62"/>
  <c r="DA9" i="62"/>
  <c r="DB9" i="62"/>
  <c r="DC9" i="62"/>
  <c r="DD9" i="62"/>
  <c r="DE9" i="62"/>
  <c r="DF9" i="62"/>
  <c r="DG9" i="62"/>
  <c r="DH9" i="62"/>
  <c r="DI9" i="62"/>
  <c r="DJ9" i="62"/>
  <c r="DK9" i="62"/>
  <c r="DL9" i="62"/>
  <c r="DM9" i="62"/>
  <c r="DN9" i="62"/>
  <c r="DO9" i="62"/>
  <c r="DP9" i="62"/>
  <c r="DQ9" i="62"/>
  <c r="DR9" i="62"/>
  <c r="H10" i="62"/>
  <c r="I10" i="62"/>
  <c r="J10" i="62"/>
  <c r="K10" i="62"/>
  <c r="L10" i="62"/>
  <c r="M10" i="62"/>
  <c r="N10" i="62"/>
  <c r="O10" i="62"/>
  <c r="P10" i="62"/>
  <c r="Q10" i="62"/>
  <c r="R10" i="62"/>
  <c r="S10" i="62"/>
  <c r="T10" i="62"/>
  <c r="U10" i="62"/>
  <c r="V10" i="62"/>
  <c r="W10" i="62"/>
  <c r="X10" i="62"/>
  <c r="Y10" i="62"/>
  <c r="Z10" i="62"/>
  <c r="AA10" i="62"/>
  <c r="AB10" i="62"/>
  <c r="AC10" i="62"/>
  <c r="AD10" i="62"/>
  <c r="AE10" i="62"/>
  <c r="AF10" i="62"/>
  <c r="AG10" i="62"/>
  <c r="AH10" i="62"/>
  <c r="AI10" i="62"/>
  <c r="AJ10" i="62"/>
  <c r="AK10" i="62"/>
  <c r="AL10" i="62"/>
  <c r="AM10" i="62"/>
  <c r="AN10" i="62"/>
  <c r="AO10" i="62"/>
  <c r="AP10" i="62"/>
  <c r="AQ10" i="62"/>
  <c r="AR10" i="62"/>
  <c r="AS10" i="62"/>
  <c r="AT10" i="62"/>
  <c r="AU10" i="62"/>
  <c r="AV10" i="62"/>
  <c r="AW10" i="62"/>
  <c r="AX10" i="62"/>
  <c r="AY10" i="62"/>
  <c r="AZ10" i="62"/>
  <c r="BA10" i="62"/>
  <c r="BB10" i="62"/>
  <c r="BC10" i="62"/>
  <c r="BD10" i="62"/>
  <c r="BE10" i="62"/>
  <c r="BF10" i="62"/>
  <c r="BG10" i="62"/>
  <c r="BH10" i="62"/>
  <c r="BI10" i="62"/>
  <c r="BJ10" i="62"/>
  <c r="BK10" i="62"/>
  <c r="BL10" i="62"/>
  <c r="BM10" i="62"/>
  <c r="BN10" i="62"/>
  <c r="BO10" i="62"/>
  <c r="BP10" i="62"/>
  <c r="BQ10" i="62"/>
  <c r="BR10" i="62"/>
  <c r="BS10" i="62"/>
  <c r="BT10" i="62"/>
  <c r="BU10" i="62"/>
  <c r="BV10" i="62"/>
  <c r="BW10" i="62"/>
  <c r="BX10" i="62"/>
  <c r="BY10" i="62"/>
  <c r="BZ10" i="62"/>
  <c r="CA10" i="62"/>
  <c r="CB10" i="62"/>
  <c r="CC10" i="62"/>
  <c r="CD10" i="62"/>
  <c r="CE10" i="62"/>
  <c r="CF10" i="62"/>
  <c r="CG10" i="62"/>
  <c r="CH10" i="62"/>
  <c r="CI10" i="62"/>
  <c r="CJ10" i="62"/>
  <c r="CK10" i="62"/>
  <c r="CL10" i="62"/>
  <c r="CM10" i="62"/>
  <c r="CN10" i="62"/>
  <c r="CO10" i="62"/>
  <c r="CP10" i="62"/>
  <c r="CQ10" i="62"/>
  <c r="CR10" i="62"/>
  <c r="CS10" i="62"/>
  <c r="CT10" i="62"/>
  <c r="CU10" i="62"/>
  <c r="CV10" i="62"/>
  <c r="CW10" i="62"/>
  <c r="CX10" i="62"/>
  <c r="CY10" i="62"/>
  <c r="CZ10" i="62"/>
  <c r="DA10" i="62"/>
  <c r="DB10" i="62"/>
  <c r="DC10" i="62"/>
  <c r="DD10" i="62"/>
  <c r="DE10" i="62"/>
  <c r="DF10" i="62"/>
  <c r="DG10" i="62"/>
  <c r="DH10" i="62"/>
  <c r="DI10" i="62"/>
  <c r="DJ10" i="62"/>
  <c r="DK10" i="62"/>
  <c r="DL10" i="62"/>
  <c r="DM10" i="62"/>
  <c r="DN10" i="62"/>
  <c r="DO10" i="62"/>
  <c r="DP10" i="62"/>
  <c r="DQ10" i="62"/>
  <c r="DR10" i="62"/>
  <c r="H11" i="62"/>
  <c r="I11" i="62"/>
  <c r="J11" i="62"/>
  <c r="K11" i="62"/>
  <c r="L11" i="62"/>
  <c r="M11" i="62"/>
  <c r="N11" i="62"/>
  <c r="O11" i="62"/>
  <c r="P11" i="62"/>
  <c r="Q11" i="62"/>
  <c r="R11" i="62"/>
  <c r="S11" i="62"/>
  <c r="T11" i="62"/>
  <c r="U11" i="62"/>
  <c r="V11" i="62"/>
  <c r="W11" i="62"/>
  <c r="X11" i="62"/>
  <c r="Y11" i="62"/>
  <c r="Z11" i="62"/>
  <c r="AA11" i="62"/>
  <c r="AB11" i="62"/>
  <c r="AC11" i="62"/>
  <c r="AD11" i="62"/>
  <c r="AE11" i="62"/>
  <c r="AF11" i="62"/>
  <c r="AG11" i="62"/>
  <c r="AH11" i="62"/>
  <c r="AI11" i="62"/>
  <c r="AJ11" i="62"/>
  <c r="AK11" i="62"/>
  <c r="AL11" i="62"/>
  <c r="AM11" i="62"/>
  <c r="AN11" i="62"/>
  <c r="AO11" i="62"/>
  <c r="AP11" i="62"/>
  <c r="AQ11" i="62"/>
  <c r="AR11" i="62"/>
  <c r="AS11" i="62"/>
  <c r="AT11" i="62"/>
  <c r="AU11" i="62"/>
  <c r="AV11" i="62"/>
  <c r="AW11" i="62"/>
  <c r="AX11" i="62"/>
  <c r="AY11" i="62"/>
  <c r="AZ11" i="62"/>
  <c r="BA11" i="62"/>
  <c r="BB11" i="62"/>
  <c r="BC11" i="62"/>
  <c r="BD11" i="62"/>
  <c r="BE11" i="62"/>
  <c r="BF11" i="62"/>
  <c r="BG11" i="62"/>
  <c r="BH11" i="62"/>
  <c r="BI11" i="62"/>
  <c r="BJ11" i="62"/>
  <c r="BK11" i="62"/>
  <c r="BL11" i="62"/>
  <c r="BM11" i="62"/>
  <c r="BN11" i="62"/>
  <c r="BO11" i="62"/>
  <c r="BP11" i="62"/>
  <c r="BQ11" i="62"/>
  <c r="BR11" i="62"/>
  <c r="BS11" i="62"/>
  <c r="BT11" i="62"/>
  <c r="BU11" i="62"/>
  <c r="BV11" i="62"/>
  <c r="BW11" i="62"/>
  <c r="BX11" i="62"/>
  <c r="BY11" i="62"/>
  <c r="BZ11" i="62"/>
  <c r="CA11" i="62"/>
  <c r="CB11" i="62"/>
  <c r="CC11" i="62"/>
  <c r="CD11" i="62"/>
  <c r="CE11" i="62"/>
  <c r="CF11" i="62"/>
  <c r="CG11" i="62"/>
  <c r="CH11" i="62"/>
  <c r="CI11" i="62"/>
  <c r="CJ11" i="62"/>
  <c r="CK11" i="62"/>
  <c r="CL11" i="62"/>
  <c r="CM11" i="62"/>
  <c r="CN11" i="62"/>
  <c r="CO11" i="62"/>
  <c r="CP11" i="62"/>
  <c r="CQ11" i="62"/>
  <c r="CR11" i="62"/>
  <c r="CS11" i="62"/>
  <c r="CT11" i="62"/>
  <c r="CU11" i="62"/>
  <c r="CV11" i="62"/>
  <c r="CW11" i="62"/>
  <c r="CX11" i="62"/>
  <c r="CY11" i="62"/>
  <c r="CZ11" i="62"/>
  <c r="DA11" i="62"/>
  <c r="DB11" i="62"/>
  <c r="DC11" i="62"/>
  <c r="DD11" i="62"/>
  <c r="DE11" i="62"/>
  <c r="DF11" i="62"/>
  <c r="DG11" i="62"/>
  <c r="DH11" i="62"/>
  <c r="DI11" i="62"/>
  <c r="DJ11" i="62"/>
  <c r="DK11" i="62"/>
  <c r="DL11" i="62"/>
  <c r="DM11" i="62"/>
  <c r="DN11" i="62"/>
  <c r="DO11" i="62"/>
  <c r="DP11" i="62"/>
  <c r="DQ11" i="62"/>
  <c r="DR11" i="62"/>
  <c r="H12" i="62"/>
  <c r="I12" i="62"/>
  <c r="J12" i="62"/>
  <c r="K12" i="62"/>
  <c r="L12" i="62"/>
  <c r="M12" i="62"/>
  <c r="N12" i="62"/>
  <c r="O12" i="62"/>
  <c r="P12" i="62"/>
  <c r="Q12" i="62"/>
  <c r="R12" i="62"/>
  <c r="S12" i="62"/>
  <c r="T12" i="62"/>
  <c r="U12" i="62"/>
  <c r="V12" i="62"/>
  <c r="W12" i="62"/>
  <c r="X12" i="62"/>
  <c r="Y12" i="62"/>
  <c r="Z12" i="62"/>
  <c r="AA12" i="62"/>
  <c r="AB12" i="62"/>
  <c r="AC12" i="62"/>
  <c r="AD12" i="62"/>
  <c r="AE12" i="62"/>
  <c r="AF12" i="62"/>
  <c r="AG12" i="62"/>
  <c r="AH12" i="62"/>
  <c r="AI12" i="62"/>
  <c r="AJ12" i="62"/>
  <c r="AK12" i="62"/>
  <c r="AL12" i="62"/>
  <c r="AM12" i="62"/>
  <c r="AN12" i="62"/>
  <c r="AO12" i="62"/>
  <c r="AP12" i="62"/>
  <c r="AQ12" i="62"/>
  <c r="AR12" i="62"/>
  <c r="AS12" i="62"/>
  <c r="AT12" i="62"/>
  <c r="AU12" i="62"/>
  <c r="AV12" i="62"/>
  <c r="AW12" i="62"/>
  <c r="AX12" i="62"/>
  <c r="AY12" i="62"/>
  <c r="AZ12" i="62"/>
  <c r="BA12" i="62"/>
  <c r="BB12" i="62"/>
  <c r="BC12" i="62"/>
  <c r="BD12" i="62"/>
  <c r="BE12" i="62"/>
  <c r="BF12" i="62"/>
  <c r="BG12" i="62"/>
  <c r="BH12" i="62"/>
  <c r="BI12" i="62"/>
  <c r="BJ12" i="62"/>
  <c r="BK12" i="62"/>
  <c r="BL12" i="62"/>
  <c r="BM12" i="62"/>
  <c r="BN12" i="62"/>
  <c r="BO12" i="62"/>
  <c r="BP12" i="62"/>
  <c r="BQ12" i="62"/>
  <c r="BR12" i="62"/>
  <c r="BS12" i="62"/>
  <c r="BT12" i="62"/>
  <c r="BU12" i="62"/>
  <c r="BV12" i="62"/>
  <c r="BW12" i="62"/>
  <c r="BX12" i="62"/>
  <c r="BY12" i="62"/>
  <c r="BZ12" i="62"/>
  <c r="CA12" i="62"/>
  <c r="CB12" i="62"/>
  <c r="CC12" i="62"/>
  <c r="CD12" i="62"/>
  <c r="CE12" i="62"/>
  <c r="CF12" i="62"/>
  <c r="CG12" i="62"/>
  <c r="CH12" i="62"/>
  <c r="CI12" i="62"/>
  <c r="CJ12" i="62"/>
  <c r="CK12" i="62"/>
  <c r="CL12" i="62"/>
  <c r="CM12" i="62"/>
  <c r="CN12" i="62"/>
  <c r="CO12" i="62"/>
  <c r="CP12" i="62"/>
  <c r="CQ12" i="62"/>
  <c r="CR12" i="62"/>
  <c r="CS12" i="62"/>
  <c r="CT12" i="62"/>
  <c r="CU12" i="62"/>
  <c r="CV12" i="62"/>
  <c r="CW12" i="62"/>
  <c r="CX12" i="62"/>
  <c r="CY12" i="62"/>
  <c r="CZ12" i="62"/>
  <c r="DA12" i="62"/>
  <c r="DB12" i="62"/>
  <c r="DC12" i="62"/>
  <c r="DD12" i="62"/>
  <c r="DE12" i="62"/>
  <c r="DF12" i="62"/>
  <c r="DG12" i="62"/>
  <c r="DH12" i="62"/>
  <c r="DI12" i="62"/>
  <c r="DJ12" i="62"/>
  <c r="DK12" i="62"/>
  <c r="DL12" i="62"/>
  <c r="DM12" i="62"/>
  <c r="DN12" i="62"/>
  <c r="DO12" i="62"/>
  <c r="DP12" i="62"/>
  <c r="DQ12" i="62"/>
  <c r="DR12" i="62"/>
  <c r="H13" i="62"/>
  <c r="I13" i="62"/>
  <c r="J13" i="62"/>
  <c r="K13" i="62"/>
  <c r="L13" i="62"/>
  <c r="M13" i="62"/>
  <c r="N13" i="62"/>
  <c r="O13" i="62"/>
  <c r="P13" i="62"/>
  <c r="Q13" i="62"/>
  <c r="R13" i="62"/>
  <c r="S13" i="62"/>
  <c r="T13" i="62"/>
  <c r="U13" i="62"/>
  <c r="V13" i="62"/>
  <c r="W13" i="62"/>
  <c r="X13" i="62"/>
  <c r="Y13" i="62"/>
  <c r="Z13" i="62"/>
  <c r="AA13" i="62"/>
  <c r="AB13" i="62"/>
  <c r="AC13" i="62"/>
  <c r="AD13" i="62"/>
  <c r="AE13" i="62"/>
  <c r="AF13" i="62"/>
  <c r="AG13" i="62"/>
  <c r="AH13" i="62"/>
  <c r="AI13" i="62"/>
  <c r="AJ13" i="62"/>
  <c r="AK13" i="62"/>
  <c r="AL13" i="62"/>
  <c r="AM13" i="62"/>
  <c r="AN13" i="62"/>
  <c r="AO13" i="62"/>
  <c r="AP13" i="62"/>
  <c r="AQ13" i="62"/>
  <c r="AR13" i="62"/>
  <c r="AS13" i="62"/>
  <c r="AT13" i="62"/>
  <c r="AU13" i="62"/>
  <c r="AV13" i="62"/>
  <c r="AW13" i="62"/>
  <c r="AX13" i="62"/>
  <c r="AY13" i="62"/>
  <c r="AZ13" i="62"/>
  <c r="BA13" i="62"/>
  <c r="BB13" i="62"/>
  <c r="BC13" i="62"/>
  <c r="BD13" i="62"/>
  <c r="BE13" i="62"/>
  <c r="BF13" i="62"/>
  <c r="BG13" i="62"/>
  <c r="BH13" i="62"/>
  <c r="BI13" i="62"/>
  <c r="BJ13" i="62"/>
  <c r="BK13" i="62"/>
  <c r="BL13" i="62"/>
  <c r="BM13" i="62"/>
  <c r="BN13" i="62"/>
  <c r="BO13" i="62"/>
  <c r="BP13" i="62"/>
  <c r="BQ13" i="62"/>
  <c r="BR13" i="62"/>
  <c r="BS13" i="62"/>
  <c r="BT13" i="62"/>
  <c r="BU13" i="62"/>
  <c r="BV13" i="62"/>
  <c r="BW13" i="62"/>
  <c r="BX13" i="62"/>
  <c r="BY13" i="62"/>
  <c r="BZ13" i="62"/>
  <c r="CA13" i="62"/>
  <c r="CB13" i="62"/>
  <c r="CC13" i="62"/>
  <c r="CD13" i="62"/>
  <c r="CE13" i="62"/>
  <c r="CF13" i="62"/>
  <c r="CG13" i="62"/>
  <c r="CH13" i="62"/>
  <c r="CI13" i="62"/>
  <c r="CJ13" i="62"/>
  <c r="CK13" i="62"/>
  <c r="CL13" i="62"/>
  <c r="CM13" i="62"/>
  <c r="CN13" i="62"/>
  <c r="CO13" i="62"/>
  <c r="CP13" i="62"/>
  <c r="CQ13" i="62"/>
  <c r="CR13" i="62"/>
  <c r="CS13" i="62"/>
  <c r="CT13" i="62"/>
  <c r="CU13" i="62"/>
  <c r="CV13" i="62"/>
  <c r="CW13" i="62"/>
  <c r="CX13" i="62"/>
  <c r="CY13" i="62"/>
  <c r="CZ13" i="62"/>
  <c r="DA13" i="62"/>
  <c r="DB13" i="62"/>
  <c r="DC13" i="62"/>
  <c r="DD13" i="62"/>
  <c r="DE13" i="62"/>
  <c r="DF13" i="62"/>
  <c r="DG13" i="62"/>
  <c r="DH13" i="62"/>
  <c r="DI13" i="62"/>
  <c r="DJ13" i="62"/>
  <c r="DK13" i="62"/>
  <c r="DL13" i="62"/>
  <c r="DM13" i="62"/>
  <c r="DN13" i="62"/>
  <c r="DO13" i="62"/>
  <c r="DP13" i="62"/>
  <c r="DQ13" i="62"/>
  <c r="DR13" i="62"/>
  <c r="H14" i="62"/>
  <c r="I14" i="62"/>
  <c r="J14" i="62"/>
  <c r="K14" i="62"/>
  <c r="L14" i="62"/>
  <c r="M14" i="62"/>
  <c r="N14" i="62"/>
  <c r="O14" i="62"/>
  <c r="P14" i="62"/>
  <c r="Q14" i="62"/>
  <c r="R14" i="62"/>
  <c r="S14" i="62"/>
  <c r="T14" i="62"/>
  <c r="U14" i="62"/>
  <c r="V14" i="62"/>
  <c r="W14" i="62"/>
  <c r="X14" i="62"/>
  <c r="Y14" i="62"/>
  <c r="Z14" i="62"/>
  <c r="AA14" i="62"/>
  <c r="AB14" i="62"/>
  <c r="AC14" i="62"/>
  <c r="AD14" i="62"/>
  <c r="AE14" i="62"/>
  <c r="AF14" i="62"/>
  <c r="AG14" i="62"/>
  <c r="AH14" i="62"/>
  <c r="AI14" i="62"/>
  <c r="AJ14" i="62"/>
  <c r="AK14" i="62"/>
  <c r="AL14" i="62"/>
  <c r="AM14" i="62"/>
  <c r="AN14" i="62"/>
  <c r="AO14" i="62"/>
  <c r="AP14" i="62"/>
  <c r="AQ14" i="62"/>
  <c r="AR14" i="62"/>
  <c r="AS14" i="62"/>
  <c r="AT14" i="62"/>
  <c r="AU14" i="62"/>
  <c r="AV14" i="62"/>
  <c r="AW14" i="62"/>
  <c r="AX14" i="62"/>
  <c r="AY14" i="62"/>
  <c r="AZ14" i="62"/>
  <c r="BA14" i="62"/>
  <c r="BB14" i="62"/>
  <c r="BC14" i="62"/>
  <c r="BD14" i="62"/>
  <c r="BE14" i="62"/>
  <c r="BF14" i="62"/>
  <c r="BG14" i="62"/>
  <c r="BH14" i="62"/>
  <c r="BI14" i="62"/>
  <c r="BJ14" i="62"/>
  <c r="BK14" i="62"/>
  <c r="BL14" i="62"/>
  <c r="BM14" i="62"/>
  <c r="BN14" i="62"/>
  <c r="BO14" i="62"/>
  <c r="BP14" i="62"/>
  <c r="BQ14" i="62"/>
  <c r="BR14" i="62"/>
  <c r="BS14" i="62"/>
  <c r="BT14" i="62"/>
  <c r="BU14" i="62"/>
  <c r="BV14" i="62"/>
  <c r="BW14" i="62"/>
  <c r="BX14" i="62"/>
  <c r="BY14" i="62"/>
  <c r="BZ14" i="62"/>
  <c r="CA14" i="62"/>
  <c r="CB14" i="62"/>
  <c r="CC14" i="62"/>
  <c r="CD14" i="62"/>
  <c r="CE14" i="62"/>
  <c r="CF14" i="62"/>
  <c r="CG14" i="62"/>
  <c r="CH14" i="62"/>
  <c r="CI14" i="62"/>
  <c r="CJ14" i="62"/>
  <c r="CK14" i="62"/>
  <c r="CL14" i="62"/>
  <c r="CM14" i="62"/>
  <c r="CN14" i="62"/>
  <c r="CO14" i="62"/>
  <c r="CP14" i="62"/>
  <c r="CQ14" i="62"/>
  <c r="CR14" i="62"/>
  <c r="CS14" i="62"/>
  <c r="CT14" i="62"/>
  <c r="CU14" i="62"/>
  <c r="CV14" i="62"/>
  <c r="CW14" i="62"/>
  <c r="CX14" i="62"/>
  <c r="CY14" i="62"/>
  <c r="CZ14" i="62"/>
  <c r="DA14" i="62"/>
  <c r="DB14" i="62"/>
  <c r="DC14" i="62"/>
  <c r="DD14" i="62"/>
  <c r="DE14" i="62"/>
  <c r="DF14" i="62"/>
  <c r="DG14" i="62"/>
  <c r="DH14" i="62"/>
  <c r="DI14" i="62"/>
  <c r="DJ14" i="62"/>
  <c r="DK14" i="62"/>
  <c r="DL14" i="62"/>
  <c r="DM14" i="62"/>
  <c r="DN14" i="62"/>
  <c r="DO14" i="62"/>
  <c r="DP14" i="62"/>
  <c r="DQ14" i="62"/>
  <c r="DR14" i="62"/>
  <c r="H15" i="62"/>
  <c r="I15" i="62"/>
  <c r="J15" i="62"/>
  <c r="K15" i="62"/>
  <c r="L15" i="62"/>
  <c r="M15" i="62"/>
  <c r="N15" i="62"/>
  <c r="O15" i="62"/>
  <c r="P15" i="62"/>
  <c r="Q15" i="62"/>
  <c r="R15" i="62"/>
  <c r="S15" i="62"/>
  <c r="T15" i="62"/>
  <c r="U15" i="62"/>
  <c r="V15" i="62"/>
  <c r="W15" i="62"/>
  <c r="X15" i="62"/>
  <c r="Y15" i="62"/>
  <c r="Z15" i="62"/>
  <c r="AA15" i="62"/>
  <c r="AB15" i="62"/>
  <c r="AC15" i="62"/>
  <c r="AD15" i="62"/>
  <c r="AE15" i="62"/>
  <c r="AF15" i="62"/>
  <c r="AG15" i="62"/>
  <c r="AH15" i="62"/>
  <c r="AI15" i="62"/>
  <c r="AJ15" i="62"/>
  <c r="AK15" i="62"/>
  <c r="AL15" i="62"/>
  <c r="AM15" i="62"/>
  <c r="AN15" i="62"/>
  <c r="AO15" i="62"/>
  <c r="AP15" i="62"/>
  <c r="AQ15" i="62"/>
  <c r="AR15" i="62"/>
  <c r="AS15" i="62"/>
  <c r="AT15" i="62"/>
  <c r="AU15" i="62"/>
  <c r="AV15" i="62"/>
  <c r="AW15" i="62"/>
  <c r="AX15" i="62"/>
  <c r="AY15" i="62"/>
  <c r="AZ15" i="62"/>
  <c r="BA15" i="62"/>
  <c r="BB15" i="62"/>
  <c r="BC15" i="62"/>
  <c r="BD15" i="62"/>
  <c r="BE15" i="62"/>
  <c r="BF15" i="62"/>
  <c r="BG15" i="62"/>
  <c r="BH15" i="62"/>
  <c r="BI15" i="62"/>
  <c r="BJ15" i="62"/>
  <c r="BK15" i="62"/>
  <c r="BL15" i="62"/>
  <c r="BM15" i="62"/>
  <c r="BN15" i="62"/>
  <c r="BO15" i="62"/>
  <c r="BP15" i="62"/>
  <c r="BQ15" i="62"/>
  <c r="BR15" i="62"/>
  <c r="BS15" i="62"/>
  <c r="BT15" i="62"/>
  <c r="BU15" i="62"/>
  <c r="BV15" i="62"/>
  <c r="BW15" i="62"/>
  <c r="BX15" i="62"/>
  <c r="BY15" i="62"/>
  <c r="BZ15" i="62"/>
  <c r="CA15" i="62"/>
  <c r="CB15" i="62"/>
  <c r="CC15" i="62"/>
  <c r="CD15" i="62"/>
  <c r="CE15" i="62"/>
  <c r="CF15" i="62"/>
  <c r="CG15" i="62"/>
  <c r="CH15" i="62"/>
  <c r="CI15" i="62"/>
  <c r="CJ15" i="62"/>
  <c r="CK15" i="62"/>
  <c r="CL15" i="62"/>
  <c r="CM15" i="62"/>
  <c r="CN15" i="62"/>
  <c r="CO15" i="62"/>
  <c r="CP15" i="62"/>
  <c r="CQ15" i="62"/>
  <c r="CR15" i="62"/>
  <c r="CS15" i="62"/>
  <c r="CT15" i="62"/>
  <c r="CU15" i="62"/>
  <c r="CV15" i="62"/>
  <c r="CW15" i="62"/>
  <c r="CX15" i="62"/>
  <c r="CY15" i="62"/>
  <c r="CZ15" i="62"/>
  <c r="DA15" i="62"/>
  <c r="DB15" i="62"/>
  <c r="DC15" i="62"/>
  <c r="DD15" i="62"/>
  <c r="DE15" i="62"/>
  <c r="DF15" i="62"/>
  <c r="DG15" i="62"/>
  <c r="DH15" i="62"/>
  <c r="DI15" i="62"/>
  <c r="DJ15" i="62"/>
  <c r="DK15" i="62"/>
  <c r="DL15" i="62"/>
  <c r="DM15" i="62"/>
  <c r="DN15" i="62"/>
  <c r="DO15" i="62"/>
  <c r="DP15" i="62"/>
  <c r="DQ15" i="62"/>
  <c r="DR15" i="62"/>
  <c r="G2" i="62"/>
  <c r="G15" i="62"/>
  <c r="G14" i="62"/>
  <c r="G13" i="62"/>
  <c r="G12" i="62"/>
  <c r="G11" i="62"/>
  <c r="G10" i="62"/>
  <c r="G9" i="62"/>
  <c r="G8" i="62"/>
  <c r="G7" i="62"/>
  <c r="G6" i="62"/>
  <c r="G5" i="62"/>
  <c r="G4" i="62"/>
  <c r="G3" i="62"/>
  <c r="R14" i="58"/>
  <c r="R15" i="58"/>
  <c r="R16" i="58"/>
  <c r="R17" i="58"/>
  <c r="R18" i="58"/>
  <c r="R19" i="58"/>
  <c r="R20" i="58"/>
  <c r="R21" i="58"/>
  <c r="R22" i="58"/>
  <c r="R23" i="58"/>
  <c r="R24" i="58"/>
  <c r="R25" i="58"/>
  <c r="R26" i="58"/>
  <c r="R27" i="58"/>
  <c r="R28" i="58"/>
  <c r="R29" i="58"/>
  <c r="R30" i="58"/>
  <c r="R31" i="58"/>
  <c r="R32" i="58"/>
  <c r="R33" i="58"/>
  <c r="R34" i="58"/>
  <c r="R35" i="58"/>
  <c r="R36" i="58"/>
  <c r="R37" i="58"/>
  <c r="R38" i="58"/>
  <c r="R39" i="58"/>
  <c r="R40" i="58"/>
  <c r="R41" i="58"/>
  <c r="R42" i="58"/>
  <c r="R43" i="58"/>
  <c r="R44" i="58"/>
  <c r="R45" i="58"/>
  <c r="R46" i="58"/>
  <c r="R47" i="58"/>
  <c r="R48" i="58"/>
  <c r="R49" i="58"/>
  <c r="R50" i="58"/>
  <c r="R51" i="58"/>
  <c r="R52" i="58"/>
  <c r="R53" i="58"/>
  <c r="R54" i="58"/>
  <c r="R55" i="58"/>
  <c r="R56" i="58"/>
  <c r="R57" i="58"/>
  <c r="R58" i="58"/>
  <c r="R59" i="58"/>
  <c r="R60" i="58"/>
  <c r="R61" i="58"/>
  <c r="R62" i="58"/>
  <c r="R63" i="58"/>
  <c r="R64" i="58"/>
  <c r="R65" i="58"/>
  <c r="R66" i="58"/>
  <c r="R67" i="58"/>
  <c r="R68" i="58"/>
  <c r="R69" i="58"/>
  <c r="R70" i="58"/>
  <c r="R71" i="58"/>
  <c r="R72" i="58"/>
  <c r="R73" i="58"/>
  <c r="R74" i="58"/>
  <c r="R75" i="58"/>
  <c r="R76" i="58"/>
  <c r="R77" i="58"/>
  <c r="R78" i="58"/>
  <c r="R79" i="58"/>
  <c r="R80" i="58"/>
  <c r="R81" i="58"/>
  <c r="R82" i="58"/>
  <c r="R83" i="58"/>
  <c r="R84" i="58"/>
  <c r="R85" i="58"/>
  <c r="R86" i="58"/>
  <c r="R87" i="58"/>
  <c r="R88" i="58"/>
  <c r="R89" i="58"/>
  <c r="R90" i="58"/>
  <c r="R91" i="58"/>
  <c r="R92" i="58"/>
  <c r="R93" i="58"/>
  <c r="R94" i="58"/>
  <c r="R95" i="58"/>
  <c r="R96" i="58"/>
  <c r="R97" i="58"/>
  <c r="R98" i="58"/>
  <c r="R99" i="58"/>
  <c r="R100" i="58"/>
  <c r="R101" i="58"/>
  <c r="R102" i="58"/>
  <c r="R103" i="58"/>
  <c r="R104" i="58"/>
  <c r="R105" i="58"/>
  <c r="R106" i="58"/>
  <c r="R107" i="58"/>
  <c r="R108" i="58"/>
  <c r="R109" i="58"/>
  <c r="R110" i="58"/>
  <c r="R111" i="58"/>
  <c r="R112" i="58"/>
  <c r="R113" i="58"/>
  <c r="R114" i="58"/>
  <c r="R115" i="58"/>
  <c r="R116" i="58"/>
  <c r="R117" i="58"/>
  <c r="R118" i="58"/>
  <c r="R119" i="58"/>
  <c r="R120" i="58"/>
  <c r="R121" i="58"/>
  <c r="R122" i="58"/>
  <c r="R123" i="58"/>
  <c r="R124" i="58"/>
  <c r="R125" i="58"/>
  <c r="R126" i="58"/>
  <c r="R127" i="58"/>
  <c r="R128" i="58"/>
  <c r="R129" i="58"/>
  <c r="R130" i="58"/>
  <c r="R131" i="58"/>
  <c r="R132" i="58"/>
  <c r="R133" i="58"/>
  <c r="R134" i="58"/>
  <c r="R135" i="58"/>
  <c r="R136" i="58"/>
  <c r="R137" i="58"/>
  <c r="R138" i="58"/>
  <c r="R139" i="58"/>
  <c r="R140" i="58"/>
  <c r="R141" i="58"/>
  <c r="R142" i="58"/>
  <c r="R143" i="58"/>
  <c r="R144" i="58"/>
  <c r="R145" i="58"/>
  <c r="R146" i="58"/>
  <c r="R147" i="58"/>
  <c r="R148" i="58"/>
  <c r="R149" i="58"/>
  <c r="R150" i="58"/>
  <c r="R151" i="58"/>
  <c r="R152" i="58"/>
  <c r="R153" i="58"/>
  <c r="R154" i="58"/>
  <c r="R155" i="58"/>
  <c r="R156" i="58"/>
  <c r="R157" i="58"/>
  <c r="R158" i="58"/>
  <c r="R159" i="58"/>
  <c r="R160" i="58"/>
  <c r="R161" i="58"/>
  <c r="R162" i="58"/>
  <c r="R163" i="58"/>
  <c r="R164" i="58"/>
  <c r="R165" i="58"/>
  <c r="R166" i="58"/>
  <c r="R167" i="58"/>
  <c r="R168" i="58"/>
  <c r="R169" i="58"/>
  <c r="R170" i="58"/>
  <c r="R171" i="58"/>
  <c r="R172" i="58"/>
  <c r="R173" i="58"/>
  <c r="R174" i="58"/>
  <c r="R175" i="58"/>
  <c r="R176" i="58"/>
  <c r="R177" i="58"/>
  <c r="R178" i="58"/>
  <c r="R179" i="58"/>
  <c r="R180" i="58"/>
  <c r="R181" i="58"/>
  <c r="R182" i="58"/>
  <c r="R183" i="58"/>
  <c r="R184" i="58"/>
  <c r="R185" i="58"/>
  <c r="R186" i="58"/>
  <c r="R187" i="58"/>
  <c r="R188" i="58"/>
  <c r="R189" i="58"/>
  <c r="R190" i="58"/>
  <c r="R191" i="58"/>
  <c r="R192" i="58"/>
  <c r="R193" i="58"/>
  <c r="R194" i="58"/>
  <c r="R195" i="58"/>
  <c r="R196" i="58"/>
  <c r="R197" i="58"/>
  <c r="R198" i="58"/>
  <c r="R199" i="58"/>
  <c r="R200" i="58"/>
  <c r="R201" i="58"/>
  <c r="R202" i="58"/>
  <c r="R203" i="58"/>
  <c r="R204" i="58"/>
  <c r="R205" i="58"/>
  <c r="R206" i="58"/>
  <c r="R207" i="58"/>
  <c r="R208" i="58"/>
  <c r="R209" i="58"/>
  <c r="R210" i="58"/>
  <c r="R211" i="58"/>
  <c r="R212" i="58"/>
  <c r="R13" i="58"/>
  <c r="AH13" i="56"/>
  <c r="AL13" i="58"/>
  <c r="P25" i="5"/>
  <c r="O25" i="5"/>
  <c r="O22" i="5"/>
  <c r="J14" i="56"/>
  <c r="J16" i="56"/>
  <c r="J17" i="56"/>
  <c r="J18" i="56"/>
  <c r="J19" i="56"/>
  <c r="J20" i="56"/>
  <c r="J21" i="56"/>
  <c r="J22" i="56"/>
  <c r="J23" i="56"/>
  <c r="J24" i="56"/>
  <c r="J25" i="56"/>
  <c r="J26" i="56"/>
  <c r="J27" i="56"/>
  <c r="J28" i="56"/>
  <c r="J29" i="56"/>
  <c r="J30" i="56"/>
  <c r="J31" i="56"/>
  <c r="J32" i="56"/>
  <c r="J33" i="56"/>
  <c r="J34" i="56"/>
  <c r="J35" i="56"/>
  <c r="J36" i="56"/>
  <c r="J37" i="56"/>
  <c r="J38" i="56"/>
  <c r="J39" i="56"/>
  <c r="J40" i="56"/>
  <c r="J41" i="56"/>
  <c r="J42" i="56"/>
  <c r="J43" i="56"/>
  <c r="J44" i="56"/>
  <c r="J45" i="56"/>
  <c r="J46" i="56"/>
  <c r="J47" i="56"/>
  <c r="J48" i="56"/>
  <c r="J49" i="56"/>
  <c r="J50" i="56"/>
  <c r="J51" i="56"/>
  <c r="J52" i="56"/>
  <c r="J53" i="56"/>
  <c r="J54" i="56"/>
  <c r="J55" i="56"/>
  <c r="J56" i="56"/>
  <c r="J57" i="56"/>
  <c r="J58" i="56"/>
  <c r="J59" i="56"/>
  <c r="J60" i="56"/>
  <c r="J61" i="56"/>
  <c r="J62" i="56"/>
  <c r="J63" i="56"/>
  <c r="J64" i="56"/>
  <c r="J65" i="56"/>
  <c r="J66" i="56"/>
  <c r="J67" i="56"/>
  <c r="J68" i="56"/>
  <c r="J69" i="56"/>
  <c r="J70" i="56"/>
  <c r="J71" i="56"/>
  <c r="J72" i="56"/>
  <c r="J73" i="56"/>
  <c r="J74" i="56"/>
  <c r="J75" i="56"/>
  <c r="J76" i="56"/>
  <c r="J77" i="56"/>
  <c r="J78" i="56"/>
  <c r="J79" i="56"/>
  <c r="J80" i="56"/>
  <c r="J81" i="56"/>
  <c r="J82" i="56"/>
  <c r="J83" i="56"/>
  <c r="J84" i="56"/>
  <c r="J85" i="56"/>
  <c r="J86" i="56"/>
  <c r="J87" i="56"/>
  <c r="J88" i="56"/>
  <c r="J89" i="56"/>
  <c r="J90" i="56"/>
  <c r="J91" i="56"/>
  <c r="J92" i="56"/>
  <c r="J93" i="56"/>
  <c r="J94" i="56"/>
  <c r="J95" i="56"/>
  <c r="J96" i="56"/>
  <c r="J97" i="56"/>
  <c r="J98" i="56"/>
  <c r="J99" i="56"/>
  <c r="J100" i="56"/>
  <c r="J101" i="56"/>
  <c r="J102" i="56"/>
  <c r="J103" i="56"/>
  <c r="J104" i="56"/>
  <c r="J105" i="56"/>
  <c r="J106" i="56"/>
  <c r="J107" i="56"/>
  <c r="J108" i="56"/>
  <c r="J109" i="56"/>
  <c r="J110" i="56"/>
  <c r="J111" i="56"/>
  <c r="J112" i="56"/>
  <c r="J13" i="56"/>
  <c r="AF12" i="5"/>
  <c r="O12" i="5" s="1"/>
  <c r="O53" i="5"/>
  <c r="AF24" i="5"/>
  <c r="O24" i="5"/>
  <c r="P24" i="5"/>
  <c r="O23" i="5"/>
  <c r="P23" i="5"/>
  <c r="P22" i="5"/>
  <c r="O21" i="5"/>
  <c r="P21" i="5"/>
  <c r="O20" i="5"/>
  <c r="P20" i="5"/>
  <c r="O19" i="5"/>
  <c r="P19" i="5"/>
  <c r="C25" i="5"/>
  <c r="C23" i="5"/>
  <c r="C22" i="5"/>
  <c r="C21" i="5"/>
  <c r="C20" i="5"/>
  <c r="C19" i="5"/>
  <c r="AF41" i="5"/>
  <c r="AF42" i="5"/>
  <c r="AF43" i="5"/>
  <c r="AF44" i="5"/>
  <c r="AF45" i="5"/>
  <c r="AF46" i="5"/>
  <c r="AF47" i="5"/>
  <c r="B18" i="24"/>
  <c r="B19" i="24"/>
  <c r="C18" i="24"/>
  <c r="P49" i="5"/>
  <c r="O49" i="5"/>
  <c r="P52" i="5" s="1"/>
  <c r="N1" i="56"/>
  <c r="A11" i="56"/>
  <c r="B7" i="37"/>
  <c r="B7" i="36"/>
  <c r="N1" i="4"/>
  <c r="BE139" i="58"/>
  <c r="BE138" i="58"/>
  <c r="BE137" i="58"/>
  <c r="BE136" i="58"/>
  <c r="BE135" i="58"/>
  <c r="BE133" i="58"/>
  <c r="BE130" i="58"/>
  <c r="BE129" i="58"/>
  <c r="BE128" i="58"/>
  <c r="BE127" i="58"/>
  <c r="BE125" i="58"/>
  <c r="BE124" i="58"/>
  <c r="BE123" i="58"/>
  <c r="AL14" i="58"/>
  <c r="J7" i="6"/>
  <c r="J6" i="6"/>
  <c r="J5" i="6"/>
  <c r="J4" i="6"/>
  <c r="J3" i="6"/>
  <c r="J2" i="6"/>
  <c r="L210" i="58"/>
  <c r="L209" i="58"/>
  <c r="L208" i="58"/>
  <c r="L207" i="58"/>
  <c r="L206" i="58"/>
  <c r="L205" i="58"/>
  <c r="L204" i="58"/>
  <c r="L203" i="58"/>
  <c r="L202" i="58"/>
  <c r="L201" i="58"/>
  <c r="L200" i="58"/>
  <c r="L199" i="58"/>
  <c r="L198" i="58"/>
  <c r="L197" i="58"/>
  <c r="L196" i="58"/>
  <c r="L195" i="58"/>
  <c r="L194" i="58"/>
  <c r="L193" i="58"/>
  <c r="L192" i="58"/>
  <c r="L191" i="58"/>
  <c r="L190" i="58"/>
  <c r="L189" i="58"/>
  <c r="L188" i="58"/>
  <c r="L187" i="58"/>
  <c r="L186" i="58"/>
  <c r="L185" i="58"/>
  <c r="L184" i="58"/>
  <c r="L183" i="58"/>
  <c r="L182" i="58"/>
  <c r="L181" i="58"/>
  <c r="L180" i="58"/>
  <c r="L179" i="58"/>
  <c r="L178" i="58"/>
  <c r="L177" i="58"/>
  <c r="L176" i="58"/>
  <c r="L175" i="58"/>
  <c r="L174" i="58"/>
  <c r="L173" i="58"/>
  <c r="L172" i="58"/>
  <c r="L171" i="58"/>
  <c r="L170" i="58"/>
  <c r="L169" i="58"/>
  <c r="L168" i="58"/>
  <c r="L167" i="58"/>
  <c r="L166" i="58"/>
  <c r="L165" i="58"/>
  <c r="L164" i="58"/>
  <c r="L163" i="58"/>
  <c r="L162" i="58"/>
  <c r="L161" i="58"/>
  <c r="L160" i="58"/>
  <c r="L159" i="58"/>
  <c r="L158" i="58"/>
  <c r="L157" i="58"/>
  <c r="L156" i="58"/>
  <c r="L155" i="58"/>
  <c r="L154" i="58"/>
  <c r="L153" i="58"/>
  <c r="L152" i="58"/>
  <c r="L151" i="58"/>
  <c r="L150" i="58"/>
  <c r="L149" i="58"/>
  <c r="L148" i="58"/>
  <c r="L147" i="58"/>
  <c r="L146" i="58"/>
  <c r="L145" i="58"/>
  <c r="L144" i="58"/>
  <c r="L143" i="58"/>
  <c r="L142" i="58"/>
  <c r="L141" i="58"/>
  <c r="L140" i="58"/>
  <c r="L139" i="58"/>
  <c r="L138" i="58"/>
  <c r="L137" i="58"/>
  <c r="L136" i="58"/>
  <c r="L135" i="58"/>
  <c r="L134" i="58"/>
  <c r="L133" i="58"/>
  <c r="L132" i="58"/>
  <c r="L131" i="58"/>
  <c r="L130" i="58"/>
  <c r="L129" i="58"/>
  <c r="L128" i="58"/>
  <c r="L127" i="58"/>
  <c r="L126" i="58"/>
  <c r="L125" i="58"/>
  <c r="L124" i="58"/>
  <c r="L123" i="58"/>
  <c r="L122" i="58"/>
  <c r="L121" i="58"/>
  <c r="L120" i="58"/>
  <c r="L119" i="58"/>
  <c r="L118" i="58"/>
  <c r="L117" i="58"/>
  <c r="L116" i="58"/>
  <c r="L115" i="58"/>
  <c r="L114" i="58"/>
  <c r="L113" i="58"/>
  <c r="L112" i="58"/>
  <c r="L111" i="58"/>
  <c r="L110" i="58"/>
  <c r="L109" i="58"/>
  <c r="L108" i="58"/>
  <c r="L107" i="58"/>
  <c r="L106" i="58"/>
  <c r="L105" i="58"/>
  <c r="L104" i="58"/>
  <c r="L103" i="58"/>
  <c r="L102" i="58"/>
  <c r="L101" i="58"/>
  <c r="L100" i="58"/>
  <c r="L99" i="58"/>
  <c r="L98" i="58"/>
  <c r="L97" i="58"/>
  <c r="L96" i="58"/>
  <c r="L95" i="58"/>
  <c r="L94" i="58"/>
  <c r="L93" i="58"/>
  <c r="L92" i="58"/>
  <c r="L91" i="58"/>
  <c r="L90" i="58"/>
  <c r="L89" i="58"/>
  <c r="L88" i="58"/>
  <c r="L87" i="58"/>
  <c r="L86" i="58"/>
  <c r="L85" i="58"/>
  <c r="L84" i="58"/>
  <c r="L83" i="58"/>
  <c r="L82" i="58"/>
  <c r="L81" i="58"/>
  <c r="L80" i="58"/>
  <c r="L79" i="58"/>
  <c r="L78" i="58"/>
  <c r="L77" i="58"/>
  <c r="L76" i="58"/>
  <c r="L75" i="58"/>
  <c r="L74" i="58"/>
  <c r="L73" i="58"/>
  <c r="L72" i="58"/>
  <c r="L71" i="58"/>
  <c r="L70" i="58"/>
  <c r="L69" i="58"/>
  <c r="L68" i="58"/>
  <c r="L67" i="58"/>
  <c r="L66" i="58"/>
  <c r="L65" i="58"/>
  <c r="L64" i="58"/>
  <c r="L63" i="58"/>
  <c r="L62" i="58"/>
  <c r="L61" i="58"/>
  <c r="L60" i="58"/>
  <c r="L59" i="58"/>
  <c r="L58" i="58"/>
  <c r="L57" i="58"/>
  <c r="L56" i="58"/>
  <c r="L55" i="58"/>
  <c r="L54" i="58"/>
  <c r="L53" i="58"/>
  <c r="L52" i="58"/>
  <c r="L51" i="58"/>
  <c r="L50" i="58"/>
  <c r="L49" i="58"/>
  <c r="L48" i="58"/>
  <c r="L47" i="58"/>
  <c r="L46" i="58"/>
  <c r="L45" i="58"/>
  <c r="L44" i="58"/>
  <c r="L43" i="58"/>
  <c r="L42" i="58"/>
  <c r="L41" i="58"/>
  <c r="L40" i="58"/>
  <c r="L39" i="58"/>
  <c r="L38" i="58"/>
  <c r="L37" i="58"/>
  <c r="L36" i="58"/>
  <c r="L35" i="58"/>
  <c r="L34" i="58"/>
  <c r="L33" i="58"/>
  <c r="L32" i="58"/>
  <c r="L31" i="58"/>
  <c r="L30" i="58"/>
  <c r="L29" i="58"/>
  <c r="L28" i="58"/>
  <c r="L27" i="58"/>
  <c r="L26" i="58"/>
  <c r="L25" i="58"/>
  <c r="L24" i="58"/>
  <c r="L23" i="58"/>
  <c r="L22" i="58"/>
  <c r="L21" i="58"/>
  <c r="L20" i="58"/>
  <c r="L19" i="58"/>
  <c r="L18" i="58"/>
  <c r="L17" i="58"/>
  <c r="L16" i="58"/>
  <c r="L15" i="58"/>
  <c r="L14" i="58"/>
  <c r="L13" i="58"/>
  <c r="BF61" i="55"/>
  <c r="BF60" i="55"/>
  <c r="BF54" i="55"/>
  <c r="BF53" i="55"/>
  <c r="BF47" i="55"/>
  <c r="BF46" i="55"/>
  <c r="BF40" i="55"/>
  <c r="BF39" i="55"/>
  <c r="BF34" i="55"/>
  <c r="BF33" i="55"/>
  <c r="BF32" i="55"/>
  <c r="BF26" i="55"/>
  <c r="BF25" i="55"/>
  <c r="R47" i="6" a="1"/>
  <c r="R47" i="6" s="1"/>
  <c r="L212" i="58"/>
  <c r="L211" i="58"/>
  <c r="C17" i="62"/>
  <c r="P12" i="5" l="1"/>
  <c r="P53" i="5"/>
  <c r="O52" i="5"/>
  <c r="H70" i="62"/>
  <c r="H68" i="62" s="1"/>
  <c r="H67" i="62"/>
  <c r="H65" i="62" s="1"/>
  <c r="H64" i="62"/>
  <c r="H62" i="62" s="1"/>
  <c r="G68" i="62"/>
  <c r="D68" i="62" s="1"/>
  <c r="G65" i="62"/>
  <c r="D65" i="62" s="1"/>
  <c r="G62" i="62"/>
  <c r="D62" i="62" s="1"/>
  <c r="I70" i="62" l="1"/>
  <c r="I68" i="62" s="1"/>
  <c r="I64" i="62"/>
  <c r="I62" i="62" s="1"/>
  <c r="I67" i="62"/>
  <c r="I65" i="62" s="1"/>
  <c r="J70" i="62" l="1"/>
  <c r="J68" i="62" s="1"/>
  <c r="J67" i="62"/>
  <c r="J65" i="62" s="1"/>
  <c r="J64" i="62"/>
  <c r="J62" i="62" s="1"/>
  <c r="K67" i="62" l="1"/>
  <c r="K65" i="62" s="1"/>
  <c r="K70" i="62"/>
  <c r="K68" i="62" s="1"/>
  <c r="K64" i="62"/>
  <c r="K62" i="62" s="1"/>
  <c r="O16" i="56" l="1"/>
  <c r="O17" i="56"/>
  <c r="O18" i="56"/>
  <c r="O19" i="56"/>
  <c r="O20" i="56"/>
  <c r="O28" i="56"/>
  <c r="O29" i="56"/>
  <c r="O30" i="56"/>
  <c r="O31" i="56"/>
  <c r="O32" i="56"/>
  <c r="O40" i="56"/>
  <c r="O41" i="56"/>
  <c r="O42" i="56"/>
  <c r="O43" i="56"/>
  <c r="O44" i="56"/>
  <c r="O52" i="56"/>
  <c r="O53" i="56"/>
  <c r="O54" i="56"/>
  <c r="O55" i="56"/>
  <c r="O56" i="56"/>
  <c r="O64" i="56"/>
  <c r="O65" i="56"/>
  <c r="O66" i="56"/>
  <c r="O67" i="56"/>
  <c r="O68" i="56"/>
  <c r="O76" i="56"/>
  <c r="O77" i="56"/>
  <c r="O78" i="56"/>
  <c r="O79" i="56"/>
  <c r="O80" i="56"/>
  <c r="O88" i="56"/>
  <c r="O89" i="56"/>
  <c r="O90" i="56"/>
  <c r="O91" i="56"/>
  <c r="O92" i="56"/>
  <c r="O100" i="56"/>
  <c r="O101" i="56"/>
  <c r="O102" i="56"/>
  <c r="O103" i="56"/>
  <c r="O104" i="56"/>
  <c r="O112" i="56"/>
  <c r="O13" i="56"/>
  <c r="AH14" i="56"/>
  <c r="O14" i="56" s="1"/>
  <c r="AI14" i="56"/>
  <c r="AH15" i="56"/>
  <c r="AP119" i="56" s="1"/>
  <c r="AI15" i="56"/>
  <c r="AH16" i="56"/>
  <c r="AI16" i="56"/>
  <c r="AH17" i="56"/>
  <c r="AI17" i="56"/>
  <c r="AH18" i="56"/>
  <c r="AI18" i="56"/>
  <c r="AH19" i="56"/>
  <c r="AI19" i="56"/>
  <c r="AH20" i="56"/>
  <c r="Q20" i="56" s="1"/>
  <c r="AI20" i="56"/>
  <c r="AH21" i="56"/>
  <c r="O21" i="56" s="1"/>
  <c r="AI21" i="56"/>
  <c r="AH22" i="56"/>
  <c r="O22" i="56" s="1"/>
  <c r="AI22" i="56"/>
  <c r="AH23" i="56"/>
  <c r="O23" i="56" s="1"/>
  <c r="AI23" i="56"/>
  <c r="AH24" i="56"/>
  <c r="O24" i="56" s="1"/>
  <c r="AI24" i="56"/>
  <c r="AH25" i="56"/>
  <c r="O25" i="56" s="1"/>
  <c r="AI25" i="56"/>
  <c r="AH26" i="56"/>
  <c r="Q26" i="56" s="1"/>
  <c r="AI26" i="56"/>
  <c r="AH27" i="56"/>
  <c r="O27" i="56" s="1"/>
  <c r="AI27" i="56"/>
  <c r="AH28" i="56"/>
  <c r="AI28" i="56"/>
  <c r="AH29" i="56"/>
  <c r="AI29" i="56"/>
  <c r="AH30" i="56"/>
  <c r="AI30" i="56"/>
  <c r="AH31" i="56"/>
  <c r="Q31" i="56" s="1"/>
  <c r="AI31" i="56"/>
  <c r="AH32" i="56"/>
  <c r="Q32" i="56" s="1"/>
  <c r="AI32" i="56"/>
  <c r="AH33" i="56"/>
  <c r="O33" i="56" s="1"/>
  <c r="AI33" i="56"/>
  <c r="AH34" i="56"/>
  <c r="O34" i="56" s="1"/>
  <c r="AI34" i="56"/>
  <c r="AH35" i="56"/>
  <c r="O35" i="56" s="1"/>
  <c r="AI35" i="56"/>
  <c r="AH36" i="56"/>
  <c r="O36" i="56" s="1"/>
  <c r="AI36" i="56"/>
  <c r="AH37" i="56"/>
  <c r="Q37" i="56" s="1"/>
  <c r="AI37" i="56"/>
  <c r="AH38" i="56"/>
  <c r="Q38" i="56" s="1"/>
  <c r="AI38" i="56"/>
  <c r="AH39" i="56"/>
  <c r="Q39" i="56" s="1"/>
  <c r="AI39" i="56"/>
  <c r="AH40" i="56"/>
  <c r="AI40" i="56"/>
  <c r="AH41" i="56"/>
  <c r="AI41" i="56"/>
  <c r="AH42" i="56"/>
  <c r="AI42" i="56"/>
  <c r="AH43" i="56"/>
  <c r="AI43" i="56"/>
  <c r="AH44" i="56"/>
  <c r="Q44" i="56" s="1"/>
  <c r="AI44" i="56"/>
  <c r="AH45" i="56"/>
  <c r="O45" i="56" s="1"/>
  <c r="AI45" i="56"/>
  <c r="AH46" i="56"/>
  <c r="O46" i="56" s="1"/>
  <c r="AI46" i="56"/>
  <c r="AH47" i="56"/>
  <c r="O47" i="56" s="1"/>
  <c r="AI47" i="56"/>
  <c r="AH48" i="56"/>
  <c r="O48" i="56" s="1"/>
  <c r="AI48" i="56"/>
  <c r="AH49" i="56"/>
  <c r="O49" i="56" s="1"/>
  <c r="AI49" i="56"/>
  <c r="AH50" i="56"/>
  <c r="Q50" i="56" s="1"/>
  <c r="AI50" i="56"/>
  <c r="AH51" i="56"/>
  <c r="O51" i="56" s="1"/>
  <c r="AI51" i="56"/>
  <c r="AH52" i="56"/>
  <c r="AI52" i="56"/>
  <c r="AH53" i="56"/>
  <c r="AI53" i="56"/>
  <c r="AH54" i="56"/>
  <c r="AI54" i="56"/>
  <c r="AH55" i="56"/>
  <c r="Q55" i="56" s="1"/>
  <c r="AI55" i="56"/>
  <c r="AH56" i="56"/>
  <c r="AI56" i="56"/>
  <c r="AH57" i="56"/>
  <c r="O57" i="56" s="1"/>
  <c r="AI57" i="56"/>
  <c r="AH58" i="56"/>
  <c r="O58" i="56" s="1"/>
  <c r="AI58" i="56"/>
  <c r="AH59" i="56"/>
  <c r="O59" i="56" s="1"/>
  <c r="AI59" i="56"/>
  <c r="AH60" i="56"/>
  <c r="O60" i="56" s="1"/>
  <c r="AI60" i="56"/>
  <c r="AH61" i="56"/>
  <c r="Q61" i="56" s="1"/>
  <c r="AI61" i="56"/>
  <c r="AH62" i="56"/>
  <c r="Q62" i="56" s="1"/>
  <c r="AI62" i="56"/>
  <c r="AH63" i="56"/>
  <c r="Q63" i="56" s="1"/>
  <c r="AI63" i="56"/>
  <c r="AH64" i="56"/>
  <c r="AI64" i="56"/>
  <c r="AH65" i="56"/>
  <c r="AI65" i="56"/>
  <c r="AH66" i="56"/>
  <c r="AI66" i="56"/>
  <c r="AH67" i="56"/>
  <c r="AI67" i="56"/>
  <c r="AH68" i="56"/>
  <c r="Q68" i="56" s="1"/>
  <c r="AI68" i="56"/>
  <c r="AH69" i="56"/>
  <c r="O69" i="56" s="1"/>
  <c r="AI69" i="56"/>
  <c r="AH70" i="56"/>
  <c r="O70" i="56" s="1"/>
  <c r="AI70" i="56"/>
  <c r="AH71" i="56"/>
  <c r="O71" i="56" s="1"/>
  <c r="AI71" i="56"/>
  <c r="AH72" i="56"/>
  <c r="O72" i="56" s="1"/>
  <c r="AI72" i="56"/>
  <c r="AH73" i="56"/>
  <c r="O73" i="56" s="1"/>
  <c r="AI73" i="56"/>
  <c r="AH74" i="56"/>
  <c r="Q74" i="56" s="1"/>
  <c r="AI74" i="56"/>
  <c r="AH75" i="56"/>
  <c r="O75" i="56" s="1"/>
  <c r="AI75" i="56"/>
  <c r="AH76" i="56"/>
  <c r="AI76" i="56"/>
  <c r="AH77" i="56"/>
  <c r="AI77" i="56"/>
  <c r="AH78" i="56"/>
  <c r="AI78" i="56"/>
  <c r="AH79" i="56"/>
  <c r="Q79" i="56" s="1"/>
  <c r="AI79" i="56"/>
  <c r="AH80" i="56"/>
  <c r="AI80" i="56"/>
  <c r="AH81" i="56"/>
  <c r="O81" i="56" s="1"/>
  <c r="AI81" i="56"/>
  <c r="AH82" i="56"/>
  <c r="O82" i="56" s="1"/>
  <c r="AI82" i="56"/>
  <c r="AH83" i="56"/>
  <c r="O83" i="56" s="1"/>
  <c r="AI83" i="56"/>
  <c r="AH84" i="56"/>
  <c r="O84" i="56" s="1"/>
  <c r="AI84" i="56"/>
  <c r="AH85" i="56"/>
  <c r="O85" i="56" s="1"/>
  <c r="AI85" i="56"/>
  <c r="AH86" i="56"/>
  <c r="Q86" i="56" s="1"/>
  <c r="AI86" i="56"/>
  <c r="AH87" i="56"/>
  <c r="Q87" i="56" s="1"/>
  <c r="AI87" i="56"/>
  <c r="AH88" i="56"/>
  <c r="AI88" i="56"/>
  <c r="AH89" i="56"/>
  <c r="AI89" i="56"/>
  <c r="AH90" i="56"/>
  <c r="AI90" i="56"/>
  <c r="AH91" i="56"/>
  <c r="AI91" i="56"/>
  <c r="AH92" i="56"/>
  <c r="Q92" i="56" s="1"/>
  <c r="AI92" i="56"/>
  <c r="AH93" i="56"/>
  <c r="O93" i="56" s="1"/>
  <c r="AI93" i="56"/>
  <c r="AH94" i="56"/>
  <c r="O94" i="56" s="1"/>
  <c r="AI94" i="56"/>
  <c r="AH95" i="56"/>
  <c r="O95" i="56" s="1"/>
  <c r="AI95" i="56"/>
  <c r="AH96" i="56"/>
  <c r="O96" i="56" s="1"/>
  <c r="AI96" i="56"/>
  <c r="AH97" i="56"/>
  <c r="O97" i="56" s="1"/>
  <c r="AI97" i="56"/>
  <c r="AH98" i="56"/>
  <c r="Q98" i="56" s="1"/>
  <c r="AI98" i="56"/>
  <c r="AH99" i="56"/>
  <c r="Q99" i="56" s="1"/>
  <c r="AI99" i="56"/>
  <c r="AH100" i="56"/>
  <c r="AI100" i="56"/>
  <c r="AH101" i="56"/>
  <c r="AI101" i="56"/>
  <c r="AH102" i="56"/>
  <c r="AI102" i="56"/>
  <c r="AH103" i="56"/>
  <c r="Q103" i="56" s="1"/>
  <c r="AI103" i="56"/>
  <c r="AH104" i="56"/>
  <c r="Q104" i="56" s="1"/>
  <c r="AI104" i="56"/>
  <c r="AH105" i="56"/>
  <c r="O105" i="56" s="1"/>
  <c r="AI105" i="56"/>
  <c r="AH106" i="56"/>
  <c r="O106" i="56" s="1"/>
  <c r="AI106" i="56"/>
  <c r="AH107" i="56"/>
  <c r="O107" i="56" s="1"/>
  <c r="AI107" i="56"/>
  <c r="AH108" i="56"/>
  <c r="O108" i="56" s="1"/>
  <c r="AI108" i="56"/>
  <c r="AH109" i="56"/>
  <c r="O109" i="56" s="1"/>
  <c r="AI109" i="56"/>
  <c r="AH110" i="56"/>
  <c r="Q110" i="56" s="1"/>
  <c r="AI110" i="56"/>
  <c r="AH111" i="56"/>
  <c r="O111" i="56" s="1"/>
  <c r="AI111" i="56"/>
  <c r="AH112" i="56"/>
  <c r="AI112" i="56"/>
  <c r="AI13" i="56"/>
  <c r="Q17" i="56"/>
  <c r="Q19" i="56"/>
  <c r="Q23" i="56"/>
  <c r="Q25" i="56"/>
  <c r="Q27" i="56"/>
  <c r="Q29" i="56"/>
  <c r="Q35" i="56"/>
  <c r="Q41" i="56"/>
  <c r="Q43" i="56"/>
  <c r="Q47" i="56"/>
  <c r="Q49" i="56"/>
  <c r="Q51" i="56"/>
  <c r="Q53" i="56"/>
  <c r="Q59" i="56"/>
  <c r="Q65" i="56"/>
  <c r="Q67" i="56"/>
  <c r="Q71" i="56"/>
  <c r="Q73" i="56"/>
  <c r="Q75" i="56"/>
  <c r="Q77" i="56"/>
  <c r="Q83" i="56"/>
  <c r="Q89" i="56"/>
  <c r="Q91" i="56"/>
  <c r="Q95" i="56"/>
  <c r="Q97" i="56"/>
  <c r="Q112" i="56"/>
  <c r="Q34" i="56"/>
  <c r="Q36" i="56"/>
  <c r="Q40" i="56"/>
  <c r="Q42" i="56"/>
  <c r="Q46" i="56"/>
  <c r="Q48" i="56"/>
  <c r="Q52" i="56"/>
  <c r="Q54" i="56"/>
  <c r="Q56" i="56"/>
  <c r="Q58" i="56"/>
  <c r="Q60" i="56"/>
  <c r="Q64" i="56"/>
  <c r="Q66" i="56"/>
  <c r="Q70" i="56"/>
  <c r="Q72" i="56"/>
  <c r="Q76" i="56"/>
  <c r="Q78" i="56"/>
  <c r="Q80" i="56"/>
  <c r="Q82" i="56"/>
  <c r="Q84" i="56"/>
  <c r="Q88" i="56"/>
  <c r="Q90" i="56"/>
  <c r="Q94" i="56"/>
  <c r="Q96" i="56"/>
  <c r="Q100" i="56"/>
  <c r="Q101" i="56"/>
  <c r="Q102" i="56"/>
  <c r="Q106" i="56"/>
  <c r="Q107" i="56"/>
  <c r="Q108" i="56"/>
  <c r="Q109" i="56"/>
  <c r="Q14" i="56"/>
  <c r="Q16" i="56"/>
  <c r="Q18" i="56"/>
  <c r="Q22" i="56"/>
  <c r="Q24" i="56"/>
  <c r="Q28" i="56"/>
  <c r="Q30" i="56"/>
  <c r="Q13" i="56"/>
  <c r="Q111" i="56" l="1"/>
  <c r="O99" i="56"/>
  <c r="O87" i="56"/>
  <c r="O63" i="56"/>
  <c r="O39" i="56"/>
  <c r="Q15" i="56"/>
  <c r="S76" i="56" s="1"/>
  <c r="O110" i="56"/>
  <c r="O98" i="56"/>
  <c r="O86" i="56"/>
  <c r="O74" i="56"/>
  <c r="O62" i="56"/>
  <c r="O50" i="56"/>
  <c r="O38" i="56"/>
  <c r="O26" i="56"/>
  <c r="Q93" i="56"/>
  <c r="Q45" i="56"/>
  <c r="Q85" i="56"/>
  <c r="O61" i="56"/>
  <c r="O37" i="56"/>
  <c r="Q105" i="56"/>
  <c r="S105" i="56" s="1"/>
  <c r="Q81" i="56"/>
  <c r="Q57" i="56"/>
  <c r="Q33" i="56"/>
  <c r="Q69" i="56"/>
  <c r="R69" i="56" s="1"/>
  <c r="Q21" i="56"/>
  <c r="O15" i="56"/>
  <c r="S24" i="56"/>
  <c r="S79" i="56"/>
  <c r="S95" i="56"/>
  <c r="S62" i="56"/>
  <c r="S98" i="56"/>
  <c r="S18" i="56"/>
  <c r="J207" i="58"/>
  <c r="S207" i="58" s="1"/>
  <c r="K207" i="58"/>
  <c r="M207" i="58"/>
  <c r="AL207" i="58"/>
  <c r="AM207" i="58"/>
  <c r="AO207" i="58"/>
  <c r="J208" i="58"/>
  <c r="S208" i="58" s="1"/>
  <c r="K208" i="58"/>
  <c r="M208" i="58"/>
  <c r="AL208" i="58"/>
  <c r="AM208" i="58"/>
  <c r="AO208" i="58"/>
  <c r="J209" i="58"/>
  <c r="S209" i="58" s="1"/>
  <c r="K209" i="58"/>
  <c r="M209" i="58"/>
  <c r="AL209" i="58"/>
  <c r="AM209" i="58"/>
  <c r="AO209" i="58"/>
  <c r="J210" i="58"/>
  <c r="S210" i="58" s="1"/>
  <c r="M210" i="58"/>
  <c r="AL210" i="58"/>
  <c r="AM210" i="58"/>
  <c r="AO210" i="58"/>
  <c r="J211" i="58"/>
  <c r="S211" i="58" s="1"/>
  <c r="K211" i="58"/>
  <c r="M211" i="58"/>
  <c r="AL211" i="58"/>
  <c r="AM211" i="58"/>
  <c r="AO211" i="58"/>
  <c r="J212" i="58"/>
  <c r="S212" i="58" s="1"/>
  <c r="M212" i="58"/>
  <c r="AL212" i="58"/>
  <c r="AM212" i="58"/>
  <c r="AO212" i="58"/>
  <c r="J143" i="58"/>
  <c r="S143" i="58" s="1"/>
  <c r="K143" i="58"/>
  <c r="M143" i="58"/>
  <c r="AL143" i="58"/>
  <c r="AM143" i="58"/>
  <c r="AO143" i="58"/>
  <c r="J144" i="58"/>
  <c r="S144" i="58" s="1"/>
  <c r="M144" i="58"/>
  <c r="U144" i="58"/>
  <c r="Y144" i="58" s="1"/>
  <c r="AL144" i="58"/>
  <c r="AM144" i="58"/>
  <c r="AO144" i="58"/>
  <c r="J145" i="58"/>
  <c r="S145" i="58" s="1"/>
  <c r="K145" i="58"/>
  <c r="M145" i="58"/>
  <c r="AL145" i="58"/>
  <c r="AM145" i="58"/>
  <c r="AO145" i="58"/>
  <c r="J146" i="58"/>
  <c r="S146" i="58" s="1"/>
  <c r="M146" i="58"/>
  <c r="AL146" i="58"/>
  <c r="AM146" i="58"/>
  <c r="AO146" i="58"/>
  <c r="J147" i="58"/>
  <c r="S147" i="58" s="1"/>
  <c r="K147" i="58"/>
  <c r="M147" i="58"/>
  <c r="AL147" i="58"/>
  <c r="AM147" i="58"/>
  <c r="AO147" i="58"/>
  <c r="J148" i="58"/>
  <c r="M148" i="58"/>
  <c r="AL148" i="58"/>
  <c r="AM148" i="58"/>
  <c r="AO148" i="58"/>
  <c r="J149" i="58"/>
  <c r="S149" i="58" s="1"/>
  <c r="K149" i="58"/>
  <c r="M149" i="58"/>
  <c r="AL149" i="58"/>
  <c r="AM149" i="58"/>
  <c r="AO149" i="58"/>
  <c r="J150" i="58"/>
  <c r="M150" i="58"/>
  <c r="AL150" i="58"/>
  <c r="AM150" i="58"/>
  <c r="AO150" i="58"/>
  <c r="J151" i="58"/>
  <c r="S151" i="58" s="1"/>
  <c r="K151" i="58"/>
  <c r="M151" i="58"/>
  <c r="AL151" i="58"/>
  <c r="AM151" i="58"/>
  <c r="AO151" i="58"/>
  <c r="J152" i="58"/>
  <c r="M152" i="58"/>
  <c r="U152" i="58"/>
  <c r="Y152" i="58" s="1"/>
  <c r="AL152" i="58"/>
  <c r="AM152" i="58"/>
  <c r="AO152" i="58"/>
  <c r="J153" i="58"/>
  <c r="S153" i="58" s="1"/>
  <c r="K153" i="58"/>
  <c r="M153" i="58"/>
  <c r="AL153" i="58"/>
  <c r="AM153" i="58"/>
  <c r="AO153" i="58"/>
  <c r="J154" i="58"/>
  <c r="S154" i="58" s="1"/>
  <c r="M154" i="58"/>
  <c r="AL154" i="58"/>
  <c r="AM154" i="58"/>
  <c r="AO154" i="58"/>
  <c r="J155" i="58"/>
  <c r="S155" i="58" s="1"/>
  <c r="K155" i="58"/>
  <c r="M155" i="58"/>
  <c r="AL155" i="58"/>
  <c r="AM155" i="58"/>
  <c r="AO155" i="58"/>
  <c r="J156" i="58"/>
  <c r="S156" i="58" s="1"/>
  <c r="M156" i="58"/>
  <c r="AL156" i="58"/>
  <c r="AM156" i="58"/>
  <c r="AO156" i="58"/>
  <c r="J157" i="58"/>
  <c r="M157" i="58"/>
  <c r="AL157" i="58"/>
  <c r="AM157" i="58"/>
  <c r="AO157" i="58"/>
  <c r="J158" i="58"/>
  <c r="S158" i="58" s="1"/>
  <c r="K158" i="58"/>
  <c r="M158" i="58"/>
  <c r="AL158" i="58"/>
  <c r="AM158" i="58"/>
  <c r="AO158" i="58"/>
  <c r="J159" i="58"/>
  <c r="M159" i="58"/>
  <c r="AL159" i="58"/>
  <c r="AM159" i="58"/>
  <c r="AO159" i="58"/>
  <c r="J160" i="58"/>
  <c r="S160" i="58" s="1"/>
  <c r="K160" i="58"/>
  <c r="M160" i="58"/>
  <c r="AL160" i="58"/>
  <c r="AM160" i="58"/>
  <c r="AO160" i="58"/>
  <c r="J161" i="58"/>
  <c r="M161" i="58"/>
  <c r="AL161" i="58"/>
  <c r="AM161" i="58"/>
  <c r="AO161" i="58"/>
  <c r="J162" i="58"/>
  <c r="S162" i="58" s="1"/>
  <c r="K162" i="58"/>
  <c r="M162" i="58"/>
  <c r="AL162" i="58"/>
  <c r="AM162" i="58"/>
  <c r="AO162" i="58"/>
  <c r="J163" i="58"/>
  <c r="M163" i="58"/>
  <c r="AL163" i="58"/>
  <c r="AM163" i="58"/>
  <c r="AO163" i="58"/>
  <c r="J164" i="58"/>
  <c r="S164" i="58" s="1"/>
  <c r="K164" i="58"/>
  <c r="M164" i="58"/>
  <c r="U164" i="58"/>
  <c r="Y164" i="58" s="1"/>
  <c r="AL164" i="58"/>
  <c r="AM164" i="58"/>
  <c r="AO164" i="58"/>
  <c r="J165" i="58"/>
  <c r="S165" i="58" s="1"/>
  <c r="M165" i="58"/>
  <c r="AL165" i="58"/>
  <c r="AM165" i="58"/>
  <c r="AO165" i="58"/>
  <c r="J166" i="58"/>
  <c r="S166" i="58" s="1"/>
  <c r="K166" i="58"/>
  <c r="M166" i="58"/>
  <c r="AL166" i="58"/>
  <c r="AM166" i="58"/>
  <c r="AO166" i="58"/>
  <c r="J167" i="58"/>
  <c r="S167" i="58" s="1"/>
  <c r="M167" i="58"/>
  <c r="AL167" i="58"/>
  <c r="AM167" i="58"/>
  <c r="AO167" i="58"/>
  <c r="J168" i="58"/>
  <c r="S168" i="58" s="1"/>
  <c r="K168" i="58"/>
  <c r="M168" i="58"/>
  <c r="U168" i="58"/>
  <c r="Y168" i="58" s="1"/>
  <c r="AL168" i="58"/>
  <c r="AM168" i="58"/>
  <c r="AO168" i="58"/>
  <c r="J169" i="58"/>
  <c r="S169" i="58" s="1"/>
  <c r="K169" i="58"/>
  <c r="M169" i="58"/>
  <c r="AL169" i="58"/>
  <c r="AM169" i="58"/>
  <c r="AO169" i="58"/>
  <c r="J170" i="58"/>
  <c r="M170" i="58"/>
  <c r="AL170" i="58"/>
  <c r="AM170" i="58"/>
  <c r="AO170" i="58"/>
  <c r="J171" i="58"/>
  <c r="S171" i="58" s="1"/>
  <c r="K171" i="58"/>
  <c r="M171" i="58"/>
  <c r="AL171" i="58"/>
  <c r="AM171" i="58"/>
  <c r="AO171" i="58"/>
  <c r="J172" i="58"/>
  <c r="M172" i="58"/>
  <c r="AL172" i="58"/>
  <c r="AM172" i="58"/>
  <c r="AO172" i="58"/>
  <c r="J173" i="58"/>
  <c r="M173" i="58"/>
  <c r="AL173" i="58"/>
  <c r="AM173" i="58"/>
  <c r="AO173" i="58"/>
  <c r="J174" i="58"/>
  <c r="M174" i="58"/>
  <c r="AL174" i="58"/>
  <c r="AM174" i="58"/>
  <c r="AO174" i="58"/>
  <c r="J175" i="58"/>
  <c r="M175" i="58"/>
  <c r="Q175" i="58" s="1"/>
  <c r="AL175" i="58"/>
  <c r="AM175" i="58"/>
  <c r="AO175" i="58"/>
  <c r="J176" i="58"/>
  <c r="M176" i="58"/>
  <c r="AL176" i="58"/>
  <c r="AM176" i="58"/>
  <c r="AO176" i="58"/>
  <c r="J177" i="58"/>
  <c r="M177" i="58"/>
  <c r="Q177" i="58" s="1"/>
  <c r="AL177" i="58"/>
  <c r="AM177" i="58"/>
  <c r="AO177" i="58"/>
  <c r="J178" i="58"/>
  <c r="M178" i="58"/>
  <c r="AL178" i="58"/>
  <c r="AM178" i="58"/>
  <c r="AO178" i="58"/>
  <c r="J179" i="58"/>
  <c r="M179" i="58"/>
  <c r="AL179" i="58"/>
  <c r="AM179" i="58"/>
  <c r="AO179" i="58"/>
  <c r="J180" i="58"/>
  <c r="M180" i="58"/>
  <c r="AL180" i="58"/>
  <c r="AM180" i="58"/>
  <c r="AO180" i="58"/>
  <c r="J181" i="58"/>
  <c r="M181" i="58"/>
  <c r="AL181" i="58"/>
  <c r="AM181" i="58"/>
  <c r="AO181" i="58"/>
  <c r="J182" i="58"/>
  <c r="M182" i="58"/>
  <c r="Q182" i="58" s="1"/>
  <c r="AL182" i="58"/>
  <c r="AM182" i="58"/>
  <c r="AO182" i="58"/>
  <c r="J183" i="58"/>
  <c r="M183" i="58"/>
  <c r="AL183" i="58"/>
  <c r="AM183" i="58"/>
  <c r="AO183" i="58"/>
  <c r="J184" i="58"/>
  <c r="M184" i="58"/>
  <c r="Q184" i="58" s="1"/>
  <c r="AL184" i="58"/>
  <c r="AM184" i="58"/>
  <c r="AO184" i="58"/>
  <c r="J185" i="58"/>
  <c r="M185" i="58"/>
  <c r="AL185" i="58"/>
  <c r="AM185" i="58"/>
  <c r="AO185" i="58"/>
  <c r="J186" i="58"/>
  <c r="M186" i="58"/>
  <c r="Q186" i="58" s="1"/>
  <c r="AL186" i="58"/>
  <c r="AM186" i="58"/>
  <c r="AO186" i="58"/>
  <c r="J187" i="58"/>
  <c r="M187" i="58"/>
  <c r="AL187" i="58"/>
  <c r="AM187" i="58"/>
  <c r="AO187" i="58"/>
  <c r="J188" i="58"/>
  <c r="M188" i="58"/>
  <c r="AL188" i="58"/>
  <c r="AM188" i="58"/>
  <c r="AO188" i="58"/>
  <c r="J189" i="58"/>
  <c r="M189" i="58"/>
  <c r="Q189" i="58" s="1"/>
  <c r="AL189" i="58"/>
  <c r="AM189" i="58"/>
  <c r="AO189" i="58"/>
  <c r="J190" i="58"/>
  <c r="M190" i="58"/>
  <c r="AL190" i="58"/>
  <c r="AM190" i="58"/>
  <c r="AO190" i="58"/>
  <c r="J191" i="58"/>
  <c r="M191" i="58"/>
  <c r="Q191" i="58" s="1"/>
  <c r="AL191" i="58"/>
  <c r="AM191" i="58"/>
  <c r="AO191" i="58"/>
  <c r="J192" i="58"/>
  <c r="M192" i="58"/>
  <c r="AL192" i="58"/>
  <c r="AM192" i="58"/>
  <c r="AO192" i="58"/>
  <c r="J193" i="58"/>
  <c r="M193" i="58"/>
  <c r="AL193" i="58"/>
  <c r="AM193" i="58"/>
  <c r="AO193" i="58"/>
  <c r="J194" i="58"/>
  <c r="S194" i="58" s="1"/>
  <c r="M194" i="58"/>
  <c r="AL194" i="58"/>
  <c r="AM194" i="58"/>
  <c r="AO194" i="58"/>
  <c r="J195" i="58"/>
  <c r="S195" i="58" s="1"/>
  <c r="K195" i="58"/>
  <c r="M195" i="58"/>
  <c r="AL195" i="58"/>
  <c r="AM195" i="58"/>
  <c r="AO195" i="58"/>
  <c r="J196" i="58"/>
  <c r="S196" i="58" s="1"/>
  <c r="M196" i="58"/>
  <c r="AL196" i="58"/>
  <c r="AM196" i="58"/>
  <c r="AO196" i="58"/>
  <c r="J197" i="58"/>
  <c r="S197" i="58" s="1"/>
  <c r="K197" i="58"/>
  <c r="M197" i="58"/>
  <c r="AL197" i="58"/>
  <c r="AM197" i="58"/>
  <c r="AO197" i="58"/>
  <c r="J198" i="58"/>
  <c r="S198" i="58" s="1"/>
  <c r="M198" i="58"/>
  <c r="AL198" i="58"/>
  <c r="AM198" i="58"/>
  <c r="AO198" i="58"/>
  <c r="J199" i="58"/>
  <c r="S199" i="58" s="1"/>
  <c r="K199" i="58"/>
  <c r="M199" i="58"/>
  <c r="AL199" i="58"/>
  <c r="AM199" i="58"/>
  <c r="AO199" i="58"/>
  <c r="J200" i="58"/>
  <c r="S200" i="58" s="1"/>
  <c r="M200" i="58"/>
  <c r="AL200" i="58"/>
  <c r="AM200" i="58"/>
  <c r="AO200" i="58"/>
  <c r="J201" i="58"/>
  <c r="S201" i="58" s="1"/>
  <c r="K201" i="58"/>
  <c r="M201" i="58"/>
  <c r="AL201" i="58"/>
  <c r="AM201" i="58"/>
  <c r="AO201" i="58"/>
  <c r="J202" i="58"/>
  <c r="S202" i="58" s="1"/>
  <c r="M202" i="58"/>
  <c r="AL202" i="58"/>
  <c r="AM202" i="58"/>
  <c r="AO202" i="58"/>
  <c r="J203" i="58"/>
  <c r="S203" i="58" s="1"/>
  <c r="K203" i="58"/>
  <c r="M203" i="58"/>
  <c r="AL203" i="58"/>
  <c r="AM203" i="58"/>
  <c r="AO203" i="58"/>
  <c r="J204" i="58"/>
  <c r="S204" i="58" s="1"/>
  <c r="M204" i="58"/>
  <c r="AL204" i="58"/>
  <c r="AM204" i="58"/>
  <c r="AO204" i="58"/>
  <c r="J205" i="58"/>
  <c r="S205" i="58" s="1"/>
  <c r="K205" i="58"/>
  <c r="M205" i="58"/>
  <c r="AL205" i="58"/>
  <c r="AM205" i="58"/>
  <c r="AO205" i="58"/>
  <c r="J206" i="58"/>
  <c r="S206" i="58" s="1"/>
  <c r="M206" i="58"/>
  <c r="AL206" i="58"/>
  <c r="AM206" i="58"/>
  <c r="AO206" i="58"/>
  <c r="J113" i="58"/>
  <c r="S113" i="58" s="1"/>
  <c r="M113" i="58"/>
  <c r="AL113" i="58"/>
  <c r="AM113" i="58"/>
  <c r="AO113" i="58"/>
  <c r="J114" i="58"/>
  <c r="S114" i="58" s="1"/>
  <c r="M114" i="58"/>
  <c r="AL114" i="58"/>
  <c r="AM114" i="58"/>
  <c r="AO114" i="58"/>
  <c r="J115" i="58"/>
  <c r="S115" i="58" s="1"/>
  <c r="K115" i="58"/>
  <c r="M115" i="58"/>
  <c r="AL115" i="58"/>
  <c r="AM115" i="58"/>
  <c r="AO115" i="58"/>
  <c r="J116" i="58"/>
  <c r="S116" i="58" s="1"/>
  <c r="M116" i="58"/>
  <c r="AL116" i="58"/>
  <c r="AM116" i="58"/>
  <c r="AO116" i="58"/>
  <c r="J117" i="58"/>
  <c r="S117" i="58" s="1"/>
  <c r="K117" i="58"/>
  <c r="M117" i="58"/>
  <c r="AL117" i="58"/>
  <c r="AM117" i="58"/>
  <c r="AO117" i="58"/>
  <c r="J118" i="58"/>
  <c r="S118" i="58" s="1"/>
  <c r="M118" i="58"/>
  <c r="AL118" i="58"/>
  <c r="AM118" i="58"/>
  <c r="AO118" i="58"/>
  <c r="J119" i="58"/>
  <c r="S119" i="58" s="1"/>
  <c r="K119" i="58"/>
  <c r="M119" i="58"/>
  <c r="AL119" i="58"/>
  <c r="AM119" i="58"/>
  <c r="AO119" i="58"/>
  <c r="J120" i="58"/>
  <c r="S120" i="58" s="1"/>
  <c r="M120" i="58"/>
  <c r="AL120" i="58"/>
  <c r="AM120" i="58"/>
  <c r="AO120" i="58"/>
  <c r="J121" i="58"/>
  <c r="S121" i="58" s="1"/>
  <c r="K121" i="58"/>
  <c r="M121" i="58"/>
  <c r="AL121" i="58"/>
  <c r="AM121" i="58"/>
  <c r="AO121" i="58"/>
  <c r="J122" i="58"/>
  <c r="S122" i="58" s="1"/>
  <c r="M122" i="58"/>
  <c r="AL122" i="58"/>
  <c r="AM122" i="58"/>
  <c r="AO122" i="58"/>
  <c r="J123" i="58"/>
  <c r="S123" i="58" s="1"/>
  <c r="K123" i="58"/>
  <c r="M123" i="58"/>
  <c r="AL123" i="58"/>
  <c r="AM123" i="58"/>
  <c r="AO123" i="58"/>
  <c r="J124" i="58"/>
  <c r="S124" i="58" s="1"/>
  <c r="M124" i="58"/>
  <c r="AL124" i="58"/>
  <c r="AM124" i="58"/>
  <c r="AO124" i="58"/>
  <c r="J125" i="58"/>
  <c r="S125" i="58" s="1"/>
  <c r="K125" i="58"/>
  <c r="M125" i="58"/>
  <c r="AL125" i="58"/>
  <c r="AM125" i="58"/>
  <c r="AO125" i="58"/>
  <c r="J126" i="58"/>
  <c r="S126" i="58" s="1"/>
  <c r="M126" i="58"/>
  <c r="AL126" i="58"/>
  <c r="AM126" i="58"/>
  <c r="AO126" i="58"/>
  <c r="J127" i="58"/>
  <c r="S127" i="58" s="1"/>
  <c r="K127" i="58"/>
  <c r="M127" i="58"/>
  <c r="AL127" i="58"/>
  <c r="AM127" i="58"/>
  <c r="AO127" i="58"/>
  <c r="J128" i="58"/>
  <c r="S128" i="58" s="1"/>
  <c r="M128" i="58"/>
  <c r="AL128" i="58"/>
  <c r="AM128" i="58"/>
  <c r="AO128" i="58"/>
  <c r="J129" i="58"/>
  <c r="S129" i="58" s="1"/>
  <c r="K129" i="58"/>
  <c r="M129" i="58"/>
  <c r="AL129" i="58"/>
  <c r="AM129" i="58"/>
  <c r="AO129" i="58"/>
  <c r="J130" i="58"/>
  <c r="S130" i="58" s="1"/>
  <c r="M130" i="58"/>
  <c r="AL130" i="58"/>
  <c r="AM130" i="58"/>
  <c r="AO130" i="58"/>
  <c r="J131" i="58"/>
  <c r="S131" i="58" s="1"/>
  <c r="K131" i="58"/>
  <c r="M131" i="58"/>
  <c r="AL131" i="58"/>
  <c r="AM131" i="58"/>
  <c r="AO131" i="58"/>
  <c r="J132" i="58"/>
  <c r="S132" i="58" s="1"/>
  <c r="M132" i="58"/>
  <c r="AL132" i="58"/>
  <c r="AM132" i="58"/>
  <c r="AO132" i="58"/>
  <c r="J133" i="58"/>
  <c r="S133" i="58" s="1"/>
  <c r="K133" i="58"/>
  <c r="M133" i="58"/>
  <c r="AL133" i="58"/>
  <c r="AM133" i="58"/>
  <c r="AO133" i="58"/>
  <c r="J134" i="58"/>
  <c r="S134" i="58" s="1"/>
  <c r="M134" i="58"/>
  <c r="AL134" i="58"/>
  <c r="AM134" i="58"/>
  <c r="AO134" i="58"/>
  <c r="J135" i="58"/>
  <c r="S135" i="58" s="1"/>
  <c r="K135" i="58"/>
  <c r="M135" i="58"/>
  <c r="AL135" i="58"/>
  <c r="AM135" i="58"/>
  <c r="AO135" i="58"/>
  <c r="J136" i="58"/>
  <c r="S136" i="58" s="1"/>
  <c r="M136" i="58"/>
  <c r="AL136" i="58"/>
  <c r="AM136" i="58"/>
  <c r="AO136" i="58"/>
  <c r="J137" i="58"/>
  <c r="S137" i="58" s="1"/>
  <c r="M137" i="58"/>
  <c r="AL137" i="58"/>
  <c r="AM137" i="58"/>
  <c r="AO137" i="58"/>
  <c r="J138" i="58"/>
  <c r="S138" i="58" s="1"/>
  <c r="M138" i="58"/>
  <c r="AL138" i="58"/>
  <c r="AM138" i="58"/>
  <c r="AO138" i="58"/>
  <c r="J139" i="58"/>
  <c r="S139" i="58" s="1"/>
  <c r="K139" i="58"/>
  <c r="M139" i="58"/>
  <c r="AL139" i="58"/>
  <c r="AM139" i="58"/>
  <c r="AO139" i="58"/>
  <c r="J140" i="58"/>
  <c r="S140" i="58" s="1"/>
  <c r="M140" i="58"/>
  <c r="AL140" i="58"/>
  <c r="AM140" i="58"/>
  <c r="AO140" i="58"/>
  <c r="J141" i="58"/>
  <c r="S141" i="58" s="1"/>
  <c r="K141" i="58"/>
  <c r="M141" i="58"/>
  <c r="AL141" i="58"/>
  <c r="AM141" i="58"/>
  <c r="AO141" i="58"/>
  <c r="J142" i="58"/>
  <c r="M142" i="58"/>
  <c r="AL142" i="58"/>
  <c r="AM142" i="58"/>
  <c r="AO142" i="58"/>
  <c r="AL112" i="58"/>
  <c r="U112" i="58" s="1"/>
  <c r="Y112" i="58" s="1"/>
  <c r="AL15" i="58"/>
  <c r="U15" i="58" s="1"/>
  <c r="Y15" i="58" s="1"/>
  <c r="AL16" i="58"/>
  <c r="U16" i="58" s="1"/>
  <c r="Y16" i="58" s="1"/>
  <c r="AL17" i="58"/>
  <c r="U17" i="58" s="1"/>
  <c r="Y17" i="58" s="1"/>
  <c r="AL18" i="58"/>
  <c r="U18" i="58" s="1"/>
  <c r="Y18" i="58" s="1"/>
  <c r="AL19" i="58"/>
  <c r="U19" i="58" s="1"/>
  <c r="Y19" i="58" s="1"/>
  <c r="AL20" i="58"/>
  <c r="U20" i="58" s="1"/>
  <c r="Y20" i="58" s="1"/>
  <c r="AL21" i="58"/>
  <c r="U21" i="58" s="1"/>
  <c r="Y21" i="58" s="1"/>
  <c r="AL22" i="58"/>
  <c r="U22" i="58" s="1"/>
  <c r="Y22" i="58" s="1"/>
  <c r="AL23" i="58"/>
  <c r="U23" i="58" s="1"/>
  <c r="Y23" i="58" s="1"/>
  <c r="AL24" i="58"/>
  <c r="U24" i="58" s="1"/>
  <c r="Y24" i="58" s="1"/>
  <c r="AL25" i="58"/>
  <c r="U25" i="58" s="1"/>
  <c r="Y25" i="58" s="1"/>
  <c r="AL26" i="58"/>
  <c r="U26" i="58" s="1"/>
  <c r="Y26" i="58" s="1"/>
  <c r="AL27" i="58"/>
  <c r="U27" i="58" s="1"/>
  <c r="Y27" i="58" s="1"/>
  <c r="AL28" i="58"/>
  <c r="U28" i="58" s="1"/>
  <c r="Y28" i="58" s="1"/>
  <c r="AL29" i="58"/>
  <c r="U29" i="58" s="1"/>
  <c r="Y29" i="58" s="1"/>
  <c r="AL30" i="58"/>
  <c r="U30" i="58" s="1"/>
  <c r="Y30" i="58" s="1"/>
  <c r="AL31" i="58"/>
  <c r="U31" i="58" s="1"/>
  <c r="Y31" i="58" s="1"/>
  <c r="AL32" i="58"/>
  <c r="U32" i="58" s="1"/>
  <c r="Y32" i="58" s="1"/>
  <c r="AL33" i="58"/>
  <c r="U33" i="58" s="1"/>
  <c r="Y33" i="58" s="1"/>
  <c r="AL34" i="58"/>
  <c r="U34" i="58" s="1"/>
  <c r="Y34" i="58" s="1"/>
  <c r="AL35" i="58"/>
  <c r="U35" i="58" s="1"/>
  <c r="Y35" i="58" s="1"/>
  <c r="AL36" i="58"/>
  <c r="U36" i="58" s="1"/>
  <c r="Y36" i="58" s="1"/>
  <c r="AL37" i="58"/>
  <c r="U37" i="58" s="1"/>
  <c r="Y37" i="58" s="1"/>
  <c r="AL38" i="58"/>
  <c r="U38" i="58" s="1"/>
  <c r="Y38" i="58" s="1"/>
  <c r="AL39" i="58"/>
  <c r="U39" i="58" s="1"/>
  <c r="Y39" i="58" s="1"/>
  <c r="AL40" i="58"/>
  <c r="U40" i="58" s="1"/>
  <c r="Y40" i="58" s="1"/>
  <c r="AL41" i="58"/>
  <c r="U41" i="58" s="1"/>
  <c r="Y41" i="58" s="1"/>
  <c r="AL42" i="58"/>
  <c r="U42" i="58" s="1"/>
  <c r="Y42" i="58" s="1"/>
  <c r="AL43" i="58"/>
  <c r="U43" i="58" s="1"/>
  <c r="Y43" i="58" s="1"/>
  <c r="AL44" i="58"/>
  <c r="U44" i="58" s="1"/>
  <c r="Y44" i="58" s="1"/>
  <c r="AL45" i="58"/>
  <c r="U45" i="58" s="1"/>
  <c r="Y45" i="58" s="1"/>
  <c r="AL46" i="58"/>
  <c r="U46" i="58" s="1"/>
  <c r="Y46" i="58" s="1"/>
  <c r="AL47" i="58"/>
  <c r="U47" i="58" s="1"/>
  <c r="Y47" i="58" s="1"/>
  <c r="AL48" i="58"/>
  <c r="U48" i="58" s="1"/>
  <c r="Y48" i="58" s="1"/>
  <c r="AL49" i="58"/>
  <c r="U49" i="58" s="1"/>
  <c r="Y49" i="58" s="1"/>
  <c r="AL50" i="58"/>
  <c r="U50" i="58" s="1"/>
  <c r="Y50" i="58" s="1"/>
  <c r="AL51" i="58"/>
  <c r="U51" i="58" s="1"/>
  <c r="Y51" i="58" s="1"/>
  <c r="AL52" i="58"/>
  <c r="U52" i="58" s="1"/>
  <c r="Y52" i="58" s="1"/>
  <c r="AL53" i="58"/>
  <c r="AL54" i="58"/>
  <c r="U54" i="58" s="1"/>
  <c r="Y54" i="58" s="1"/>
  <c r="AL55" i="58"/>
  <c r="U55" i="58" s="1"/>
  <c r="Y55" i="58" s="1"/>
  <c r="AL56" i="58"/>
  <c r="U56" i="58" s="1"/>
  <c r="Y56" i="58" s="1"/>
  <c r="AL57" i="58"/>
  <c r="U57" i="58" s="1"/>
  <c r="Y57" i="58" s="1"/>
  <c r="AL58" i="58"/>
  <c r="U58" i="58" s="1"/>
  <c r="Y58" i="58" s="1"/>
  <c r="AL59" i="58"/>
  <c r="U59" i="58" s="1"/>
  <c r="Y59" i="58" s="1"/>
  <c r="AL60" i="58"/>
  <c r="U60" i="58" s="1"/>
  <c r="Y60" i="58" s="1"/>
  <c r="AL61" i="58"/>
  <c r="U61" i="58" s="1"/>
  <c r="Y61" i="58" s="1"/>
  <c r="AL62" i="58"/>
  <c r="U62" i="58" s="1"/>
  <c r="Y62" i="58" s="1"/>
  <c r="AL63" i="58"/>
  <c r="U63" i="58" s="1"/>
  <c r="Y63" i="58" s="1"/>
  <c r="AL64" i="58"/>
  <c r="U64" i="58" s="1"/>
  <c r="Y64" i="58" s="1"/>
  <c r="AL65" i="58"/>
  <c r="U65" i="58" s="1"/>
  <c r="Y65" i="58" s="1"/>
  <c r="AL66" i="58"/>
  <c r="U66" i="58" s="1"/>
  <c r="Y66" i="58" s="1"/>
  <c r="AL67" i="58"/>
  <c r="U67" i="58" s="1"/>
  <c r="Y67" i="58" s="1"/>
  <c r="AL68" i="58"/>
  <c r="U68" i="58" s="1"/>
  <c r="Y68" i="58" s="1"/>
  <c r="AL69" i="58"/>
  <c r="AL70" i="58"/>
  <c r="U70" i="58" s="1"/>
  <c r="Y70" i="58" s="1"/>
  <c r="AL71" i="58"/>
  <c r="U71" i="58" s="1"/>
  <c r="Y71" i="58" s="1"/>
  <c r="AL72" i="58"/>
  <c r="U72" i="58" s="1"/>
  <c r="Y72" i="58" s="1"/>
  <c r="AL73" i="58"/>
  <c r="AL74" i="58"/>
  <c r="U74" i="58" s="1"/>
  <c r="Y74" i="58" s="1"/>
  <c r="AL75" i="58"/>
  <c r="U75" i="58" s="1"/>
  <c r="Y75" i="58" s="1"/>
  <c r="AL76" i="58"/>
  <c r="U76" i="58" s="1"/>
  <c r="Y76" i="58" s="1"/>
  <c r="AL77" i="58"/>
  <c r="U77" i="58" s="1"/>
  <c r="Y77" i="58" s="1"/>
  <c r="AL78" i="58"/>
  <c r="U78" i="58" s="1"/>
  <c r="Y78" i="58" s="1"/>
  <c r="AL79" i="58"/>
  <c r="AL80" i="58"/>
  <c r="U80" i="58" s="1"/>
  <c r="Y80" i="58" s="1"/>
  <c r="AL81" i="58"/>
  <c r="AL82" i="58"/>
  <c r="U82" i="58" s="1"/>
  <c r="Y82" i="58" s="1"/>
  <c r="AL83" i="58"/>
  <c r="AL84" i="58"/>
  <c r="U84" i="58" s="1"/>
  <c r="Y84" i="58" s="1"/>
  <c r="AL85" i="58"/>
  <c r="U85" i="58" s="1"/>
  <c r="Y85" i="58" s="1"/>
  <c r="AL86" i="58"/>
  <c r="U86" i="58" s="1"/>
  <c r="Y86" i="58" s="1"/>
  <c r="AL87" i="58"/>
  <c r="U87" i="58" s="1"/>
  <c r="Y87" i="58" s="1"/>
  <c r="AL88" i="58"/>
  <c r="U88" i="58" s="1"/>
  <c r="Y88" i="58" s="1"/>
  <c r="AL89" i="58"/>
  <c r="U89" i="58" s="1"/>
  <c r="Y89" i="58" s="1"/>
  <c r="AL90" i="58"/>
  <c r="U90" i="58" s="1"/>
  <c r="Y90" i="58" s="1"/>
  <c r="AL91" i="58"/>
  <c r="U91" i="58" s="1"/>
  <c r="Y91" i="58" s="1"/>
  <c r="AL92" i="58"/>
  <c r="U92" i="58" s="1"/>
  <c r="Y92" i="58" s="1"/>
  <c r="AL93" i="58"/>
  <c r="AL94" i="58"/>
  <c r="U94" i="58" s="1"/>
  <c r="Y94" i="58" s="1"/>
  <c r="AL95" i="58"/>
  <c r="U95" i="58" s="1"/>
  <c r="Y95" i="58" s="1"/>
  <c r="AL96" i="58"/>
  <c r="U96" i="58" s="1"/>
  <c r="Y96" i="58" s="1"/>
  <c r="AL97" i="58"/>
  <c r="U97" i="58" s="1"/>
  <c r="Y97" i="58" s="1"/>
  <c r="AL98" i="58"/>
  <c r="U98" i="58" s="1"/>
  <c r="Y98" i="58" s="1"/>
  <c r="AL99" i="58"/>
  <c r="U99" i="58" s="1"/>
  <c r="Y99" i="58" s="1"/>
  <c r="AL100" i="58"/>
  <c r="U100" i="58" s="1"/>
  <c r="Y100" i="58" s="1"/>
  <c r="AL101" i="58"/>
  <c r="U101" i="58" s="1"/>
  <c r="Y101" i="58" s="1"/>
  <c r="AL102" i="58"/>
  <c r="U102" i="58" s="1"/>
  <c r="Y102" i="58" s="1"/>
  <c r="AL103" i="58"/>
  <c r="AL104" i="58"/>
  <c r="U104" i="58" s="1"/>
  <c r="Y104" i="58" s="1"/>
  <c r="AL105" i="58"/>
  <c r="AL106" i="58"/>
  <c r="U106" i="58" s="1"/>
  <c r="Y106" i="58" s="1"/>
  <c r="AL107" i="58"/>
  <c r="AL108" i="58"/>
  <c r="U108" i="58" s="1"/>
  <c r="Y108" i="58" s="1"/>
  <c r="AL109" i="58"/>
  <c r="AL110" i="58"/>
  <c r="U110" i="58" s="1"/>
  <c r="Y110" i="58" s="1"/>
  <c r="AL111" i="58"/>
  <c r="U53" i="58"/>
  <c r="Y53" i="58" s="1"/>
  <c r="U69" i="58"/>
  <c r="Y69" i="58" s="1"/>
  <c r="U73" i="58"/>
  <c r="Y73" i="58" s="1"/>
  <c r="U79" i="58"/>
  <c r="Y79" i="58" s="1"/>
  <c r="U81" i="58"/>
  <c r="Y81" i="58" s="1"/>
  <c r="U83" i="58"/>
  <c r="Y83" i="58" s="1"/>
  <c r="U93" i="58"/>
  <c r="Y93" i="58" s="1"/>
  <c r="U103" i="58"/>
  <c r="Y103" i="58" s="1"/>
  <c r="U105" i="58"/>
  <c r="Y105" i="58" s="1"/>
  <c r="U107" i="58"/>
  <c r="Y107" i="58" s="1"/>
  <c r="U109" i="58"/>
  <c r="Y109" i="58" s="1"/>
  <c r="U111" i="58"/>
  <c r="Y111" i="58" s="1"/>
  <c r="U14" i="58"/>
  <c r="Y14" i="58" s="1"/>
  <c r="BH55" i="57"/>
  <c r="BG55" i="57"/>
  <c r="BI5" i="57" s="1"/>
  <c r="B54" i="57"/>
  <c r="B38" i="57"/>
  <c r="B16" i="57"/>
  <c r="BG43" i="57"/>
  <c r="BH39" i="57"/>
  <c r="BG39" i="57"/>
  <c r="BH17" i="57"/>
  <c r="BH22" i="57"/>
  <c r="BH14" i="57"/>
  <c r="BH13" i="57"/>
  <c r="BG17" i="57"/>
  <c r="AB1" i="57"/>
  <c r="BI4" i="57" l="1"/>
  <c r="S56" i="56"/>
  <c r="T58" i="56"/>
  <c r="S41" i="56"/>
  <c r="S19" i="56"/>
  <c r="T103" i="56"/>
  <c r="T15" i="56"/>
  <c r="T78" i="56"/>
  <c r="R23" i="56"/>
  <c r="T40" i="56"/>
  <c r="R33" i="56"/>
  <c r="S21" i="56"/>
  <c r="S29" i="56"/>
  <c r="S37" i="56"/>
  <c r="S45" i="56"/>
  <c r="S53" i="56"/>
  <c r="S61" i="56"/>
  <c r="S15" i="56"/>
  <c r="S23" i="56"/>
  <c r="S31" i="56"/>
  <c r="S39" i="56"/>
  <c r="S47" i="56"/>
  <c r="S55" i="56"/>
  <c r="S63" i="56"/>
  <c r="S16" i="56"/>
  <c r="S32" i="56"/>
  <c r="S48" i="56"/>
  <c r="S64" i="56"/>
  <c r="S75" i="56"/>
  <c r="S83" i="56"/>
  <c r="S91" i="56"/>
  <c r="S14" i="56"/>
  <c r="S46" i="56"/>
  <c r="S74" i="56"/>
  <c r="S90" i="56"/>
  <c r="T102" i="56"/>
  <c r="T110" i="56"/>
  <c r="S34" i="56"/>
  <c r="S66" i="56"/>
  <c r="S84" i="56"/>
  <c r="T99" i="56"/>
  <c r="T107" i="56"/>
  <c r="R16" i="56"/>
  <c r="R24" i="56"/>
  <c r="R32" i="56"/>
  <c r="R40" i="56"/>
  <c r="R48" i="56"/>
  <c r="R56" i="56"/>
  <c r="R64" i="56"/>
  <c r="T17" i="56"/>
  <c r="T33" i="56"/>
  <c r="T49" i="56"/>
  <c r="T65" i="56"/>
  <c r="R76" i="56"/>
  <c r="R84" i="56"/>
  <c r="R92" i="56"/>
  <c r="R17" i="56"/>
  <c r="R49" i="56"/>
  <c r="T75" i="56"/>
  <c r="T91" i="56"/>
  <c r="S103" i="56"/>
  <c r="S111" i="56"/>
  <c r="R37" i="56"/>
  <c r="T85" i="56"/>
  <c r="S100" i="56"/>
  <c r="S108" i="56"/>
  <c r="T73" i="56"/>
  <c r="R78" i="56"/>
  <c r="T57" i="56"/>
  <c r="S72" i="56"/>
  <c r="S93" i="56"/>
  <c r="T81" i="56"/>
  <c r="Q181" i="58"/>
  <c r="K174" i="58"/>
  <c r="S174" i="58"/>
  <c r="R34" i="56"/>
  <c r="S44" i="56"/>
  <c r="Q183" i="58"/>
  <c r="K176" i="58"/>
  <c r="S176" i="58"/>
  <c r="S92" i="56"/>
  <c r="S87" i="56"/>
  <c r="R50" i="56"/>
  <c r="R91" i="56"/>
  <c r="T27" i="56"/>
  <c r="S27" i="56"/>
  <c r="Q192" i="58"/>
  <c r="Q185" i="58"/>
  <c r="K178" i="58"/>
  <c r="S178" i="58"/>
  <c r="Q173" i="58"/>
  <c r="S110" i="56"/>
  <c r="T89" i="56"/>
  <c r="R45" i="56"/>
  <c r="T79" i="56"/>
  <c r="R25" i="56"/>
  <c r="R86" i="56"/>
  <c r="T69" i="56"/>
  <c r="T37" i="56"/>
  <c r="R66" i="56"/>
  <c r="T48" i="56"/>
  <c r="T26" i="56"/>
  <c r="R103" i="56"/>
  <c r="T59" i="56"/>
  <c r="T18" i="56"/>
  <c r="S102" i="56"/>
  <c r="T95" i="56"/>
  <c r="R94" i="56"/>
  <c r="T21" i="56"/>
  <c r="R18" i="56"/>
  <c r="T112" i="56"/>
  <c r="S52" i="56"/>
  <c r="S17" i="56"/>
  <c r="R112" i="56"/>
  <c r="T92" i="56"/>
  <c r="R19" i="56"/>
  <c r="Q176" i="58"/>
  <c r="S58" i="56"/>
  <c r="S89" i="56"/>
  <c r="T50" i="56"/>
  <c r="S161" i="58"/>
  <c r="K161" i="58"/>
  <c r="S157" i="58"/>
  <c r="K157" i="58"/>
  <c r="S82" i="56"/>
  <c r="T32" i="56"/>
  <c r="K183" i="58"/>
  <c r="S183" i="58"/>
  <c r="Q178" i="58"/>
  <c r="S163" i="58"/>
  <c r="K163" i="58"/>
  <c r="T47" i="56"/>
  <c r="T70" i="56"/>
  <c r="K192" i="58"/>
  <c r="S192" i="58"/>
  <c r="Q187" i="58"/>
  <c r="K185" i="58"/>
  <c r="S185" i="58"/>
  <c r="Q180" i="58"/>
  <c r="K144" i="58"/>
  <c r="K212" i="58"/>
  <c r="K210" i="58"/>
  <c r="T109" i="56"/>
  <c r="S88" i="56"/>
  <c r="S42" i="56"/>
  <c r="T104" i="56"/>
  <c r="S78" i="56"/>
  <c r="S22" i="56"/>
  <c r="S85" i="56"/>
  <c r="S68" i="56"/>
  <c r="S36" i="56"/>
  <c r="S65" i="56"/>
  <c r="S43" i="56"/>
  <c r="R26" i="56"/>
  <c r="T93" i="56"/>
  <c r="R75" i="56"/>
  <c r="R97" i="56"/>
  <c r="T94" i="56"/>
  <c r="R55" i="56"/>
  <c r="R58" i="56"/>
  <c r="K179" i="58"/>
  <c r="S179" i="58"/>
  <c r="T101" i="56"/>
  <c r="S94" i="56"/>
  <c r="S77" i="56"/>
  <c r="T56" i="56"/>
  <c r="K193" i="58"/>
  <c r="S193" i="58"/>
  <c r="Q188" i="58"/>
  <c r="K186" i="58"/>
  <c r="S186" i="58"/>
  <c r="R71" i="56"/>
  <c r="T51" i="56"/>
  <c r="T16" i="56"/>
  <c r="S96" i="56"/>
  <c r="T108" i="56"/>
  <c r="S38" i="56"/>
  <c r="S73" i="56"/>
  <c r="S69" i="56"/>
  <c r="S33" i="56"/>
  <c r="Q190" i="58"/>
  <c r="T111" i="56"/>
  <c r="T106" i="56"/>
  <c r="S71" i="56"/>
  <c r="S67" i="56"/>
  <c r="R20" i="56"/>
  <c r="K190" i="58"/>
  <c r="S190" i="58"/>
  <c r="R111" i="56"/>
  <c r="R106" i="56"/>
  <c r="T86" i="56"/>
  <c r="R39" i="56"/>
  <c r="S49" i="56"/>
  <c r="U160" i="58"/>
  <c r="Y160" i="58" s="1"/>
  <c r="U156" i="58"/>
  <c r="Y156" i="58" s="1"/>
  <c r="S148" i="58"/>
  <c r="K148" i="58"/>
  <c r="R109" i="56"/>
  <c r="R87" i="56"/>
  <c r="T39" i="56"/>
  <c r="R104" i="56"/>
  <c r="R77" i="56"/>
  <c r="T19" i="56"/>
  <c r="T84" i="56"/>
  <c r="R67" i="56"/>
  <c r="R35" i="56"/>
  <c r="T64" i="56"/>
  <c r="T42" i="56"/>
  <c r="S25" i="56"/>
  <c r="S152" i="58"/>
  <c r="K152" i="58"/>
  <c r="Q179" i="58"/>
  <c r="S170" i="58"/>
  <c r="K170" i="58"/>
  <c r="K172" i="58"/>
  <c r="S172" i="58"/>
  <c r="T13" i="56"/>
  <c r="R57" i="56"/>
  <c r="T53" i="56"/>
  <c r="S57" i="56"/>
  <c r="S35" i="56"/>
  <c r="Q174" i="58"/>
  <c r="S54" i="56"/>
  <c r="S20" i="56"/>
  <c r="T34" i="56"/>
  <c r="R101" i="56"/>
  <c r="R93" i="56"/>
  <c r="T76" i="56"/>
  <c r="R51" i="56"/>
  <c r="S51" i="56"/>
  <c r="R105" i="56"/>
  <c r="K188" i="58"/>
  <c r="S188" i="58"/>
  <c r="K181" i="58"/>
  <c r="S181" i="58"/>
  <c r="R13" i="56"/>
  <c r="S86" i="56"/>
  <c r="S50" i="56"/>
  <c r="S30" i="56"/>
  <c r="S40" i="56"/>
  <c r="S159" i="58"/>
  <c r="K159" i="58"/>
  <c r="R81" i="56"/>
  <c r="T66" i="56"/>
  <c r="K137" i="58"/>
  <c r="K113" i="58"/>
  <c r="S150" i="58"/>
  <c r="K150" i="58"/>
  <c r="T105" i="56"/>
  <c r="S80" i="56"/>
  <c r="S26" i="56"/>
  <c r="T100" i="56"/>
  <c r="S70" i="56"/>
  <c r="S97" i="56"/>
  <c r="S81" i="56"/>
  <c r="S60" i="56"/>
  <c r="S28" i="56"/>
  <c r="S59" i="56"/>
  <c r="R42" i="56"/>
  <c r="T24" i="56"/>
  <c r="Q142" i="58"/>
  <c r="K140" i="58"/>
  <c r="K138" i="58"/>
  <c r="K136" i="58"/>
  <c r="K134" i="58"/>
  <c r="K132" i="58"/>
  <c r="K130" i="58"/>
  <c r="K128" i="58"/>
  <c r="K126" i="58"/>
  <c r="K124" i="58"/>
  <c r="K122" i="58"/>
  <c r="K120" i="58"/>
  <c r="K118" i="58"/>
  <c r="K116" i="58"/>
  <c r="K114" i="58"/>
  <c r="K206" i="58"/>
  <c r="K204" i="58"/>
  <c r="K202" i="58"/>
  <c r="K200" i="58"/>
  <c r="K198" i="58"/>
  <c r="K196" i="58"/>
  <c r="K194" i="58"/>
  <c r="K180" i="58"/>
  <c r="S180" i="58"/>
  <c r="K173" i="58"/>
  <c r="S173" i="58"/>
  <c r="K167" i="58"/>
  <c r="K165" i="58"/>
  <c r="K156" i="58"/>
  <c r="K154" i="58"/>
  <c r="K187" i="58"/>
  <c r="S187" i="58"/>
  <c r="U148" i="58"/>
  <c r="Y148" i="58" s="1"/>
  <c r="R107" i="56"/>
  <c r="R99" i="56"/>
  <c r="R83" i="56"/>
  <c r="T63" i="56"/>
  <c r="T31" i="56"/>
  <c r="R110" i="56"/>
  <c r="R102" i="56"/>
  <c r="R89" i="56"/>
  <c r="R73" i="56"/>
  <c r="T43" i="56"/>
  <c r="T98" i="56"/>
  <c r="T90" i="56"/>
  <c r="T82" i="56"/>
  <c r="T74" i="56"/>
  <c r="R63" i="56"/>
  <c r="R47" i="56"/>
  <c r="R31" i="56"/>
  <c r="R15" i="56"/>
  <c r="T62" i="56"/>
  <c r="T54" i="56"/>
  <c r="T46" i="56"/>
  <c r="T38" i="56"/>
  <c r="T30" i="56"/>
  <c r="T22" i="56"/>
  <c r="T14" i="56"/>
  <c r="K142" i="58"/>
  <c r="S142" i="58"/>
  <c r="K189" i="58"/>
  <c r="S189" i="58"/>
  <c r="K182" i="58"/>
  <c r="S182" i="58"/>
  <c r="K175" i="58"/>
  <c r="S175" i="58"/>
  <c r="S106" i="56"/>
  <c r="T97" i="56"/>
  <c r="R61" i="56"/>
  <c r="R29" i="56"/>
  <c r="S109" i="56"/>
  <c r="S101" i="56"/>
  <c r="T87" i="56"/>
  <c r="T71" i="56"/>
  <c r="R41" i="56"/>
  <c r="R98" i="56"/>
  <c r="R90" i="56"/>
  <c r="R82" i="56"/>
  <c r="R74" i="56"/>
  <c r="T61" i="56"/>
  <c r="T45" i="56"/>
  <c r="T29" i="56"/>
  <c r="R70" i="56"/>
  <c r="R62" i="56"/>
  <c r="R54" i="56"/>
  <c r="R46" i="56"/>
  <c r="R38" i="56"/>
  <c r="R30" i="56"/>
  <c r="R22" i="56"/>
  <c r="R14" i="56"/>
  <c r="K191" i="58"/>
  <c r="S191" i="58"/>
  <c r="K184" i="58"/>
  <c r="S184" i="58"/>
  <c r="K177" i="58"/>
  <c r="S177" i="58"/>
  <c r="Q172" i="58"/>
  <c r="K146" i="58"/>
  <c r="S13" i="56"/>
  <c r="R95" i="56"/>
  <c r="R79" i="56"/>
  <c r="T55" i="56"/>
  <c r="T23" i="56"/>
  <c r="R108" i="56"/>
  <c r="R100" i="56"/>
  <c r="R85" i="56"/>
  <c r="T67" i="56"/>
  <c r="T35" i="56"/>
  <c r="T96" i="56"/>
  <c r="T88" i="56"/>
  <c r="T80" i="56"/>
  <c r="T72" i="56"/>
  <c r="R59" i="56"/>
  <c r="R43" i="56"/>
  <c r="R27" i="56"/>
  <c r="T68" i="56"/>
  <c r="T60" i="56"/>
  <c r="T52" i="56"/>
  <c r="T44" i="56"/>
  <c r="T36" i="56"/>
  <c r="T28" i="56"/>
  <c r="T20" i="56"/>
  <c r="S112" i="56"/>
  <c r="S104" i="56"/>
  <c r="T77" i="56"/>
  <c r="R53" i="56"/>
  <c r="R21" i="56"/>
  <c r="S107" i="56"/>
  <c r="S99" i="56"/>
  <c r="T83" i="56"/>
  <c r="R65" i="56"/>
  <c r="R96" i="56"/>
  <c r="R88" i="56"/>
  <c r="R80" i="56"/>
  <c r="R72" i="56"/>
  <c r="T41" i="56"/>
  <c r="T25" i="56"/>
  <c r="R68" i="56"/>
  <c r="R60" i="56"/>
  <c r="R52" i="56"/>
  <c r="R44" i="56"/>
  <c r="R36" i="56"/>
  <c r="R28" i="56"/>
  <c r="U13" i="58"/>
  <c r="Q140" i="58"/>
  <c r="Q138" i="58"/>
  <c r="Q136" i="58"/>
  <c r="Q134" i="58"/>
  <c r="Q132" i="58"/>
  <c r="Q130" i="58"/>
  <c r="Q128" i="58"/>
  <c r="Q126" i="58"/>
  <c r="Q124" i="58"/>
  <c r="Q122" i="58"/>
  <c r="Q120" i="58"/>
  <c r="Q118" i="58"/>
  <c r="Q116" i="58"/>
  <c r="Q114" i="58"/>
  <c r="Q206" i="58"/>
  <c r="Q205" i="58"/>
  <c r="Q204" i="58"/>
  <c r="Q203" i="58"/>
  <c r="Q202" i="58"/>
  <c r="Q201" i="58"/>
  <c r="Q200" i="58"/>
  <c r="Q199" i="58"/>
  <c r="Q198" i="58"/>
  <c r="Q197" i="58"/>
  <c r="Q196" i="58"/>
  <c r="Q195" i="58"/>
  <c r="Q194" i="58"/>
  <c r="Q170" i="58"/>
  <c r="Q168" i="58"/>
  <c r="Q166" i="58"/>
  <c r="Q164" i="58"/>
  <c r="Q162" i="58"/>
  <c r="Q160" i="58"/>
  <c r="Q158" i="58"/>
  <c r="Q156" i="58"/>
  <c r="Q154" i="58"/>
  <c r="Q152" i="58"/>
  <c r="Q150" i="58"/>
  <c r="Q148" i="58"/>
  <c r="Q146" i="58"/>
  <c r="Q144" i="58"/>
  <c r="Q212" i="58"/>
  <c r="Q211" i="58"/>
  <c r="Q210" i="58"/>
  <c r="Q209" i="58"/>
  <c r="Q208" i="58"/>
  <c r="Q207" i="58"/>
  <c r="U212" i="58"/>
  <c r="Y212" i="58" s="1"/>
  <c r="U211" i="58"/>
  <c r="Y211" i="58" s="1"/>
  <c r="U210" i="58"/>
  <c r="Y210" i="58" s="1"/>
  <c r="U209" i="58"/>
  <c r="Y209" i="58" s="1"/>
  <c r="U208" i="58"/>
  <c r="Y208" i="58" s="1"/>
  <c r="U207" i="58"/>
  <c r="Y207" i="58" s="1"/>
  <c r="U206" i="58"/>
  <c r="Y206" i="58" s="1"/>
  <c r="U203" i="58"/>
  <c r="Y203" i="58" s="1"/>
  <c r="U202" i="58"/>
  <c r="Y202" i="58" s="1"/>
  <c r="U205" i="58"/>
  <c r="Y205" i="58" s="1"/>
  <c r="U204" i="58"/>
  <c r="Y204" i="58" s="1"/>
  <c r="U201" i="58"/>
  <c r="Y201" i="58" s="1"/>
  <c r="U200" i="58"/>
  <c r="Y200" i="58" s="1"/>
  <c r="U199" i="58"/>
  <c r="Y199" i="58" s="1"/>
  <c r="U198" i="58"/>
  <c r="Y198" i="58" s="1"/>
  <c r="U197" i="58"/>
  <c r="Y197" i="58" s="1"/>
  <c r="U196" i="58"/>
  <c r="Y196" i="58" s="1"/>
  <c r="U195" i="58"/>
  <c r="Y195" i="58" s="1"/>
  <c r="U194" i="58"/>
  <c r="Y194" i="58" s="1"/>
  <c r="U193" i="58"/>
  <c r="Y193" i="58" s="1"/>
  <c r="Q193" i="58"/>
  <c r="U170" i="58"/>
  <c r="Y170" i="58" s="1"/>
  <c r="U166" i="58"/>
  <c r="Y166" i="58" s="1"/>
  <c r="U162" i="58"/>
  <c r="Y162" i="58" s="1"/>
  <c r="U158" i="58"/>
  <c r="Y158" i="58" s="1"/>
  <c r="U154" i="58"/>
  <c r="Y154" i="58" s="1"/>
  <c r="U150" i="58"/>
  <c r="Y150" i="58" s="1"/>
  <c r="U146" i="58"/>
  <c r="Y146" i="58" s="1"/>
  <c r="U192" i="58"/>
  <c r="Y192" i="58" s="1"/>
  <c r="U191" i="58"/>
  <c r="Y191" i="58" s="1"/>
  <c r="U190" i="58"/>
  <c r="Y190" i="58" s="1"/>
  <c r="U189" i="58"/>
  <c r="Y189" i="58" s="1"/>
  <c r="U188" i="58"/>
  <c r="Y188" i="58" s="1"/>
  <c r="U187" i="58"/>
  <c r="Y187" i="58" s="1"/>
  <c r="U186" i="58"/>
  <c r="Y186" i="58" s="1"/>
  <c r="U185" i="58"/>
  <c r="Y185" i="58" s="1"/>
  <c r="U184" i="58"/>
  <c r="Y184" i="58" s="1"/>
  <c r="U183" i="58"/>
  <c r="Y183" i="58" s="1"/>
  <c r="U182" i="58"/>
  <c r="Y182" i="58" s="1"/>
  <c r="U181" i="58"/>
  <c r="Y181" i="58" s="1"/>
  <c r="U180" i="58"/>
  <c r="Y180" i="58" s="1"/>
  <c r="U179" i="58"/>
  <c r="Y179" i="58" s="1"/>
  <c r="U178" i="58"/>
  <c r="Y178" i="58" s="1"/>
  <c r="U177" i="58"/>
  <c r="Y177" i="58" s="1"/>
  <c r="U176" i="58"/>
  <c r="Y176" i="58" s="1"/>
  <c r="U175" i="58"/>
  <c r="Y175" i="58" s="1"/>
  <c r="U174" i="58"/>
  <c r="Y174" i="58" s="1"/>
  <c r="U173" i="58"/>
  <c r="Y173" i="58" s="1"/>
  <c r="U172" i="58"/>
  <c r="Y172" i="58" s="1"/>
  <c r="Q171" i="58"/>
  <c r="U171" i="58"/>
  <c r="Y171" i="58" s="1"/>
  <c r="Q169" i="58"/>
  <c r="U169" i="58"/>
  <c r="Y169" i="58" s="1"/>
  <c r="Q167" i="58"/>
  <c r="U167" i="58"/>
  <c r="Y167" i="58" s="1"/>
  <c r="Q165" i="58"/>
  <c r="U165" i="58"/>
  <c r="Y165" i="58" s="1"/>
  <c r="Q163" i="58"/>
  <c r="U163" i="58"/>
  <c r="Y163" i="58" s="1"/>
  <c r="Q161" i="58"/>
  <c r="U161" i="58"/>
  <c r="Y161" i="58" s="1"/>
  <c r="Q159" i="58"/>
  <c r="U159" i="58"/>
  <c r="Y159" i="58" s="1"/>
  <c r="Q157" i="58"/>
  <c r="U157" i="58"/>
  <c r="Y157" i="58" s="1"/>
  <c r="Q155" i="58"/>
  <c r="U155" i="58"/>
  <c r="Y155" i="58" s="1"/>
  <c r="Q153" i="58"/>
  <c r="U153" i="58"/>
  <c r="Y153" i="58" s="1"/>
  <c r="Q151" i="58"/>
  <c r="U151" i="58"/>
  <c r="Y151" i="58" s="1"/>
  <c r="Q149" i="58"/>
  <c r="U149" i="58"/>
  <c r="Y149" i="58" s="1"/>
  <c r="Q147" i="58"/>
  <c r="U147" i="58"/>
  <c r="Y147" i="58" s="1"/>
  <c r="Q145" i="58"/>
  <c r="U145" i="58"/>
  <c r="Y145" i="58" s="1"/>
  <c r="Q143" i="58"/>
  <c r="U143" i="58"/>
  <c r="Y143" i="58" s="1"/>
  <c r="U140" i="58"/>
  <c r="Y140" i="58" s="1"/>
  <c r="U138" i="58"/>
  <c r="Y138" i="58" s="1"/>
  <c r="U136" i="58"/>
  <c r="Y136" i="58" s="1"/>
  <c r="U134" i="58"/>
  <c r="Y134" i="58" s="1"/>
  <c r="U132" i="58"/>
  <c r="Y132" i="58" s="1"/>
  <c r="U130" i="58"/>
  <c r="Y130" i="58" s="1"/>
  <c r="U128" i="58"/>
  <c r="Y128" i="58" s="1"/>
  <c r="U126" i="58"/>
  <c r="Y126" i="58" s="1"/>
  <c r="U124" i="58"/>
  <c r="Y124" i="58" s="1"/>
  <c r="U122" i="58"/>
  <c r="Y122" i="58" s="1"/>
  <c r="U120" i="58"/>
  <c r="Y120" i="58" s="1"/>
  <c r="U118" i="58"/>
  <c r="Y118" i="58" s="1"/>
  <c r="U116" i="58"/>
  <c r="Y116" i="58" s="1"/>
  <c r="U114" i="58"/>
  <c r="Y114" i="58" s="1"/>
  <c r="U142" i="58"/>
  <c r="Y142" i="58" s="1"/>
  <c r="Q141" i="58"/>
  <c r="U141" i="58"/>
  <c r="Y141" i="58" s="1"/>
  <c r="Q139" i="58"/>
  <c r="U139" i="58"/>
  <c r="Y139" i="58" s="1"/>
  <c r="Q137" i="58"/>
  <c r="U137" i="58"/>
  <c r="Y137" i="58" s="1"/>
  <c r="Q135" i="58"/>
  <c r="U135" i="58"/>
  <c r="Y135" i="58" s="1"/>
  <c r="Q133" i="58"/>
  <c r="U133" i="58"/>
  <c r="Y133" i="58" s="1"/>
  <c r="Q131" i="58"/>
  <c r="U131" i="58"/>
  <c r="Y131" i="58" s="1"/>
  <c r="Q129" i="58"/>
  <c r="U129" i="58"/>
  <c r="Y129" i="58" s="1"/>
  <c r="Q127" i="58"/>
  <c r="U127" i="58"/>
  <c r="Y127" i="58" s="1"/>
  <c r="Q125" i="58"/>
  <c r="U125" i="58"/>
  <c r="Y125" i="58" s="1"/>
  <c r="Q123" i="58"/>
  <c r="U123" i="58"/>
  <c r="Y123" i="58" s="1"/>
  <c r="Q121" i="58"/>
  <c r="U121" i="58"/>
  <c r="Y121" i="58" s="1"/>
  <c r="Q119" i="58"/>
  <c r="U119" i="58"/>
  <c r="Y119" i="58" s="1"/>
  <c r="Q117" i="58"/>
  <c r="U117" i="58"/>
  <c r="Y117" i="58" s="1"/>
  <c r="Q115" i="58"/>
  <c r="U115" i="58"/>
  <c r="Y115" i="58" s="1"/>
  <c r="Q113" i="58"/>
  <c r="U113" i="58"/>
  <c r="Y113" i="58" s="1"/>
  <c r="BJ3" i="57"/>
  <c r="AC74" i="41"/>
  <c r="Q74" i="41" s="1"/>
  <c r="AC73" i="41"/>
  <c r="Q73" i="41" s="1"/>
  <c r="AC72" i="41"/>
  <c r="Q72" i="41" s="1"/>
  <c r="AC71" i="41"/>
  <c r="Q71" i="41" s="1"/>
  <c r="AC70" i="41"/>
  <c r="Q70" i="41" s="1"/>
  <c r="AC69" i="41"/>
  <c r="Q69" i="41" s="1"/>
  <c r="AC68" i="41"/>
  <c r="AC67" i="41"/>
  <c r="Q67" i="41" s="1"/>
  <c r="AC66" i="41"/>
  <c r="AC65" i="41"/>
  <c r="Q65" i="41" s="1"/>
  <c r="AC64" i="41"/>
  <c r="AC63" i="41"/>
  <c r="Q63" i="41" s="1"/>
  <c r="AC62" i="41"/>
  <c r="AC61" i="41"/>
  <c r="Q61" i="41" s="1"/>
  <c r="AC60" i="41"/>
  <c r="AC59" i="41"/>
  <c r="Q59" i="41" s="1"/>
  <c r="AC58" i="41"/>
  <c r="AC57" i="41"/>
  <c r="Q57" i="41" s="1"/>
  <c r="AC56" i="41"/>
  <c r="AC55" i="41"/>
  <c r="Q55" i="41" s="1"/>
  <c r="AC54" i="41"/>
  <c r="Q54" i="41" s="1"/>
  <c r="AC53" i="41"/>
  <c r="Q53" i="41" s="1"/>
  <c r="AC52" i="41"/>
  <c r="Q52" i="41" s="1"/>
  <c r="AC51" i="41"/>
  <c r="Q51" i="41" s="1"/>
  <c r="AC50" i="41"/>
  <c r="Q50" i="41" s="1"/>
  <c r="AC49" i="41"/>
  <c r="Q49" i="41" s="1"/>
  <c r="AC48" i="41"/>
  <c r="Q48" i="41" s="1"/>
  <c r="AC47" i="41"/>
  <c r="Q47" i="41" s="1"/>
  <c r="AC46" i="41"/>
  <c r="Q46" i="41" s="1"/>
  <c r="AC45" i="41"/>
  <c r="Q45" i="41" s="1"/>
  <c r="AC44" i="41"/>
  <c r="AC43" i="41"/>
  <c r="Q43" i="41" s="1"/>
  <c r="AC42" i="41"/>
  <c r="Q42" i="41" s="1"/>
  <c r="AC41" i="41"/>
  <c r="Q41" i="41" s="1"/>
  <c r="AC40" i="41"/>
  <c r="Q40" i="41" s="1"/>
  <c r="AC39" i="41"/>
  <c r="Q39" i="41" s="1"/>
  <c r="AC38" i="41"/>
  <c r="AC37" i="41"/>
  <c r="Q37" i="41" s="1"/>
  <c r="AC36" i="41"/>
  <c r="AC35" i="41"/>
  <c r="Q35" i="41" s="1"/>
  <c r="AC34" i="41"/>
  <c r="AC33" i="41"/>
  <c r="Q33" i="41" s="1"/>
  <c r="AC32" i="41"/>
  <c r="AC31" i="41"/>
  <c r="AC30" i="41"/>
  <c r="Q30" i="41" s="1"/>
  <c r="Q68" i="41"/>
  <c r="Q66" i="41"/>
  <c r="Q64" i="41"/>
  <c r="Q62" i="41"/>
  <c r="Q60" i="41"/>
  <c r="Q58" i="41"/>
  <c r="Q56" i="41"/>
  <c r="Q44" i="41"/>
  <c r="Q38" i="41"/>
  <c r="Q36" i="41"/>
  <c r="Q34" i="41"/>
  <c r="Q32" i="41"/>
  <c r="Q31" i="41"/>
  <c r="K28" i="41"/>
  <c r="Q28" i="41" s="1"/>
  <c r="AC30" i="40"/>
  <c r="Q30" i="40" s="1"/>
  <c r="AC74" i="40"/>
  <c r="Q74" i="40" s="1"/>
  <c r="AC73" i="40"/>
  <c r="Q73" i="40" s="1"/>
  <c r="AC72" i="40"/>
  <c r="Q72" i="40" s="1"/>
  <c r="AC71" i="40"/>
  <c r="Q71" i="40" s="1"/>
  <c r="AC70" i="40"/>
  <c r="Q70" i="40" s="1"/>
  <c r="AC69" i="40"/>
  <c r="Q69" i="40" s="1"/>
  <c r="AC68" i="40"/>
  <c r="AC67" i="40"/>
  <c r="Q67" i="40" s="1"/>
  <c r="AC66" i="40"/>
  <c r="AC65" i="40"/>
  <c r="Q65" i="40" s="1"/>
  <c r="AC64" i="40"/>
  <c r="AC63" i="40"/>
  <c r="Q63" i="40" s="1"/>
  <c r="AC62" i="40"/>
  <c r="AC61" i="40"/>
  <c r="Q61" i="40" s="1"/>
  <c r="AC60" i="40"/>
  <c r="AC59" i="40"/>
  <c r="Q59" i="40" s="1"/>
  <c r="AC58" i="40"/>
  <c r="Q58" i="40" s="1"/>
  <c r="AC57" i="40"/>
  <c r="Q57" i="40" s="1"/>
  <c r="AC56" i="40"/>
  <c r="AC55" i="40"/>
  <c r="Q55" i="40" s="1"/>
  <c r="AC54" i="40"/>
  <c r="AC53" i="40"/>
  <c r="Q53" i="40" s="1"/>
  <c r="AC52" i="40"/>
  <c r="Q52" i="40" s="1"/>
  <c r="AC51" i="40"/>
  <c r="Q51" i="40" s="1"/>
  <c r="AC50" i="40"/>
  <c r="Q50" i="40" s="1"/>
  <c r="AC49" i="40"/>
  <c r="Q49" i="40" s="1"/>
  <c r="AC48" i="40"/>
  <c r="Q48" i="40" s="1"/>
  <c r="AC47" i="40"/>
  <c r="Q47" i="40" s="1"/>
  <c r="AC46" i="40"/>
  <c r="Q46" i="40" s="1"/>
  <c r="AC45" i="40"/>
  <c r="Q45" i="40" s="1"/>
  <c r="AC44" i="40"/>
  <c r="Q44" i="40" s="1"/>
  <c r="AC43" i="40"/>
  <c r="Q43" i="40" s="1"/>
  <c r="AC42" i="40"/>
  <c r="Q42" i="40" s="1"/>
  <c r="AC41" i="40"/>
  <c r="Q41" i="40" s="1"/>
  <c r="AC40" i="40"/>
  <c r="AC39" i="40"/>
  <c r="Q39" i="40" s="1"/>
  <c r="AC38" i="40"/>
  <c r="AC37" i="40"/>
  <c r="Q37" i="40" s="1"/>
  <c r="AC36" i="40"/>
  <c r="AC35" i="40"/>
  <c r="Q35" i="40" s="1"/>
  <c r="AC34" i="40"/>
  <c r="AC33" i="40"/>
  <c r="Q33" i="40" s="1"/>
  <c r="AC32" i="40"/>
  <c r="Q32" i="40" s="1"/>
  <c r="AC31" i="40"/>
  <c r="Q31" i="40" s="1"/>
  <c r="Q68" i="40"/>
  <c r="Q66" i="40"/>
  <c r="Q64" i="40"/>
  <c r="Q62" i="40"/>
  <c r="Q60" i="40"/>
  <c r="Q56" i="40"/>
  <c r="Q54" i="40"/>
  <c r="Q40" i="40"/>
  <c r="Q38" i="40"/>
  <c r="Q36" i="40"/>
  <c r="Q34" i="40"/>
  <c r="K28" i="40"/>
  <c r="Q28" i="40" s="1"/>
  <c r="AC31" i="38"/>
  <c r="Q31" i="38" s="1"/>
  <c r="AC32" i="38"/>
  <c r="AC33" i="38"/>
  <c r="AC34" i="38"/>
  <c r="AC35" i="38"/>
  <c r="AC36" i="38"/>
  <c r="AC37" i="38"/>
  <c r="AC38" i="38"/>
  <c r="AC39" i="38"/>
  <c r="AC40" i="38"/>
  <c r="AC41" i="38"/>
  <c r="AC42" i="38"/>
  <c r="AC43" i="38"/>
  <c r="AC44" i="38"/>
  <c r="AC45" i="38"/>
  <c r="AC46" i="38"/>
  <c r="AC47" i="38"/>
  <c r="AC48" i="38"/>
  <c r="AC49" i="38"/>
  <c r="AC50" i="38"/>
  <c r="AC51" i="38"/>
  <c r="AC52" i="38"/>
  <c r="AC53" i="38"/>
  <c r="AC54" i="38"/>
  <c r="AC55" i="38"/>
  <c r="AC56" i="38"/>
  <c r="AC57" i="38"/>
  <c r="AC58" i="38"/>
  <c r="AC59" i="38"/>
  <c r="AC60" i="38"/>
  <c r="AC61" i="38"/>
  <c r="AC62" i="38"/>
  <c r="AC63" i="38"/>
  <c r="AC64" i="38"/>
  <c r="AC65" i="38"/>
  <c r="AC66" i="38"/>
  <c r="AC67" i="38"/>
  <c r="AC68" i="38"/>
  <c r="AC69" i="38"/>
  <c r="AC70" i="38"/>
  <c r="AC71" i="38"/>
  <c r="AC72" i="38"/>
  <c r="AC73" i="38"/>
  <c r="AC74" i="38"/>
  <c r="AC30" i="38"/>
  <c r="Q30" i="38"/>
  <c r="K28" i="38"/>
  <c r="Q28" i="38" s="1"/>
  <c r="AC30" i="37"/>
  <c r="Q30" i="37" s="1"/>
  <c r="AC74" i="37"/>
  <c r="Q74" i="37" s="1"/>
  <c r="AC73" i="37"/>
  <c r="Q73" i="37" s="1"/>
  <c r="AC72" i="37"/>
  <c r="Q72" i="37" s="1"/>
  <c r="AC71" i="37"/>
  <c r="Q71" i="37" s="1"/>
  <c r="AC70" i="37"/>
  <c r="AC69" i="37"/>
  <c r="Q69" i="37" s="1"/>
  <c r="AC68" i="37"/>
  <c r="AC67" i="37"/>
  <c r="Q67" i="37" s="1"/>
  <c r="AC66" i="37"/>
  <c r="Q66" i="37" s="1"/>
  <c r="AC65" i="37"/>
  <c r="Q65" i="37" s="1"/>
  <c r="AC64" i="37"/>
  <c r="AC63" i="37"/>
  <c r="Q63" i="37" s="1"/>
  <c r="AC62" i="37"/>
  <c r="AC61" i="37"/>
  <c r="Q61" i="37" s="1"/>
  <c r="AC60" i="37"/>
  <c r="AC59" i="37"/>
  <c r="Q59" i="37" s="1"/>
  <c r="AC58" i="37"/>
  <c r="Q58" i="37" s="1"/>
  <c r="AC57" i="37"/>
  <c r="Q57" i="37" s="1"/>
  <c r="AC56" i="37"/>
  <c r="Q56" i="37" s="1"/>
  <c r="AC55" i="37"/>
  <c r="Q55" i="37" s="1"/>
  <c r="AC54" i="37"/>
  <c r="Q54" i="37" s="1"/>
  <c r="AC53" i="37"/>
  <c r="Q53" i="37" s="1"/>
  <c r="AC52" i="37"/>
  <c r="Q52" i="37" s="1"/>
  <c r="AC51" i="37"/>
  <c r="Q51" i="37" s="1"/>
  <c r="AC50" i="37"/>
  <c r="Q50" i="37" s="1"/>
  <c r="AC49" i="37"/>
  <c r="Q49" i="37" s="1"/>
  <c r="AC48" i="37"/>
  <c r="Q48" i="37" s="1"/>
  <c r="AC47" i="37"/>
  <c r="Q47" i="37" s="1"/>
  <c r="AC46" i="37"/>
  <c r="AC45" i="37"/>
  <c r="Q45" i="37" s="1"/>
  <c r="AC44" i="37"/>
  <c r="Q44" i="37" s="1"/>
  <c r="AC43" i="37"/>
  <c r="Q43" i="37" s="1"/>
  <c r="AC42" i="37"/>
  <c r="Q42" i="37" s="1"/>
  <c r="AC41" i="37"/>
  <c r="Q41" i="37" s="1"/>
  <c r="AC40" i="37"/>
  <c r="AC39" i="37"/>
  <c r="Q39" i="37" s="1"/>
  <c r="AC38" i="37"/>
  <c r="AC37" i="37"/>
  <c r="Q37" i="37" s="1"/>
  <c r="AC36" i="37"/>
  <c r="AC35" i="37"/>
  <c r="Q35" i="37" s="1"/>
  <c r="AC34" i="37"/>
  <c r="Q34" i="37" s="1"/>
  <c r="AC33" i="37"/>
  <c r="Q33" i="37" s="1"/>
  <c r="AC32" i="37"/>
  <c r="Q32" i="37" s="1"/>
  <c r="AC31" i="37"/>
  <c r="Q31" i="37" s="1"/>
  <c r="Q70" i="37"/>
  <c r="Q68" i="37"/>
  <c r="Q64" i="37"/>
  <c r="Q62" i="37"/>
  <c r="Q60" i="37"/>
  <c r="Q46" i="37"/>
  <c r="Q40" i="37"/>
  <c r="Q38" i="37"/>
  <c r="Q36" i="37"/>
  <c r="K28" i="37"/>
  <c r="Q28" i="37" s="1"/>
  <c r="AC30" i="36"/>
  <c r="Q30" i="36" s="1"/>
  <c r="AC74" i="36"/>
  <c r="Q74" i="36" s="1"/>
  <c r="AC73" i="36"/>
  <c r="Q73" i="36" s="1"/>
  <c r="AC72" i="36"/>
  <c r="Q72" i="36" s="1"/>
  <c r="AC71" i="36"/>
  <c r="Q71" i="36" s="1"/>
  <c r="AC70" i="36"/>
  <c r="Q70" i="36" s="1"/>
  <c r="AC69" i="36"/>
  <c r="Q69" i="36" s="1"/>
  <c r="AC68" i="36"/>
  <c r="Q68" i="36" s="1"/>
  <c r="AC67" i="36"/>
  <c r="AC66" i="36"/>
  <c r="AC65" i="36"/>
  <c r="AC64" i="36"/>
  <c r="AC63" i="36"/>
  <c r="Q63" i="36" s="1"/>
  <c r="AC62" i="36"/>
  <c r="Q62" i="36" s="1"/>
  <c r="AC61" i="36"/>
  <c r="Q61" i="36" s="1"/>
  <c r="AC60" i="36"/>
  <c r="Q60" i="36" s="1"/>
  <c r="AC59" i="36"/>
  <c r="Q59" i="36" s="1"/>
  <c r="AC58" i="36"/>
  <c r="Q58" i="36" s="1"/>
  <c r="AC57" i="36"/>
  <c r="Q57" i="36" s="1"/>
  <c r="AC56" i="36"/>
  <c r="Q56" i="36" s="1"/>
  <c r="AC55" i="36"/>
  <c r="AC54" i="36"/>
  <c r="AC53" i="36"/>
  <c r="AC52" i="36"/>
  <c r="AC51" i="36"/>
  <c r="Q51" i="36" s="1"/>
  <c r="AC50" i="36"/>
  <c r="Q50" i="36" s="1"/>
  <c r="AC49" i="36"/>
  <c r="Q49" i="36" s="1"/>
  <c r="AC48" i="36"/>
  <c r="Q48" i="36" s="1"/>
  <c r="AC47" i="36"/>
  <c r="Q47" i="36" s="1"/>
  <c r="AC46" i="36"/>
  <c r="Q46" i="36" s="1"/>
  <c r="AC45" i="36"/>
  <c r="Q45" i="36" s="1"/>
  <c r="AC44" i="36"/>
  <c r="Q44" i="36" s="1"/>
  <c r="AC43" i="36"/>
  <c r="AC42" i="36"/>
  <c r="AC41" i="36"/>
  <c r="AC40" i="36"/>
  <c r="AC39" i="36"/>
  <c r="Q39" i="36" s="1"/>
  <c r="AC38" i="36"/>
  <c r="Q38" i="36" s="1"/>
  <c r="AC37" i="36"/>
  <c r="Q37" i="36" s="1"/>
  <c r="AC36" i="36"/>
  <c r="Q36" i="36" s="1"/>
  <c r="AC35" i="36"/>
  <c r="Q35" i="36" s="1"/>
  <c r="AC34" i="36"/>
  <c r="Q34" i="36" s="1"/>
  <c r="AC33" i="36"/>
  <c r="Q33" i="36" s="1"/>
  <c r="AC32" i="36"/>
  <c r="Q32" i="36" s="1"/>
  <c r="AC31" i="36"/>
  <c r="Q67" i="36"/>
  <c r="Q66" i="36"/>
  <c r="Q65" i="36"/>
  <c r="Q64" i="36"/>
  <c r="Q55" i="36"/>
  <c r="Q54" i="36"/>
  <c r="Q53" i="36"/>
  <c r="Q52" i="36"/>
  <c r="Q43" i="36"/>
  <c r="Q42" i="36"/>
  <c r="Q41" i="36"/>
  <c r="Q40" i="36"/>
  <c r="Q31" i="36"/>
  <c r="K28" i="36"/>
  <c r="Q28" i="36" s="1"/>
  <c r="I2" i="6"/>
  <c r="I3" i="6"/>
  <c r="B3" i="50"/>
  <c r="AC31" i="4"/>
  <c r="Q31" i="4" s="1"/>
  <c r="AD31" i="4"/>
  <c r="AC32" i="4"/>
  <c r="Q32" i="4" s="1"/>
  <c r="AD32" i="4"/>
  <c r="AC33" i="4"/>
  <c r="Q33" i="4" s="1"/>
  <c r="AD33" i="4"/>
  <c r="AC34" i="4"/>
  <c r="Q34" i="4" s="1"/>
  <c r="AD34" i="4"/>
  <c r="AC35" i="4"/>
  <c r="Q35" i="4" s="1"/>
  <c r="AD35" i="4"/>
  <c r="AC36" i="4"/>
  <c r="Q36" i="4" s="1"/>
  <c r="AD36" i="4"/>
  <c r="AC37" i="4"/>
  <c r="Q37" i="4" s="1"/>
  <c r="AD37" i="4"/>
  <c r="AC38" i="4"/>
  <c r="Q38" i="4" s="1"/>
  <c r="AD38" i="4"/>
  <c r="AC39" i="4"/>
  <c r="Q39" i="4" s="1"/>
  <c r="AD39" i="4"/>
  <c r="AC40" i="4"/>
  <c r="Q40" i="4" s="1"/>
  <c r="AD40" i="4"/>
  <c r="AC41" i="4"/>
  <c r="Q41" i="4" s="1"/>
  <c r="AD41" i="4"/>
  <c r="AC42" i="4"/>
  <c r="Q42" i="4" s="1"/>
  <c r="AD42" i="4"/>
  <c r="AC43" i="4"/>
  <c r="Q43" i="4" s="1"/>
  <c r="AD43" i="4"/>
  <c r="AC44" i="4"/>
  <c r="Q44" i="4" s="1"/>
  <c r="AD44" i="4"/>
  <c r="AC45" i="4"/>
  <c r="Q45" i="4" s="1"/>
  <c r="AD45" i="4"/>
  <c r="AC46" i="4"/>
  <c r="Q46" i="4" s="1"/>
  <c r="AD46" i="4"/>
  <c r="AC47" i="4"/>
  <c r="Q47" i="4" s="1"/>
  <c r="AD47" i="4"/>
  <c r="AC48" i="4"/>
  <c r="Q48" i="4" s="1"/>
  <c r="AD48" i="4"/>
  <c r="AC49" i="4"/>
  <c r="Q49" i="4" s="1"/>
  <c r="AD49" i="4"/>
  <c r="AC50" i="4"/>
  <c r="Q50" i="4" s="1"/>
  <c r="AD50" i="4"/>
  <c r="AC51" i="4"/>
  <c r="Q51" i="4" s="1"/>
  <c r="AD51" i="4"/>
  <c r="AC52" i="4"/>
  <c r="Q52" i="4" s="1"/>
  <c r="AD52" i="4"/>
  <c r="AC53" i="4"/>
  <c r="Q53" i="4" s="1"/>
  <c r="AD53" i="4"/>
  <c r="AC54" i="4"/>
  <c r="Q54" i="4" s="1"/>
  <c r="AD54" i="4"/>
  <c r="AC55" i="4"/>
  <c r="Q55" i="4" s="1"/>
  <c r="AD55" i="4"/>
  <c r="AC56" i="4"/>
  <c r="Q56" i="4" s="1"/>
  <c r="AD56" i="4"/>
  <c r="AC57" i="4"/>
  <c r="Q57" i="4" s="1"/>
  <c r="AD57" i="4"/>
  <c r="AC58" i="4"/>
  <c r="Q58" i="4" s="1"/>
  <c r="AD58" i="4"/>
  <c r="AC59" i="4"/>
  <c r="Q59" i="4" s="1"/>
  <c r="AD59" i="4"/>
  <c r="AC60" i="4"/>
  <c r="Q60" i="4" s="1"/>
  <c r="AD60" i="4"/>
  <c r="AC61" i="4"/>
  <c r="Q61" i="4" s="1"/>
  <c r="AD61" i="4"/>
  <c r="AC62" i="4"/>
  <c r="Q62" i="4" s="1"/>
  <c r="AD62" i="4"/>
  <c r="AC63" i="4"/>
  <c r="Q63" i="4" s="1"/>
  <c r="AD63" i="4"/>
  <c r="AC64" i="4"/>
  <c r="Q64" i="4" s="1"/>
  <c r="AD64" i="4"/>
  <c r="AC65" i="4"/>
  <c r="Q65" i="4" s="1"/>
  <c r="AD65" i="4"/>
  <c r="AC66" i="4"/>
  <c r="Q66" i="4" s="1"/>
  <c r="AD66" i="4"/>
  <c r="AC67" i="4"/>
  <c r="Q67" i="4" s="1"/>
  <c r="AD67" i="4"/>
  <c r="AC68" i="4"/>
  <c r="Q68" i="4" s="1"/>
  <c r="AD68" i="4"/>
  <c r="AC69" i="4"/>
  <c r="Q69" i="4" s="1"/>
  <c r="AD69" i="4"/>
  <c r="AC70" i="4"/>
  <c r="Q70" i="4" s="1"/>
  <c r="AD70" i="4"/>
  <c r="AC71" i="4"/>
  <c r="Q71" i="4" s="1"/>
  <c r="AD71" i="4"/>
  <c r="AC72" i="4"/>
  <c r="Q72" i="4" s="1"/>
  <c r="AD72" i="4"/>
  <c r="AC73" i="4"/>
  <c r="Q73" i="4" s="1"/>
  <c r="AD73" i="4"/>
  <c r="AC74" i="4"/>
  <c r="Q74" i="4" s="1"/>
  <c r="AD74" i="4"/>
  <c r="AD30" i="4"/>
  <c r="AC30" i="4"/>
  <c r="Q30" i="4" s="1"/>
  <c r="K28" i="4"/>
  <c r="Q28" i="4" s="1"/>
  <c r="N1" i="41"/>
  <c r="N1" i="40"/>
  <c r="N1" i="38"/>
  <c r="N1" i="37"/>
  <c r="R1" i="58"/>
  <c r="A11" i="58" s="1"/>
  <c r="N1" i="36"/>
  <c r="H1" i="53"/>
  <c r="D39" i="5"/>
  <c r="D38" i="5"/>
  <c r="D37" i="5"/>
  <c r="D36" i="5"/>
  <c r="D33" i="5"/>
  <c r="D32" i="5"/>
  <c r="D31" i="5"/>
  <c r="D30" i="5"/>
  <c r="R30" i="36" l="1"/>
  <c r="X59" i="58"/>
  <c r="V166" i="58"/>
  <c r="X195" i="58"/>
  <c r="V118" i="58"/>
  <c r="X92" i="58"/>
  <c r="X204" i="58"/>
  <c r="W123" i="58"/>
  <c r="X144" i="58"/>
  <c r="V185" i="58"/>
  <c r="W206" i="58"/>
  <c r="W107" i="58"/>
  <c r="X30" i="58"/>
  <c r="V168" i="58"/>
  <c r="V194" i="58"/>
  <c r="W75" i="58"/>
  <c r="V134" i="58"/>
  <c r="W155" i="58"/>
  <c r="X176" i="58"/>
  <c r="W190" i="58"/>
  <c r="V201" i="58"/>
  <c r="X211" i="58"/>
  <c r="X112" i="58"/>
  <c r="V102" i="58"/>
  <c r="W71" i="58"/>
  <c r="V210" i="58"/>
  <c r="W199" i="58"/>
  <c r="V186" i="58"/>
  <c r="W129" i="58"/>
  <c r="X169" i="58"/>
  <c r="V131" i="58"/>
  <c r="X128" i="58"/>
  <c r="W139" i="58"/>
  <c r="V150" i="58"/>
  <c r="X160" i="58"/>
  <c r="W171" i="58"/>
  <c r="V182" i="58"/>
  <c r="X187" i="58"/>
  <c r="V193" i="58"/>
  <c r="W198" i="58"/>
  <c r="X203" i="58"/>
  <c r="V209" i="58"/>
  <c r="X120" i="58"/>
  <c r="W115" i="58"/>
  <c r="V110" i="58"/>
  <c r="X104" i="58"/>
  <c r="W99" i="58"/>
  <c r="V82" i="58"/>
  <c r="V52" i="58"/>
  <c r="V13" i="58"/>
  <c r="W207" i="58"/>
  <c r="V202" i="58"/>
  <c r="X196" i="58"/>
  <c r="W191" i="58"/>
  <c r="X178" i="58"/>
  <c r="X150" i="58"/>
  <c r="V108" i="58"/>
  <c r="W180" i="58"/>
  <c r="W152" i="58"/>
  <c r="X109" i="58"/>
  <c r="V16" i="58"/>
  <c r="X188" i="58"/>
  <c r="W183" i="58"/>
  <c r="W173" i="58"/>
  <c r="W161" i="58"/>
  <c r="V140" i="58"/>
  <c r="X118" i="58"/>
  <c r="X96" i="58"/>
  <c r="X38" i="58"/>
  <c r="V175" i="58"/>
  <c r="V163" i="58"/>
  <c r="X141" i="58"/>
  <c r="W120" i="58"/>
  <c r="W85" i="58"/>
  <c r="X77" i="58"/>
  <c r="V126" i="58"/>
  <c r="W131" i="58"/>
  <c r="X136" i="58"/>
  <c r="V142" i="58"/>
  <c r="W147" i="58"/>
  <c r="X152" i="58"/>
  <c r="V158" i="58"/>
  <c r="W163" i="58"/>
  <c r="X168" i="58"/>
  <c r="V174" i="58"/>
  <c r="W179" i="58"/>
  <c r="X183" i="58"/>
  <c r="W186" i="58"/>
  <c r="V189" i="58"/>
  <c r="X191" i="58"/>
  <c r="W194" i="58"/>
  <c r="V197" i="58"/>
  <c r="X199" i="58"/>
  <c r="W202" i="58"/>
  <c r="V205" i="58"/>
  <c r="X207" i="58"/>
  <c r="W210" i="58"/>
  <c r="V122" i="58"/>
  <c r="W119" i="58"/>
  <c r="X116" i="58"/>
  <c r="V114" i="58"/>
  <c r="W111" i="58"/>
  <c r="X108" i="58"/>
  <c r="V106" i="58"/>
  <c r="W103" i="58"/>
  <c r="X100" i="58"/>
  <c r="V98" i="58"/>
  <c r="W87" i="58"/>
  <c r="X76" i="58"/>
  <c r="X62" i="58"/>
  <c r="W41" i="58"/>
  <c r="V20" i="58"/>
  <c r="W211" i="58"/>
  <c r="X208" i="58"/>
  <c r="V206" i="58"/>
  <c r="W203" i="58"/>
  <c r="X200" i="58"/>
  <c r="V198" i="58"/>
  <c r="W195" i="58"/>
  <c r="X192" i="58"/>
  <c r="V190" i="58"/>
  <c r="W187" i="58"/>
  <c r="X184" i="58"/>
  <c r="W181" i="58"/>
  <c r="V176" i="58"/>
  <c r="X170" i="58"/>
  <c r="W165" i="58"/>
  <c r="V156" i="58"/>
  <c r="W145" i="58"/>
  <c r="X134" i="58"/>
  <c r="V124" i="58"/>
  <c r="W113" i="58"/>
  <c r="X102" i="58"/>
  <c r="V86" i="58"/>
  <c r="V60" i="58"/>
  <c r="W17" i="58"/>
  <c r="X177" i="58"/>
  <c r="W172" i="58"/>
  <c r="V167" i="58"/>
  <c r="X157" i="58"/>
  <c r="V147" i="58"/>
  <c r="W136" i="58"/>
  <c r="X125" i="58"/>
  <c r="V115" i="58"/>
  <c r="W102" i="58"/>
  <c r="X58" i="58"/>
  <c r="W88" i="58"/>
  <c r="V58" i="58"/>
  <c r="W95" i="58"/>
  <c r="V90" i="58"/>
  <c r="X84" i="58"/>
  <c r="W79" i="58"/>
  <c r="V74" i="58"/>
  <c r="V68" i="58"/>
  <c r="W57" i="58"/>
  <c r="X46" i="58"/>
  <c r="V36" i="58"/>
  <c r="W25" i="58"/>
  <c r="X14" i="58"/>
  <c r="X13" i="58"/>
  <c r="X210" i="58"/>
  <c r="W209" i="58"/>
  <c r="V208" i="58"/>
  <c r="X206" i="58"/>
  <c r="W205" i="58"/>
  <c r="V204" i="58"/>
  <c r="X202" i="58"/>
  <c r="W201" i="58"/>
  <c r="V200" i="58"/>
  <c r="X198" i="58"/>
  <c r="W197" i="58"/>
  <c r="V196" i="58"/>
  <c r="X194" i="58"/>
  <c r="W193" i="58"/>
  <c r="V192" i="58"/>
  <c r="X190" i="58"/>
  <c r="W189" i="58"/>
  <c r="V188" i="58"/>
  <c r="X186" i="58"/>
  <c r="W185" i="58"/>
  <c r="V184" i="58"/>
  <c r="X182" i="58"/>
  <c r="V180" i="58"/>
  <c r="W177" i="58"/>
  <c r="X174" i="58"/>
  <c r="V172" i="58"/>
  <c r="W169" i="58"/>
  <c r="X166" i="58"/>
  <c r="V164" i="58"/>
  <c r="X158" i="58"/>
  <c r="W153" i="58"/>
  <c r="V148" i="58"/>
  <c r="X142" i="58"/>
  <c r="W137" i="58"/>
  <c r="V132" i="58"/>
  <c r="X126" i="58"/>
  <c r="W121" i="58"/>
  <c r="V116" i="58"/>
  <c r="X110" i="58"/>
  <c r="W105" i="58"/>
  <c r="V100" i="58"/>
  <c r="W91" i="58"/>
  <c r="X80" i="58"/>
  <c r="V70" i="58"/>
  <c r="W49" i="58"/>
  <c r="V28" i="58"/>
  <c r="X181" i="58"/>
  <c r="V179" i="58"/>
  <c r="W176" i="58"/>
  <c r="X173" i="58"/>
  <c r="V171" i="58"/>
  <c r="W168" i="58"/>
  <c r="X165" i="58"/>
  <c r="W160" i="58"/>
  <c r="V155" i="58"/>
  <c r="X149" i="58"/>
  <c r="W144" i="58"/>
  <c r="V139" i="58"/>
  <c r="X133" i="58"/>
  <c r="W128" i="58"/>
  <c r="V123" i="58"/>
  <c r="X117" i="58"/>
  <c r="W112" i="58"/>
  <c r="V107" i="58"/>
  <c r="V96" i="58"/>
  <c r="X74" i="58"/>
  <c r="W37" i="58"/>
  <c r="X93" i="58"/>
  <c r="V83" i="58"/>
  <c r="W72" i="58"/>
  <c r="X19" i="58"/>
  <c r="W38" i="58"/>
  <c r="X36" i="58"/>
  <c r="X69" i="58"/>
  <c r="V75" i="58"/>
  <c r="W80" i="58"/>
  <c r="X85" i="58"/>
  <c r="V91" i="58"/>
  <c r="W96" i="58"/>
  <c r="X26" i="58"/>
  <c r="V48" i="58"/>
  <c r="W69" i="58"/>
  <c r="V80" i="58"/>
  <c r="X90" i="58"/>
  <c r="X99" i="58"/>
  <c r="V105" i="58"/>
  <c r="W108" i="58"/>
  <c r="V111" i="58"/>
  <c r="X113" i="58"/>
  <c r="W116" i="58"/>
  <c r="V119" i="58"/>
  <c r="X121" i="58"/>
  <c r="W124" i="58"/>
  <c r="V127" i="58"/>
  <c r="X129" i="58"/>
  <c r="W132" i="58"/>
  <c r="V135" i="58"/>
  <c r="X137" i="58"/>
  <c r="W140" i="58"/>
  <c r="V143" i="58"/>
  <c r="X145" i="58"/>
  <c r="W148" i="58"/>
  <c r="V151" i="58"/>
  <c r="X153" i="58"/>
  <c r="W156" i="58"/>
  <c r="V159" i="58"/>
  <c r="X161" i="58"/>
  <c r="W164" i="58"/>
  <c r="W166" i="58"/>
  <c r="X167" i="58"/>
  <c r="V169" i="58"/>
  <c r="W170" i="58"/>
  <c r="X171" i="58"/>
  <c r="V173" i="58"/>
  <c r="W174" i="58"/>
  <c r="X175" i="58"/>
  <c r="V177" i="58"/>
  <c r="W178" i="58"/>
  <c r="X179" i="58"/>
  <c r="V181" i="58"/>
  <c r="W182" i="58"/>
  <c r="X22" i="58"/>
  <c r="W33" i="58"/>
  <c r="V44" i="58"/>
  <c r="X54" i="58"/>
  <c r="W65" i="58"/>
  <c r="X72" i="58"/>
  <c r="V78" i="58"/>
  <c r="W83" i="58"/>
  <c r="X88" i="58"/>
  <c r="V94" i="58"/>
  <c r="X98" i="58"/>
  <c r="W101" i="58"/>
  <c r="V104" i="58"/>
  <c r="X106" i="58"/>
  <c r="W109" i="58"/>
  <c r="V112" i="58"/>
  <c r="X114" i="58"/>
  <c r="W117" i="58"/>
  <c r="V120" i="58"/>
  <c r="X122" i="58"/>
  <c r="W125" i="58"/>
  <c r="V128" i="58"/>
  <c r="X130" i="58"/>
  <c r="W133" i="58"/>
  <c r="V136" i="58"/>
  <c r="X138" i="58"/>
  <c r="W141" i="58"/>
  <c r="V144" i="58"/>
  <c r="X146" i="58"/>
  <c r="W149" i="58"/>
  <c r="V152" i="58"/>
  <c r="X154" i="58"/>
  <c r="W157" i="58"/>
  <c r="V160" i="58"/>
  <c r="X162" i="58"/>
  <c r="W15" i="58"/>
  <c r="V49" i="58"/>
  <c r="X124" i="58"/>
  <c r="V195" i="58"/>
  <c r="X156" i="58"/>
  <c r="W30" i="58"/>
  <c r="X35" i="58"/>
  <c r="V41" i="58"/>
  <c r="W46" i="58"/>
  <c r="X51" i="58"/>
  <c r="V57" i="58"/>
  <c r="W62" i="58"/>
  <c r="X67" i="58"/>
  <c r="X20" i="58"/>
  <c r="W31" i="58"/>
  <c r="V42" i="58"/>
  <c r="X52" i="58"/>
  <c r="V62" i="58"/>
  <c r="W67" i="58"/>
  <c r="V71" i="58"/>
  <c r="X73" i="58"/>
  <c r="W76" i="58"/>
  <c r="V79" i="58"/>
  <c r="X81" i="58"/>
  <c r="W84" i="58"/>
  <c r="V87" i="58"/>
  <c r="X89" i="58"/>
  <c r="W92" i="58"/>
  <c r="V95" i="58"/>
  <c r="X97" i="58"/>
  <c r="W21" i="58"/>
  <c r="V32" i="58"/>
  <c r="X42" i="58"/>
  <c r="W53" i="58"/>
  <c r="V64" i="58"/>
  <c r="V72" i="58"/>
  <c r="W77" i="58"/>
  <c r="X82" i="58"/>
  <c r="V88" i="58"/>
  <c r="W93" i="58"/>
  <c r="W98" i="58"/>
  <c r="V101" i="58"/>
  <c r="X103" i="58"/>
  <c r="W106" i="58"/>
  <c r="X107" i="58"/>
  <c r="V109" i="58"/>
  <c r="W110" i="58"/>
  <c r="X111" i="58"/>
  <c r="V113" i="58"/>
  <c r="W114" i="58"/>
  <c r="X115" i="58"/>
  <c r="V117" i="58"/>
  <c r="W118" i="58"/>
  <c r="X119" i="58"/>
  <c r="V121" i="58"/>
  <c r="W122" i="58"/>
  <c r="X123" i="58"/>
  <c r="V125" i="58"/>
  <c r="W126" i="58"/>
  <c r="X127" i="58"/>
  <c r="V129" i="58"/>
  <c r="W130" i="58"/>
  <c r="X131" i="58"/>
  <c r="V133" i="58"/>
  <c r="W134" i="58"/>
  <c r="X135" i="58"/>
  <c r="V137" i="58"/>
  <c r="W138" i="58"/>
  <c r="X139" i="58"/>
  <c r="V141" i="58"/>
  <c r="W142" i="58"/>
  <c r="X143" i="58"/>
  <c r="V145" i="58"/>
  <c r="W146" i="58"/>
  <c r="X147" i="58"/>
  <c r="V149" i="58"/>
  <c r="W150" i="58"/>
  <c r="X151" i="58"/>
  <c r="V153" i="58"/>
  <c r="W154" i="58"/>
  <c r="X155" i="58"/>
  <c r="V157" i="58"/>
  <c r="W158" i="58"/>
  <c r="X159" i="58"/>
  <c r="V161" i="58"/>
  <c r="W162" i="58"/>
  <c r="X163" i="58"/>
  <c r="V165" i="58"/>
  <c r="X64" i="58"/>
  <c r="W47" i="58"/>
  <c r="V26" i="58"/>
  <c r="V65" i="58"/>
  <c r="W54" i="58"/>
  <c r="X43" i="58"/>
  <c r="V33" i="58"/>
  <c r="W13" i="58"/>
  <c r="V25" i="58"/>
  <c r="W14" i="58"/>
  <c r="V191" i="58"/>
  <c r="X164" i="58"/>
  <c r="V211" i="58"/>
  <c r="X205" i="58"/>
  <c r="W184" i="58"/>
  <c r="W143" i="58"/>
  <c r="X201" i="58"/>
  <c r="V178" i="58"/>
  <c r="W135" i="58"/>
  <c r="V17" i="58"/>
  <c r="W22" i="58"/>
  <c r="X27" i="58"/>
  <c r="X31" i="58"/>
  <c r="W34" i="58"/>
  <c r="V37" i="58"/>
  <c r="X39" i="58"/>
  <c r="W42" i="58"/>
  <c r="V45" i="58"/>
  <c r="X47" i="58"/>
  <c r="W50" i="58"/>
  <c r="V53" i="58"/>
  <c r="X55" i="58"/>
  <c r="W58" i="58"/>
  <c r="V61" i="58"/>
  <c r="X63" i="58"/>
  <c r="W66" i="58"/>
  <c r="V69" i="58"/>
  <c r="V18" i="58"/>
  <c r="W23" i="58"/>
  <c r="X28" i="58"/>
  <c r="V34" i="58"/>
  <c r="W39" i="58"/>
  <c r="X44" i="58"/>
  <c r="V50" i="58"/>
  <c r="W55" i="58"/>
  <c r="X60" i="58"/>
  <c r="W63" i="58"/>
  <c r="V66" i="58"/>
  <c r="X68" i="58"/>
  <c r="W70" i="58"/>
  <c r="X71" i="58"/>
  <c r="V73" i="58"/>
  <c r="W74" i="58"/>
  <c r="X75" i="58"/>
  <c r="V77" i="58"/>
  <c r="W78" i="58"/>
  <c r="X79" i="58"/>
  <c r="V81" i="58"/>
  <c r="W82" i="58"/>
  <c r="X83" i="58"/>
  <c r="V85" i="58"/>
  <c r="W86" i="58"/>
  <c r="X87" i="58"/>
  <c r="V89" i="58"/>
  <c r="W90" i="58"/>
  <c r="X91" i="58"/>
  <c r="V93" i="58"/>
  <c r="W94" i="58"/>
  <c r="X95" i="58"/>
  <c r="V97" i="58"/>
  <c r="W212" i="58"/>
  <c r="X18" i="58"/>
  <c r="V24" i="58"/>
  <c r="W29" i="58"/>
  <c r="X34" i="58"/>
  <c r="V40" i="58"/>
  <c r="W45" i="58"/>
  <c r="X50" i="58"/>
  <c r="V56" i="58"/>
  <c r="W61" i="58"/>
  <c r="X66" i="58"/>
  <c r="X70" i="58"/>
  <c r="W73" i="58"/>
  <c r="V76" i="58"/>
  <c r="X78" i="58"/>
  <c r="W81" i="58"/>
  <c r="V84" i="58"/>
  <c r="X86" i="58"/>
  <c r="W89" i="58"/>
  <c r="V92" i="58"/>
  <c r="X94" i="58"/>
  <c r="W97" i="58"/>
  <c r="V99" i="58"/>
  <c r="W100" i="58"/>
  <c r="X101" i="58"/>
  <c r="V103" i="58"/>
  <c r="W104" i="58"/>
  <c r="X105" i="58"/>
  <c r="V29" i="58"/>
  <c r="W26" i="58"/>
  <c r="X23" i="58"/>
  <c r="V21" i="58"/>
  <c r="W18" i="58"/>
  <c r="X15" i="58"/>
  <c r="X212" i="58"/>
  <c r="V146" i="58"/>
  <c r="W167" i="58"/>
  <c r="X185" i="58"/>
  <c r="W196" i="58"/>
  <c r="V207" i="58"/>
  <c r="X132" i="58"/>
  <c r="V154" i="58"/>
  <c r="W175" i="58"/>
  <c r="X189" i="58"/>
  <c r="W200" i="58"/>
  <c r="Y13" i="58"/>
  <c r="W208" i="58"/>
  <c r="V203" i="58"/>
  <c r="X197" i="58"/>
  <c r="W192" i="58"/>
  <c r="V187" i="58"/>
  <c r="X180" i="58"/>
  <c r="V170" i="58"/>
  <c r="W159" i="58"/>
  <c r="X148" i="58"/>
  <c r="V138" i="58"/>
  <c r="W127" i="58"/>
  <c r="X209" i="58"/>
  <c r="W204" i="58"/>
  <c r="V199" i="58"/>
  <c r="X193" i="58"/>
  <c r="W188" i="58"/>
  <c r="V183" i="58"/>
  <c r="X172" i="58"/>
  <c r="V162" i="58"/>
  <c r="W151" i="58"/>
  <c r="X140" i="58"/>
  <c r="V130" i="58"/>
  <c r="V212" i="58"/>
  <c r="V15" i="58"/>
  <c r="W16" i="58"/>
  <c r="X17" i="58"/>
  <c r="V19" i="58"/>
  <c r="W20" i="58"/>
  <c r="X21" i="58"/>
  <c r="V23" i="58"/>
  <c r="W24" i="58"/>
  <c r="X25" i="58"/>
  <c r="V27" i="58"/>
  <c r="W28" i="58"/>
  <c r="X29" i="58"/>
  <c r="V31" i="58"/>
  <c r="W32" i="58"/>
  <c r="X33" i="58"/>
  <c r="V35" i="58"/>
  <c r="W36" i="58"/>
  <c r="X37" i="58"/>
  <c r="V39" i="58"/>
  <c r="W40" i="58"/>
  <c r="X41" i="58"/>
  <c r="V43" i="58"/>
  <c r="W44" i="58"/>
  <c r="X45" i="58"/>
  <c r="V47" i="58"/>
  <c r="W48" i="58"/>
  <c r="X49" i="58"/>
  <c r="V51" i="58"/>
  <c r="W52" i="58"/>
  <c r="X53" i="58"/>
  <c r="V55" i="58"/>
  <c r="W56" i="58"/>
  <c r="X57" i="58"/>
  <c r="V59" i="58"/>
  <c r="W60" i="58"/>
  <c r="X61" i="58"/>
  <c r="V63" i="58"/>
  <c r="W64" i="58"/>
  <c r="X65" i="58"/>
  <c r="V67" i="58"/>
  <c r="W68" i="58"/>
  <c r="V14" i="58"/>
  <c r="X16" i="58"/>
  <c r="W19" i="58"/>
  <c r="V22" i="58"/>
  <c r="X24" i="58"/>
  <c r="W27" i="58"/>
  <c r="V30" i="58"/>
  <c r="X32" i="58"/>
  <c r="W35" i="58"/>
  <c r="V38" i="58"/>
  <c r="X40" i="58"/>
  <c r="W43" i="58"/>
  <c r="V46" i="58"/>
  <c r="X48" i="58"/>
  <c r="W51" i="58"/>
  <c r="V54" i="58"/>
  <c r="X56" i="58"/>
  <c r="W59" i="58"/>
  <c r="R30" i="41"/>
  <c r="S31" i="41"/>
  <c r="T31" i="41"/>
  <c r="R32" i="41"/>
  <c r="S30" i="41"/>
  <c r="T30" i="41"/>
  <c r="R31" i="41"/>
  <c r="T34" i="41"/>
  <c r="R34" i="41"/>
  <c r="T36" i="41"/>
  <c r="R36" i="41"/>
  <c r="T38" i="41"/>
  <c r="R38" i="41"/>
  <c r="T40" i="41"/>
  <c r="R40" i="41"/>
  <c r="T42" i="41"/>
  <c r="R42" i="41"/>
  <c r="T45" i="41"/>
  <c r="R45" i="41"/>
  <c r="T47" i="41"/>
  <c r="R47" i="41"/>
  <c r="T49" i="41"/>
  <c r="R49" i="41"/>
  <c r="T51" i="41"/>
  <c r="R51" i="41"/>
  <c r="T53" i="41"/>
  <c r="R53" i="41"/>
  <c r="T55" i="41"/>
  <c r="R55" i="41"/>
  <c r="T57" i="41"/>
  <c r="R57" i="41"/>
  <c r="T59" i="41"/>
  <c r="R59" i="41"/>
  <c r="T61" i="41"/>
  <c r="R61" i="41"/>
  <c r="T63" i="41"/>
  <c r="R63" i="41"/>
  <c r="T66" i="41"/>
  <c r="R66" i="41"/>
  <c r="T67" i="41"/>
  <c r="R67" i="41"/>
  <c r="T68" i="41"/>
  <c r="R68" i="41"/>
  <c r="T69" i="41"/>
  <c r="R69" i="41"/>
  <c r="T70" i="41"/>
  <c r="R70" i="41"/>
  <c r="T71" i="41"/>
  <c r="R71" i="41"/>
  <c r="T72" i="41"/>
  <c r="R72" i="41"/>
  <c r="T73" i="41"/>
  <c r="R73" i="41"/>
  <c r="T74" i="41"/>
  <c r="R74" i="41"/>
  <c r="T33" i="41"/>
  <c r="R33" i="41"/>
  <c r="T35" i="41"/>
  <c r="R35" i="41"/>
  <c r="T37" i="41"/>
  <c r="R37" i="41"/>
  <c r="T39" i="41"/>
  <c r="R39" i="41"/>
  <c r="T41" i="41"/>
  <c r="R41" i="41"/>
  <c r="T43" i="41"/>
  <c r="R43" i="41"/>
  <c r="T44" i="41"/>
  <c r="R44" i="41"/>
  <c r="T46" i="41"/>
  <c r="R46" i="41"/>
  <c r="T48" i="41"/>
  <c r="R48" i="41"/>
  <c r="T50" i="41"/>
  <c r="R50" i="41"/>
  <c r="T52" i="41"/>
  <c r="R52" i="41"/>
  <c r="T54" i="41"/>
  <c r="R54" i="41"/>
  <c r="T56" i="41"/>
  <c r="R56" i="41"/>
  <c r="T58" i="41"/>
  <c r="R58" i="41"/>
  <c r="T60" i="41"/>
  <c r="R60" i="41"/>
  <c r="T62" i="41"/>
  <c r="R62" i="41"/>
  <c r="T64" i="41"/>
  <c r="R64" i="41"/>
  <c r="T65" i="41"/>
  <c r="R65" i="41"/>
  <c r="T32" i="41"/>
  <c r="S32" i="41"/>
  <c r="S33" i="41"/>
  <c r="S34" i="41"/>
  <c r="S35" i="41"/>
  <c r="S36" i="41"/>
  <c r="S37" i="41"/>
  <c r="S38" i="41"/>
  <c r="S39" i="41"/>
  <c r="S40" i="41"/>
  <c r="S41" i="41"/>
  <c r="S42" i="41"/>
  <c r="S43" i="41"/>
  <c r="S44" i="41"/>
  <c r="S45" i="41"/>
  <c r="S46" i="41"/>
  <c r="S47" i="41"/>
  <c r="S48" i="41"/>
  <c r="S49" i="41"/>
  <c r="S50" i="41"/>
  <c r="S51" i="41"/>
  <c r="S52" i="41"/>
  <c r="S53" i="41"/>
  <c r="S54" i="41"/>
  <c r="S55" i="41"/>
  <c r="S56" i="41"/>
  <c r="S57" i="41"/>
  <c r="S58" i="41"/>
  <c r="S59" i="41"/>
  <c r="S60" i="41"/>
  <c r="S61" i="41"/>
  <c r="S62" i="41"/>
  <c r="S63" i="41"/>
  <c r="S64" i="41"/>
  <c r="S65" i="41"/>
  <c r="S66" i="41"/>
  <c r="S67" i="41"/>
  <c r="S68" i="41"/>
  <c r="S69" i="41"/>
  <c r="S70" i="41"/>
  <c r="S71" i="41"/>
  <c r="S72" i="41"/>
  <c r="S73" i="41"/>
  <c r="S74" i="41"/>
  <c r="R30" i="40"/>
  <c r="S31" i="40"/>
  <c r="T31" i="40"/>
  <c r="R32" i="40"/>
  <c r="S30" i="40"/>
  <c r="T30" i="40"/>
  <c r="R31" i="40"/>
  <c r="T34" i="40"/>
  <c r="R34" i="40"/>
  <c r="T36" i="40"/>
  <c r="R36" i="40"/>
  <c r="T38" i="40"/>
  <c r="R38" i="40"/>
  <c r="T40" i="40"/>
  <c r="R40" i="40"/>
  <c r="T42" i="40"/>
  <c r="R42" i="40"/>
  <c r="T44" i="40"/>
  <c r="R44" i="40"/>
  <c r="T46" i="40"/>
  <c r="R46" i="40"/>
  <c r="T48" i="40"/>
  <c r="R48" i="40"/>
  <c r="T50" i="40"/>
  <c r="R50" i="40"/>
  <c r="T52" i="40"/>
  <c r="R52" i="40"/>
  <c r="T54" i="40"/>
  <c r="R54" i="40"/>
  <c r="T55" i="40"/>
  <c r="R55" i="40"/>
  <c r="T56" i="40"/>
  <c r="R56" i="40"/>
  <c r="T57" i="40"/>
  <c r="R57" i="40"/>
  <c r="T58" i="40"/>
  <c r="R58" i="40"/>
  <c r="T59" i="40"/>
  <c r="R59" i="40"/>
  <c r="T60" i="40"/>
  <c r="R60" i="40"/>
  <c r="T61" i="40"/>
  <c r="R61" i="40"/>
  <c r="T62" i="40"/>
  <c r="R62" i="40"/>
  <c r="T63" i="40"/>
  <c r="R63" i="40"/>
  <c r="T64" i="40"/>
  <c r="R64" i="40"/>
  <c r="T65" i="40"/>
  <c r="R65" i="40"/>
  <c r="T66" i="40"/>
  <c r="R66" i="40"/>
  <c r="T67" i="40"/>
  <c r="R67" i="40"/>
  <c r="T68" i="40"/>
  <c r="R68" i="40"/>
  <c r="T69" i="40"/>
  <c r="R69" i="40"/>
  <c r="T70" i="40"/>
  <c r="R70" i="40"/>
  <c r="T71" i="40"/>
  <c r="R71" i="40"/>
  <c r="T72" i="40"/>
  <c r="R72" i="40"/>
  <c r="T73" i="40"/>
  <c r="R73" i="40"/>
  <c r="T74" i="40"/>
  <c r="R74" i="40"/>
  <c r="T33" i="40"/>
  <c r="R33" i="40"/>
  <c r="T35" i="40"/>
  <c r="R35" i="40"/>
  <c r="T37" i="40"/>
  <c r="R37" i="40"/>
  <c r="T39" i="40"/>
  <c r="R39" i="40"/>
  <c r="T41" i="40"/>
  <c r="R41" i="40"/>
  <c r="T43" i="40"/>
  <c r="R43" i="40"/>
  <c r="T45" i="40"/>
  <c r="R45" i="40"/>
  <c r="T47" i="40"/>
  <c r="R47" i="40"/>
  <c r="T49" i="40"/>
  <c r="R49" i="40"/>
  <c r="T51" i="40"/>
  <c r="R51" i="40"/>
  <c r="T53" i="40"/>
  <c r="R53" i="40"/>
  <c r="T32" i="40"/>
  <c r="S32" i="40"/>
  <c r="S33" i="40"/>
  <c r="S34" i="40"/>
  <c r="S35" i="40"/>
  <c r="S36" i="40"/>
  <c r="S37" i="40"/>
  <c r="S38" i="40"/>
  <c r="S39" i="40"/>
  <c r="S40" i="40"/>
  <c r="S41" i="40"/>
  <c r="S42" i="40"/>
  <c r="S43" i="40"/>
  <c r="S44" i="40"/>
  <c r="S45" i="40"/>
  <c r="S46" i="40"/>
  <c r="S47" i="40"/>
  <c r="S48" i="40"/>
  <c r="S49" i="40"/>
  <c r="S50" i="40"/>
  <c r="S51" i="40"/>
  <c r="S52" i="40"/>
  <c r="S53" i="40"/>
  <c r="S54" i="40"/>
  <c r="S55" i="40"/>
  <c r="S56" i="40"/>
  <c r="S57" i="40"/>
  <c r="S58" i="40"/>
  <c r="S59" i="40"/>
  <c r="S60" i="40"/>
  <c r="S61" i="40"/>
  <c r="S62" i="40"/>
  <c r="S63" i="40"/>
  <c r="S64" i="40"/>
  <c r="S65" i="40"/>
  <c r="S66" i="40"/>
  <c r="S67" i="40"/>
  <c r="S68" i="40"/>
  <c r="S69" i="40"/>
  <c r="S70" i="40"/>
  <c r="S71" i="40"/>
  <c r="S72" i="40"/>
  <c r="S73" i="40"/>
  <c r="S74" i="40"/>
  <c r="AC26" i="37"/>
  <c r="S31" i="37"/>
  <c r="T31" i="37"/>
  <c r="R31" i="37"/>
  <c r="S30" i="37"/>
  <c r="T30" i="37"/>
  <c r="R30" i="37"/>
  <c r="T33" i="37"/>
  <c r="R33" i="37"/>
  <c r="T35" i="37"/>
  <c r="R35" i="37"/>
  <c r="T37" i="37"/>
  <c r="R37" i="37"/>
  <c r="T39" i="37"/>
  <c r="R39" i="37"/>
  <c r="T41" i="37"/>
  <c r="R41" i="37"/>
  <c r="T43" i="37"/>
  <c r="R43" i="37"/>
  <c r="T45" i="37"/>
  <c r="R45" i="37"/>
  <c r="T47" i="37"/>
  <c r="R47" i="37"/>
  <c r="T49" i="37"/>
  <c r="R49" i="37"/>
  <c r="T51" i="37"/>
  <c r="R51" i="37"/>
  <c r="T52" i="37"/>
  <c r="R52" i="37"/>
  <c r="T54" i="37"/>
  <c r="R54" i="37"/>
  <c r="T55" i="37"/>
  <c r="R55" i="37"/>
  <c r="T56" i="37"/>
  <c r="R56" i="37"/>
  <c r="T57" i="37"/>
  <c r="R57" i="37"/>
  <c r="T58" i="37"/>
  <c r="R58" i="37"/>
  <c r="T59" i="37"/>
  <c r="R59" i="37"/>
  <c r="T60" i="37"/>
  <c r="R60" i="37"/>
  <c r="T61" i="37"/>
  <c r="R61" i="37"/>
  <c r="T62" i="37"/>
  <c r="R62" i="37"/>
  <c r="T63" i="37"/>
  <c r="R63" i="37"/>
  <c r="T64" i="37"/>
  <c r="R64" i="37"/>
  <c r="T65" i="37"/>
  <c r="R65" i="37"/>
  <c r="T66" i="37"/>
  <c r="R66" i="37"/>
  <c r="T67" i="37"/>
  <c r="R67" i="37"/>
  <c r="T68" i="37"/>
  <c r="R68" i="37"/>
  <c r="T69" i="37"/>
  <c r="R69" i="37"/>
  <c r="T70" i="37"/>
  <c r="R70" i="37"/>
  <c r="T71" i="37"/>
  <c r="R71" i="37"/>
  <c r="T72" i="37"/>
  <c r="R72" i="37"/>
  <c r="T73" i="37"/>
  <c r="R73" i="37"/>
  <c r="T74" i="37"/>
  <c r="R74" i="37"/>
  <c r="R32" i="37"/>
  <c r="T34" i="37"/>
  <c r="R34" i="37"/>
  <c r="T36" i="37"/>
  <c r="R36" i="37"/>
  <c r="T38" i="37"/>
  <c r="R38" i="37"/>
  <c r="T40" i="37"/>
  <c r="R40" i="37"/>
  <c r="T42" i="37"/>
  <c r="R42" i="37"/>
  <c r="T44" i="37"/>
  <c r="R44" i="37"/>
  <c r="T46" i="37"/>
  <c r="R46" i="37"/>
  <c r="T48" i="37"/>
  <c r="R48" i="37"/>
  <c r="T50" i="37"/>
  <c r="R50" i="37"/>
  <c r="T53" i="37"/>
  <c r="R53" i="37"/>
  <c r="T32" i="37"/>
  <c r="S32" i="37"/>
  <c r="S33" i="37"/>
  <c r="S34" i="37"/>
  <c r="S35" i="37"/>
  <c r="S36" i="37"/>
  <c r="S37" i="37"/>
  <c r="S38" i="37"/>
  <c r="S39" i="37"/>
  <c r="S40" i="37"/>
  <c r="S41" i="37"/>
  <c r="S42" i="37"/>
  <c r="S43" i="37"/>
  <c r="S44" i="37"/>
  <c r="S45" i="37"/>
  <c r="S46" i="37"/>
  <c r="S47" i="37"/>
  <c r="S48" i="37"/>
  <c r="S49" i="37"/>
  <c r="S50" i="37"/>
  <c r="S51" i="37"/>
  <c r="S52" i="37"/>
  <c r="S53" i="37"/>
  <c r="S54" i="37"/>
  <c r="S55" i="37"/>
  <c r="S56" i="37"/>
  <c r="S57" i="37"/>
  <c r="S58" i="37"/>
  <c r="S59" i="37"/>
  <c r="S60" i="37"/>
  <c r="S61" i="37"/>
  <c r="S62" i="37"/>
  <c r="S63" i="37"/>
  <c r="S64" i="37"/>
  <c r="S65" i="37"/>
  <c r="S66" i="37"/>
  <c r="S67" i="37"/>
  <c r="S68" i="37"/>
  <c r="S69" i="37"/>
  <c r="S70" i="37"/>
  <c r="S71" i="37"/>
  <c r="S72" i="37"/>
  <c r="S73" i="37"/>
  <c r="S74" i="37"/>
  <c r="T31" i="36"/>
  <c r="R33" i="36"/>
  <c r="T35" i="36"/>
  <c r="S37" i="36"/>
  <c r="S39" i="36"/>
  <c r="S41" i="36"/>
  <c r="S43" i="36"/>
  <c r="S45" i="36"/>
  <c r="S47" i="36"/>
  <c r="S34" i="36"/>
  <c r="T36" i="36"/>
  <c r="R38" i="36"/>
  <c r="R40" i="36"/>
  <c r="R42" i="36"/>
  <c r="R44" i="36"/>
  <c r="R46" i="36"/>
  <c r="T47" i="36"/>
  <c r="R47" i="36"/>
  <c r="S46" i="36"/>
  <c r="T45" i="36"/>
  <c r="R45" i="36"/>
  <c r="S44" i="36"/>
  <c r="T43" i="36"/>
  <c r="R43" i="36"/>
  <c r="S42" i="36"/>
  <c r="T41" i="36"/>
  <c r="R41" i="36"/>
  <c r="S40" i="36"/>
  <c r="T39" i="36"/>
  <c r="R39" i="36"/>
  <c r="S38" i="36"/>
  <c r="T37" i="36"/>
  <c r="R37" i="36"/>
  <c r="S36" i="36"/>
  <c r="R35" i="36"/>
  <c r="T33" i="36"/>
  <c r="S32" i="36"/>
  <c r="R31" i="36"/>
  <c r="T46" i="36"/>
  <c r="T44" i="36"/>
  <c r="T42" i="36"/>
  <c r="T40" i="36"/>
  <c r="T38" i="36"/>
  <c r="S30" i="36"/>
  <c r="R36" i="36"/>
  <c r="S35" i="36"/>
  <c r="T34" i="36"/>
  <c r="R34" i="36"/>
  <c r="S33" i="36"/>
  <c r="T32" i="36"/>
  <c r="R32" i="36"/>
  <c r="S31" i="36"/>
  <c r="T30" i="36"/>
  <c r="T48" i="36"/>
  <c r="R48" i="36"/>
  <c r="T49" i="36"/>
  <c r="R49" i="36"/>
  <c r="T50" i="36"/>
  <c r="R50" i="36"/>
  <c r="T51" i="36"/>
  <c r="R51" i="36"/>
  <c r="T52" i="36"/>
  <c r="R52" i="36"/>
  <c r="T53" i="36"/>
  <c r="R53" i="36"/>
  <c r="T54" i="36"/>
  <c r="R54" i="36"/>
  <c r="T55" i="36"/>
  <c r="R55" i="36"/>
  <c r="T56" i="36"/>
  <c r="R56" i="36"/>
  <c r="T57" i="36"/>
  <c r="R57" i="36"/>
  <c r="T58" i="36"/>
  <c r="R58" i="36"/>
  <c r="T59" i="36"/>
  <c r="R59" i="36"/>
  <c r="T60" i="36"/>
  <c r="R60" i="36"/>
  <c r="T61" i="36"/>
  <c r="R61" i="36"/>
  <c r="T62" i="36"/>
  <c r="R62" i="36"/>
  <c r="T63" i="36"/>
  <c r="R63" i="36"/>
  <c r="T64" i="36"/>
  <c r="R64" i="36"/>
  <c r="T65" i="36"/>
  <c r="R65" i="36"/>
  <c r="T66" i="36"/>
  <c r="R66" i="36"/>
  <c r="T67" i="36"/>
  <c r="R67" i="36"/>
  <c r="T68" i="36"/>
  <c r="R68" i="36"/>
  <c r="T69" i="36"/>
  <c r="R69" i="36"/>
  <c r="T70" i="36"/>
  <c r="R70" i="36"/>
  <c r="T71" i="36"/>
  <c r="R71" i="36"/>
  <c r="T72" i="36"/>
  <c r="R72" i="36"/>
  <c r="T73" i="36"/>
  <c r="R73" i="36"/>
  <c r="T74" i="36"/>
  <c r="R74" i="36"/>
  <c r="S48" i="36"/>
  <c r="S49" i="36"/>
  <c r="S50" i="36"/>
  <c r="S51" i="36"/>
  <c r="S52" i="36"/>
  <c r="S53" i="36"/>
  <c r="S54" i="36"/>
  <c r="S55" i="36"/>
  <c r="S56" i="36"/>
  <c r="S57" i="36"/>
  <c r="S58" i="36"/>
  <c r="S59" i="36"/>
  <c r="S60" i="36"/>
  <c r="S61" i="36"/>
  <c r="S62" i="36"/>
  <c r="S63" i="36"/>
  <c r="S64" i="36"/>
  <c r="S65" i="36"/>
  <c r="S66" i="36"/>
  <c r="S67" i="36"/>
  <c r="S68" i="36"/>
  <c r="S69" i="36"/>
  <c r="S70" i="36"/>
  <c r="S71" i="36"/>
  <c r="S72" i="36"/>
  <c r="S73" i="36"/>
  <c r="S74" i="36"/>
  <c r="R31" i="4"/>
  <c r="T31" i="4"/>
  <c r="S32" i="4"/>
  <c r="R33" i="4"/>
  <c r="T33" i="4"/>
  <c r="S34" i="4"/>
  <c r="R35" i="4"/>
  <c r="T35" i="4"/>
  <c r="S36" i="4"/>
  <c r="R37" i="4"/>
  <c r="T37" i="4"/>
  <c r="S38" i="4"/>
  <c r="R39" i="4"/>
  <c r="T39" i="4"/>
  <c r="S40" i="4"/>
  <c r="R41" i="4"/>
  <c r="T41" i="4"/>
  <c r="S42" i="4"/>
  <c r="R43" i="4"/>
  <c r="T43" i="4"/>
  <c r="S44" i="4"/>
  <c r="R45" i="4"/>
  <c r="T45" i="4"/>
  <c r="S46" i="4"/>
  <c r="R47" i="4"/>
  <c r="T47" i="4"/>
  <c r="S48" i="4"/>
  <c r="R49" i="4"/>
  <c r="T49" i="4"/>
  <c r="S50" i="4"/>
  <c r="R51" i="4"/>
  <c r="T51" i="4"/>
  <c r="S52" i="4"/>
  <c r="R53" i="4"/>
  <c r="T53" i="4"/>
  <c r="S54" i="4"/>
  <c r="R55" i="4"/>
  <c r="T55" i="4"/>
  <c r="S56" i="4"/>
  <c r="R57" i="4"/>
  <c r="T57" i="4"/>
  <c r="S58" i="4"/>
  <c r="R59" i="4"/>
  <c r="T59" i="4"/>
  <c r="S60" i="4"/>
  <c r="R61" i="4"/>
  <c r="T61" i="4"/>
  <c r="S62" i="4"/>
  <c r="R63" i="4"/>
  <c r="T63" i="4"/>
  <c r="S64" i="4"/>
  <c r="R65" i="4"/>
  <c r="T65" i="4"/>
  <c r="S66" i="4"/>
  <c r="R67" i="4"/>
  <c r="T67" i="4"/>
  <c r="S68" i="4"/>
  <c r="R69" i="4"/>
  <c r="T69" i="4"/>
  <c r="S70" i="4"/>
  <c r="R71" i="4"/>
  <c r="T71" i="4"/>
  <c r="S72" i="4"/>
  <c r="R73" i="4"/>
  <c r="T73" i="4"/>
  <c r="S74" i="4"/>
  <c r="S31" i="4"/>
  <c r="R32" i="4"/>
  <c r="T32" i="4"/>
  <c r="S33" i="4"/>
  <c r="R34" i="4"/>
  <c r="T34" i="4"/>
  <c r="S35" i="4"/>
  <c r="R36" i="4"/>
  <c r="T36" i="4"/>
  <c r="S37" i="4"/>
  <c r="R38" i="4"/>
  <c r="T38" i="4"/>
  <c r="S39" i="4"/>
  <c r="R40" i="4"/>
  <c r="T40" i="4"/>
  <c r="S41" i="4"/>
  <c r="R42" i="4"/>
  <c r="T42" i="4"/>
  <c r="S43" i="4"/>
  <c r="T74" i="4"/>
  <c r="S73" i="4"/>
  <c r="R72" i="4"/>
  <c r="T70" i="4"/>
  <c r="S69" i="4"/>
  <c r="R68" i="4"/>
  <c r="T66" i="4"/>
  <c r="S65" i="4"/>
  <c r="R64" i="4"/>
  <c r="T62" i="4"/>
  <c r="S61" i="4"/>
  <c r="R60" i="4"/>
  <c r="T58" i="4"/>
  <c r="S57" i="4"/>
  <c r="R56" i="4"/>
  <c r="T54" i="4"/>
  <c r="S53" i="4"/>
  <c r="R52" i="4"/>
  <c r="T50" i="4"/>
  <c r="S49" i="4"/>
  <c r="R48" i="4"/>
  <c r="T46" i="4"/>
  <c r="S45" i="4"/>
  <c r="R44" i="4"/>
  <c r="R74" i="4"/>
  <c r="T72" i="4"/>
  <c r="S71" i="4"/>
  <c r="R70" i="4"/>
  <c r="T68" i="4"/>
  <c r="S67" i="4"/>
  <c r="R66" i="4"/>
  <c r="T64" i="4"/>
  <c r="S63" i="4"/>
  <c r="R62" i="4"/>
  <c r="T60" i="4"/>
  <c r="S59" i="4"/>
  <c r="R58" i="4"/>
  <c r="T56" i="4"/>
  <c r="S55" i="4"/>
  <c r="R54" i="4"/>
  <c r="T52" i="4"/>
  <c r="S51" i="4"/>
  <c r="R50" i="4"/>
  <c r="T48" i="4"/>
  <c r="S47" i="4"/>
  <c r="R46" i="4"/>
  <c r="T44" i="4"/>
  <c r="T30" i="4"/>
  <c r="S30" i="4"/>
  <c r="R30" i="4"/>
  <c r="O30" i="4"/>
  <c r="AC26" i="4"/>
  <c r="C18" i="5"/>
  <c r="P18" i="5" s="1"/>
  <c r="B2" i="53"/>
  <c r="B1" i="53"/>
  <c r="L1" i="24"/>
  <c r="H4" i="24"/>
  <c r="L4" i="24"/>
  <c r="K1" i="25"/>
  <c r="B2" i="24"/>
  <c r="C29" i="25"/>
  <c r="D40" i="5" s="1"/>
  <c r="B29" i="25"/>
  <c r="C43" i="25"/>
  <c r="D47" i="5" s="1"/>
  <c r="C41" i="25"/>
  <c r="D46" i="5" s="1"/>
  <c r="C39" i="25"/>
  <c r="D45" i="5" s="1"/>
  <c r="C37" i="25"/>
  <c r="D44" i="5" s="1"/>
  <c r="C35" i="25"/>
  <c r="D43" i="5" s="1"/>
  <c r="C33" i="25"/>
  <c r="D42" i="5" s="1"/>
  <c r="C31" i="25"/>
  <c r="D41" i="5" s="1"/>
  <c r="B31" i="25"/>
  <c r="G5" i="25"/>
  <c r="E5" i="25"/>
  <c r="I4" i="25"/>
  <c r="B2" i="25"/>
  <c r="AJ2" i="52"/>
  <c r="L18" i="2"/>
  <c r="B18" i="2"/>
  <c r="A12" i="1"/>
  <c r="BE61" i="55" l="1"/>
  <c r="BD61" i="55"/>
  <c r="BC61" i="55"/>
  <c r="BB61" i="55"/>
  <c r="BA61" i="55"/>
  <c r="BE60" i="55"/>
  <c r="BD60" i="55"/>
  <c r="BC60" i="55"/>
  <c r="BB60" i="55"/>
  <c r="BA60" i="55"/>
  <c r="BF59" i="55"/>
  <c r="BE59" i="55"/>
  <c r="BD59" i="55"/>
  <c r="BC59" i="55"/>
  <c r="BB59" i="55"/>
  <c r="BA59" i="55"/>
  <c r="BE54" i="55"/>
  <c r="BD54" i="55"/>
  <c r="BC54" i="55"/>
  <c r="BB54" i="55"/>
  <c r="BA54" i="55"/>
  <c r="BE53" i="55"/>
  <c r="BD53" i="55"/>
  <c r="BC53" i="55"/>
  <c r="BB53" i="55"/>
  <c r="BA53" i="55"/>
  <c r="BF52" i="55"/>
  <c r="BE52" i="55"/>
  <c r="BD52" i="55"/>
  <c r="BC52" i="55"/>
  <c r="BB52" i="55"/>
  <c r="BA52" i="55"/>
  <c r="BE47" i="55"/>
  <c r="BD47" i="55"/>
  <c r="BC47" i="55"/>
  <c r="BB47" i="55"/>
  <c r="BA47" i="55"/>
  <c r="BE46" i="55"/>
  <c r="BD46" i="55"/>
  <c r="BC46" i="55"/>
  <c r="BB46" i="55"/>
  <c r="BA46" i="55"/>
  <c r="BF45" i="55"/>
  <c r="BE45" i="55"/>
  <c r="BD45" i="55"/>
  <c r="BC45" i="55"/>
  <c r="BB45" i="55"/>
  <c r="BA45" i="55"/>
  <c r="G16" i="55"/>
  <c r="B6" i="55"/>
  <c r="B5" i="55"/>
  <c r="B7" i="55"/>
  <c r="B43" i="50"/>
  <c r="B14" i="50"/>
  <c r="B19" i="50"/>
  <c r="G22" i="50"/>
  <c r="B21" i="50"/>
  <c r="B20" i="50"/>
  <c r="G21" i="50"/>
  <c r="B22" i="50"/>
  <c r="B36" i="50"/>
  <c r="B34" i="50"/>
  <c r="C30" i="50"/>
  <c r="B29" i="50"/>
  <c r="C31" i="50"/>
  <c r="C32" i="50"/>
  <c r="B27" i="50"/>
  <c r="B28" i="50"/>
  <c r="B26" i="50"/>
  <c r="B12" i="50"/>
  <c r="L16" i="55" l="1"/>
  <c r="J28" i="55" s="1"/>
  <c r="BG18" i="55" s="1"/>
  <c r="M83" i="55"/>
  <c r="J21" i="55"/>
  <c r="BG17" i="55" s="1"/>
  <c r="Q16" i="55" l="1"/>
  <c r="Q83" i="55"/>
  <c r="J22" i="55"/>
  <c r="K22" i="55" s="1"/>
  <c r="L22" i="55" s="1"/>
  <c r="M22" i="55" s="1"/>
  <c r="N22" i="55" s="1"/>
  <c r="O22" i="55" s="1"/>
  <c r="P22" i="55" s="1"/>
  <c r="Q22" i="55" s="1"/>
  <c r="R22" i="55" s="1"/>
  <c r="S22" i="55" s="1"/>
  <c r="T22" i="55" s="1"/>
  <c r="U22" i="55" s="1"/>
  <c r="V22" i="55" s="1"/>
  <c r="W22" i="55" s="1"/>
  <c r="X22" i="55" s="1"/>
  <c r="Y22" i="55" s="1"/>
  <c r="Z22" i="55" s="1"/>
  <c r="J29" i="55"/>
  <c r="K29" i="55" s="1"/>
  <c r="L29" i="55" s="1"/>
  <c r="M29" i="55" s="1"/>
  <c r="N29" i="55" s="1"/>
  <c r="O29" i="55" s="1"/>
  <c r="P29" i="55" s="1"/>
  <c r="Q29" i="55" s="1"/>
  <c r="R29" i="55" s="1"/>
  <c r="S29" i="55" s="1"/>
  <c r="T29" i="55" s="1"/>
  <c r="U29" i="55" s="1"/>
  <c r="V29" i="55" s="1"/>
  <c r="W29" i="55" s="1"/>
  <c r="X29" i="55" s="1"/>
  <c r="Y29" i="55" s="1"/>
  <c r="Z29" i="55" s="1"/>
  <c r="AA29" i="55" s="1"/>
  <c r="AB29" i="55" s="1"/>
  <c r="AC29" i="55" s="1"/>
  <c r="AD29" i="55" s="1"/>
  <c r="AE29" i="55" s="1"/>
  <c r="AF29" i="55" s="1"/>
  <c r="AG29" i="55" s="1"/>
  <c r="AH29" i="55" s="1"/>
  <c r="AI29" i="55" s="1"/>
  <c r="AJ29" i="55" s="1"/>
  <c r="AK29" i="55" s="1"/>
  <c r="AL29" i="55" s="1"/>
  <c r="AM29" i="55" s="1"/>
  <c r="AN29" i="55" s="1"/>
  <c r="S41" i="60"/>
  <c r="Q41" i="60"/>
  <c r="B40" i="60"/>
  <c r="S38" i="60"/>
  <c r="Q38" i="60"/>
  <c r="S37" i="60"/>
  <c r="Q37" i="60"/>
  <c r="S36" i="60"/>
  <c r="Q36" i="60"/>
  <c r="S35" i="60"/>
  <c r="Q35" i="60"/>
  <c r="S34" i="60"/>
  <c r="Q34" i="60"/>
  <c r="S33" i="60"/>
  <c r="Q33" i="60"/>
  <c r="S32" i="60"/>
  <c r="Q32" i="60"/>
  <c r="S31" i="60"/>
  <c r="Q31" i="60"/>
  <c r="S30" i="60"/>
  <c r="Q30" i="60"/>
  <c r="S29" i="60"/>
  <c r="Q29" i="60"/>
  <c r="AD25" i="60"/>
  <c r="AB25" i="60"/>
  <c r="AK25" i="60" s="1"/>
  <c r="P25" i="60"/>
  <c r="AD24" i="60"/>
  <c r="AB24" i="60"/>
  <c r="AK24" i="60" s="1"/>
  <c r="P24" i="60"/>
  <c r="AD23" i="60"/>
  <c r="AB23" i="60"/>
  <c r="AK23" i="60" s="1"/>
  <c r="P23" i="60"/>
  <c r="AD22" i="60"/>
  <c r="AB22" i="60"/>
  <c r="AK22" i="60" s="1"/>
  <c r="P22" i="60"/>
  <c r="AD21" i="60"/>
  <c r="AB21" i="60"/>
  <c r="AK21" i="60" s="1"/>
  <c r="P21" i="60"/>
  <c r="AD20" i="60"/>
  <c r="AB20" i="60"/>
  <c r="AK20" i="60" s="1"/>
  <c r="P20" i="60"/>
  <c r="AD19" i="60"/>
  <c r="AB19" i="60"/>
  <c r="AK19" i="60" s="1"/>
  <c r="P19" i="60"/>
  <c r="AD18" i="60"/>
  <c r="AB18" i="60"/>
  <c r="AK18" i="60" s="1"/>
  <c r="P18" i="60"/>
  <c r="AD17" i="60"/>
  <c r="AB17" i="60"/>
  <c r="AK17" i="60" s="1"/>
  <c r="P17" i="60"/>
  <c r="AD16" i="60"/>
  <c r="AB16" i="60"/>
  <c r="AK16" i="60" s="1"/>
  <c r="P16" i="60"/>
  <c r="AK15" i="60"/>
  <c r="AD15" i="60"/>
  <c r="AB15" i="60"/>
  <c r="P15" i="60"/>
  <c r="AD14" i="60"/>
  <c r="AB14" i="60"/>
  <c r="AK14" i="60" s="1"/>
  <c r="P14" i="60"/>
  <c r="AD13" i="60"/>
  <c r="AB13" i="60"/>
  <c r="AK13" i="60" s="1"/>
  <c r="P13" i="60"/>
  <c r="AD12" i="60"/>
  <c r="AB12" i="60"/>
  <c r="AL7" i="60" s="1"/>
  <c r="P12" i="60"/>
  <c r="AK12" i="60" s="1"/>
  <c r="AD11" i="60"/>
  <c r="AB11" i="60"/>
  <c r="AK11" i="60" s="1"/>
  <c r="P11" i="60"/>
  <c r="O48" i="5"/>
  <c r="B37" i="50" s="1"/>
  <c r="A2" i="59"/>
  <c r="Z26" i="55" l="1"/>
  <c r="AA22" i="55"/>
  <c r="AB22" i="55" s="1"/>
  <c r="AC22" i="55" s="1"/>
  <c r="AD22" i="55" s="1"/>
  <c r="AE22" i="55" s="1"/>
  <c r="AF22" i="55" s="1"/>
  <c r="AG22" i="55" s="1"/>
  <c r="AH22" i="55" s="1"/>
  <c r="AI22" i="55" s="1"/>
  <c r="AJ22" i="55" s="1"/>
  <c r="AK22" i="55" s="1"/>
  <c r="AL22" i="55" s="1"/>
  <c r="AM22" i="55" s="1"/>
  <c r="AN22" i="55" s="1"/>
  <c r="W17" i="62"/>
  <c r="Z23" i="55"/>
  <c r="J23" i="55"/>
  <c r="G17" i="62"/>
  <c r="J30" i="55"/>
  <c r="AL17" i="62"/>
  <c r="V16" i="55"/>
  <c r="U83" i="55"/>
  <c r="J35" i="55"/>
  <c r="BG19" i="55" s="1"/>
  <c r="J33" i="55"/>
  <c r="AM17" i="62"/>
  <c r="AM22" i="62" s="1"/>
  <c r="J26" i="55"/>
  <c r="H17" i="62"/>
  <c r="AK7" i="60"/>
  <c r="A7" i="60" s="1"/>
  <c r="AK27" i="60"/>
  <c r="AL46" i="60" s="1"/>
  <c r="H47" i="60" s="1"/>
  <c r="AL27" i="60"/>
  <c r="A27" i="60" s="1"/>
  <c r="AN54" i="50"/>
  <c r="AD74" i="41"/>
  <c r="Z74" i="41"/>
  <c r="O74" i="41"/>
  <c r="N74" i="41"/>
  <c r="H74" i="41"/>
  <c r="I74" i="41" s="1"/>
  <c r="AD73" i="41"/>
  <c r="Z73" i="41"/>
  <c r="O73" i="41"/>
  <c r="N73" i="41"/>
  <c r="H73" i="41"/>
  <c r="I73" i="41" s="1"/>
  <c r="AD72" i="41"/>
  <c r="Z72" i="41"/>
  <c r="O72" i="41"/>
  <c r="N72" i="41"/>
  <c r="H72" i="41"/>
  <c r="I72" i="41" s="1"/>
  <c r="AD71" i="41"/>
  <c r="O71" i="41"/>
  <c r="Z71" i="41"/>
  <c r="N71" i="41"/>
  <c r="H71" i="41"/>
  <c r="I71" i="41" s="1"/>
  <c r="AD70" i="41"/>
  <c r="Z70" i="41"/>
  <c r="O70" i="41"/>
  <c r="N70" i="41"/>
  <c r="H70" i="41"/>
  <c r="I70" i="41" s="1"/>
  <c r="AD69" i="41"/>
  <c r="O69" i="41"/>
  <c r="Z69" i="41"/>
  <c r="N69" i="41"/>
  <c r="H69" i="41"/>
  <c r="I69" i="41" s="1"/>
  <c r="AD68" i="41"/>
  <c r="Z68" i="41"/>
  <c r="O68" i="41"/>
  <c r="N68" i="41"/>
  <c r="H68" i="41"/>
  <c r="I68" i="41" s="1"/>
  <c r="AD67" i="41"/>
  <c r="Z67" i="41"/>
  <c r="O67" i="41"/>
  <c r="N67" i="41"/>
  <c r="H67" i="41"/>
  <c r="I67" i="41" s="1"/>
  <c r="AD66" i="41"/>
  <c r="Z66" i="41"/>
  <c r="O66" i="41"/>
  <c r="N66" i="41"/>
  <c r="H66" i="41"/>
  <c r="I66" i="41" s="1"/>
  <c r="AD65" i="41"/>
  <c r="Z65" i="41"/>
  <c r="O65" i="41"/>
  <c r="N65" i="41"/>
  <c r="H65" i="41"/>
  <c r="I65" i="41" s="1"/>
  <c r="AD64" i="41"/>
  <c r="O64" i="41"/>
  <c r="Z64" i="41"/>
  <c r="N64" i="41"/>
  <c r="H64" i="41"/>
  <c r="I64" i="41" s="1"/>
  <c r="AD63" i="41"/>
  <c r="Z63" i="41"/>
  <c r="O63" i="41"/>
  <c r="N63" i="41"/>
  <c r="H63" i="41"/>
  <c r="I63" i="41" s="1"/>
  <c r="AD62" i="41"/>
  <c r="Z62" i="41"/>
  <c r="O62" i="41"/>
  <c r="N62" i="41"/>
  <c r="H62" i="41"/>
  <c r="I62" i="41" s="1"/>
  <c r="AD61" i="41"/>
  <c r="Z61" i="41"/>
  <c r="O61" i="41"/>
  <c r="N61" i="41"/>
  <c r="H61" i="41"/>
  <c r="I61" i="41" s="1"/>
  <c r="AD60" i="41"/>
  <c r="Z60" i="41"/>
  <c r="O60" i="41"/>
  <c r="N60" i="41"/>
  <c r="H60" i="41"/>
  <c r="I60" i="41" s="1"/>
  <c r="AD59" i="41"/>
  <c r="O59" i="41"/>
  <c r="Z59" i="41"/>
  <c r="N59" i="41"/>
  <c r="H59" i="41"/>
  <c r="I59" i="41" s="1"/>
  <c r="AD58" i="41"/>
  <c r="Z58" i="41"/>
  <c r="O58" i="41"/>
  <c r="N58" i="41"/>
  <c r="H58" i="41"/>
  <c r="I58" i="41" s="1"/>
  <c r="AD57" i="41"/>
  <c r="O57" i="41"/>
  <c r="Z57" i="41"/>
  <c r="N57" i="41"/>
  <c r="H57" i="41"/>
  <c r="I57" i="41" s="1"/>
  <c r="AD56" i="41"/>
  <c r="Z56" i="41"/>
  <c r="O56" i="41"/>
  <c r="N56" i="41"/>
  <c r="H56" i="41"/>
  <c r="I56" i="41" s="1"/>
  <c r="AD55" i="41"/>
  <c r="Z55" i="41"/>
  <c r="O55" i="41"/>
  <c r="N55" i="41"/>
  <c r="H55" i="41"/>
  <c r="I55" i="41" s="1"/>
  <c r="AD54" i="41"/>
  <c r="Z54" i="41"/>
  <c r="O54" i="41"/>
  <c r="N54" i="41"/>
  <c r="H54" i="41"/>
  <c r="I54" i="41" s="1"/>
  <c r="AD53" i="41"/>
  <c r="Z53" i="41"/>
  <c r="O53" i="41"/>
  <c r="N53" i="41"/>
  <c r="H53" i="41"/>
  <c r="I53" i="41" s="1"/>
  <c r="AD52" i="41"/>
  <c r="O52" i="41"/>
  <c r="Z52" i="41"/>
  <c r="N52" i="41"/>
  <c r="H52" i="41"/>
  <c r="I52" i="41" s="1"/>
  <c r="AD51" i="41"/>
  <c r="Z51" i="41"/>
  <c r="O51" i="41"/>
  <c r="N51" i="41"/>
  <c r="H51" i="41"/>
  <c r="I51" i="41" s="1"/>
  <c r="AD50" i="41"/>
  <c r="Z50" i="41"/>
  <c r="O50" i="41"/>
  <c r="N50" i="41"/>
  <c r="H50" i="41"/>
  <c r="I50" i="41" s="1"/>
  <c r="AD49" i="41"/>
  <c r="Z49" i="41"/>
  <c r="O49" i="41"/>
  <c r="N49" i="41"/>
  <c r="H49" i="41"/>
  <c r="I49" i="41" s="1"/>
  <c r="AD48" i="41"/>
  <c r="Z48" i="41"/>
  <c r="O48" i="41"/>
  <c r="N48" i="41"/>
  <c r="H48" i="41"/>
  <c r="I48" i="41" s="1"/>
  <c r="AD47" i="41"/>
  <c r="O47" i="41"/>
  <c r="Z47" i="41"/>
  <c r="N47" i="41"/>
  <c r="H47" i="41"/>
  <c r="I47" i="41" s="1"/>
  <c r="AD46" i="41"/>
  <c r="Z46" i="41"/>
  <c r="O46" i="41"/>
  <c r="N46" i="41"/>
  <c r="H46" i="41"/>
  <c r="I46" i="41" s="1"/>
  <c r="AD45" i="41"/>
  <c r="O45" i="41"/>
  <c r="Z45" i="41"/>
  <c r="N45" i="41"/>
  <c r="H45" i="41"/>
  <c r="I45" i="41" s="1"/>
  <c r="AD44" i="41"/>
  <c r="Z44" i="41"/>
  <c r="O44" i="41"/>
  <c r="N44" i="41"/>
  <c r="H44" i="41"/>
  <c r="I44" i="41" s="1"/>
  <c r="AD43" i="41"/>
  <c r="Z43" i="41"/>
  <c r="O43" i="41"/>
  <c r="N43" i="41"/>
  <c r="H43" i="41"/>
  <c r="I43" i="41" s="1"/>
  <c r="AD42" i="41"/>
  <c r="Z42" i="41"/>
  <c r="O42" i="41"/>
  <c r="N42" i="41"/>
  <c r="H42" i="41"/>
  <c r="I42" i="41" s="1"/>
  <c r="AD41" i="41"/>
  <c r="Z41" i="41"/>
  <c r="O41" i="41"/>
  <c r="N41" i="41"/>
  <c r="H41" i="41"/>
  <c r="I41" i="41" s="1"/>
  <c r="AD40" i="41"/>
  <c r="O40" i="41"/>
  <c r="Z40" i="41"/>
  <c r="N40" i="41"/>
  <c r="H40" i="41"/>
  <c r="I40" i="41" s="1"/>
  <c r="AD39" i="41"/>
  <c r="Z39" i="41"/>
  <c r="O39" i="41"/>
  <c r="N39" i="41"/>
  <c r="H39" i="41"/>
  <c r="I39" i="41" s="1"/>
  <c r="AD38" i="41"/>
  <c r="Z38" i="41"/>
  <c r="O38" i="41"/>
  <c r="N38" i="41"/>
  <c r="H38" i="41"/>
  <c r="I38" i="41" s="1"/>
  <c r="AD37" i="41"/>
  <c r="Z37" i="41"/>
  <c r="O37" i="41"/>
  <c r="N37" i="41"/>
  <c r="H37" i="41"/>
  <c r="I37" i="41" s="1"/>
  <c r="AD36" i="41"/>
  <c r="Z36" i="41"/>
  <c r="O36" i="41"/>
  <c r="N36" i="41"/>
  <c r="H36" i="41"/>
  <c r="I36" i="41" s="1"/>
  <c r="AD35" i="41"/>
  <c r="O35" i="41"/>
  <c r="Z35" i="41"/>
  <c r="N35" i="41"/>
  <c r="H35" i="41"/>
  <c r="I35" i="41" s="1"/>
  <c r="AD34" i="41"/>
  <c r="Z34" i="41"/>
  <c r="O34" i="41"/>
  <c r="N34" i="41"/>
  <c r="H34" i="41"/>
  <c r="I34" i="41" s="1"/>
  <c r="AD33" i="41"/>
  <c r="O33" i="41"/>
  <c r="Z33" i="41"/>
  <c r="N33" i="41"/>
  <c r="H33" i="41"/>
  <c r="I33" i="41" s="1"/>
  <c r="AD32" i="41"/>
  <c r="Z32" i="41"/>
  <c r="H32" i="41"/>
  <c r="I32" i="41" s="1"/>
  <c r="N32" i="41" s="1"/>
  <c r="AD31" i="41"/>
  <c r="Z31" i="41"/>
  <c r="N31" i="41"/>
  <c r="H31" i="41"/>
  <c r="I31" i="41" s="1"/>
  <c r="AD30" i="41"/>
  <c r="O31" i="41"/>
  <c r="Z30" i="41"/>
  <c r="H30" i="41"/>
  <c r="I30" i="41" s="1"/>
  <c r="N30" i="41" s="1"/>
  <c r="AD74" i="40"/>
  <c r="O74" i="40"/>
  <c r="Z74" i="40"/>
  <c r="N74" i="40"/>
  <c r="H74" i="40"/>
  <c r="I74" i="40" s="1"/>
  <c r="AD73" i="40"/>
  <c r="Z73" i="40"/>
  <c r="O73" i="40"/>
  <c r="N73" i="40"/>
  <c r="H73" i="40"/>
  <c r="I73" i="40" s="1"/>
  <c r="AD72" i="40"/>
  <c r="Z72" i="40"/>
  <c r="O72" i="40"/>
  <c r="N72" i="40"/>
  <c r="H72" i="40"/>
  <c r="I72" i="40" s="1"/>
  <c r="AD71" i="40"/>
  <c r="O71" i="40"/>
  <c r="Z71" i="40"/>
  <c r="N71" i="40"/>
  <c r="H71" i="40"/>
  <c r="I71" i="40" s="1"/>
  <c r="AD70" i="40"/>
  <c r="Z70" i="40"/>
  <c r="O70" i="40"/>
  <c r="N70" i="40"/>
  <c r="H70" i="40"/>
  <c r="I70" i="40" s="1"/>
  <c r="AD69" i="40"/>
  <c r="O69" i="40"/>
  <c r="Z69" i="40"/>
  <c r="N69" i="40"/>
  <c r="H69" i="40"/>
  <c r="I69" i="40" s="1"/>
  <c r="AD68" i="40"/>
  <c r="Z68" i="40"/>
  <c r="O68" i="40"/>
  <c r="N68" i="40"/>
  <c r="H68" i="40"/>
  <c r="I68" i="40" s="1"/>
  <c r="AD67" i="40"/>
  <c r="Z67" i="40"/>
  <c r="O67" i="40"/>
  <c r="N67" i="40"/>
  <c r="H67" i="40"/>
  <c r="I67" i="40" s="1"/>
  <c r="AD66" i="40"/>
  <c r="Z66" i="40"/>
  <c r="O66" i="40"/>
  <c r="N66" i="40"/>
  <c r="H66" i="40"/>
  <c r="I66" i="40" s="1"/>
  <c r="AD65" i="40"/>
  <c r="Z65" i="40"/>
  <c r="O65" i="40"/>
  <c r="N65" i="40"/>
  <c r="H65" i="40"/>
  <c r="I65" i="40" s="1"/>
  <c r="AD64" i="40"/>
  <c r="O64" i="40"/>
  <c r="Z64" i="40"/>
  <c r="N64" i="40"/>
  <c r="H64" i="40"/>
  <c r="I64" i="40" s="1"/>
  <c r="AD63" i="40"/>
  <c r="Z63" i="40"/>
  <c r="O63" i="40"/>
  <c r="N63" i="40"/>
  <c r="H63" i="40"/>
  <c r="I63" i="40" s="1"/>
  <c r="AD62" i="40"/>
  <c r="O62" i="40"/>
  <c r="Z62" i="40"/>
  <c r="N62" i="40"/>
  <c r="H62" i="40"/>
  <c r="I62" i="40" s="1"/>
  <c r="AD61" i="40"/>
  <c r="Z61" i="40"/>
  <c r="O61" i="40"/>
  <c r="N61" i="40"/>
  <c r="H61" i="40"/>
  <c r="I61" i="40" s="1"/>
  <c r="AD60" i="40"/>
  <c r="Z60" i="40"/>
  <c r="O60" i="40"/>
  <c r="N60" i="40"/>
  <c r="H60" i="40"/>
  <c r="I60" i="40" s="1"/>
  <c r="AD59" i="40"/>
  <c r="O59" i="40"/>
  <c r="Z59" i="40"/>
  <c r="N59" i="40"/>
  <c r="H59" i="40"/>
  <c r="I59" i="40" s="1"/>
  <c r="AD58" i="40"/>
  <c r="Z58" i="40"/>
  <c r="O58" i="40"/>
  <c r="N58" i="40"/>
  <c r="H58" i="40"/>
  <c r="I58" i="40" s="1"/>
  <c r="AD57" i="40"/>
  <c r="O57" i="40"/>
  <c r="Z57" i="40"/>
  <c r="N57" i="40"/>
  <c r="H57" i="40"/>
  <c r="I57" i="40" s="1"/>
  <c r="AD56" i="40"/>
  <c r="Z56" i="40"/>
  <c r="O56" i="40"/>
  <c r="N56" i="40"/>
  <c r="H56" i="40"/>
  <c r="I56" i="40" s="1"/>
  <c r="AD55" i="40"/>
  <c r="Z55" i="40"/>
  <c r="O55" i="40"/>
  <c r="N55" i="40"/>
  <c r="H55" i="40"/>
  <c r="I55" i="40" s="1"/>
  <c r="AD54" i="40"/>
  <c r="Z54" i="40"/>
  <c r="O54" i="40"/>
  <c r="N54" i="40"/>
  <c r="H54" i="40"/>
  <c r="I54" i="40" s="1"/>
  <c r="AD53" i="40"/>
  <c r="Z53" i="40"/>
  <c r="O53" i="40"/>
  <c r="N53" i="40"/>
  <c r="H53" i="40"/>
  <c r="I53" i="40" s="1"/>
  <c r="AD52" i="40"/>
  <c r="O52" i="40"/>
  <c r="Z52" i="40"/>
  <c r="N52" i="40"/>
  <c r="H52" i="40"/>
  <c r="I52" i="40" s="1"/>
  <c r="AD51" i="40"/>
  <c r="Z51" i="40"/>
  <c r="O51" i="40"/>
  <c r="N51" i="40"/>
  <c r="H51" i="40"/>
  <c r="I51" i="40" s="1"/>
  <c r="AD50" i="40"/>
  <c r="O50" i="40"/>
  <c r="Z50" i="40"/>
  <c r="N50" i="40"/>
  <c r="H50" i="40"/>
  <c r="I50" i="40" s="1"/>
  <c r="AD49" i="40"/>
  <c r="Z49" i="40"/>
  <c r="O49" i="40"/>
  <c r="N49" i="40"/>
  <c r="H49" i="40"/>
  <c r="I49" i="40" s="1"/>
  <c r="AD48" i="40"/>
  <c r="Z48" i="40"/>
  <c r="O48" i="40"/>
  <c r="N48" i="40"/>
  <c r="H48" i="40"/>
  <c r="I48" i="40" s="1"/>
  <c r="AD47" i="40"/>
  <c r="O47" i="40"/>
  <c r="Z47" i="40"/>
  <c r="N47" i="40"/>
  <c r="H47" i="40"/>
  <c r="I47" i="40" s="1"/>
  <c r="AD46" i="40"/>
  <c r="Z46" i="40"/>
  <c r="O46" i="40"/>
  <c r="N46" i="40"/>
  <c r="H46" i="40"/>
  <c r="I46" i="40" s="1"/>
  <c r="AD45" i="40"/>
  <c r="O45" i="40"/>
  <c r="Z45" i="40"/>
  <c r="N45" i="40"/>
  <c r="H45" i="40"/>
  <c r="I45" i="40" s="1"/>
  <c r="AD44" i="40"/>
  <c r="Z44" i="40"/>
  <c r="O44" i="40"/>
  <c r="N44" i="40"/>
  <c r="H44" i="40"/>
  <c r="I44" i="40" s="1"/>
  <c r="AD43" i="40"/>
  <c r="O43" i="40"/>
  <c r="Z43" i="40"/>
  <c r="N43" i="40"/>
  <c r="H43" i="40"/>
  <c r="I43" i="40" s="1"/>
  <c r="AD42" i="40"/>
  <c r="Z42" i="40"/>
  <c r="O42" i="40"/>
  <c r="N42" i="40"/>
  <c r="H42" i="40"/>
  <c r="I42" i="40" s="1"/>
  <c r="AD41" i="40"/>
  <c r="Z41" i="40"/>
  <c r="O41" i="40"/>
  <c r="N41" i="40"/>
  <c r="H41" i="40"/>
  <c r="I41" i="40" s="1"/>
  <c r="AD40" i="40"/>
  <c r="O40" i="40"/>
  <c r="Z40" i="40"/>
  <c r="N40" i="40"/>
  <c r="H40" i="40"/>
  <c r="I40" i="40" s="1"/>
  <c r="AD39" i="40"/>
  <c r="O39" i="40"/>
  <c r="Z39" i="40"/>
  <c r="N39" i="40"/>
  <c r="H39" i="40"/>
  <c r="I39" i="40" s="1"/>
  <c r="AD38" i="40"/>
  <c r="O38" i="40"/>
  <c r="Z38" i="40"/>
  <c r="N38" i="40"/>
  <c r="H38" i="40"/>
  <c r="I38" i="40" s="1"/>
  <c r="AD37" i="40"/>
  <c r="O37" i="40"/>
  <c r="Z37" i="40"/>
  <c r="N37" i="40"/>
  <c r="H37" i="40"/>
  <c r="I37" i="40" s="1"/>
  <c r="AD36" i="40"/>
  <c r="Z36" i="40"/>
  <c r="O36" i="40"/>
  <c r="N36" i="40"/>
  <c r="H36" i="40"/>
  <c r="I36" i="40" s="1"/>
  <c r="AD35" i="40"/>
  <c r="O35" i="40"/>
  <c r="Z35" i="40"/>
  <c r="N35" i="40"/>
  <c r="H35" i="40"/>
  <c r="I35" i="40" s="1"/>
  <c r="AD34" i="40"/>
  <c r="Z34" i="40"/>
  <c r="O34" i="40"/>
  <c r="N34" i="40"/>
  <c r="H34" i="40"/>
  <c r="I34" i="40" s="1"/>
  <c r="AD33" i="40"/>
  <c r="O33" i="40"/>
  <c r="Z33" i="40"/>
  <c r="N33" i="40"/>
  <c r="H33" i="40"/>
  <c r="I33" i="40" s="1"/>
  <c r="AD32" i="40"/>
  <c r="Z32" i="40"/>
  <c r="O32" i="40"/>
  <c r="H32" i="40"/>
  <c r="I32" i="40" s="1"/>
  <c r="N32" i="40" s="1"/>
  <c r="AD31" i="40"/>
  <c r="Z31" i="40"/>
  <c r="N31" i="40"/>
  <c r="H31" i="40"/>
  <c r="I31" i="40" s="1"/>
  <c r="AD30" i="40"/>
  <c r="Z30" i="40"/>
  <c r="O30" i="40"/>
  <c r="H30" i="40"/>
  <c r="I30" i="40" s="1"/>
  <c r="N30" i="40" s="1"/>
  <c r="AD74" i="37"/>
  <c r="Z74" i="37"/>
  <c r="O74" i="37"/>
  <c r="N74" i="37"/>
  <c r="H74" i="37"/>
  <c r="I74" i="37" s="1"/>
  <c r="AD73" i="37"/>
  <c r="Z73" i="37"/>
  <c r="O73" i="37"/>
  <c r="N73" i="37"/>
  <c r="H73" i="37"/>
  <c r="I73" i="37" s="1"/>
  <c r="AD72" i="37"/>
  <c r="Z72" i="37"/>
  <c r="O72" i="37"/>
  <c r="N72" i="37"/>
  <c r="H72" i="37"/>
  <c r="I72" i="37" s="1"/>
  <c r="AD71" i="37"/>
  <c r="O71" i="37"/>
  <c r="Z71" i="37"/>
  <c r="N71" i="37"/>
  <c r="H71" i="37"/>
  <c r="I71" i="37" s="1"/>
  <c r="AD70" i="37"/>
  <c r="Z70" i="37"/>
  <c r="O70" i="37"/>
  <c r="N70" i="37"/>
  <c r="H70" i="37"/>
  <c r="I70" i="37" s="1"/>
  <c r="AD69" i="37"/>
  <c r="O69" i="37"/>
  <c r="Z69" i="37"/>
  <c r="N69" i="37"/>
  <c r="H69" i="37"/>
  <c r="I69" i="37" s="1"/>
  <c r="AD68" i="37"/>
  <c r="Z68" i="37"/>
  <c r="O68" i="37"/>
  <c r="N68" i="37"/>
  <c r="H68" i="37"/>
  <c r="I68" i="37" s="1"/>
  <c r="AD67" i="37"/>
  <c r="O67" i="37"/>
  <c r="Z67" i="37"/>
  <c r="N67" i="37"/>
  <c r="H67" i="37"/>
  <c r="I67" i="37" s="1"/>
  <c r="AD66" i="37"/>
  <c r="Z66" i="37"/>
  <c r="O66" i="37"/>
  <c r="N66" i="37"/>
  <c r="H66" i="37"/>
  <c r="I66" i="37" s="1"/>
  <c r="AD65" i="37"/>
  <c r="Z65" i="37"/>
  <c r="O65" i="37"/>
  <c r="N65" i="37"/>
  <c r="H65" i="37"/>
  <c r="I65" i="37" s="1"/>
  <c r="AD64" i="37"/>
  <c r="O64" i="37"/>
  <c r="Z64" i="37"/>
  <c r="N64" i="37"/>
  <c r="H64" i="37"/>
  <c r="I64" i="37" s="1"/>
  <c r="AD63" i="37"/>
  <c r="Z63" i="37"/>
  <c r="O63" i="37"/>
  <c r="N63" i="37"/>
  <c r="H63" i="37"/>
  <c r="I63" i="37" s="1"/>
  <c r="AD62" i="37"/>
  <c r="Z62" i="37"/>
  <c r="O62" i="37"/>
  <c r="N62" i="37"/>
  <c r="H62" i="37"/>
  <c r="I62" i="37" s="1"/>
  <c r="AD61" i="37"/>
  <c r="Z61" i="37"/>
  <c r="O61" i="37"/>
  <c r="N61" i="37"/>
  <c r="H61" i="37"/>
  <c r="I61" i="37" s="1"/>
  <c r="AD60" i="37"/>
  <c r="Z60" i="37"/>
  <c r="O60" i="37"/>
  <c r="N60" i="37"/>
  <c r="H60" i="37"/>
  <c r="I60" i="37" s="1"/>
  <c r="AD59" i="37"/>
  <c r="O59" i="37"/>
  <c r="Z59" i="37"/>
  <c r="N59" i="37"/>
  <c r="H59" i="37"/>
  <c r="I59" i="37" s="1"/>
  <c r="AD58" i="37"/>
  <c r="Z58" i="37"/>
  <c r="O58" i="37"/>
  <c r="N58" i="37"/>
  <c r="H58" i="37"/>
  <c r="I58" i="37" s="1"/>
  <c r="AD57" i="37"/>
  <c r="O57" i="37"/>
  <c r="Z57" i="37"/>
  <c r="N57" i="37"/>
  <c r="H57" i="37"/>
  <c r="I57" i="37" s="1"/>
  <c r="AD56" i="37"/>
  <c r="Z56" i="37"/>
  <c r="O56" i="37"/>
  <c r="N56" i="37"/>
  <c r="H56" i="37"/>
  <c r="I56" i="37" s="1"/>
  <c r="AD55" i="37"/>
  <c r="O55" i="37"/>
  <c r="Z55" i="37"/>
  <c r="N55" i="37"/>
  <c r="H55" i="37"/>
  <c r="I55" i="37" s="1"/>
  <c r="AD54" i="37"/>
  <c r="Z54" i="37"/>
  <c r="O54" i="37"/>
  <c r="N54" i="37"/>
  <c r="H54" i="37"/>
  <c r="I54" i="37" s="1"/>
  <c r="AD53" i="37"/>
  <c r="Z53" i="37"/>
  <c r="O53" i="37"/>
  <c r="N53" i="37"/>
  <c r="H53" i="37"/>
  <c r="I53" i="37" s="1"/>
  <c r="AD52" i="37"/>
  <c r="O52" i="37"/>
  <c r="Z52" i="37"/>
  <c r="N52" i="37"/>
  <c r="H52" i="37"/>
  <c r="I52" i="37" s="1"/>
  <c r="AD51" i="37"/>
  <c r="Z51" i="37"/>
  <c r="O51" i="37"/>
  <c r="N51" i="37"/>
  <c r="H51" i="37"/>
  <c r="I51" i="37" s="1"/>
  <c r="AD50" i="37"/>
  <c r="Z50" i="37"/>
  <c r="O50" i="37"/>
  <c r="N50" i="37"/>
  <c r="H50" i="37"/>
  <c r="I50" i="37" s="1"/>
  <c r="AD49" i="37"/>
  <c r="Z49" i="37"/>
  <c r="O49" i="37"/>
  <c r="N49" i="37"/>
  <c r="H49" i="37"/>
  <c r="I49" i="37" s="1"/>
  <c r="AD48" i="37"/>
  <c r="Z48" i="37"/>
  <c r="O48" i="37"/>
  <c r="N48" i="37"/>
  <c r="H48" i="37"/>
  <c r="I48" i="37" s="1"/>
  <c r="AD47" i="37"/>
  <c r="O47" i="37"/>
  <c r="Z47" i="37"/>
  <c r="N47" i="37"/>
  <c r="H47" i="37"/>
  <c r="I47" i="37" s="1"/>
  <c r="AD46" i="37"/>
  <c r="Z46" i="37"/>
  <c r="O46" i="37"/>
  <c r="N46" i="37"/>
  <c r="H46" i="37"/>
  <c r="I46" i="37" s="1"/>
  <c r="AD45" i="37"/>
  <c r="O45" i="37"/>
  <c r="Z45" i="37"/>
  <c r="N45" i="37"/>
  <c r="H45" i="37"/>
  <c r="I45" i="37" s="1"/>
  <c r="AD44" i="37"/>
  <c r="Z44" i="37"/>
  <c r="O44" i="37"/>
  <c r="N44" i="37"/>
  <c r="H44" i="37"/>
  <c r="I44" i="37" s="1"/>
  <c r="AD43" i="37"/>
  <c r="O43" i="37"/>
  <c r="Z43" i="37"/>
  <c r="N43" i="37"/>
  <c r="H43" i="37"/>
  <c r="I43" i="37" s="1"/>
  <c r="AD42" i="37"/>
  <c r="Z42" i="37"/>
  <c r="O42" i="37"/>
  <c r="N42" i="37"/>
  <c r="H42" i="37"/>
  <c r="I42" i="37" s="1"/>
  <c r="AD41" i="37"/>
  <c r="Z41" i="37"/>
  <c r="O41" i="37"/>
  <c r="N41" i="37"/>
  <c r="H41" i="37"/>
  <c r="I41" i="37" s="1"/>
  <c r="AD40" i="37"/>
  <c r="O40" i="37"/>
  <c r="Z40" i="37"/>
  <c r="N40" i="37"/>
  <c r="H40" i="37"/>
  <c r="I40" i="37" s="1"/>
  <c r="AD39" i="37"/>
  <c r="Z39" i="37"/>
  <c r="O39" i="37"/>
  <c r="N39" i="37"/>
  <c r="H39" i="37"/>
  <c r="I39" i="37" s="1"/>
  <c r="AD38" i="37"/>
  <c r="Z38" i="37"/>
  <c r="O38" i="37"/>
  <c r="N38" i="37"/>
  <c r="H38" i="37"/>
  <c r="I38" i="37" s="1"/>
  <c r="AD37" i="37"/>
  <c r="Z37" i="37"/>
  <c r="O37" i="37"/>
  <c r="N37" i="37"/>
  <c r="H37" i="37"/>
  <c r="I37" i="37" s="1"/>
  <c r="AD36" i="37"/>
  <c r="O36" i="37"/>
  <c r="Z36" i="37"/>
  <c r="N36" i="37"/>
  <c r="H36" i="37"/>
  <c r="I36" i="37" s="1"/>
  <c r="AD35" i="37"/>
  <c r="O35" i="37"/>
  <c r="Z35" i="37"/>
  <c r="N35" i="37"/>
  <c r="H35" i="37"/>
  <c r="I35" i="37" s="1"/>
  <c r="AD34" i="37"/>
  <c r="Z34" i="37"/>
  <c r="O34" i="37"/>
  <c r="N34" i="37"/>
  <c r="H34" i="37"/>
  <c r="I34" i="37" s="1"/>
  <c r="AD33" i="37"/>
  <c r="O33" i="37"/>
  <c r="Z33" i="37"/>
  <c r="N33" i="37"/>
  <c r="H33" i="37"/>
  <c r="I33" i="37" s="1"/>
  <c r="AD32" i="37"/>
  <c r="Z32" i="37"/>
  <c r="O32" i="37"/>
  <c r="H32" i="37"/>
  <c r="I32" i="37" s="1"/>
  <c r="N32" i="37" s="1"/>
  <c r="AD31" i="37"/>
  <c r="O31" i="37"/>
  <c r="Z31" i="37"/>
  <c r="N31" i="37"/>
  <c r="H31" i="37"/>
  <c r="I31" i="37" s="1"/>
  <c r="AD30" i="37"/>
  <c r="O30" i="37"/>
  <c r="Z30" i="37"/>
  <c r="H30" i="37"/>
  <c r="I30" i="37" s="1"/>
  <c r="N30" i="37" s="1"/>
  <c r="AD74" i="36"/>
  <c r="O74" i="36"/>
  <c r="Z74" i="36"/>
  <c r="N74" i="36"/>
  <c r="H74" i="36"/>
  <c r="I74" i="36" s="1"/>
  <c r="AD73" i="36"/>
  <c r="Z73" i="36"/>
  <c r="O73" i="36"/>
  <c r="N73" i="36"/>
  <c r="H73" i="36"/>
  <c r="I73" i="36" s="1"/>
  <c r="AD72" i="36"/>
  <c r="Z72" i="36"/>
  <c r="O72" i="36"/>
  <c r="N72" i="36"/>
  <c r="H72" i="36"/>
  <c r="I72" i="36" s="1"/>
  <c r="AD71" i="36"/>
  <c r="O71" i="36"/>
  <c r="Z71" i="36"/>
  <c r="N71" i="36"/>
  <c r="H71" i="36"/>
  <c r="I71" i="36" s="1"/>
  <c r="AD70" i="36"/>
  <c r="Z70" i="36"/>
  <c r="O70" i="36"/>
  <c r="N70" i="36"/>
  <c r="H70" i="36"/>
  <c r="I70" i="36" s="1"/>
  <c r="AD69" i="36"/>
  <c r="Z69" i="36"/>
  <c r="O69" i="36"/>
  <c r="N69" i="36"/>
  <c r="H69" i="36"/>
  <c r="I69" i="36" s="1"/>
  <c r="AD68" i="36"/>
  <c r="Z68" i="36"/>
  <c r="O68" i="36"/>
  <c r="N68" i="36"/>
  <c r="I68" i="36"/>
  <c r="H68" i="36"/>
  <c r="AD67" i="36"/>
  <c r="Z67" i="36"/>
  <c r="O67" i="36"/>
  <c r="N67" i="36"/>
  <c r="H67" i="36"/>
  <c r="I67" i="36" s="1"/>
  <c r="AD66" i="36"/>
  <c r="Z66" i="36"/>
  <c r="O66" i="36"/>
  <c r="N66" i="36"/>
  <c r="H66" i="36"/>
  <c r="I66" i="36" s="1"/>
  <c r="AD65" i="36"/>
  <c r="Z65" i="36"/>
  <c r="O65" i="36"/>
  <c r="N65" i="36"/>
  <c r="H65" i="36"/>
  <c r="I65" i="36" s="1"/>
  <c r="AD64" i="36"/>
  <c r="O64" i="36"/>
  <c r="Z64" i="36"/>
  <c r="N64" i="36"/>
  <c r="H64" i="36"/>
  <c r="I64" i="36" s="1"/>
  <c r="AD63" i="36"/>
  <c r="Z63" i="36"/>
  <c r="O63" i="36"/>
  <c r="N63" i="36"/>
  <c r="H63" i="36"/>
  <c r="I63" i="36" s="1"/>
  <c r="AD62" i="36"/>
  <c r="O62" i="36"/>
  <c r="Z62" i="36"/>
  <c r="N62" i="36"/>
  <c r="H62" i="36"/>
  <c r="I62" i="36" s="1"/>
  <c r="AD61" i="36"/>
  <c r="Z61" i="36"/>
  <c r="O61" i="36"/>
  <c r="N61" i="36"/>
  <c r="H61" i="36"/>
  <c r="I61" i="36" s="1"/>
  <c r="AD60" i="36"/>
  <c r="Z60" i="36"/>
  <c r="O60" i="36"/>
  <c r="N60" i="36"/>
  <c r="H60" i="36"/>
  <c r="I60" i="36" s="1"/>
  <c r="AD59" i="36"/>
  <c r="O59" i="36"/>
  <c r="Z59" i="36"/>
  <c r="N59" i="36"/>
  <c r="H59" i="36"/>
  <c r="I59" i="36" s="1"/>
  <c r="AD58" i="36"/>
  <c r="Z58" i="36"/>
  <c r="O58" i="36"/>
  <c r="N58" i="36"/>
  <c r="H58" i="36"/>
  <c r="I58" i="36" s="1"/>
  <c r="AD57" i="36"/>
  <c r="Z57" i="36"/>
  <c r="O57" i="36"/>
  <c r="N57" i="36"/>
  <c r="H57" i="36"/>
  <c r="I57" i="36" s="1"/>
  <c r="AD56" i="36"/>
  <c r="Z56" i="36"/>
  <c r="O56" i="36"/>
  <c r="N56" i="36"/>
  <c r="H56" i="36"/>
  <c r="I56" i="36" s="1"/>
  <c r="AD55" i="36"/>
  <c r="Z55" i="36"/>
  <c r="O55" i="36"/>
  <c r="N55" i="36"/>
  <c r="H55" i="36"/>
  <c r="I55" i="36" s="1"/>
  <c r="AD54" i="36"/>
  <c r="Z54" i="36"/>
  <c r="O54" i="36"/>
  <c r="N54" i="36"/>
  <c r="H54" i="36"/>
  <c r="I54" i="36" s="1"/>
  <c r="AD53" i="36"/>
  <c r="Z53" i="36"/>
  <c r="O53" i="36"/>
  <c r="N53" i="36"/>
  <c r="H53" i="36"/>
  <c r="I53" i="36" s="1"/>
  <c r="AD52" i="36"/>
  <c r="O52" i="36"/>
  <c r="Z52" i="36"/>
  <c r="N52" i="36"/>
  <c r="H52" i="36"/>
  <c r="I52" i="36" s="1"/>
  <c r="AD51" i="36"/>
  <c r="Z51" i="36"/>
  <c r="O51" i="36"/>
  <c r="N51" i="36"/>
  <c r="H51" i="36"/>
  <c r="I51" i="36" s="1"/>
  <c r="AD50" i="36"/>
  <c r="O50" i="36"/>
  <c r="Z50" i="36"/>
  <c r="N50" i="36"/>
  <c r="H50" i="36"/>
  <c r="I50" i="36" s="1"/>
  <c r="AD49" i="36"/>
  <c r="Z49" i="36"/>
  <c r="O49" i="36"/>
  <c r="N49" i="36"/>
  <c r="H49" i="36"/>
  <c r="I49" i="36" s="1"/>
  <c r="AD48" i="36"/>
  <c r="Z48" i="36"/>
  <c r="O48" i="36"/>
  <c r="N48" i="36"/>
  <c r="H48" i="36"/>
  <c r="I48" i="36" s="1"/>
  <c r="AD47" i="36"/>
  <c r="O47" i="36"/>
  <c r="Z47" i="36"/>
  <c r="N47" i="36"/>
  <c r="H47" i="36"/>
  <c r="I47" i="36" s="1"/>
  <c r="AD46" i="36"/>
  <c r="Z46" i="36"/>
  <c r="O46" i="36"/>
  <c r="N46" i="36"/>
  <c r="H46" i="36"/>
  <c r="I46" i="36" s="1"/>
  <c r="AD45" i="36"/>
  <c r="Z45" i="36"/>
  <c r="O45" i="36"/>
  <c r="N45" i="36"/>
  <c r="H45" i="36"/>
  <c r="I45" i="36" s="1"/>
  <c r="AD44" i="36"/>
  <c r="Z44" i="36"/>
  <c r="O44" i="36"/>
  <c r="N44" i="36"/>
  <c r="H44" i="36"/>
  <c r="I44" i="36" s="1"/>
  <c r="AD43" i="36"/>
  <c r="Z43" i="36"/>
  <c r="O43" i="36"/>
  <c r="N43" i="36"/>
  <c r="H43" i="36"/>
  <c r="I43" i="36" s="1"/>
  <c r="AD42" i="36"/>
  <c r="Z42" i="36"/>
  <c r="O42" i="36"/>
  <c r="N42" i="36"/>
  <c r="H42" i="36"/>
  <c r="I42" i="36" s="1"/>
  <c r="AD41" i="36"/>
  <c r="Z41" i="36"/>
  <c r="O41" i="36"/>
  <c r="N41" i="36"/>
  <c r="H41" i="36"/>
  <c r="I41" i="36" s="1"/>
  <c r="AD40" i="36"/>
  <c r="O40" i="36"/>
  <c r="Z40" i="36"/>
  <c r="N40" i="36"/>
  <c r="H40" i="36"/>
  <c r="I40" i="36" s="1"/>
  <c r="AD39" i="36"/>
  <c r="Z39" i="36"/>
  <c r="O39" i="36"/>
  <c r="N39" i="36"/>
  <c r="H39" i="36"/>
  <c r="I39" i="36" s="1"/>
  <c r="AD38" i="36"/>
  <c r="O38" i="36"/>
  <c r="Z38" i="36"/>
  <c r="N38" i="36"/>
  <c r="H38" i="36"/>
  <c r="I38" i="36" s="1"/>
  <c r="AD37" i="36"/>
  <c r="Z37" i="36"/>
  <c r="O37" i="36"/>
  <c r="N37" i="36"/>
  <c r="H37" i="36"/>
  <c r="I37" i="36" s="1"/>
  <c r="AD36" i="36"/>
  <c r="Z36" i="36"/>
  <c r="O36" i="36"/>
  <c r="N36" i="36"/>
  <c r="H36" i="36"/>
  <c r="I36" i="36" s="1"/>
  <c r="AD35" i="36"/>
  <c r="O35" i="36"/>
  <c r="Z35" i="36"/>
  <c r="N35" i="36"/>
  <c r="I35" i="36"/>
  <c r="H35" i="36"/>
  <c r="AD34" i="36"/>
  <c r="Z34" i="36"/>
  <c r="O34" i="36"/>
  <c r="N34" i="36"/>
  <c r="H34" i="36"/>
  <c r="I34" i="36" s="1"/>
  <c r="AD33" i="36"/>
  <c r="Z33" i="36"/>
  <c r="O33" i="36"/>
  <c r="N33" i="36"/>
  <c r="H33" i="36"/>
  <c r="I33" i="36" s="1"/>
  <c r="AD32" i="36"/>
  <c r="O32" i="36"/>
  <c r="Z32" i="36"/>
  <c r="H32" i="36"/>
  <c r="I32" i="36" s="1"/>
  <c r="N32" i="36" s="1"/>
  <c r="AD31" i="36"/>
  <c r="Z31" i="36"/>
  <c r="N31" i="36"/>
  <c r="H31" i="36"/>
  <c r="I31" i="36" s="1"/>
  <c r="AD30" i="36"/>
  <c r="O30" i="36"/>
  <c r="Z30" i="36"/>
  <c r="H30" i="36"/>
  <c r="I30" i="36" s="1"/>
  <c r="N30" i="36" s="1"/>
  <c r="E27" i="25"/>
  <c r="P63" i="57"/>
  <c r="D35" i="5"/>
  <c r="D34" i="5"/>
  <c r="G48" i="62" l="1"/>
  <c r="G42" i="62"/>
  <c r="G27" i="62"/>
  <c r="G30" i="62"/>
  <c r="G39" i="62"/>
  <c r="G54" i="62"/>
  <c r="G36" i="62"/>
  <c r="G33" i="62"/>
  <c r="G45" i="62"/>
  <c r="G60" i="62"/>
  <c r="G57" i="62"/>
  <c r="G51" i="62"/>
  <c r="AL22" i="62"/>
  <c r="AL21" i="62"/>
  <c r="H21" i="62"/>
  <c r="H22" i="62"/>
  <c r="BF22" i="55"/>
  <c r="W21" i="62"/>
  <c r="W22" i="62"/>
  <c r="J36" i="55"/>
  <c r="K36" i="55" s="1"/>
  <c r="L36" i="55" s="1"/>
  <c r="M36" i="55" s="1"/>
  <c r="N36" i="55" s="1"/>
  <c r="O36" i="55" s="1"/>
  <c r="P36" i="55" s="1"/>
  <c r="Q36" i="55" s="1"/>
  <c r="R36" i="55" s="1"/>
  <c r="S36" i="55" s="1"/>
  <c r="T36" i="55" s="1"/>
  <c r="U36" i="55" s="1"/>
  <c r="V36" i="55" s="1"/>
  <c r="W36" i="55" s="1"/>
  <c r="X36" i="55" s="1"/>
  <c r="Y36" i="55" s="1"/>
  <c r="Z36" i="55" s="1"/>
  <c r="AA36" i="55" s="1"/>
  <c r="AB36" i="55" s="1"/>
  <c r="AC36" i="55" s="1"/>
  <c r="AD36" i="55" s="1"/>
  <c r="AE36" i="55" s="1"/>
  <c r="AF36" i="55" s="1"/>
  <c r="AG36" i="55" s="1"/>
  <c r="AH36" i="55" s="1"/>
  <c r="AI36" i="55" s="1"/>
  <c r="AJ36" i="55" s="1"/>
  <c r="AK36" i="55" s="1"/>
  <c r="AL36" i="55" s="1"/>
  <c r="AM36" i="55" s="1"/>
  <c r="AN36" i="55" s="1"/>
  <c r="G22" i="62"/>
  <c r="G21" i="62"/>
  <c r="AL18" i="62"/>
  <c r="AM18" i="62"/>
  <c r="AM21" i="62"/>
  <c r="H18" i="62"/>
  <c r="H69" i="62"/>
  <c r="H63" i="62"/>
  <c r="H66" i="62"/>
  <c r="G66" i="62"/>
  <c r="G63" i="62"/>
  <c r="G69" i="62"/>
  <c r="G18" i="62"/>
  <c r="AA16" i="55"/>
  <c r="Y83" i="55"/>
  <c r="J42" i="55"/>
  <c r="K26" i="55"/>
  <c r="I17" i="62"/>
  <c r="K23" i="55"/>
  <c r="AN17" i="62"/>
  <c r="AN22" i="62" s="1"/>
  <c r="K33" i="55"/>
  <c r="K30" i="55"/>
  <c r="X11" i="60"/>
  <c r="AL45" i="60"/>
  <c r="B47" i="60" s="1"/>
  <c r="AA47" i="60"/>
  <c r="O31" i="36"/>
  <c r="O32" i="41"/>
  <c r="O30" i="41"/>
  <c r="O31" i="40"/>
  <c r="T76" i="54"/>
  <c r="AN56" i="54"/>
  <c r="J56" i="54"/>
  <c r="Y17" i="2"/>
  <c r="Z7" i="1"/>
  <c r="O16" i="5"/>
  <c r="P16" i="5"/>
  <c r="AF16" i="5"/>
  <c r="AS68" i="55"/>
  <c r="AS65" i="55"/>
  <c r="AS35" i="54"/>
  <c r="AZ61" i="54" s="1"/>
  <c r="AS32" i="54"/>
  <c r="AN53" i="1"/>
  <c r="E1" i="59"/>
  <c r="A4" i="59"/>
  <c r="Z35" i="1" l="1"/>
  <c r="L45" i="50"/>
  <c r="J43" i="55"/>
  <c r="BG20" i="55"/>
  <c r="J40" i="55"/>
  <c r="J37" i="55"/>
  <c r="BR17" i="62"/>
  <c r="BR21" i="62" s="1"/>
  <c r="BQ17" i="62"/>
  <c r="I21" i="62"/>
  <c r="I22" i="62"/>
  <c r="CV17" i="62"/>
  <c r="K43" i="55"/>
  <c r="L43" i="55" s="1"/>
  <c r="M43" i="55" s="1"/>
  <c r="N43" i="55" s="1"/>
  <c r="O43" i="55" s="1"/>
  <c r="P43" i="55" s="1"/>
  <c r="Q43" i="55" s="1"/>
  <c r="R43" i="55" s="1"/>
  <c r="S43" i="55" s="1"/>
  <c r="T43" i="55" s="1"/>
  <c r="U43" i="55" s="1"/>
  <c r="V43" i="55" s="1"/>
  <c r="W43" i="55" s="1"/>
  <c r="X43" i="55" s="1"/>
  <c r="Y43" i="55" s="1"/>
  <c r="Z43" i="55" s="1"/>
  <c r="AA43" i="55" s="1"/>
  <c r="AB43" i="55" s="1"/>
  <c r="AC43" i="55" s="1"/>
  <c r="AD43" i="55" s="1"/>
  <c r="AE43" i="55" s="1"/>
  <c r="AF43" i="55" s="1"/>
  <c r="AG43" i="55" s="1"/>
  <c r="AH43" i="55" s="1"/>
  <c r="AI43" i="55" s="1"/>
  <c r="AJ43" i="55" s="1"/>
  <c r="AK43" i="55" s="1"/>
  <c r="AL43" i="55" s="1"/>
  <c r="AM43" i="55" s="1"/>
  <c r="AN43" i="55" s="1"/>
  <c r="AN18" i="62"/>
  <c r="AN21" i="62"/>
  <c r="I18" i="62"/>
  <c r="I63" i="62"/>
  <c r="I66" i="62"/>
  <c r="I69" i="62"/>
  <c r="J47" i="55"/>
  <c r="J44" i="55"/>
  <c r="BA44" i="55" s="1"/>
  <c r="BA43" i="55"/>
  <c r="AF16" i="55"/>
  <c r="AL16" i="55" s="1"/>
  <c r="AC83" i="55"/>
  <c r="J49" i="55"/>
  <c r="K37" i="55"/>
  <c r="K40" i="55"/>
  <c r="BS17" i="62"/>
  <c r="L33" i="55"/>
  <c r="L30" i="55"/>
  <c r="AO17" i="62"/>
  <c r="AO22" i="62" s="1"/>
  <c r="J17" i="62"/>
  <c r="L26" i="55"/>
  <c r="L23" i="55"/>
  <c r="W74" i="48"/>
  <c r="K74" i="48"/>
  <c r="H74" i="48"/>
  <c r="I74" i="48" s="1"/>
  <c r="W73" i="48"/>
  <c r="K73" i="48"/>
  <c r="H73" i="48"/>
  <c r="I73" i="48" s="1"/>
  <c r="W72" i="48"/>
  <c r="K72" i="48"/>
  <c r="H72" i="48"/>
  <c r="I72" i="48" s="1"/>
  <c r="W71" i="48"/>
  <c r="K71" i="48"/>
  <c r="H71" i="48"/>
  <c r="I71" i="48" s="1"/>
  <c r="W70" i="48"/>
  <c r="K70" i="48"/>
  <c r="H70" i="48"/>
  <c r="I70" i="48" s="1"/>
  <c r="W69" i="48"/>
  <c r="K69" i="48"/>
  <c r="H69" i="48"/>
  <c r="I69" i="48" s="1"/>
  <c r="W68" i="48"/>
  <c r="K68" i="48"/>
  <c r="H68" i="48"/>
  <c r="I68" i="48" s="1"/>
  <c r="W67" i="48"/>
  <c r="K67" i="48"/>
  <c r="H67" i="48"/>
  <c r="I67" i="48" s="1"/>
  <c r="W66" i="48"/>
  <c r="K66" i="48"/>
  <c r="H66" i="48"/>
  <c r="I66" i="48" s="1"/>
  <c r="W65" i="48"/>
  <c r="K65" i="48"/>
  <c r="H65" i="48"/>
  <c r="I65" i="48" s="1"/>
  <c r="W64" i="48"/>
  <c r="K64" i="48"/>
  <c r="H64" i="48"/>
  <c r="I64" i="48" s="1"/>
  <c r="W63" i="48"/>
  <c r="K63" i="48"/>
  <c r="H63" i="48"/>
  <c r="I63" i="48" s="1"/>
  <c r="W62" i="48"/>
  <c r="K62" i="48"/>
  <c r="H62" i="48"/>
  <c r="I62" i="48" s="1"/>
  <c r="W61" i="48"/>
  <c r="K61" i="48"/>
  <c r="H61" i="48"/>
  <c r="I61" i="48" s="1"/>
  <c r="W60" i="48"/>
  <c r="K60" i="48"/>
  <c r="H60" i="48"/>
  <c r="I60" i="48" s="1"/>
  <c r="W59" i="48"/>
  <c r="K59" i="48"/>
  <c r="H59" i="48"/>
  <c r="I59" i="48" s="1"/>
  <c r="W58" i="48"/>
  <c r="K58" i="48"/>
  <c r="H58" i="48"/>
  <c r="I58" i="48" s="1"/>
  <c r="W57" i="48"/>
  <c r="K57" i="48"/>
  <c r="H57" i="48"/>
  <c r="I57" i="48" s="1"/>
  <c r="W56" i="48"/>
  <c r="K56" i="48"/>
  <c r="H56" i="48"/>
  <c r="I56" i="48" s="1"/>
  <c r="W55" i="48"/>
  <c r="K55" i="48"/>
  <c r="H55" i="48"/>
  <c r="I55" i="48" s="1"/>
  <c r="W54" i="48"/>
  <c r="K54" i="48"/>
  <c r="H54" i="48"/>
  <c r="I54" i="48" s="1"/>
  <c r="W53" i="48"/>
  <c r="K53" i="48"/>
  <c r="H53" i="48"/>
  <c r="I53" i="48" s="1"/>
  <c r="W52" i="48"/>
  <c r="K52" i="48"/>
  <c r="H52" i="48"/>
  <c r="I52" i="48" s="1"/>
  <c r="W51" i="48"/>
  <c r="K51" i="48"/>
  <c r="H51" i="48"/>
  <c r="I51" i="48" s="1"/>
  <c r="W50" i="48"/>
  <c r="K50" i="48"/>
  <c r="H50" i="48"/>
  <c r="I50" i="48" s="1"/>
  <c r="W49" i="48"/>
  <c r="K49" i="48"/>
  <c r="H49" i="48"/>
  <c r="I49" i="48" s="1"/>
  <c r="W48" i="48"/>
  <c r="K48" i="48"/>
  <c r="H48" i="48"/>
  <c r="I48" i="48" s="1"/>
  <c r="W47" i="48"/>
  <c r="K47" i="48"/>
  <c r="H47" i="48"/>
  <c r="I47" i="48" s="1"/>
  <c r="W46" i="48"/>
  <c r="K46" i="48"/>
  <c r="H46" i="48"/>
  <c r="I46" i="48" s="1"/>
  <c r="W45" i="48"/>
  <c r="K45" i="48"/>
  <c r="H45" i="48"/>
  <c r="I45" i="48" s="1"/>
  <c r="W44" i="48"/>
  <c r="K44" i="48"/>
  <c r="H44" i="48"/>
  <c r="I44" i="48" s="1"/>
  <c r="W43" i="48"/>
  <c r="K43" i="48"/>
  <c r="H43" i="48"/>
  <c r="I43" i="48" s="1"/>
  <c r="W42" i="48"/>
  <c r="K42" i="48"/>
  <c r="H42" i="48"/>
  <c r="I42" i="48" s="1"/>
  <c r="W41" i="48"/>
  <c r="K41" i="48"/>
  <c r="H41" i="48"/>
  <c r="I41" i="48" s="1"/>
  <c r="W40" i="48"/>
  <c r="K40" i="48"/>
  <c r="I40" i="48"/>
  <c r="H40" i="48"/>
  <c r="W39" i="48"/>
  <c r="K39" i="48"/>
  <c r="H39" i="48"/>
  <c r="I39" i="48" s="1"/>
  <c r="W38" i="48"/>
  <c r="K38" i="48"/>
  <c r="H38" i="48"/>
  <c r="I38" i="48" s="1"/>
  <c r="W37" i="48"/>
  <c r="K37" i="48"/>
  <c r="H37" i="48"/>
  <c r="I37" i="48" s="1"/>
  <c r="W36" i="48"/>
  <c r="K36" i="48"/>
  <c r="I36" i="48"/>
  <c r="H36" i="48"/>
  <c r="W35" i="48"/>
  <c r="H35" i="48"/>
  <c r="I35" i="48" s="1"/>
  <c r="K35" i="48" s="1"/>
  <c r="W34" i="48"/>
  <c r="K34" i="48"/>
  <c r="H34" i="48"/>
  <c r="I34" i="48" s="1"/>
  <c r="W33" i="48"/>
  <c r="H33" i="48"/>
  <c r="I33" i="48" s="1"/>
  <c r="K33" i="48" s="1"/>
  <c r="W32" i="48"/>
  <c r="K32" i="48"/>
  <c r="H32" i="48"/>
  <c r="I32" i="48" s="1"/>
  <c r="W31" i="48"/>
  <c r="K31" i="48"/>
  <c r="H31" i="48"/>
  <c r="I31" i="48" s="1"/>
  <c r="W30" i="48"/>
  <c r="K30" i="48"/>
  <c r="H30" i="48"/>
  <c r="I30" i="48" s="1"/>
  <c r="W74" i="47"/>
  <c r="K74" i="47"/>
  <c r="H74" i="47"/>
  <c r="I74" i="47" s="1"/>
  <c r="W73" i="47"/>
  <c r="K73" i="47"/>
  <c r="H73" i="47"/>
  <c r="I73" i="47" s="1"/>
  <c r="W72" i="47"/>
  <c r="K72" i="47"/>
  <c r="H72" i="47"/>
  <c r="I72" i="47" s="1"/>
  <c r="W71" i="47"/>
  <c r="K71" i="47"/>
  <c r="H71" i="47"/>
  <c r="I71" i="47" s="1"/>
  <c r="W70" i="47"/>
  <c r="K70" i="47"/>
  <c r="H70" i="47"/>
  <c r="I70" i="47" s="1"/>
  <c r="W69" i="47"/>
  <c r="K69" i="47"/>
  <c r="H69" i="47"/>
  <c r="I69" i="47" s="1"/>
  <c r="W68" i="47"/>
  <c r="K68" i="47"/>
  <c r="H68" i="47"/>
  <c r="I68" i="47" s="1"/>
  <c r="W67" i="47"/>
  <c r="K67" i="47"/>
  <c r="H67" i="47"/>
  <c r="I67" i="47" s="1"/>
  <c r="W66" i="47"/>
  <c r="K66" i="47"/>
  <c r="H66" i="47"/>
  <c r="I66" i="47" s="1"/>
  <c r="W65" i="47"/>
  <c r="K65" i="47"/>
  <c r="H65" i="47"/>
  <c r="I65" i="47" s="1"/>
  <c r="W64" i="47"/>
  <c r="K64" i="47"/>
  <c r="H64" i="47"/>
  <c r="I64" i="47" s="1"/>
  <c r="W63" i="47"/>
  <c r="K63" i="47"/>
  <c r="H63" i="47"/>
  <c r="I63" i="47" s="1"/>
  <c r="W62" i="47"/>
  <c r="K62" i="47"/>
  <c r="H62" i="47"/>
  <c r="I62" i="47" s="1"/>
  <c r="W61" i="47"/>
  <c r="K61" i="47"/>
  <c r="H61" i="47"/>
  <c r="I61" i="47" s="1"/>
  <c r="W60" i="47"/>
  <c r="K60" i="47"/>
  <c r="H60" i="47"/>
  <c r="I60" i="47" s="1"/>
  <c r="W59" i="47"/>
  <c r="K59" i="47"/>
  <c r="H59" i="47"/>
  <c r="I59" i="47" s="1"/>
  <c r="W58" i="47"/>
  <c r="K58" i="47"/>
  <c r="H58" i="47"/>
  <c r="I58" i="47" s="1"/>
  <c r="W57" i="47"/>
  <c r="K57" i="47"/>
  <c r="H57" i="47"/>
  <c r="I57" i="47" s="1"/>
  <c r="W56" i="47"/>
  <c r="K56" i="47"/>
  <c r="H56" i="47"/>
  <c r="I56" i="47" s="1"/>
  <c r="W55" i="47"/>
  <c r="K55" i="47"/>
  <c r="H55" i="47"/>
  <c r="I55" i="47" s="1"/>
  <c r="W54" i="47"/>
  <c r="K54" i="47"/>
  <c r="H54" i="47"/>
  <c r="I54" i="47" s="1"/>
  <c r="W53" i="47"/>
  <c r="K53" i="47"/>
  <c r="H53" i="47"/>
  <c r="I53" i="47" s="1"/>
  <c r="W52" i="47"/>
  <c r="K52" i="47"/>
  <c r="H52" i="47"/>
  <c r="I52" i="47" s="1"/>
  <c r="W51" i="47"/>
  <c r="K51" i="47"/>
  <c r="H51" i="47"/>
  <c r="I51" i="47" s="1"/>
  <c r="W50" i="47"/>
  <c r="K50" i="47"/>
  <c r="H50" i="47"/>
  <c r="I50" i="47" s="1"/>
  <c r="W49" i="47"/>
  <c r="K49" i="47"/>
  <c r="H49" i="47"/>
  <c r="I49" i="47" s="1"/>
  <c r="W48" i="47"/>
  <c r="K48" i="47"/>
  <c r="H48" i="47"/>
  <c r="I48" i="47" s="1"/>
  <c r="W47" i="47"/>
  <c r="K47" i="47"/>
  <c r="H47" i="47"/>
  <c r="I47" i="47" s="1"/>
  <c r="W46" i="47"/>
  <c r="K46" i="47"/>
  <c r="H46" i="47"/>
  <c r="I46" i="47" s="1"/>
  <c r="W45" i="47"/>
  <c r="K45" i="47"/>
  <c r="H45" i="47"/>
  <c r="I45" i="47" s="1"/>
  <c r="W44" i="47"/>
  <c r="K44" i="47"/>
  <c r="H44" i="47"/>
  <c r="I44" i="47" s="1"/>
  <c r="W43" i="47"/>
  <c r="K43" i="47"/>
  <c r="H43" i="47"/>
  <c r="I43" i="47" s="1"/>
  <c r="W42" i="47"/>
  <c r="K42" i="47"/>
  <c r="H42" i="47"/>
  <c r="I42" i="47" s="1"/>
  <c r="W41" i="47"/>
  <c r="K41" i="47"/>
  <c r="H41" i="47"/>
  <c r="I41" i="47" s="1"/>
  <c r="W40" i="47"/>
  <c r="K40" i="47"/>
  <c r="H40" i="47"/>
  <c r="I40" i="47" s="1"/>
  <c r="W39" i="47"/>
  <c r="K39" i="47"/>
  <c r="H39" i="47"/>
  <c r="I39" i="47" s="1"/>
  <c r="W38" i="47"/>
  <c r="K38" i="47"/>
  <c r="H38" i="47"/>
  <c r="I38" i="47" s="1"/>
  <c r="W37" i="47"/>
  <c r="K37" i="47"/>
  <c r="H37" i="47"/>
  <c r="I37" i="47" s="1"/>
  <c r="W36" i="47"/>
  <c r="H36" i="47"/>
  <c r="I36" i="47" s="1"/>
  <c r="K36" i="47" s="1"/>
  <c r="W35" i="47"/>
  <c r="K35" i="47"/>
  <c r="H35" i="47"/>
  <c r="I35" i="47" s="1"/>
  <c r="W34" i="47"/>
  <c r="H34" i="47"/>
  <c r="I34" i="47" s="1"/>
  <c r="K34" i="47" s="1"/>
  <c r="W33" i="47"/>
  <c r="K33" i="47"/>
  <c r="H33" i="47"/>
  <c r="I33" i="47" s="1"/>
  <c r="W32" i="47"/>
  <c r="K32" i="47"/>
  <c r="H32" i="47"/>
  <c r="I32" i="47" s="1"/>
  <c r="W31" i="47"/>
  <c r="K31" i="47"/>
  <c r="H31" i="47"/>
  <c r="I31" i="47" s="1"/>
  <c r="W30" i="47"/>
  <c r="K30" i="47"/>
  <c r="H30" i="47"/>
  <c r="I30" i="47" s="1"/>
  <c r="W74" i="46"/>
  <c r="K74" i="46"/>
  <c r="H74" i="46"/>
  <c r="I74" i="46" s="1"/>
  <c r="W73" i="46"/>
  <c r="K73" i="46"/>
  <c r="H73" i="46"/>
  <c r="I73" i="46" s="1"/>
  <c r="W72" i="46"/>
  <c r="K72" i="46"/>
  <c r="H72" i="46"/>
  <c r="I72" i="46" s="1"/>
  <c r="W71" i="46"/>
  <c r="K71" i="46"/>
  <c r="H71" i="46"/>
  <c r="I71" i="46" s="1"/>
  <c r="W70" i="46"/>
  <c r="K70" i="46"/>
  <c r="H70" i="46"/>
  <c r="I70" i="46" s="1"/>
  <c r="W69" i="46"/>
  <c r="K69" i="46"/>
  <c r="H69" i="46"/>
  <c r="I69" i="46" s="1"/>
  <c r="W68" i="46"/>
  <c r="K68" i="46"/>
  <c r="H68" i="46"/>
  <c r="I68" i="46" s="1"/>
  <c r="W67" i="46"/>
  <c r="K67" i="46"/>
  <c r="H67" i="46"/>
  <c r="I67" i="46" s="1"/>
  <c r="W66" i="46"/>
  <c r="K66" i="46"/>
  <c r="H66" i="46"/>
  <c r="I66" i="46" s="1"/>
  <c r="W65" i="46"/>
  <c r="K65" i="46"/>
  <c r="H65" i="46"/>
  <c r="I65" i="46" s="1"/>
  <c r="W64" i="46"/>
  <c r="K64" i="46"/>
  <c r="H64" i="46"/>
  <c r="I64" i="46" s="1"/>
  <c r="W63" i="46"/>
  <c r="K63" i="46"/>
  <c r="H63" i="46"/>
  <c r="I63" i="46" s="1"/>
  <c r="W62" i="46"/>
  <c r="K62" i="46"/>
  <c r="H62" i="46"/>
  <c r="I62" i="46" s="1"/>
  <c r="W61" i="46"/>
  <c r="K61" i="46"/>
  <c r="H61" i="46"/>
  <c r="I61" i="46" s="1"/>
  <c r="W60" i="46"/>
  <c r="K60" i="46"/>
  <c r="H60" i="46"/>
  <c r="I60" i="46" s="1"/>
  <c r="W59" i="46"/>
  <c r="K59" i="46"/>
  <c r="H59" i="46"/>
  <c r="I59" i="46" s="1"/>
  <c r="W58" i="46"/>
  <c r="K58" i="46"/>
  <c r="H58" i="46"/>
  <c r="I58" i="46" s="1"/>
  <c r="W57" i="46"/>
  <c r="K57" i="46"/>
  <c r="H57" i="46"/>
  <c r="I57" i="46" s="1"/>
  <c r="W56" i="46"/>
  <c r="K56" i="46"/>
  <c r="H56" i="46"/>
  <c r="I56" i="46" s="1"/>
  <c r="W55" i="46"/>
  <c r="K55" i="46"/>
  <c r="H55" i="46"/>
  <c r="I55" i="46" s="1"/>
  <c r="W54" i="46"/>
  <c r="K54" i="46"/>
  <c r="H54" i="46"/>
  <c r="I54" i="46" s="1"/>
  <c r="W53" i="46"/>
  <c r="K53" i="46"/>
  <c r="H53" i="46"/>
  <c r="I53" i="46" s="1"/>
  <c r="W52" i="46"/>
  <c r="K52" i="46"/>
  <c r="H52" i="46"/>
  <c r="I52" i="46" s="1"/>
  <c r="W51" i="46"/>
  <c r="K51" i="46"/>
  <c r="H51" i="46"/>
  <c r="I51" i="46" s="1"/>
  <c r="W50" i="46"/>
  <c r="K50" i="46"/>
  <c r="H50" i="46"/>
  <c r="I50" i="46" s="1"/>
  <c r="W49" i="46"/>
  <c r="K49" i="46"/>
  <c r="H49" i="46"/>
  <c r="I49" i="46" s="1"/>
  <c r="W48" i="46"/>
  <c r="K48" i="46"/>
  <c r="H48" i="46"/>
  <c r="I48" i="46" s="1"/>
  <c r="W47" i="46"/>
  <c r="K47" i="46"/>
  <c r="H47" i="46"/>
  <c r="I47" i="46" s="1"/>
  <c r="W46" i="46"/>
  <c r="K46" i="46"/>
  <c r="H46" i="46"/>
  <c r="I46" i="46" s="1"/>
  <c r="W45" i="46"/>
  <c r="K45" i="46"/>
  <c r="H45" i="46"/>
  <c r="I45" i="46" s="1"/>
  <c r="W44" i="46"/>
  <c r="K44" i="46"/>
  <c r="H44" i="46"/>
  <c r="I44" i="46" s="1"/>
  <c r="W43" i="46"/>
  <c r="K43" i="46"/>
  <c r="H43" i="46"/>
  <c r="I43" i="46" s="1"/>
  <c r="W42" i="46"/>
  <c r="K42" i="46"/>
  <c r="H42" i="46"/>
  <c r="I42" i="46" s="1"/>
  <c r="W41" i="46"/>
  <c r="K41" i="46"/>
  <c r="H41" i="46"/>
  <c r="I41" i="46" s="1"/>
  <c r="W40" i="46"/>
  <c r="K40" i="46"/>
  <c r="H40" i="46"/>
  <c r="I40" i="46" s="1"/>
  <c r="W39" i="46"/>
  <c r="K39" i="46"/>
  <c r="H39" i="46"/>
  <c r="I39" i="46" s="1"/>
  <c r="W38" i="46"/>
  <c r="K38" i="46"/>
  <c r="H38" i="46"/>
  <c r="I38" i="46" s="1"/>
  <c r="W37" i="46"/>
  <c r="K37" i="46"/>
  <c r="H37" i="46"/>
  <c r="I37" i="46" s="1"/>
  <c r="W36" i="46"/>
  <c r="H36" i="46"/>
  <c r="I36" i="46" s="1"/>
  <c r="K36" i="46" s="1"/>
  <c r="W35" i="46"/>
  <c r="K35" i="46"/>
  <c r="H35" i="46"/>
  <c r="I35" i="46" s="1"/>
  <c r="W34" i="46"/>
  <c r="H34" i="46"/>
  <c r="I34" i="46" s="1"/>
  <c r="K34" i="46" s="1"/>
  <c r="W33" i="46"/>
  <c r="K33" i="46"/>
  <c r="H33" i="46"/>
  <c r="I33" i="46" s="1"/>
  <c r="W32" i="46"/>
  <c r="K32" i="46"/>
  <c r="H32" i="46"/>
  <c r="I32" i="46" s="1"/>
  <c r="W31" i="46"/>
  <c r="K31" i="46"/>
  <c r="H31" i="46"/>
  <c r="I31" i="46" s="1"/>
  <c r="W30" i="46"/>
  <c r="K30" i="46"/>
  <c r="H30" i="46"/>
  <c r="I30" i="46" s="1"/>
  <c r="W74" i="45"/>
  <c r="K74" i="45"/>
  <c r="H74" i="45"/>
  <c r="I74" i="45" s="1"/>
  <c r="W73" i="45"/>
  <c r="K73" i="45"/>
  <c r="H73" i="45"/>
  <c r="I73" i="45" s="1"/>
  <c r="W72" i="45"/>
  <c r="K72" i="45"/>
  <c r="H72" i="45"/>
  <c r="I72" i="45" s="1"/>
  <c r="W71" i="45"/>
  <c r="K71" i="45"/>
  <c r="H71" i="45"/>
  <c r="I71" i="45" s="1"/>
  <c r="W70" i="45"/>
  <c r="K70" i="45"/>
  <c r="H70" i="45"/>
  <c r="I70" i="45" s="1"/>
  <c r="W69" i="45"/>
  <c r="K69" i="45"/>
  <c r="H69" i="45"/>
  <c r="I69" i="45" s="1"/>
  <c r="W68" i="45"/>
  <c r="K68" i="45"/>
  <c r="H68" i="45"/>
  <c r="I68" i="45" s="1"/>
  <c r="W67" i="45"/>
  <c r="K67" i="45"/>
  <c r="H67" i="45"/>
  <c r="I67" i="45" s="1"/>
  <c r="W66" i="45"/>
  <c r="K66" i="45"/>
  <c r="H66" i="45"/>
  <c r="I66" i="45" s="1"/>
  <c r="W65" i="45"/>
  <c r="K65" i="45"/>
  <c r="H65" i="45"/>
  <c r="I65" i="45" s="1"/>
  <c r="W64" i="45"/>
  <c r="K64" i="45"/>
  <c r="H64" i="45"/>
  <c r="I64" i="45" s="1"/>
  <c r="W63" i="45"/>
  <c r="K63" i="45"/>
  <c r="H63" i="45"/>
  <c r="I63" i="45" s="1"/>
  <c r="W62" i="45"/>
  <c r="K62" i="45"/>
  <c r="H62" i="45"/>
  <c r="I62" i="45" s="1"/>
  <c r="W61" i="45"/>
  <c r="K61" i="45"/>
  <c r="H61" i="45"/>
  <c r="I61" i="45" s="1"/>
  <c r="W60" i="45"/>
  <c r="K60" i="45"/>
  <c r="H60" i="45"/>
  <c r="I60" i="45" s="1"/>
  <c r="W59" i="45"/>
  <c r="K59" i="45"/>
  <c r="H59" i="45"/>
  <c r="I59" i="45" s="1"/>
  <c r="W58" i="45"/>
  <c r="K58" i="45"/>
  <c r="H58" i="45"/>
  <c r="I58" i="45" s="1"/>
  <c r="W57" i="45"/>
  <c r="K57" i="45"/>
  <c r="H57" i="45"/>
  <c r="I57" i="45" s="1"/>
  <c r="W56" i="45"/>
  <c r="K56" i="45"/>
  <c r="H56" i="45"/>
  <c r="I56" i="45" s="1"/>
  <c r="W55" i="45"/>
  <c r="K55" i="45"/>
  <c r="H55" i="45"/>
  <c r="I55" i="45" s="1"/>
  <c r="W54" i="45"/>
  <c r="K54" i="45"/>
  <c r="H54" i="45"/>
  <c r="I54" i="45" s="1"/>
  <c r="W53" i="45"/>
  <c r="K53" i="45"/>
  <c r="H53" i="45"/>
  <c r="I53" i="45" s="1"/>
  <c r="W52" i="45"/>
  <c r="K52" i="45"/>
  <c r="H52" i="45"/>
  <c r="I52" i="45" s="1"/>
  <c r="W51" i="45"/>
  <c r="K51" i="45"/>
  <c r="H51" i="45"/>
  <c r="I51" i="45" s="1"/>
  <c r="W50" i="45"/>
  <c r="K50" i="45"/>
  <c r="H50" i="45"/>
  <c r="I50" i="45" s="1"/>
  <c r="W49" i="45"/>
  <c r="K49" i="45"/>
  <c r="H49" i="45"/>
  <c r="I49" i="45" s="1"/>
  <c r="W48" i="45"/>
  <c r="K48" i="45"/>
  <c r="H48" i="45"/>
  <c r="I48" i="45" s="1"/>
  <c r="W47" i="45"/>
  <c r="K47" i="45"/>
  <c r="H47" i="45"/>
  <c r="I47" i="45" s="1"/>
  <c r="W46" i="45"/>
  <c r="K46" i="45"/>
  <c r="H46" i="45"/>
  <c r="I46" i="45" s="1"/>
  <c r="W45" i="45"/>
  <c r="H45" i="45"/>
  <c r="I45" i="45" s="1"/>
  <c r="K45" i="45" s="1"/>
  <c r="W44" i="45"/>
  <c r="K44" i="45"/>
  <c r="H44" i="45"/>
  <c r="I44" i="45" s="1"/>
  <c r="W43" i="45"/>
  <c r="H43" i="45"/>
  <c r="I43" i="45" s="1"/>
  <c r="K43" i="45" s="1"/>
  <c r="W42" i="45"/>
  <c r="K42" i="45"/>
  <c r="H42" i="45"/>
  <c r="I42" i="45" s="1"/>
  <c r="W41" i="45"/>
  <c r="K41" i="45"/>
  <c r="H41" i="45"/>
  <c r="I41" i="45" s="1"/>
  <c r="W40" i="45"/>
  <c r="K40" i="45"/>
  <c r="H40" i="45"/>
  <c r="I40" i="45" s="1"/>
  <c r="W39" i="45"/>
  <c r="K39" i="45"/>
  <c r="H39" i="45"/>
  <c r="I39" i="45" s="1"/>
  <c r="W38" i="45"/>
  <c r="K38" i="45"/>
  <c r="H38" i="45"/>
  <c r="I38" i="45" s="1"/>
  <c r="W37" i="45"/>
  <c r="K37" i="45"/>
  <c r="H37" i="45"/>
  <c r="I37" i="45" s="1"/>
  <c r="W36" i="45"/>
  <c r="K36" i="45"/>
  <c r="H36" i="45"/>
  <c r="I36" i="45" s="1"/>
  <c r="W35" i="45"/>
  <c r="K35" i="45"/>
  <c r="H35" i="45"/>
  <c r="I35" i="45" s="1"/>
  <c r="W34" i="45"/>
  <c r="K34" i="45"/>
  <c r="H34" i="45"/>
  <c r="I34" i="45" s="1"/>
  <c r="W33" i="45"/>
  <c r="K33" i="45"/>
  <c r="H33" i="45"/>
  <c r="I33" i="45" s="1"/>
  <c r="W32" i="45"/>
  <c r="K32" i="45"/>
  <c r="H32" i="45"/>
  <c r="I32" i="45" s="1"/>
  <c r="W31" i="45"/>
  <c r="K31" i="45"/>
  <c r="H31" i="45"/>
  <c r="I31" i="45" s="1"/>
  <c r="W30" i="45"/>
  <c r="K30" i="45"/>
  <c r="H30" i="45"/>
  <c r="I30" i="45" s="1"/>
  <c r="W74" i="44"/>
  <c r="K74" i="44"/>
  <c r="H74" i="44"/>
  <c r="I74" i="44" s="1"/>
  <c r="W73" i="44"/>
  <c r="K73" i="44"/>
  <c r="H73" i="44"/>
  <c r="I73" i="44" s="1"/>
  <c r="W72" i="44"/>
  <c r="K72" i="44"/>
  <c r="H72" i="44"/>
  <c r="I72" i="44" s="1"/>
  <c r="W71" i="44"/>
  <c r="K71" i="44"/>
  <c r="H71" i="44"/>
  <c r="I71" i="44" s="1"/>
  <c r="W70" i="44"/>
  <c r="K70" i="44"/>
  <c r="H70" i="44"/>
  <c r="I70" i="44" s="1"/>
  <c r="W69" i="44"/>
  <c r="K69" i="44"/>
  <c r="H69" i="44"/>
  <c r="I69" i="44" s="1"/>
  <c r="W68" i="44"/>
  <c r="K68" i="44"/>
  <c r="H68" i="44"/>
  <c r="I68" i="44" s="1"/>
  <c r="W67" i="44"/>
  <c r="K67" i="44"/>
  <c r="H67" i="44"/>
  <c r="I67" i="44" s="1"/>
  <c r="W66" i="44"/>
  <c r="K66" i="44"/>
  <c r="H66" i="44"/>
  <c r="I66" i="44" s="1"/>
  <c r="W65" i="44"/>
  <c r="K65" i="44"/>
  <c r="H65" i="44"/>
  <c r="I65" i="44" s="1"/>
  <c r="W64" i="44"/>
  <c r="K64" i="44"/>
  <c r="H64" i="44"/>
  <c r="I64" i="44" s="1"/>
  <c r="W63" i="44"/>
  <c r="K63" i="44"/>
  <c r="H63" i="44"/>
  <c r="I63" i="44" s="1"/>
  <c r="W62" i="44"/>
  <c r="K62" i="44"/>
  <c r="H62" i="44"/>
  <c r="I62" i="44" s="1"/>
  <c r="W61" i="44"/>
  <c r="K61" i="44"/>
  <c r="H61" i="44"/>
  <c r="I61" i="44" s="1"/>
  <c r="W60" i="44"/>
  <c r="K60" i="44"/>
  <c r="H60" i="44"/>
  <c r="I60" i="44" s="1"/>
  <c r="W59" i="44"/>
  <c r="K59" i="44"/>
  <c r="H59" i="44"/>
  <c r="I59" i="44" s="1"/>
  <c r="W58" i="44"/>
  <c r="K58" i="44"/>
  <c r="H58" i="44"/>
  <c r="I58" i="44" s="1"/>
  <c r="W57" i="44"/>
  <c r="K57" i="44"/>
  <c r="H57" i="44"/>
  <c r="I57" i="44" s="1"/>
  <c r="W56" i="44"/>
  <c r="K56" i="44"/>
  <c r="H56" i="44"/>
  <c r="I56" i="44" s="1"/>
  <c r="W55" i="44"/>
  <c r="K55" i="44"/>
  <c r="H55" i="44"/>
  <c r="I55" i="44" s="1"/>
  <c r="W54" i="44"/>
  <c r="K54" i="44"/>
  <c r="H54" i="44"/>
  <c r="I54" i="44" s="1"/>
  <c r="W53" i="44"/>
  <c r="K53" i="44"/>
  <c r="H53" i="44"/>
  <c r="I53" i="44" s="1"/>
  <c r="W52" i="44"/>
  <c r="K52" i="44"/>
  <c r="H52" i="44"/>
  <c r="I52" i="44" s="1"/>
  <c r="W51" i="44"/>
  <c r="K51" i="44"/>
  <c r="H51" i="44"/>
  <c r="I51" i="44" s="1"/>
  <c r="W50" i="44"/>
  <c r="K50" i="44"/>
  <c r="H50" i="44"/>
  <c r="I50" i="44" s="1"/>
  <c r="W49" i="44"/>
  <c r="K49" i="44"/>
  <c r="H49" i="44"/>
  <c r="I49" i="44" s="1"/>
  <c r="W48" i="44"/>
  <c r="K48" i="44"/>
  <c r="H48" i="44"/>
  <c r="I48" i="44" s="1"/>
  <c r="W47" i="44"/>
  <c r="K47" i="44"/>
  <c r="H47" i="44"/>
  <c r="I47" i="44" s="1"/>
  <c r="W46" i="44"/>
  <c r="K46" i="44"/>
  <c r="H46" i="44"/>
  <c r="I46" i="44" s="1"/>
  <c r="W45" i="44"/>
  <c r="K45" i="44"/>
  <c r="H45" i="44"/>
  <c r="I45" i="44" s="1"/>
  <c r="W44" i="44"/>
  <c r="K44" i="44"/>
  <c r="H44" i="44"/>
  <c r="I44" i="44" s="1"/>
  <c r="W43" i="44"/>
  <c r="K43" i="44"/>
  <c r="H43" i="44"/>
  <c r="I43" i="44" s="1"/>
  <c r="W42" i="44"/>
  <c r="K42" i="44"/>
  <c r="H42" i="44"/>
  <c r="I42" i="44" s="1"/>
  <c r="W41" i="44"/>
  <c r="K41" i="44"/>
  <c r="H41" i="44"/>
  <c r="I41" i="44" s="1"/>
  <c r="W40" i="44"/>
  <c r="K40" i="44"/>
  <c r="H40" i="44"/>
  <c r="I40" i="44" s="1"/>
  <c r="W39" i="44"/>
  <c r="H39" i="44"/>
  <c r="I39" i="44" s="1"/>
  <c r="K39" i="44" s="1"/>
  <c r="W38" i="44"/>
  <c r="H38" i="44"/>
  <c r="I38" i="44" s="1"/>
  <c r="K38" i="44" s="1"/>
  <c r="W37" i="44"/>
  <c r="H37" i="44"/>
  <c r="I37" i="44" s="1"/>
  <c r="K37" i="44" s="1"/>
  <c r="W36" i="44"/>
  <c r="K36" i="44"/>
  <c r="H36" i="44"/>
  <c r="I36" i="44" s="1"/>
  <c r="W35" i="44"/>
  <c r="K35" i="44"/>
  <c r="H35" i="44"/>
  <c r="I35" i="44" s="1"/>
  <c r="W34" i="44"/>
  <c r="K34" i="44"/>
  <c r="H34" i="44"/>
  <c r="I34" i="44" s="1"/>
  <c r="W33" i="44"/>
  <c r="K33" i="44"/>
  <c r="H33" i="44"/>
  <c r="I33" i="44" s="1"/>
  <c r="W32" i="44"/>
  <c r="K32" i="44"/>
  <c r="H32" i="44"/>
  <c r="I32" i="44" s="1"/>
  <c r="W31" i="44"/>
  <c r="K31" i="44"/>
  <c r="H31" i="44"/>
  <c r="I31" i="44" s="1"/>
  <c r="W30" i="44"/>
  <c r="K30" i="44"/>
  <c r="H30" i="44"/>
  <c r="I30" i="44" s="1"/>
  <c r="W74" i="43"/>
  <c r="K74" i="43"/>
  <c r="H74" i="43"/>
  <c r="I74" i="43" s="1"/>
  <c r="W73" i="43"/>
  <c r="K73" i="43"/>
  <c r="H73" i="43"/>
  <c r="I73" i="43" s="1"/>
  <c r="W72" i="43"/>
  <c r="K72" i="43"/>
  <c r="H72" i="43"/>
  <c r="I72" i="43" s="1"/>
  <c r="W71" i="43"/>
  <c r="K71" i="43"/>
  <c r="H71" i="43"/>
  <c r="I71" i="43" s="1"/>
  <c r="W70" i="43"/>
  <c r="K70" i="43"/>
  <c r="H70" i="43"/>
  <c r="I70" i="43" s="1"/>
  <c r="W69" i="43"/>
  <c r="K69" i="43"/>
  <c r="H69" i="43"/>
  <c r="I69" i="43" s="1"/>
  <c r="W68" i="43"/>
  <c r="K68" i="43"/>
  <c r="H68" i="43"/>
  <c r="I68" i="43" s="1"/>
  <c r="W67" i="43"/>
  <c r="K67" i="43"/>
  <c r="H67" i="43"/>
  <c r="I67" i="43" s="1"/>
  <c r="W66" i="43"/>
  <c r="K66" i="43"/>
  <c r="H66" i="43"/>
  <c r="I66" i="43" s="1"/>
  <c r="W65" i="43"/>
  <c r="K65" i="43"/>
  <c r="H65" i="43"/>
  <c r="I65" i="43" s="1"/>
  <c r="W64" i="43"/>
  <c r="K64" i="43"/>
  <c r="H64" i="43"/>
  <c r="I64" i="43" s="1"/>
  <c r="W63" i="43"/>
  <c r="K63" i="43"/>
  <c r="H63" i="43"/>
  <c r="I63" i="43" s="1"/>
  <c r="W62" i="43"/>
  <c r="K62" i="43"/>
  <c r="H62" i="43"/>
  <c r="I62" i="43" s="1"/>
  <c r="W61" i="43"/>
  <c r="K61" i="43"/>
  <c r="H61" i="43"/>
  <c r="I61" i="43" s="1"/>
  <c r="W60" i="43"/>
  <c r="K60" i="43"/>
  <c r="H60" i="43"/>
  <c r="I60" i="43" s="1"/>
  <c r="W59" i="43"/>
  <c r="K59" i="43"/>
  <c r="H59" i="43"/>
  <c r="I59" i="43" s="1"/>
  <c r="W58" i="43"/>
  <c r="K58" i="43"/>
  <c r="H58" i="43"/>
  <c r="I58" i="43" s="1"/>
  <c r="W57" i="43"/>
  <c r="K57" i="43"/>
  <c r="H57" i="43"/>
  <c r="I57" i="43" s="1"/>
  <c r="W56" i="43"/>
  <c r="K56" i="43"/>
  <c r="H56" i="43"/>
  <c r="I56" i="43" s="1"/>
  <c r="W55" i="43"/>
  <c r="K55" i="43"/>
  <c r="H55" i="43"/>
  <c r="I55" i="43" s="1"/>
  <c r="W54" i="43"/>
  <c r="K54" i="43"/>
  <c r="H54" i="43"/>
  <c r="I54" i="43" s="1"/>
  <c r="W53" i="43"/>
  <c r="K53" i="43"/>
  <c r="H53" i="43"/>
  <c r="I53" i="43" s="1"/>
  <c r="W52" i="43"/>
  <c r="K52" i="43"/>
  <c r="I52" i="43"/>
  <c r="H52" i="43"/>
  <c r="W51" i="43"/>
  <c r="K51" i="43"/>
  <c r="H51" i="43"/>
  <c r="I51" i="43" s="1"/>
  <c r="W50" i="43"/>
  <c r="K50" i="43"/>
  <c r="H50" i="43"/>
  <c r="I50" i="43" s="1"/>
  <c r="W49" i="43"/>
  <c r="K49" i="43"/>
  <c r="H49" i="43"/>
  <c r="I49" i="43" s="1"/>
  <c r="W48" i="43"/>
  <c r="K48" i="43"/>
  <c r="H48" i="43"/>
  <c r="I48" i="43" s="1"/>
  <c r="W47" i="43"/>
  <c r="K47" i="43"/>
  <c r="H47" i="43"/>
  <c r="I47" i="43" s="1"/>
  <c r="W46" i="43"/>
  <c r="K46" i="43"/>
  <c r="H46" i="43"/>
  <c r="I46" i="43" s="1"/>
  <c r="W45" i="43"/>
  <c r="K45" i="43"/>
  <c r="H45" i="43"/>
  <c r="I45" i="43" s="1"/>
  <c r="W44" i="43"/>
  <c r="K44" i="43"/>
  <c r="H44" i="43"/>
  <c r="I44" i="43" s="1"/>
  <c r="W43" i="43"/>
  <c r="K43" i="43"/>
  <c r="H43" i="43"/>
  <c r="I43" i="43" s="1"/>
  <c r="W42" i="43"/>
  <c r="K42" i="43"/>
  <c r="H42" i="43"/>
  <c r="I42" i="43" s="1"/>
  <c r="W41" i="43"/>
  <c r="K41" i="43"/>
  <c r="H41" i="43"/>
  <c r="I41" i="43" s="1"/>
  <c r="W40" i="43"/>
  <c r="K40" i="43"/>
  <c r="H40" i="43"/>
  <c r="I40" i="43" s="1"/>
  <c r="W39" i="43"/>
  <c r="K39" i="43"/>
  <c r="H39" i="43"/>
  <c r="I39" i="43" s="1"/>
  <c r="W38" i="43"/>
  <c r="H38" i="43"/>
  <c r="I38" i="43" s="1"/>
  <c r="K38" i="43" s="1"/>
  <c r="W37" i="43"/>
  <c r="H37" i="43"/>
  <c r="I37" i="43" s="1"/>
  <c r="K37" i="43" s="1"/>
  <c r="W36" i="43"/>
  <c r="K36" i="43"/>
  <c r="H36" i="43"/>
  <c r="I36" i="43" s="1"/>
  <c r="W35" i="43"/>
  <c r="K35" i="43"/>
  <c r="H35" i="43"/>
  <c r="I35" i="43" s="1"/>
  <c r="W34" i="43"/>
  <c r="K34" i="43"/>
  <c r="H34" i="43"/>
  <c r="I34" i="43" s="1"/>
  <c r="W33" i="43"/>
  <c r="K33" i="43"/>
  <c r="H33" i="43"/>
  <c r="I33" i="43" s="1"/>
  <c r="W32" i="43"/>
  <c r="K32" i="43"/>
  <c r="H32" i="43"/>
  <c r="I32" i="43" s="1"/>
  <c r="W31" i="43"/>
  <c r="K31" i="43"/>
  <c r="H31" i="43"/>
  <c r="I31" i="43" s="1"/>
  <c r="W30" i="43"/>
  <c r="K30" i="43"/>
  <c r="H30" i="43"/>
  <c r="I30" i="43" s="1"/>
  <c r="W74" i="42"/>
  <c r="K74" i="42"/>
  <c r="H74" i="42"/>
  <c r="I74" i="42" s="1"/>
  <c r="W73" i="42"/>
  <c r="K73" i="42"/>
  <c r="H73" i="42"/>
  <c r="I73" i="42" s="1"/>
  <c r="W72" i="42"/>
  <c r="K72" i="42"/>
  <c r="H72" i="42"/>
  <c r="I72" i="42" s="1"/>
  <c r="W71" i="42"/>
  <c r="K71" i="42"/>
  <c r="H71" i="42"/>
  <c r="I71" i="42" s="1"/>
  <c r="W70" i="42"/>
  <c r="K70" i="42"/>
  <c r="H70" i="42"/>
  <c r="I70" i="42" s="1"/>
  <c r="W69" i="42"/>
  <c r="K69" i="42"/>
  <c r="H69" i="42"/>
  <c r="I69" i="42" s="1"/>
  <c r="W68" i="42"/>
  <c r="K68" i="42"/>
  <c r="H68" i="42"/>
  <c r="I68" i="42" s="1"/>
  <c r="W67" i="42"/>
  <c r="K67" i="42"/>
  <c r="H67" i="42"/>
  <c r="I67" i="42" s="1"/>
  <c r="W66" i="42"/>
  <c r="K66" i="42"/>
  <c r="H66" i="42"/>
  <c r="I66" i="42" s="1"/>
  <c r="W65" i="42"/>
  <c r="K65" i="42"/>
  <c r="H65" i="42"/>
  <c r="I65" i="42" s="1"/>
  <c r="W64" i="42"/>
  <c r="K64" i="42"/>
  <c r="H64" i="42"/>
  <c r="I64" i="42" s="1"/>
  <c r="W63" i="42"/>
  <c r="K63" i="42"/>
  <c r="H63" i="42"/>
  <c r="I63" i="42" s="1"/>
  <c r="W62" i="42"/>
  <c r="K62" i="42"/>
  <c r="H62" i="42"/>
  <c r="I62" i="42" s="1"/>
  <c r="W61" i="42"/>
  <c r="K61" i="42"/>
  <c r="H61" i="42"/>
  <c r="I61" i="42" s="1"/>
  <c r="W60" i="42"/>
  <c r="K60" i="42"/>
  <c r="H60" i="42"/>
  <c r="I60" i="42" s="1"/>
  <c r="W59" i="42"/>
  <c r="K59" i="42"/>
  <c r="H59" i="42"/>
  <c r="I59" i="42" s="1"/>
  <c r="W58" i="42"/>
  <c r="K58" i="42"/>
  <c r="H58" i="42"/>
  <c r="I58" i="42" s="1"/>
  <c r="W57" i="42"/>
  <c r="K57" i="42"/>
  <c r="H57" i="42"/>
  <c r="I57" i="42" s="1"/>
  <c r="W56" i="42"/>
  <c r="K56" i="42"/>
  <c r="H56" i="42"/>
  <c r="I56" i="42" s="1"/>
  <c r="W55" i="42"/>
  <c r="K55" i="42"/>
  <c r="H55" i="42"/>
  <c r="I55" i="42" s="1"/>
  <c r="W54" i="42"/>
  <c r="K54" i="42"/>
  <c r="H54" i="42"/>
  <c r="I54" i="42" s="1"/>
  <c r="W53" i="42"/>
  <c r="K53" i="42"/>
  <c r="H53" i="42"/>
  <c r="I53" i="42" s="1"/>
  <c r="W52" i="42"/>
  <c r="K52" i="42"/>
  <c r="H52" i="42"/>
  <c r="I52" i="42" s="1"/>
  <c r="W51" i="42"/>
  <c r="K51" i="42"/>
  <c r="H51" i="42"/>
  <c r="I51" i="42" s="1"/>
  <c r="W50" i="42"/>
  <c r="K50" i="42"/>
  <c r="H50" i="42"/>
  <c r="I50" i="42" s="1"/>
  <c r="W49" i="42"/>
  <c r="K49" i="42"/>
  <c r="H49" i="42"/>
  <c r="I49" i="42" s="1"/>
  <c r="W48" i="42"/>
  <c r="K48" i="42"/>
  <c r="H48" i="42"/>
  <c r="I48" i="42" s="1"/>
  <c r="W47" i="42"/>
  <c r="K47" i="42"/>
  <c r="H47" i="42"/>
  <c r="I47" i="42" s="1"/>
  <c r="W46" i="42"/>
  <c r="K46" i="42"/>
  <c r="H46" i="42"/>
  <c r="I46" i="42" s="1"/>
  <c r="W45" i="42"/>
  <c r="K45" i="42"/>
  <c r="H45" i="42"/>
  <c r="I45" i="42" s="1"/>
  <c r="W44" i="42"/>
  <c r="K44" i="42"/>
  <c r="H44" i="42"/>
  <c r="I44" i="42" s="1"/>
  <c r="W43" i="42"/>
  <c r="K43" i="42"/>
  <c r="H43" i="42"/>
  <c r="I43" i="42" s="1"/>
  <c r="W42" i="42"/>
  <c r="K42" i="42"/>
  <c r="H42" i="42"/>
  <c r="I42" i="42" s="1"/>
  <c r="W41" i="42"/>
  <c r="K41" i="42"/>
  <c r="H41" i="42"/>
  <c r="I41" i="42" s="1"/>
  <c r="W40" i="42"/>
  <c r="K40" i="42"/>
  <c r="H40" i="42"/>
  <c r="I40" i="42" s="1"/>
  <c r="W39" i="42"/>
  <c r="K39" i="42"/>
  <c r="H39" i="42"/>
  <c r="I39" i="42" s="1"/>
  <c r="W38" i="42"/>
  <c r="K38" i="42"/>
  <c r="H38" i="42"/>
  <c r="I38" i="42" s="1"/>
  <c r="W37" i="42"/>
  <c r="K37" i="42"/>
  <c r="H37" i="42"/>
  <c r="I37" i="42" s="1"/>
  <c r="W36" i="42"/>
  <c r="K36" i="42"/>
  <c r="H36" i="42"/>
  <c r="I36" i="42" s="1"/>
  <c r="W35" i="42"/>
  <c r="H35" i="42"/>
  <c r="I35" i="42" s="1"/>
  <c r="K35" i="42" s="1"/>
  <c r="W34" i="42"/>
  <c r="H34" i="42"/>
  <c r="I34" i="42" s="1"/>
  <c r="K34" i="42" s="1"/>
  <c r="W33" i="42"/>
  <c r="H33" i="42"/>
  <c r="I33" i="42" s="1"/>
  <c r="K33" i="42" s="1"/>
  <c r="W32" i="42"/>
  <c r="K32" i="42"/>
  <c r="H32" i="42"/>
  <c r="I32" i="42" s="1"/>
  <c r="W31" i="42"/>
  <c r="K31" i="42"/>
  <c r="H31" i="42"/>
  <c r="I31" i="42" s="1"/>
  <c r="W30" i="42"/>
  <c r="K30" i="42"/>
  <c r="H30" i="42"/>
  <c r="I30" i="42" s="1"/>
  <c r="Z74" i="38"/>
  <c r="N74" i="38"/>
  <c r="H74" i="38"/>
  <c r="I74" i="38" s="1"/>
  <c r="Z73" i="38"/>
  <c r="N73" i="38"/>
  <c r="H73" i="38"/>
  <c r="I73" i="38" s="1"/>
  <c r="Z72" i="38"/>
  <c r="N72" i="38"/>
  <c r="H72" i="38"/>
  <c r="I72" i="38" s="1"/>
  <c r="Z71" i="38"/>
  <c r="N71" i="38"/>
  <c r="H71" i="38"/>
  <c r="I71" i="38" s="1"/>
  <c r="Z70" i="38"/>
  <c r="N70" i="38"/>
  <c r="H70" i="38"/>
  <c r="I70" i="38" s="1"/>
  <c r="Z69" i="38"/>
  <c r="N69" i="38"/>
  <c r="H69" i="38"/>
  <c r="I69" i="38" s="1"/>
  <c r="Z68" i="38"/>
  <c r="N68" i="38"/>
  <c r="H68" i="38"/>
  <c r="I68" i="38" s="1"/>
  <c r="Z67" i="38"/>
  <c r="N67" i="38"/>
  <c r="H67" i="38"/>
  <c r="I67" i="38" s="1"/>
  <c r="Z66" i="38"/>
  <c r="N66" i="38"/>
  <c r="H66" i="38"/>
  <c r="I66" i="38" s="1"/>
  <c r="Z65" i="38"/>
  <c r="N65" i="38"/>
  <c r="H65" i="38"/>
  <c r="I65" i="38" s="1"/>
  <c r="Z64" i="38"/>
  <c r="N64" i="38"/>
  <c r="H64" i="38"/>
  <c r="I64" i="38" s="1"/>
  <c r="Z63" i="38"/>
  <c r="N63" i="38"/>
  <c r="H63" i="38"/>
  <c r="I63" i="38" s="1"/>
  <c r="Z62" i="38"/>
  <c r="N62" i="38"/>
  <c r="H62" i="38"/>
  <c r="I62" i="38" s="1"/>
  <c r="Z61" i="38"/>
  <c r="N61" i="38"/>
  <c r="H61" i="38"/>
  <c r="I61" i="38" s="1"/>
  <c r="Z60" i="38"/>
  <c r="N60" i="38"/>
  <c r="H60" i="38"/>
  <c r="I60" i="38" s="1"/>
  <c r="Z59" i="38"/>
  <c r="N59" i="38"/>
  <c r="H59" i="38"/>
  <c r="I59" i="38" s="1"/>
  <c r="Z58" i="38"/>
  <c r="N58" i="38"/>
  <c r="H58" i="38"/>
  <c r="I58" i="38" s="1"/>
  <c r="Z57" i="38"/>
  <c r="N57" i="38"/>
  <c r="H57" i="38"/>
  <c r="I57" i="38" s="1"/>
  <c r="Z56" i="38"/>
  <c r="N56" i="38"/>
  <c r="H56" i="38"/>
  <c r="I56" i="38" s="1"/>
  <c r="Z55" i="38"/>
  <c r="N55" i="38"/>
  <c r="H55" i="38"/>
  <c r="I55" i="38" s="1"/>
  <c r="Z54" i="38"/>
  <c r="N54" i="38"/>
  <c r="H54" i="38"/>
  <c r="I54" i="38" s="1"/>
  <c r="Z53" i="38"/>
  <c r="N53" i="38"/>
  <c r="H53" i="38"/>
  <c r="I53" i="38" s="1"/>
  <c r="Z52" i="38"/>
  <c r="N52" i="38"/>
  <c r="H52" i="38"/>
  <c r="I52" i="38" s="1"/>
  <c r="Z51" i="38"/>
  <c r="N51" i="38"/>
  <c r="H51" i="38"/>
  <c r="I51" i="38" s="1"/>
  <c r="Z50" i="38"/>
  <c r="N50" i="38"/>
  <c r="H50" i="38"/>
  <c r="I50" i="38" s="1"/>
  <c r="Z49" i="38"/>
  <c r="N49" i="38"/>
  <c r="H49" i="38"/>
  <c r="I49" i="38" s="1"/>
  <c r="Z48" i="38"/>
  <c r="N48" i="38"/>
  <c r="H48" i="38"/>
  <c r="I48" i="38" s="1"/>
  <c r="Z47" i="38"/>
  <c r="N47" i="38"/>
  <c r="H47" i="38"/>
  <c r="I47" i="38" s="1"/>
  <c r="Z46" i="38"/>
  <c r="N46" i="38"/>
  <c r="H46" i="38"/>
  <c r="I46" i="38" s="1"/>
  <c r="Z45" i="38"/>
  <c r="N45" i="38"/>
  <c r="H45" i="38"/>
  <c r="I45" i="38" s="1"/>
  <c r="Z44" i="38"/>
  <c r="N44" i="38"/>
  <c r="H44" i="38"/>
  <c r="I44" i="38" s="1"/>
  <c r="Z43" i="38"/>
  <c r="N43" i="38"/>
  <c r="H43" i="38"/>
  <c r="I43" i="38" s="1"/>
  <c r="Z42" i="38"/>
  <c r="N42" i="38"/>
  <c r="H42" i="38"/>
  <c r="I42" i="38" s="1"/>
  <c r="Z41" i="38"/>
  <c r="N41" i="38"/>
  <c r="H41" i="38"/>
  <c r="I41" i="38" s="1"/>
  <c r="Z40" i="38"/>
  <c r="N40" i="38"/>
  <c r="H40" i="38"/>
  <c r="I40" i="38" s="1"/>
  <c r="Z39" i="38"/>
  <c r="N39" i="38"/>
  <c r="H39" i="38"/>
  <c r="I39" i="38" s="1"/>
  <c r="Z38" i="38"/>
  <c r="N38" i="38"/>
  <c r="H38" i="38"/>
  <c r="I38" i="38" s="1"/>
  <c r="Z37" i="38"/>
  <c r="N37" i="38"/>
  <c r="H37" i="38"/>
  <c r="I37" i="38" s="1"/>
  <c r="Z36" i="38"/>
  <c r="N36" i="38"/>
  <c r="H36" i="38"/>
  <c r="I36" i="38" s="1"/>
  <c r="Z35" i="38"/>
  <c r="N35" i="38"/>
  <c r="H35" i="38"/>
  <c r="I35" i="38" s="1"/>
  <c r="Z34" i="38"/>
  <c r="N34" i="38"/>
  <c r="H34" i="38"/>
  <c r="I34" i="38" s="1"/>
  <c r="Z33" i="38"/>
  <c r="N33" i="38"/>
  <c r="H33" i="38"/>
  <c r="I33" i="38" s="1"/>
  <c r="Z32" i="38"/>
  <c r="N32" i="38"/>
  <c r="H32" i="38"/>
  <c r="I32" i="38" s="1"/>
  <c r="Z31" i="38"/>
  <c r="N31" i="38"/>
  <c r="H31" i="38"/>
  <c r="I31" i="38" s="1"/>
  <c r="Z30" i="38"/>
  <c r="H30" i="38"/>
  <c r="I30" i="38" s="1"/>
  <c r="N30" i="38" s="1"/>
  <c r="Z31" i="4"/>
  <c r="Z32" i="4"/>
  <c r="Z33" i="4"/>
  <c r="Z34" i="4"/>
  <c r="Z35" i="4"/>
  <c r="Z36" i="4"/>
  <c r="Z37" i="4"/>
  <c r="Z38" i="4"/>
  <c r="Z39" i="4"/>
  <c r="Z40" i="4"/>
  <c r="Z41" i="4"/>
  <c r="Z42" i="4"/>
  <c r="Z43" i="4"/>
  <c r="Z44" i="4"/>
  <c r="Z45" i="4"/>
  <c r="Z46" i="4"/>
  <c r="Z47" i="4"/>
  <c r="Z48" i="4"/>
  <c r="Z49" i="4"/>
  <c r="Z50" i="4"/>
  <c r="Z51" i="4"/>
  <c r="Z52" i="4"/>
  <c r="Z53" i="4"/>
  <c r="Z54" i="4"/>
  <c r="Z55" i="4"/>
  <c r="Z56" i="4"/>
  <c r="Z57" i="4"/>
  <c r="Z58" i="4"/>
  <c r="Z59" i="4"/>
  <c r="Z60" i="4"/>
  <c r="Z61" i="4"/>
  <c r="Z62" i="4"/>
  <c r="Z63" i="4"/>
  <c r="Z64" i="4"/>
  <c r="Z65" i="4"/>
  <c r="Z66" i="4"/>
  <c r="Z67" i="4"/>
  <c r="Z68" i="4"/>
  <c r="Z69" i="4"/>
  <c r="Z70" i="4"/>
  <c r="Z71" i="4"/>
  <c r="Z72" i="4"/>
  <c r="Z73" i="4"/>
  <c r="Z74" i="4"/>
  <c r="Z30" i="4"/>
  <c r="AH22" i="4" s="1" a="1"/>
  <c r="AH22" i="4" s="1"/>
  <c r="J50" i="55" l="1"/>
  <c r="BG21" i="55"/>
  <c r="BR22" i="62"/>
  <c r="CW17" i="62"/>
  <c r="CW21" i="62" s="1"/>
  <c r="BQ21" i="62"/>
  <c r="BQ22" i="62"/>
  <c r="EA17" i="62"/>
  <c r="EA18" i="62" s="1"/>
  <c r="K50" i="55"/>
  <c r="L50" i="55" s="1"/>
  <c r="M50" i="55" s="1"/>
  <c r="N50" i="55" s="1"/>
  <c r="O50" i="55" s="1"/>
  <c r="P50" i="55" s="1"/>
  <c r="Q50" i="55" s="1"/>
  <c r="R50" i="55" s="1"/>
  <c r="S50" i="55" s="1"/>
  <c r="T50" i="55" s="1"/>
  <c r="U50" i="55" s="1"/>
  <c r="V50" i="55" s="1"/>
  <c r="W50" i="55" s="1"/>
  <c r="X50" i="55" s="1"/>
  <c r="Y50" i="55" s="1"/>
  <c r="Z50" i="55" s="1"/>
  <c r="AA50" i="55" s="1"/>
  <c r="AB50" i="55" s="1"/>
  <c r="AC50" i="55" s="1"/>
  <c r="AD50" i="55" s="1"/>
  <c r="AE50" i="55" s="1"/>
  <c r="AF50" i="55" s="1"/>
  <c r="AG50" i="55" s="1"/>
  <c r="AH50" i="55" s="1"/>
  <c r="AI50" i="55" s="1"/>
  <c r="AJ50" i="55" s="1"/>
  <c r="AK50" i="55" s="1"/>
  <c r="AL50" i="55" s="1"/>
  <c r="AM50" i="55" s="1"/>
  <c r="AN50" i="55" s="1"/>
  <c r="BS21" i="62"/>
  <c r="BS22" i="62"/>
  <c r="CW22" i="62"/>
  <c r="J21" i="62"/>
  <c r="J22" i="62"/>
  <c r="CV22" i="62"/>
  <c r="CV21" i="62"/>
  <c r="AO18" i="62"/>
  <c r="AO21" i="62"/>
  <c r="J18" i="62"/>
  <c r="J66" i="62"/>
  <c r="J63" i="62"/>
  <c r="J69" i="62"/>
  <c r="J54" i="55"/>
  <c r="J51" i="55"/>
  <c r="BA51" i="55" s="1"/>
  <c r="BA50" i="55"/>
  <c r="J56" i="55"/>
  <c r="AG83" i="55"/>
  <c r="L40" i="55"/>
  <c r="BT17" i="62"/>
  <c r="L37" i="55"/>
  <c r="K47" i="55"/>
  <c r="CX17" i="62"/>
  <c r="K44" i="55"/>
  <c r="K17" i="62"/>
  <c r="M26" i="55"/>
  <c r="M23" i="55"/>
  <c r="AP17" i="62"/>
  <c r="AP22" i="62" s="1"/>
  <c r="M33" i="55"/>
  <c r="M30" i="55"/>
  <c r="Y26" i="2"/>
  <c r="AK26" i="2"/>
  <c r="AC22" i="4"/>
  <c r="B7" i="48"/>
  <c r="B7" i="47"/>
  <c r="B7" i="46"/>
  <c r="B7" i="45"/>
  <c r="B7" i="44"/>
  <c r="B7" i="43"/>
  <c r="B7" i="42"/>
  <c r="B7" i="41"/>
  <c r="B7" i="40"/>
  <c r="B7" i="38"/>
  <c r="AO112" i="58"/>
  <c r="AM112" i="58"/>
  <c r="M112" i="58"/>
  <c r="Q112" i="58" s="1"/>
  <c r="J112" i="58"/>
  <c r="S112" i="58" s="1"/>
  <c r="AO111" i="58"/>
  <c r="AM111" i="58"/>
  <c r="M111" i="58"/>
  <c r="Q111" i="58" s="1"/>
  <c r="J111" i="58"/>
  <c r="S111" i="58" s="1"/>
  <c r="AO110" i="58"/>
  <c r="AM110" i="58"/>
  <c r="M110" i="58"/>
  <c r="Q110" i="58" s="1"/>
  <c r="J110" i="58"/>
  <c r="AO109" i="58"/>
  <c r="AM109" i="58"/>
  <c r="M109" i="58"/>
  <c r="Q109" i="58" s="1"/>
  <c r="J109" i="58"/>
  <c r="AO108" i="58"/>
  <c r="AM108" i="58"/>
  <c r="M108" i="58"/>
  <c r="Q108" i="58" s="1"/>
  <c r="J108" i="58"/>
  <c r="S108" i="58" s="1"/>
  <c r="AO107" i="58"/>
  <c r="AM107" i="58"/>
  <c r="M107" i="58"/>
  <c r="Q107" i="58" s="1"/>
  <c r="J107" i="58"/>
  <c r="S107" i="58" s="1"/>
  <c r="AO106" i="58"/>
  <c r="AM106" i="58"/>
  <c r="M106" i="58"/>
  <c r="Q106" i="58" s="1"/>
  <c r="J106" i="58"/>
  <c r="AO105" i="58"/>
  <c r="AM105" i="58"/>
  <c r="M105" i="58"/>
  <c r="Q105" i="58" s="1"/>
  <c r="J105" i="58"/>
  <c r="AO104" i="58"/>
  <c r="AM104" i="58"/>
  <c r="M104" i="58"/>
  <c r="Q104" i="58" s="1"/>
  <c r="J104" i="58"/>
  <c r="S104" i="58" s="1"/>
  <c r="AO103" i="58"/>
  <c r="AM103" i="58"/>
  <c r="M103" i="58"/>
  <c r="Q103" i="58" s="1"/>
  <c r="J103" i="58"/>
  <c r="S103" i="58" s="1"/>
  <c r="AO102" i="58"/>
  <c r="AM102" i="58"/>
  <c r="M102" i="58"/>
  <c r="Q102" i="58" s="1"/>
  <c r="J102" i="58"/>
  <c r="AO101" i="58"/>
  <c r="AM101" i="58"/>
  <c r="M101" i="58"/>
  <c r="Q101" i="58" s="1"/>
  <c r="J101" i="58"/>
  <c r="AO100" i="58"/>
  <c r="AM100" i="58"/>
  <c r="M100" i="58"/>
  <c r="Q100" i="58" s="1"/>
  <c r="J100" i="58"/>
  <c r="S100" i="58" s="1"/>
  <c r="AO99" i="58"/>
  <c r="AM99" i="58"/>
  <c r="M99" i="58"/>
  <c r="Q99" i="58" s="1"/>
  <c r="J99" i="58"/>
  <c r="S99" i="58" s="1"/>
  <c r="AO98" i="58"/>
  <c r="AM98" i="58"/>
  <c r="M98" i="58"/>
  <c r="Q98" i="58" s="1"/>
  <c r="J98" i="58"/>
  <c r="AO97" i="58"/>
  <c r="AM97" i="58"/>
  <c r="M97" i="58"/>
  <c r="Q97" i="58" s="1"/>
  <c r="J97" i="58"/>
  <c r="AO96" i="58"/>
  <c r="AM96" i="58"/>
  <c r="M96" i="58"/>
  <c r="Q96" i="58" s="1"/>
  <c r="J96" i="58"/>
  <c r="S96" i="58" s="1"/>
  <c r="AO95" i="58"/>
  <c r="AM95" i="58"/>
  <c r="M95" i="58"/>
  <c r="Q95" i="58" s="1"/>
  <c r="J95" i="58"/>
  <c r="S95" i="58" s="1"/>
  <c r="AO94" i="58"/>
  <c r="AM94" i="58"/>
  <c r="M94" i="58"/>
  <c r="Q94" i="58" s="1"/>
  <c r="J94" i="58"/>
  <c r="AO93" i="58"/>
  <c r="AM93" i="58"/>
  <c r="M93" i="58"/>
  <c r="Q93" i="58" s="1"/>
  <c r="J93" i="58"/>
  <c r="AO92" i="58"/>
  <c r="AM92" i="58"/>
  <c r="M92" i="58"/>
  <c r="Q92" i="58" s="1"/>
  <c r="J92" i="58"/>
  <c r="S92" i="58" s="1"/>
  <c r="AO91" i="58"/>
  <c r="AM91" i="58"/>
  <c r="M91" i="58"/>
  <c r="Q91" i="58" s="1"/>
  <c r="J91" i="58"/>
  <c r="S91" i="58" s="1"/>
  <c r="AO90" i="58"/>
  <c r="AM90" i="58"/>
  <c r="M90" i="58"/>
  <c r="Q90" i="58" s="1"/>
  <c r="J90" i="58"/>
  <c r="AO89" i="58"/>
  <c r="AM89" i="58"/>
  <c r="M89" i="58"/>
  <c r="Q89" i="58" s="1"/>
  <c r="J89" i="58"/>
  <c r="AO88" i="58"/>
  <c r="AM88" i="58"/>
  <c r="M88" i="58"/>
  <c r="Q88" i="58" s="1"/>
  <c r="J88" i="58"/>
  <c r="S88" i="58" s="1"/>
  <c r="AO87" i="58"/>
  <c r="AM87" i="58"/>
  <c r="M87" i="58"/>
  <c r="Q87" i="58" s="1"/>
  <c r="J87" i="58"/>
  <c r="S87" i="58" s="1"/>
  <c r="AO86" i="58"/>
  <c r="AM86" i="58"/>
  <c r="M86" i="58"/>
  <c r="Q86" i="58" s="1"/>
  <c r="J86" i="58"/>
  <c r="AO85" i="58"/>
  <c r="AM85" i="58"/>
  <c r="M85" i="58"/>
  <c r="Q85" i="58" s="1"/>
  <c r="J85" i="58"/>
  <c r="AO84" i="58"/>
  <c r="AM84" i="58"/>
  <c r="M84" i="58"/>
  <c r="Q84" i="58" s="1"/>
  <c r="J84" i="58"/>
  <c r="S84" i="58" s="1"/>
  <c r="AO83" i="58"/>
  <c r="AM83" i="58"/>
  <c r="M83" i="58"/>
  <c r="Q83" i="58" s="1"/>
  <c r="J83" i="58"/>
  <c r="S83" i="58" s="1"/>
  <c r="AO82" i="58"/>
  <c r="AM82" i="58"/>
  <c r="M82" i="58"/>
  <c r="Q82" i="58" s="1"/>
  <c r="J82" i="58"/>
  <c r="AO81" i="58"/>
  <c r="AM81" i="58"/>
  <c r="M81" i="58"/>
  <c r="Q81" i="58" s="1"/>
  <c r="J81" i="58"/>
  <c r="AO80" i="58"/>
  <c r="AM80" i="58"/>
  <c r="M80" i="58"/>
  <c r="Q80" i="58" s="1"/>
  <c r="J80" i="58"/>
  <c r="S80" i="58" s="1"/>
  <c r="AO79" i="58"/>
  <c r="AM79" i="58"/>
  <c r="M79" i="58"/>
  <c r="Q79" i="58" s="1"/>
  <c r="J79" i="58"/>
  <c r="S79" i="58" s="1"/>
  <c r="AO78" i="58"/>
  <c r="AM78" i="58"/>
  <c r="M78" i="58"/>
  <c r="Q78" i="58" s="1"/>
  <c r="J78" i="58"/>
  <c r="AO77" i="58"/>
  <c r="AM77" i="58"/>
  <c r="M77" i="58"/>
  <c r="Q77" i="58" s="1"/>
  <c r="J77" i="58"/>
  <c r="AO76" i="58"/>
  <c r="AM76" i="58"/>
  <c r="M76" i="58"/>
  <c r="Q76" i="58" s="1"/>
  <c r="J76" i="58"/>
  <c r="S76" i="58" s="1"/>
  <c r="AO75" i="58"/>
  <c r="AM75" i="58"/>
  <c r="M75" i="58"/>
  <c r="Q75" i="58" s="1"/>
  <c r="J75" i="58"/>
  <c r="S75" i="58" s="1"/>
  <c r="AO74" i="58"/>
  <c r="AM74" i="58"/>
  <c r="M74" i="58"/>
  <c r="Q74" i="58" s="1"/>
  <c r="J74" i="58"/>
  <c r="AO73" i="58"/>
  <c r="AM73" i="58"/>
  <c r="M73" i="58"/>
  <c r="Q73" i="58" s="1"/>
  <c r="J73" i="58"/>
  <c r="AO72" i="58"/>
  <c r="AM72" i="58"/>
  <c r="M72" i="58"/>
  <c r="Q72" i="58" s="1"/>
  <c r="J72" i="58"/>
  <c r="S72" i="58" s="1"/>
  <c r="AO71" i="58"/>
  <c r="AM71" i="58"/>
  <c r="M71" i="58"/>
  <c r="Q71" i="58" s="1"/>
  <c r="J71" i="58"/>
  <c r="S71" i="58" s="1"/>
  <c r="AO70" i="58"/>
  <c r="AM70" i="58"/>
  <c r="M70" i="58"/>
  <c r="Q70" i="58" s="1"/>
  <c r="J70" i="58"/>
  <c r="AO69" i="58"/>
  <c r="AM69" i="58"/>
  <c r="M69" i="58"/>
  <c r="Q69" i="58" s="1"/>
  <c r="J69" i="58"/>
  <c r="AO68" i="58"/>
  <c r="AM68" i="58"/>
  <c r="M68" i="58"/>
  <c r="Q68" i="58" s="1"/>
  <c r="J68" i="58"/>
  <c r="S68" i="58" s="1"/>
  <c r="AO67" i="58"/>
  <c r="AM67" i="58"/>
  <c r="M67" i="58"/>
  <c r="Q67" i="58" s="1"/>
  <c r="J67" i="58"/>
  <c r="S67" i="58" s="1"/>
  <c r="AO66" i="58"/>
  <c r="AM66" i="58"/>
  <c r="M66" i="58"/>
  <c r="Q66" i="58" s="1"/>
  <c r="J66" i="58"/>
  <c r="AO65" i="58"/>
  <c r="AM65" i="58"/>
  <c r="M65" i="58"/>
  <c r="Q65" i="58" s="1"/>
  <c r="J65" i="58"/>
  <c r="AO64" i="58"/>
  <c r="AM64" i="58"/>
  <c r="M64" i="58"/>
  <c r="Q64" i="58" s="1"/>
  <c r="J64" i="58"/>
  <c r="S64" i="58" s="1"/>
  <c r="AO63" i="58"/>
  <c r="AM63" i="58"/>
  <c r="M63" i="58"/>
  <c r="Q63" i="58" s="1"/>
  <c r="J63" i="58"/>
  <c r="S63" i="58" s="1"/>
  <c r="AO62" i="58"/>
  <c r="AM62" i="58"/>
  <c r="M62" i="58"/>
  <c r="Q62" i="58" s="1"/>
  <c r="J62" i="58"/>
  <c r="AO61" i="58"/>
  <c r="AM61" i="58"/>
  <c r="J61" i="58"/>
  <c r="AO60" i="58"/>
  <c r="AM60" i="58"/>
  <c r="J60" i="58"/>
  <c r="S60" i="58" s="1"/>
  <c r="AO59" i="58"/>
  <c r="AM59" i="58"/>
  <c r="J59" i="58"/>
  <c r="S59" i="58" s="1"/>
  <c r="AO58" i="58"/>
  <c r="AM58" i="58"/>
  <c r="J58" i="58"/>
  <c r="AO57" i="58"/>
  <c r="AM57" i="58"/>
  <c r="J57" i="58"/>
  <c r="AO56" i="58"/>
  <c r="AM56" i="58"/>
  <c r="J56" i="58"/>
  <c r="S56" i="58" s="1"/>
  <c r="AO55" i="58"/>
  <c r="AM55" i="58"/>
  <c r="J55" i="58"/>
  <c r="S55" i="58" s="1"/>
  <c r="AO54" i="58"/>
  <c r="AM54" i="58"/>
  <c r="J54" i="58"/>
  <c r="AO53" i="58"/>
  <c r="AM53" i="58"/>
  <c r="J53" i="58"/>
  <c r="AO52" i="58"/>
  <c r="AM52" i="58"/>
  <c r="J52" i="58"/>
  <c r="S52" i="58" s="1"/>
  <c r="AO51" i="58"/>
  <c r="AM51" i="58"/>
  <c r="J51" i="58"/>
  <c r="S51" i="58" s="1"/>
  <c r="AO50" i="58"/>
  <c r="AM50" i="58"/>
  <c r="J50" i="58"/>
  <c r="AO49" i="58"/>
  <c r="AM49" i="58"/>
  <c r="J49" i="58"/>
  <c r="AO48" i="58"/>
  <c r="AM48" i="58"/>
  <c r="J48" i="58"/>
  <c r="S48" i="58" s="1"/>
  <c r="AO47" i="58"/>
  <c r="AM47" i="58"/>
  <c r="J47" i="58"/>
  <c r="S47" i="58" s="1"/>
  <c r="AO46" i="58"/>
  <c r="AM46" i="58"/>
  <c r="J46" i="58"/>
  <c r="AO45" i="58"/>
  <c r="AM45" i="58"/>
  <c r="J45" i="58"/>
  <c r="AO44" i="58"/>
  <c r="AM44" i="58"/>
  <c r="M44" i="58"/>
  <c r="Q44" i="58" s="1"/>
  <c r="J44" i="58"/>
  <c r="S44" i="58" s="1"/>
  <c r="AO43" i="58"/>
  <c r="AM43" i="58"/>
  <c r="M43" i="58"/>
  <c r="Q43" i="58" s="1"/>
  <c r="J43" i="58"/>
  <c r="S43" i="58" s="1"/>
  <c r="AO42" i="58"/>
  <c r="AM42" i="58"/>
  <c r="M42" i="58"/>
  <c r="Q42" i="58" s="1"/>
  <c r="J42" i="58"/>
  <c r="AO41" i="58"/>
  <c r="AM41" i="58"/>
  <c r="M41" i="58"/>
  <c r="Q41" i="58" s="1"/>
  <c r="J41" i="58"/>
  <c r="AO40" i="58"/>
  <c r="AM40" i="58"/>
  <c r="M40" i="58"/>
  <c r="Q40" i="58" s="1"/>
  <c r="J40" i="58"/>
  <c r="S40" i="58" s="1"/>
  <c r="AO39" i="58"/>
  <c r="AM39" i="58"/>
  <c r="M39" i="58"/>
  <c r="Q39" i="58" s="1"/>
  <c r="J39" i="58"/>
  <c r="S39" i="58" s="1"/>
  <c r="AO38" i="58"/>
  <c r="AM38" i="58"/>
  <c r="M38" i="58"/>
  <c r="Q38" i="58" s="1"/>
  <c r="J38" i="58"/>
  <c r="AO37" i="58"/>
  <c r="AM37" i="58"/>
  <c r="M37" i="58"/>
  <c r="Q37" i="58" s="1"/>
  <c r="J37" i="58"/>
  <c r="S37" i="58" s="1"/>
  <c r="AO36" i="58"/>
  <c r="AM36" i="58"/>
  <c r="M36" i="58"/>
  <c r="Q36" i="58" s="1"/>
  <c r="J36" i="58"/>
  <c r="S36" i="58" s="1"/>
  <c r="AO35" i="58"/>
  <c r="AM35" i="58"/>
  <c r="J35" i="58"/>
  <c r="AO34" i="58"/>
  <c r="AM34" i="58"/>
  <c r="J34" i="58"/>
  <c r="AO33" i="58"/>
  <c r="AM33" i="58"/>
  <c r="J33" i="58"/>
  <c r="AO32" i="58"/>
  <c r="AM32" i="58"/>
  <c r="M32" i="58"/>
  <c r="Q32" i="58" s="1"/>
  <c r="J32" i="58"/>
  <c r="S32" i="58" s="1"/>
  <c r="AO31" i="58"/>
  <c r="AM31" i="58"/>
  <c r="J31" i="58"/>
  <c r="S31" i="58" s="1"/>
  <c r="AO30" i="58"/>
  <c r="AM30" i="58"/>
  <c r="J30" i="58"/>
  <c r="AO29" i="58"/>
  <c r="AM29" i="58"/>
  <c r="J29" i="58"/>
  <c r="AO28" i="58"/>
  <c r="AM28" i="58"/>
  <c r="J28" i="58"/>
  <c r="S28" i="58" s="1"/>
  <c r="AO27" i="58"/>
  <c r="AM27" i="58"/>
  <c r="J27" i="58"/>
  <c r="S27" i="58" s="1"/>
  <c r="AO26" i="58"/>
  <c r="AM26" i="58"/>
  <c r="J26" i="58"/>
  <c r="AO25" i="58"/>
  <c r="AM25" i="58"/>
  <c r="J25" i="58"/>
  <c r="AO24" i="58"/>
  <c r="AM24" i="58"/>
  <c r="J24" i="58"/>
  <c r="AO23" i="58"/>
  <c r="AM23" i="58"/>
  <c r="J23" i="58"/>
  <c r="AO22" i="58"/>
  <c r="AM22" i="58"/>
  <c r="J22" i="58"/>
  <c r="AO21" i="58"/>
  <c r="AM21" i="58"/>
  <c r="J21" i="58"/>
  <c r="AO20" i="58"/>
  <c r="AM20" i="58"/>
  <c r="J20" i="58"/>
  <c r="S20" i="58" s="1"/>
  <c r="AO19" i="58"/>
  <c r="AM19" i="58"/>
  <c r="J19" i="58"/>
  <c r="S19" i="58" s="1"/>
  <c r="AO18" i="58"/>
  <c r="AM18" i="58"/>
  <c r="J18" i="58"/>
  <c r="AO17" i="58"/>
  <c r="AM17" i="58"/>
  <c r="J17" i="58"/>
  <c r="AO16" i="58"/>
  <c r="AM16" i="58"/>
  <c r="J16" i="58"/>
  <c r="S16" i="58" s="1"/>
  <c r="AO15" i="58"/>
  <c r="AM15" i="58"/>
  <c r="J15" i="58"/>
  <c r="S15" i="58" s="1"/>
  <c r="AO14" i="58"/>
  <c r="AM14" i="58"/>
  <c r="J14" i="58"/>
  <c r="S14" i="58" s="1"/>
  <c r="AO13" i="58"/>
  <c r="AM13" i="58"/>
  <c r="J13" i="58"/>
  <c r="S13" i="58" s="1"/>
  <c r="F8" i="58"/>
  <c r="J57" i="55" l="1"/>
  <c r="FF17" i="62" s="1"/>
  <c r="BG22" i="55"/>
  <c r="K17" i="58"/>
  <c r="M17" i="58" s="1"/>
  <c r="Q17" i="58" s="1"/>
  <c r="G34" i="62" s="1"/>
  <c r="S17" i="58"/>
  <c r="K35" i="58"/>
  <c r="M35" i="58" s="1"/>
  <c r="Q35" i="58" s="1"/>
  <c r="S35" i="58"/>
  <c r="K50" i="58"/>
  <c r="M50" i="58" s="1"/>
  <c r="Q50" i="58" s="1"/>
  <c r="S50" i="58"/>
  <c r="K53" i="58"/>
  <c r="M53" i="58" s="1"/>
  <c r="Q53" i="58" s="1"/>
  <c r="S53" i="58"/>
  <c r="BT21" i="62"/>
  <c r="BT22" i="62"/>
  <c r="K21" i="58"/>
  <c r="M21" i="58" s="1"/>
  <c r="Q21" i="58" s="1"/>
  <c r="S21" i="58"/>
  <c r="K39" i="58"/>
  <c r="K42" i="58"/>
  <c r="S42" i="58"/>
  <c r="K45" i="58"/>
  <c r="M45" i="58" s="1"/>
  <c r="Q45" i="58" s="1"/>
  <c r="G24" i="62" s="1"/>
  <c r="S45" i="58"/>
  <c r="K105" i="58"/>
  <c r="S105" i="58"/>
  <c r="K26" i="58"/>
  <c r="M26" i="58" s="1"/>
  <c r="Q26" i="58" s="1"/>
  <c r="G52" i="62" s="1"/>
  <c r="S26" i="58"/>
  <c r="CX21" i="62"/>
  <c r="CX22" i="62"/>
  <c r="K24" i="58"/>
  <c r="M24" i="58" s="1"/>
  <c r="Q24" i="58" s="1"/>
  <c r="S24" i="58"/>
  <c r="K33" i="58"/>
  <c r="M33" i="58" s="1"/>
  <c r="Q33" i="58" s="1"/>
  <c r="S33" i="58"/>
  <c r="K22" i="58"/>
  <c r="M22" i="58" s="1"/>
  <c r="Q22" i="58" s="1"/>
  <c r="S22" i="58"/>
  <c r="K25" i="58"/>
  <c r="M25" i="58" s="1"/>
  <c r="Q25" i="58" s="1"/>
  <c r="G49" i="62" s="1"/>
  <c r="S25" i="58"/>
  <c r="EA22" i="62"/>
  <c r="EA21" i="62"/>
  <c r="K23" i="58"/>
  <c r="M23" i="58" s="1"/>
  <c r="Q23" i="58" s="1"/>
  <c r="G46" i="62" s="1"/>
  <c r="S23" i="58"/>
  <c r="K41" i="58"/>
  <c r="S41" i="58"/>
  <c r="K62" i="58"/>
  <c r="S62" i="58"/>
  <c r="K74" i="58"/>
  <c r="S74" i="58"/>
  <c r="K77" i="58"/>
  <c r="S77" i="58"/>
  <c r="K86" i="58"/>
  <c r="S86" i="58"/>
  <c r="K98" i="58"/>
  <c r="S98" i="58"/>
  <c r="K101" i="58"/>
  <c r="S101" i="58"/>
  <c r="K110" i="58"/>
  <c r="S110" i="58"/>
  <c r="K18" i="58"/>
  <c r="M18" i="58" s="1"/>
  <c r="Q18" i="58" s="1"/>
  <c r="G37" i="62" s="1"/>
  <c r="S18" i="58"/>
  <c r="K30" i="58"/>
  <c r="M30" i="58" s="1"/>
  <c r="Q30" i="58" s="1"/>
  <c r="S30" i="58"/>
  <c r="K69" i="58"/>
  <c r="S69" i="58"/>
  <c r="K81" i="58"/>
  <c r="S81" i="58"/>
  <c r="FF21" i="62"/>
  <c r="FF22" i="62"/>
  <c r="K37" i="58"/>
  <c r="K38" i="58"/>
  <c r="S38" i="58"/>
  <c r="K65" i="58"/>
  <c r="S65" i="58"/>
  <c r="K89" i="58"/>
  <c r="S89" i="58"/>
  <c r="K54" i="58"/>
  <c r="M54" i="58" s="1"/>
  <c r="Q54" i="58" s="1"/>
  <c r="S54" i="58"/>
  <c r="K57" i="58"/>
  <c r="M57" i="58" s="1"/>
  <c r="Q57" i="58" s="1"/>
  <c r="S57" i="58"/>
  <c r="K66" i="58"/>
  <c r="S66" i="58"/>
  <c r="K90" i="58"/>
  <c r="S90" i="58"/>
  <c r="K93" i="58"/>
  <c r="S93" i="58"/>
  <c r="K46" i="58"/>
  <c r="M46" i="58" s="1"/>
  <c r="Q46" i="58" s="1"/>
  <c r="S46" i="58"/>
  <c r="K49" i="58"/>
  <c r="M49" i="58" s="1"/>
  <c r="Q49" i="58" s="1"/>
  <c r="S49" i="58"/>
  <c r="K58" i="58"/>
  <c r="M58" i="58" s="1"/>
  <c r="Q58" i="58" s="1"/>
  <c r="S58" i="58"/>
  <c r="K61" i="58"/>
  <c r="M61" i="58" s="1"/>
  <c r="Q61" i="58" s="1"/>
  <c r="S61" i="58"/>
  <c r="K70" i="58"/>
  <c r="S70" i="58"/>
  <c r="K73" i="58"/>
  <c r="S73" i="58"/>
  <c r="K82" i="58"/>
  <c r="S82" i="58"/>
  <c r="K85" i="58"/>
  <c r="S85" i="58"/>
  <c r="K94" i="58"/>
  <c r="S94" i="58"/>
  <c r="K97" i="58"/>
  <c r="S97" i="58"/>
  <c r="K106" i="58"/>
  <c r="S106" i="58"/>
  <c r="K109" i="58"/>
  <c r="S109" i="58"/>
  <c r="K21" i="62"/>
  <c r="K22" i="62"/>
  <c r="EB17" i="62"/>
  <c r="EB22" i="62" s="1"/>
  <c r="K29" i="58"/>
  <c r="M29" i="58" s="1"/>
  <c r="Q29" i="58" s="1"/>
  <c r="G61" i="62" s="1"/>
  <c r="S29" i="58"/>
  <c r="K78" i="58"/>
  <c r="S78" i="58"/>
  <c r="K102" i="58"/>
  <c r="S102" i="58"/>
  <c r="K34" i="58"/>
  <c r="M34" i="58" s="1"/>
  <c r="Q34" i="58" s="1"/>
  <c r="S34" i="58"/>
  <c r="FF18" i="62"/>
  <c r="AP18" i="62"/>
  <c r="AP21" i="62"/>
  <c r="K18" i="62"/>
  <c r="K63" i="62"/>
  <c r="K66" i="62"/>
  <c r="K69" i="62"/>
  <c r="K15" i="58"/>
  <c r="M15" i="58" s="1"/>
  <c r="Q15" i="58" s="1"/>
  <c r="G31" i="62" s="1"/>
  <c r="K13" i="58"/>
  <c r="M13" i="58" s="1"/>
  <c r="Q13" i="58" s="1"/>
  <c r="G25" i="62" s="1"/>
  <c r="BU17" i="62"/>
  <c r="M40" i="55"/>
  <c r="M37" i="55"/>
  <c r="J61" i="55"/>
  <c r="K57" i="55"/>
  <c r="J58" i="55"/>
  <c r="BA58" i="55" s="1"/>
  <c r="BA57" i="55"/>
  <c r="K54" i="55"/>
  <c r="EC17" i="62"/>
  <c r="EC22" i="62" s="1"/>
  <c r="K51" i="55"/>
  <c r="L47" i="55"/>
  <c r="CY17" i="62"/>
  <c r="L44" i="55"/>
  <c r="N33" i="55"/>
  <c r="N30" i="55"/>
  <c r="AQ17" i="62"/>
  <c r="AQ22" i="62" s="1"/>
  <c r="L17" i="62"/>
  <c r="L22" i="62" s="1"/>
  <c r="N26" i="55"/>
  <c r="N23" i="55"/>
  <c r="K14" i="58"/>
  <c r="M14" i="58" s="1"/>
  <c r="Q14" i="58" s="1"/>
  <c r="G28" i="62" s="1"/>
  <c r="AT119" i="58"/>
  <c r="K31" i="58"/>
  <c r="M31" i="58" s="1"/>
  <c r="Q31" i="58" s="1"/>
  <c r="K27" i="58"/>
  <c r="M27" i="58" s="1"/>
  <c r="Q27" i="58" s="1"/>
  <c r="G55" i="62" s="1"/>
  <c r="K19" i="58"/>
  <c r="M19" i="58" s="1"/>
  <c r="Q19" i="58" s="1"/>
  <c r="G40" i="62" s="1"/>
  <c r="K43" i="58"/>
  <c r="K16" i="58"/>
  <c r="M16" i="58" s="1"/>
  <c r="Q16" i="58" s="1"/>
  <c r="K44" i="58"/>
  <c r="K48" i="58"/>
  <c r="M48" i="58" s="1"/>
  <c r="Q48" i="58" s="1"/>
  <c r="K52" i="58"/>
  <c r="M52" i="58" s="1"/>
  <c r="Q52" i="58" s="1"/>
  <c r="K56" i="58"/>
  <c r="M56" i="58" s="1"/>
  <c r="Q56" i="58" s="1"/>
  <c r="K60" i="58"/>
  <c r="M60" i="58" s="1"/>
  <c r="Q60" i="58" s="1"/>
  <c r="K64" i="58"/>
  <c r="K68" i="58"/>
  <c r="K72" i="58"/>
  <c r="K76" i="58"/>
  <c r="K80" i="58"/>
  <c r="K84" i="58"/>
  <c r="K88" i="58"/>
  <c r="K92" i="58"/>
  <c r="K96" i="58"/>
  <c r="K100" i="58"/>
  <c r="K104" i="58"/>
  <c r="K108" i="58"/>
  <c r="K112" i="58"/>
  <c r="K32" i="58"/>
  <c r="K47" i="58"/>
  <c r="M47" i="58" s="1"/>
  <c r="Q47" i="58" s="1"/>
  <c r="K51" i="58"/>
  <c r="M51" i="58" s="1"/>
  <c r="Q51" i="58" s="1"/>
  <c r="K55" i="58"/>
  <c r="M55" i="58" s="1"/>
  <c r="Q55" i="58" s="1"/>
  <c r="K59" i="58"/>
  <c r="M59" i="58" s="1"/>
  <c r="Q59" i="58" s="1"/>
  <c r="K63" i="58"/>
  <c r="K67" i="58"/>
  <c r="K71" i="58"/>
  <c r="K75" i="58"/>
  <c r="K79" i="58"/>
  <c r="K83" i="58"/>
  <c r="K87" i="58"/>
  <c r="K91" i="58"/>
  <c r="K95" i="58"/>
  <c r="K99" i="58"/>
  <c r="K103" i="58"/>
  <c r="K107" i="58"/>
  <c r="K111" i="58"/>
  <c r="K28" i="58"/>
  <c r="M28" i="58" s="1"/>
  <c r="Q28" i="58" s="1"/>
  <c r="G58" i="62" s="1"/>
  <c r="K36" i="58"/>
  <c r="K20" i="58"/>
  <c r="M20" i="58" s="1"/>
  <c r="Q20" i="58" s="1"/>
  <c r="G43" i="62" s="1"/>
  <c r="K40" i="58"/>
  <c r="BA132" i="58" l="1"/>
  <c r="FG17" i="62"/>
  <c r="FG22" i="62" s="1"/>
  <c r="L57" i="55"/>
  <c r="M57" i="55" s="1"/>
  <c r="N57" i="55" s="1"/>
  <c r="O57" i="55" s="1"/>
  <c r="P57" i="55" s="1"/>
  <c r="Q57" i="55" s="1"/>
  <c r="R57" i="55" s="1"/>
  <c r="S57" i="55" s="1"/>
  <c r="T57" i="55" s="1"/>
  <c r="U57" i="55" s="1"/>
  <c r="V57" i="55" s="1"/>
  <c r="W57" i="55" s="1"/>
  <c r="X57" i="55" s="1"/>
  <c r="Y57" i="55" s="1"/>
  <c r="Z57" i="55" s="1"/>
  <c r="EB21" i="62"/>
  <c r="BU21" i="62"/>
  <c r="BU22" i="62"/>
  <c r="CY21" i="62"/>
  <c r="CY22" i="62"/>
  <c r="EB18" i="62"/>
  <c r="BA138" i="58"/>
  <c r="BB138" i="58" s="1"/>
  <c r="BA137" i="58"/>
  <c r="BB137" i="58" s="1"/>
  <c r="BA136" i="58"/>
  <c r="BB136" i="58" s="1"/>
  <c r="BA135" i="58"/>
  <c r="BB135" i="58" s="1"/>
  <c r="BA133" i="58"/>
  <c r="BA134" i="58"/>
  <c r="BA130" i="58"/>
  <c r="BA126" i="58"/>
  <c r="BA131" i="58"/>
  <c r="BA129" i="58"/>
  <c r="BB129" i="58" s="1"/>
  <c r="BA128" i="58"/>
  <c r="BB128" i="58" s="1"/>
  <c r="BA125" i="58"/>
  <c r="EC18" i="62"/>
  <c r="EC21" i="62"/>
  <c r="FG18" i="62"/>
  <c r="L18" i="62"/>
  <c r="L21" i="62"/>
  <c r="AQ18" i="62"/>
  <c r="AQ21" i="62"/>
  <c r="BA123" i="58"/>
  <c r="BB123" i="58" s="1"/>
  <c r="BA124" i="58"/>
  <c r="BB124" i="58" s="1"/>
  <c r="CZ17" i="62"/>
  <c r="CZ22" i="62" s="1"/>
  <c r="M47" i="55"/>
  <c r="M44" i="55"/>
  <c r="BV17" i="62"/>
  <c r="N40" i="55"/>
  <c r="N37" i="55"/>
  <c r="L54" i="55"/>
  <c r="ED17" i="62"/>
  <c r="ED22" i="62" s="1"/>
  <c r="L51" i="55"/>
  <c r="K61" i="55"/>
  <c r="K58" i="55"/>
  <c r="M17" i="62"/>
  <c r="M22" i="62" s="1"/>
  <c r="O26" i="55"/>
  <c r="O23" i="55"/>
  <c r="O33" i="55"/>
  <c r="O30" i="55"/>
  <c r="AR17" i="62"/>
  <c r="AR22" i="62" s="1"/>
  <c r="BA139" i="58"/>
  <c r="BB139" i="58" s="1"/>
  <c r="BA127" i="58"/>
  <c r="BB127" i="58" s="1"/>
  <c r="FG21" i="62" l="1"/>
  <c r="FH17" i="62"/>
  <c r="FH22" i="62" s="1"/>
  <c r="BB130" i="58"/>
  <c r="FV17" i="62"/>
  <c r="AA57" i="55"/>
  <c r="AB57" i="55" s="1"/>
  <c r="AC57" i="55" s="1"/>
  <c r="AD57" i="55" s="1"/>
  <c r="AE57" i="55" s="1"/>
  <c r="AF57" i="55" s="1"/>
  <c r="AG57" i="55" s="1"/>
  <c r="AH57" i="55" s="1"/>
  <c r="AI57" i="55" s="1"/>
  <c r="AJ57" i="55" s="1"/>
  <c r="AK57" i="55" s="1"/>
  <c r="AL57" i="55" s="1"/>
  <c r="AM57" i="55" s="1"/>
  <c r="AN57" i="55" s="1"/>
  <c r="Z61" i="55"/>
  <c r="Z58" i="55"/>
  <c r="BV21" i="62"/>
  <c r="BV22" i="62"/>
  <c r="BB133" i="58"/>
  <c r="BB125" i="58"/>
  <c r="CZ18" i="62"/>
  <c r="CZ21" i="62"/>
  <c r="FH18" i="62"/>
  <c r="FH21" i="62"/>
  <c r="ED18" i="62"/>
  <c r="ED21" i="62"/>
  <c r="M18" i="62"/>
  <c r="M21" i="62"/>
  <c r="AR18" i="62"/>
  <c r="AR21" i="62"/>
  <c r="L61" i="55"/>
  <c r="FI17" i="62"/>
  <c r="FI22" i="62" s="1"/>
  <c r="L58" i="55"/>
  <c r="EE17" i="62"/>
  <c r="EE22" i="62" s="1"/>
  <c r="M54" i="55"/>
  <c r="M51" i="55"/>
  <c r="BW17" i="62"/>
  <c r="O40" i="55"/>
  <c r="O37" i="55"/>
  <c r="DA17" i="62"/>
  <c r="N47" i="55"/>
  <c r="N44" i="55"/>
  <c r="BB44" i="55" s="1"/>
  <c r="BB43" i="55"/>
  <c r="P33" i="55"/>
  <c r="P30" i="55"/>
  <c r="N17" i="62"/>
  <c r="P26" i="55"/>
  <c r="P23" i="55"/>
  <c r="D9" i="4"/>
  <c r="AD9" i="4" s="1"/>
  <c r="D9" i="36"/>
  <c r="AD9" i="36" s="1"/>
  <c r="D9" i="37"/>
  <c r="AD9" i="37" s="1"/>
  <c r="D9" i="38"/>
  <c r="AD9" i="38" s="1"/>
  <c r="D9" i="40"/>
  <c r="AD9" i="40" s="1"/>
  <c r="D9" i="41"/>
  <c r="AD9" i="41" s="1"/>
  <c r="D9" i="42"/>
  <c r="AA9" i="42" s="1"/>
  <c r="D9" i="43"/>
  <c r="AA9" i="43" s="1"/>
  <c r="D9" i="44"/>
  <c r="AA9" i="44" s="1"/>
  <c r="D9" i="45"/>
  <c r="AA9" i="45" s="1"/>
  <c r="D9" i="46"/>
  <c r="AA9" i="46" s="1"/>
  <c r="D9" i="47"/>
  <c r="AA9" i="47" s="1"/>
  <c r="D9" i="48"/>
  <c r="AA9" i="48" s="1"/>
  <c r="O50" i="5"/>
  <c r="P50" i="5"/>
  <c r="BA25" i="55"/>
  <c r="BB25" i="55"/>
  <c r="BC25" i="55"/>
  <c r="BD25" i="55"/>
  <c r="BE25" i="55"/>
  <c r="BE40" i="55"/>
  <c r="BD40" i="55"/>
  <c r="BC40" i="55"/>
  <c r="BB40" i="55"/>
  <c r="BA40" i="55"/>
  <c r="BE39" i="55"/>
  <c r="BD39" i="55"/>
  <c r="BC39" i="55"/>
  <c r="BB39" i="55"/>
  <c r="BA39" i="55"/>
  <c r="BF38" i="55"/>
  <c r="BE38" i="55"/>
  <c r="BD38" i="55"/>
  <c r="BC38" i="55"/>
  <c r="BB38" i="55"/>
  <c r="BA38" i="55"/>
  <c r="BB37" i="55"/>
  <c r="BA37" i="55"/>
  <c r="BB36" i="55"/>
  <c r="BA36" i="55"/>
  <c r="BE33" i="55"/>
  <c r="BD33" i="55"/>
  <c r="BC33" i="55"/>
  <c r="BB33" i="55"/>
  <c r="BA33" i="55"/>
  <c r="BE32" i="55"/>
  <c r="BD32" i="55"/>
  <c r="BC32" i="55"/>
  <c r="BB32" i="55"/>
  <c r="BA32" i="55"/>
  <c r="BF31" i="55"/>
  <c r="BE31" i="55"/>
  <c r="BD31" i="55"/>
  <c r="BC31" i="55"/>
  <c r="BB31" i="55"/>
  <c r="BA31" i="55"/>
  <c r="BB30" i="55"/>
  <c r="BA30" i="55"/>
  <c r="BB29" i="55"/>
  <c r="BA29" i="55"/>
  <c r="N22" i="62" l="1"/>
  <c r="FV21" i="62"/>
  <c r="FV22" i="62"/>
  <c r="DA21" i="62"/>
  <c r="DA22" i="62"/>
  <c r="BW21" i="62"/>
  <c r="BW22" i="62"/>
  <c r="EE18" i="62"/>
  <c r="EE21" i="62"/>
  <c r="FI18" i="62"/>
  <c r="FI21" i="62"/>
  <c r="N18" i="62"/>
  <c r="N21" i="62"/>
  <c r="BC29" i="55"/>
  <c r="AS17" i="62"/>
  <c r="AS22" i="62" s="1"/>
  <c r="DB17" i="62"/>
  <c r="O47" i="55"/>
  <c r="O44" i="55"/>
  <c r="EF17" i="62"/>
  <c r="EF22" i="62" s="1"/>
  <c r="N54" i="55"/>
  <c r="N51" i="55"/>
  <c r="BB51" i="55" s="1"/>
  <c r="BB50" i="55"/>
  <c r="BX17" i="62"/>
  <c r="P40" i="55"/>
  <c r="P37" i="55"/>
  <c r="FJ17" i="62"/>
  <c r="FJ22" i="62" s="1"/>
  <c r="M61" i="55"/>
  <c r="M58" i="55"/>
  <c r="O17" i="62"/>
  <c r="O22" i="62" s="1"/>
  <c r="Q26" i="55"/>
  <c r="Q23" i="55"/>
  <c r="Q33" i="55"/>
  <c r="AT17" i="62"/>
  <c r="AT22" i="62" s="1"/>
  <c r="Q30" i="55"/>
  <c r="BC30" i="55" s="1"/>
  <c r="Z9" i="48"/>
  <c r="AC2" i="48" s="1"/>
  <c r="AC9" i="4"/>
  <c r="AC9" i="36"/>
  <c r="AC9" i="37"/>
  <c r="AC9" i="38"/>
  <c r="AC9" i="40"/>
  <c r="AC9" i="41"/>
  <c r="Z9" i="42"/>
  <c r="AC2" i="42" s="1"/>
  <c r="Z9" i="43"/>
  <c r="AC2" i="43" s="1"/>
  <c r="Z9" i="44"/>
  <c r="AC2" i="44" s="1"/>
  <c r="Z9" i="45"/>
  <c r="AC2" i="45" s="1"/>
  <c r="Z9" i="46"/>
  <c r="AC2" i="46" s="1"/>
  <c r="Z9" i="47"/>
  <c r="AC2" i="47" s="1"/>
  <c r="DB21" i="62" l="1"/>
  <c r="DB22" i="62"/>
  <c r="BX21" i="62"/>
  <c r="BX22" i="62"/>
  <c r="FJ18" i="62"/>
  <c r="FJ21" i="62"/>
  <c r="EF18" i="62"/>
  <c r="EF21" i="62"/>
  <c r="O18" i="62"/>
  <c r="O21" i="62"/>
  <c r="AT18" i="62"/>
  <c r="AT21" i="62"/>
  <c r="AS18" i="62"/>
  <c r="AS21" i="62"/>
  <c r="FK17" i="62"/>
  <c r="FK22" i="62" s="1"/>
  <c r="N61" i="55"/>
  <c r="N58" i="55"/>
  <c r="BB58" i="55" s="1"/>
  <c r="BB57" i="55"/>
  <c r="EG17" i="62"/>
  <c r="EG22" i="62" s="1"/>
  <c r="O54" i="55"/>
  <c r="O51" i="55"/>
  <c r="DC17" i="62"/>
  <c r="P47" i="55"/>
  <c r="P44" i="55"/>
  <c r="BY17" i="62"/>
  <c r="Q40" i="55"/>
  <c r="Q37" i="55"/>
  <c r="BC37" i="55" s="1"/>
  <c r="BC36" i="55"/>
  <c r="R33" i="55"/>
  <c r="AU17" i="62"/>
  <c r="AU22" i="62" s="1"/>
  <c r="R30" i="55"/>
  <c r="P17" i="62"/>
  <c r="P22" i="62" s="1"/>
  <c r="R26" i="55"/>
  <c r="R23" i="55"/>
  <c r="DC21" i="62" l="1"/>
  <c r="DC22" i="62"/>
  <c r="BY21" i="62"/>
  <c r="BY22" i="62"/>
  <c r="EG18" i="62"/>
  <c r="EG21" i="62"/>
  <c r="FK18" i="62"/>
  <c r="FK21" i="62"/>
  <c r="P18" i="62"/>
  <c r="P21" i="62"/>
  <c r="AU18" i="62"/>
  <c r="AU21" i="62"/>
  <c r="BZ17" i="62"/>
  <c r="BZ22" i="62" s="1"/>
  <c r="R40" i="55"/>
  <c r="R37" i="55"/>
  <c r="DD17" i="62"/>
  <c r="Q47" i="55"/>
  <c r="Q44" i="55"/>
  <c r="BC44" i="55" s="1"/>
  <c r="BC43" i="55"/>
  <c r="EH17" i="62"/>
  <c r="EH22" i="62" s="1"/>
  <c r="P54" i="55"/>
  <c r="P51" i="55"/>
  <c r="FL17" i="62"/>
  <c r="FL22" i="62" s="1"/>
  <c r="O61" i="55"/>
  <c r="O58" i="55"/>
  <c r="Q17" i="62"/>
  <c r="Q22" i="62" s="1"/>
  <c r="S26" i="55"/>
  <c r="S23" i="55"/>
  <c r="S33" i="55"/>
  <c r="S30" i="55"/>
  <c r="AV17" i="62"/>
  <c r="AV22" i="62" s="1"/>
  <c r="DD21" i="62" l="1"/>
  <c r="DD22" i="62"/>
  <c r="EH18" i="62"/>
  <c r="EH21" i="62"/>
  <c r="FL18" i="62"/>
  <c r="FL21" i="62"/>
  <c r="Q18" i="62"/>
  <c r="Q21" i="62"/>
  <c r="AV18" i="62"/>
  <c r="AV21" i="62"/>
  <c r="BZ18" i="62"/>
  <c r="BZ21" i="62"/>
  <c r="EI17" i="62"/>
  <c r="EI22" i="62" s="1"/>
  <c r="Q54" i="55"/>
  <c r="Q51" i="55"/>
  <c r="BC51" i="55" s="1"/>
  <c r="BC50" i="55"/>
  <c r="DE17" i="62"/>
  <c r="R47" i="55"/>
  <c r="R44" i="55"/>
  <c r="FM17" i="62"/>
  <c r="FM22" i="62" s="1"/>
  <c r="P61" i="55"/>
  <c r="P58" i="55"/>
  <c r="CA17" i="62"/>
  <c r="S40" i="55"/>
  <c r="S37" i="55"/>
  <c r="T33" i="55"/>
  <c r="T30" i="55"/>
  <c r="AW17" i="62"/>
  <c r="AW22" i="62" s="1"/>
  <c r="R17" i="62"/>
  <c r="T26" i="55"/>
  <c r="T23" i="55"/>
  <c r="K1" i="48"/>
  <c r="K1" i="47"/>
  <c r="K1" i="46"/>
  <c r="K1" i="45"/>
  <c r="K1" i="44"/>
  <c r="K1" i="43"/>
  <c r="K1" i="42"/>
  <c r="G1" i="51"/>
  <c r="R22" i="62" l="1"/>
  <c r="DE21" i="62"/>
  <c r="DE22" i="62"/>
  <c r="CA21" i="62"/>
  <c r="CA22" i="62"/>
  <c r="FM18" i="62"/>
  <c r="FM21" i="62"/>
  <c r="EI18" i="62"/>
  <c r="EI21" i="62"/>
  <c r="R18" i="62"/>
  <c r="R21" i="62"/>
  <c r="AW18" i="62"/>
  <c r="AW21" i="62"/>
  <c r="CB17" i="62"/>
  <c r="T40" i="55"/>
  <c r="T37" i="55"/>
  <c r="DF17" i="62"/>
  <c r="S47" i="55"/>
  <c r="S44" i="55"/>
  <c r="EJ17" i="62"/>
  <c r="EJ22" i="62" s="1"/>
  <c r="R54" i="55"/>
  <c r="R51" i="55"/>
  <c r="FN17" i="62"/>
  <c r="FN22" i="62" s="1"/>
  <c r="Q61" i="55"/>
  <c r="Q58" i="55"/>
  <c r="BC58" i="55" s="1"/>
  <c r="BC57" i="55"/>
  <c r="S17" i="62"/>
  <c r="U26" i="55"/>
  <c r="U23" i="55"/>
  <c r="U33" i="55"/>
  <c r="U30" i="55"/>
  <c r="BD30" i="55" s="1"/>
  <c r="AX17" i="62"/>
  <c r="AX22" i="62" s="1"/>
  <c r="BD29" i="55"/>
  <c r="AU165" i="55"/>
  <c r="AU167" i="55"/>
  <c r="N109" i="55"/>
  <c r="DF21" i="62" l="1"/>
  <c r="DF22" i="62"/>
  <c r="CB21" i="62"/>
  <c r="CB22" i="62"/>
  <c r="S22" i="62"/>
  <c r="V122" i="55"/>
  <c r="V125" i="55"/>
  <c r="V128" i="55"/>
  <c r="V131" i="55"/>
  <c r="V134" i="55"/>
  <c r="V149" i="55"/>
  <c r="V137" i="55"/>
  <c r="V143" i="55"/>
  <c r="V146" i="55"/>
  <c r="V152" i="55"/>
  <c r="V119" i="55"/>
  <c r="V140" i="55"/>
  <c r="V116" i="55"/>
  <c r="FN18" i="62"/>
  <c r="FN21" i="62"/>
  <c r="EJ18" i="62"/>
  <c r="EJ21" i="62"/>
  <c r="S18" i="62"/>
  <c r="S21" i="62"/>
  <c r="AX18" i="62"/>
  <c r="AX21" i="62"/>
  <c r="CC17" i="62"/>
  <c r="U40" i="55"/>
  <c r="U37" i="55"/>
  <c r="BD37" i="55" s="1"/>
  <c r="BD36" i="55"/>
  <c r="FO17" i="62"/>
  <c r="FO22" i="62" s="1"/>
  <c r="R61" i="55"/>
  <c r="R58" i="55"/>
  <c r="EK17" i="62"/>
  <c r="EK22" i="62" s="1"/>
  <c r="S54" i="55"/>
  <c r="S51" i="55"/>
  <c r="DG17" i="62"/>
  <c r="T47" i="55"/>
  <c r="T44" i="55"/>
  <c r="T17" i="62"/>
  <c r="T22" i="62" s="1"/>
  <c r="V26" i="55"/>
  <c r="V23" i="55"/>
  <c r="V33" i="55"/>
  <c r="AY17" i="62"/>
  <c r="AY22" i="62" s="1"/>
  <c r="V30" i="55"/>
  <c r="N76" i="54"/>
  <c r="V89" i="54" s="1"/>
  <c r="AZ14" i="54"/>
  <c r="AZ1" i="54" s="1"/>
  <c r="AU63" i="54"/>
  <c r="AT56" i="54"/>
  <c r="AS56" i="54"/>
  <c r="AR56" i="54"/>
  <c r="AQ56" i="54"/>
  <c r="AP56" i="54"/>
  <c r="AO56" i="54"/>
  <c r="D5" i="62" l="1"/>
  <c r="H31" i="62" s="1"/>
  <c r="D6" i="62"/>
  <c r="D14" i="62"/>
  <c r="D4" i="62"/>
  <c r="D8" i="62"/>
  <c r="D9" i="62"/>
  <c r="D15" i="62"/>
  <c r="D10" i="62"/>
  <c r="D11" i="62"/>
  <c r="D13" i="62"/>
  <c r="D7" i="62"/>
  <c r="D3" i="62"/>
  <c r="D12" i="62"/>
  <c r="CC21" i="62"/>
  <c r="CC22" i="62"/>
  <c r="DG21" i="62"/>
  <c r="DG22" i="62"/>
  <c r="G29" i="62"/>
  <c r="H30" i="62" s="1"/>
  <c r="I30" i="62" s="1"/>
  <c r="H29" i="62"/>
  <c r="FO18" i="62"/>
  <c r="FO21" i="62"/>
  <c r="EK18" i="62"/>
  <c r="EK21" i="62"/>
  <c r="T18" i="62"/>
  <c r="T21" i="62"/>
  <c r="AY18" i="62"/>
  <c r="AY21" i="62"/>
  <c r="EL17" i="62"/>
  <c r="EL22" i="62" s="1"/>
  <c r="T54" i="55"/>
  <c r="T51" i="55"/>
  <c r="DH17" i="62"/>
  <c r="U47" i="55"/>
  <c r="U44" i="55"/>
  <c r="BD44" i="55" s="1"/>
  <c r="BD43" i="55"/>
  <c r="FP17" i="62"/>
  <c r="FP22" i="62" s="1"/>
  <c r="S61" i="55"/>
  <c r="S58" i="55"/>
  <c r="CD17" i="62"/>
  <c r="V40" i="55"/>
  <c r="V37" i="55"/>
  <c r="W33" i="55"/>
  <c r="AZ17" i="62"/>
  <c r="AZ22" i="62" s="1"/>
  <c r="W30" i="55"/>
  <c r="U17" i="62"/>
  <c r="U22" i="62" s="1"/>
  <c r="W26" i="55"/>
  <c r="W23" i="55"/>
  <c r="V107" i="54"/>
  <c r="V98" i="54"/>
  <c r="V86" i="54"/>
  <c r="V92" i="54"/>
  <c r="V119" i="54"/>
  <c r="V116" i="54"/>
  <c r="V113" i="54"/>
  <c r="V110" i="54"/>
  <c r="V104" i="54"/>
  <c r="V101" i="54"/>
  <c r="V83" i="54"/>
  <c r="V95" i="54"/>
  <c r="AN54" i="54"/>
  <c r="AN62" i="54" s="1"/>
  <c r="AM56" i="54"/>
  <c r="L56" i="54"/>
  <c r="M56" i="54"/>
  <c r="N56" i="54"/>
  <c r="O56" i="54"/>
  <c r="P56" i="54"/>
  <c r="Q56" i="54"/>
  <c r="R56" i="54"/>
  <c r="S56" i="54"/>
  <c r="T56" i="54"/>
  <c r="U56" i="54"/>
  <c r="V56" i="54"/>
  <c r="W56" i="54"/>
  <c r="X56" i="54"/>
  <c r="Y56" i="54"/>
  <c r="Z56" i="54"/>
  <c r="AA56" i="54"/>
  <c r="AB56" i="54"/>
  <c r="AC56" i="54"/>
  <c r="AD56" i="54"/>
  <c r="AE56" i="54"/>
  <c r="AF56" i="54"/>
  <c r="AG56" i="54"/>
  <c r="AH56" i="54"/>
  <c r="AI56" i="54"/>
  <c r="AJ56" i="54"/>
  <c r="AK56" i="54"/>
  <c r="AL56" i="54"/>
  <c r="K56" i="54"/>
  <c r="K54" i="54"/>
  <c r="K62" i="54" s="1"/>
  <c r="L54" i="54"/>
  <c r="L62" i="54" s="1"/>
  <c r="M54" i="54"/>
  <c r="M62" i="54" s="1"/>
  <c r="N54" i="54"/>
  <c r="N62" i="54" s="1"/>
  <c r="O54" i="54"/>
  <c r="O62" i="54" s="1"/>
  <c r="P54" i="54"/>
  <c r="P62" i="54" s="1"/>
  <c r="Q54" i="54"/>
  <c r="Q62" i="54" s="1"/>
  <c r="R54" i="54"/>
  <c r="R62" i="54" s="1"/>
  <c r="S54" i="54"/>
  <c r="S62" i="54" s="1"/>
  <c r="T54" i="54"/>
  <c r="T62" i="54" s="1"/>
  <c r="U54" i="54"/>
  <c r="U62" i="54" s="1"/>
  <c r="V54" i="54"/>
  <c r="V62" i="54" s="1"/>
  <c r="W54" i="54"/>
  <c r="W62" i="54" s="1"/>
  <c r="X54" i="54"/>
  <c r="X62" i="54" s="1"/>
  <c r="Y54" i="54"/>
  <c r="Y62" i="54" s="1"/>
  <c r="Z54" i="54"/>
  <c r="Z62" i="54" s="1"/>
  <c r="AA54" i="54"/>
  <c r="AA62" i="54" s="1"/>
  <c r="AB54" i="54"/>
  <c r="AB62" i="54" s="1"/>
  <c r="AC54" i="54"/>
  <c r="AC62" i="54" s="1"/>
  <c r="AD54" i="54"/>
  <c r="AD62" i="54" s="1"/>
  <c r="AE54" i="54"/>
  <c r="AE62" i="54" s="1"/>
  <c r="AF54" i="54"/>
  <c r="AF62" i="54" s="1"/>
  <c r="AG54" i="54"/>
  <c r="AG62" i="54" s="1"/>
  <c r="AH54" i="54"/>
  <c r="AH62" i="54" s="1"/>
  <c r="AI54" i="54"/>
  <c r="AI62" i="54" s="1"/>
  <c r="AJ54" i="54"/>
  <c r="AJ62" i="54" s="1"/>
  <c r="AK54" i="54"/>
  <c r="AK62" i="54" s="1"/>
  <c r="AL54" i="54"/>
  <c r="AL62" i="54" s="1"/>
  <c r="AM54" i="54"/>
  <c r="AM62" i="54" s="1"/>
  <c r="AO54" i="54"/>
  <c r="AO62" i="54" s="1"/>
  <c r="AP54" i="54"/>
  <c r="AP62" i="54" s="1"/>
  <c r="AQ54" i="54"/>
  <c r="AQ62" i="54" s="1"/>
  <c r="AR54" i="54"/>
  <c r="AR62" i="54" s="1"/>
  <c r="AS54" i="54"/>
  <c r="AS62" i="54" s="1"/>
  <c r="AT54" i="54"/>
  <c r="AT62" i="54" s="1"/>
  <c r="J54" i="54"/>
  <c r="J62" i="54" s="1"/>
  <c r="B14" i="54"/>
  <c r="H49" i="62" l="1"/>
  <c r="G47" i="62"/>
  <c r="H48" i="62" s="1"/>
  <c r="I48" i="62" s="1"/>
  <c r="H47" i="62"/>
  <c r="H38" i="62"/>
  <c r="G38" i="62"/>
  <c r="H39" i="62" s="1"/>
  <c r="I39" i="62" s="1"/>
  <c r="H40" i="62"/>
  <c r="H28" i="62"/>
  <c r="H26" i="62"/>
  <c r="G26" i="62"/>
  <c r="H27" i="62" s="1"/>
  <c r="I27" i="62" s="1"/>
  <c r="H44" i="62"/>
  <c r="H46" i="62"/>
  <c r="G44" i="62"/>
  <c r="H45" i="62" s="1"/>
  <c r="G56" i="62"/>
  <c r="H57" i="62" s="1"/>
  <c r="H56" i="62"/>
  <c r="H58" i="62"/>
  <c r="H34" i="62"/>
  <c r="H32" i="62"/>
  <c r="G32" i="62"/>
  <c r="H33" i="62" s="1"/>
  <c r="I33" i="62" s="1"/>
  <c r="H59" i="62"/>
  <c r="H61" i="62"/>
  <c r="G59" i="62"/>
  <c r="H60" i="62" s="1"/>
  <c r="I29" i="62"/>
  <c r="J30" i="62" s="1"/>
  <c r="I31" i="62"/>
  <c r="H37" i="62"/>
  <c r="H35" i="62"/>
  <c r="G35" i="62"/>
  <c r="H36" i="62" s="1"/>
  <c r="H53" i="62"/>
  <c r="G53" i="62"/>
  <c r="H54" i="62" s="1"/>
  <c r="H55" i="62"/>
  <c r="G41" i="62"/>
  <c r="H42" i="62" s="1"/>
  <c r="I42" i="62" s="1"/>
  <c r="H41" i="62"/>
  <c r="H43" i="62"/>
  <c r="H52" i="62"/>
  <c r="G50" i="62"/>
  <c r="H51" i="62" s="1"/>
  <c r="H50" i="62"/>
  <c r="I51" i="62" s="1"/>
  <c r="H25" i="62"/>
  <c r="G23" i="62"/>
  <c r="H24" i="62" s="1"/>
  <c r="H23" i="62"/>
  <c r="I24" i="62" s="1"/>
  <c r="CD21" i="62"/>
  <c r="CD22" i="62"/>
  <c r="DH21" i="62"/>
  <c r="DH22" i="62"/>
  <c r="FP18" i="62"/>
  <c r="FP21" i="62"/>
  <c r="EL18" i="62"/>
  <c r="EL21" i="62"/>
  <c r="U18" i="62"/>
  <c r="U21" i="62"/>
  <c r="AZ21" i="62"/>
  <c r="AZ18" i="62"/>
  <c r="CE17" i="62"/>
  <c r="W40" i="55"/>
  <c r="W37" i="55"/>
  <c r="FQ17" i="62"/>
  <c r="FQ22" i="62" s="1"/>
  <c r="T61" i="55"/>
  <c r="T58" i="55"/>
  <c r="DI17" i="62"/>
  <c r="V47" i="55"/>
  <c r="V44" i="55"/>
  <c r="EM17" i="62"/>
  <c r="EM22" i="62" s="1"/>
  <c r="U54" i="55"/>
  <c r="U51" i="55"/>
  <c r="BD51" i="55" s="1"/>
  <c r="BD50" i="55"/>
  <c r="V17" i="62"/>
  <c r="X26" i="55"/>
  <c r="BE27" i="55" s="1"/>
  <c r="X23" i="55"/>
  <c r="BE23" i="55" s="1"/>
  <c r="X33" i="55"/>
  <c r="BA17" i="62"/>
  <c r="BA22" i="62" s="1"/>
  <c r="X30" i="55"/>
  <c r="BE30" i="55" s="1"/>
  <c r="BE29" i="55"/>
  <c r="AE49" i="5"/>
  <c r="AE52" i="5"/>
  <c r="AE53" i="5"/>
  <c r="AE51" i="5"/>
  <c r="AE4" i="57"/>
  <c r="BH62" i="57"/>
  <c r="BG62" i="57"/>
  <c r="AG62" i="57"/>
  <c r="W62" i="57"/>
  <c r="AB62" i="57" s="1"/>
  <c r="BH61" i="57"/>
  <c r="BG61" i="57"/>
  <c r="AG61" i="57"/>
  <c r="W61" i="57"/>
  <c r="AB61" i="57" s="1"/>
  <c r="BH60" i="57"/>
  <c r="BG60" i="57"/>
  <c r="W60" i="57"/>
  <c r="AB60" i="57" s="1"/>
  <c r="AG60" i="57" s="1"/>
  <c r="BH59" i="57"/>
  <c r="BG59" i="57"/>
  <c r="W59" i="57"/>
  <c r="P47" i="57"/>
  <c r="AE3" i="57" s="1"/>
  <c r="BH46" i="57"/>
  <c r="BG46" i="57"/>
  <c r="AG46" i="57"/>
  <c r="W46" i="57"/>
  <c r="AB46" i="57" s="1"/>
  <c r="BH45" i="57"/>
  <c r="BG45" i="57"/>
  <c r="AG45" i="57"/>
  <c r="W45" i="57"/>
  <c r="AB45" i="57" s="1"/>
  <c r="BH44" i="57"/>
  <c r="BG44" i="57"/>
  <c r="W44" i="57"/>
  <c r="AB44" i="57" s="1"/>
  <c r="AG44" i="57" s="1"/>
  <c r="BH43" i="57"/>
  <c r="W43" i="57"/>
  <c r="C35" i="57"/>
  <c r="C34" i="57"/>
  <c r="AG29" i="57"/>
  <c r="BH25" i="57"/>
  <c r="BG25" i="57"/>
  <c r="AG25" i="57"/>
  <c r="AB25" i="57"/>
  <c r="BH24" i="57"/>
  <c r="BG24" i="57"/>
  <c r="AG24" i="57"/>
  <c r="AB24" i="57"/>
  <c r="BH23" i="57"/>
  <c r="BG23" i="57"/>
  <c r="AG23" i="57"/>
  <c r="AB23" i="57"/>
  <c r="BG22" i="57"/>
  <c r="AB22" i="57"/>
  <c r="AG22" i="57" s="1"/>
  <c r="BH21" i="57"/>
  <c r="BG21" i="57"/>
  <c r="AB21" i="57"/>
  <c r="BG14" i="57"/>
  <c r="BG13" i="57"/>
  <c r="BG15" i="57" s="1"/>
  <c r="BI3" i="57" s="1"/>
  <c r="AF19" i="5"/>
  <c r="AF6" i="5"/>
  <c r="AF25" i="5"/>
  <c r="AF23" i="5"/>
  <c r="AF22" i="5"/>
  <c r="AF21" i="5"/>
  <c r="AF20" i="5"/>
  <c r="AF17" i="5"/>
  <c r="AF15" i="5"/>
  <c r="AF14" i="5"/>
  <c r="AF11" i="5"/>
  <c r="AF10" i="5"/>
  <c r="AF9" i="5"/>
  <c r="AF8" i="5"/>
  <c r="AF7" i="5"/>
  <c r="AE58" i="5"/>
  <c r="I112" i="56"/>
  <c r="I111" i="56"/>
  <c r="I110" i="56"/>
  <c r="I109" i="56"/>
  <c r="I108" i="56"/>
  <c r="I107" i="56"/>
  <c r="I106" i="56"/>
  <c r="I105" i="56"/>
  <c r="I104" i="56"/>
  <c r="I103" i="56"/>
  <c r="I102" i="56"/>
  <c r="I101" i="56"/>
  <c r="I100" i="56"/>
  <c r="I99" i="56"/>
  <c r="I98" i="56"/>
  <c r="I97" i="56"/>
  <c r="I96" i="56"/>
  <c r="I95" i="56"/>
  <c r="I94" i="56"/>
  <c r="I93" i="56"/>
  <c r="I92" i="56"/>
  <c r="I91" i="56"/>
  <c r="I90" i="56"/>
  <c r="I89" i="56"/>
  <c r="I88" i="56"/>
  <c r="I87" i="56"/>
  <c r="I86" i="56"/>
  <c r="I85" i="56"/>
  <c r="I84" i="56"/>
  <c r="I83" i="56"/>
  <c r="I82" i="56"/>
  <c r="I81" i="56"/>
  <c r="I80" i="56"/>
  <c r="I79" i="56"/>
  <c r="I78" i="56"/>
  <c r="I77" i="56"/>
  <c r="I76" i="56"/>
  <c r="I75" i="56"/>
  <c r="I74" i="56"/>
  <c r="I73" i="56"/>
  <c r="I72" i="56"/>
  <c r="I71" i="56"/>
  <c r="I70" i="56"/>
  <c r="I69" i="56"/>
  <c r="I68" i="56"/>
  <c r="I67" i="56"/>
  <c r="I66" i="56"/>
  <c r="I65" i="56"/>
  <c r="I64" i="56"/>
  <c r="I63" i="56"/>
  <c r="I62" i="56"/>
  <c r="I61" i="56"/>
  <c r="I60" i="56"/>
  <c r="I59" i="56"/>
  <c r="I58" i="56"/>
  <c r="I57" i="56"/>
  <c r="I56" i="56"/>
  <c r="I55" i="56"/>
  <c r="I54" i="56"/>
  <c r="I53" i="56"/>
  <c r="I52" i="56"/>
  <c r="I51" i="56"/>
  <c r="I50" i="56"/>
  <c r="I49" i="56"/>
  <c r="I48" i="56"/>
  <c r="I47" i="56"/>
  <c r="I46" i="56"/>
  <c r="I45" i="56"/>
  <c r="I44" i="56"/>
  <c r="I43" i="56"/>
  <c r="I42" i="56"/>
  <c r="I41" i="56"/>
  <c r="I40" i="56"/>
  <c r="I39" i="56"/>
  <c r="I38" i="56"/>
  <c r="I37" i="56"/>
  <c r="I36" i="56"/>
  <c r="I35" i="56"/>
  <c r="I34" i="56"/>
  <c r="I33" i="56"/>
  <c r="I32" i="56"/>
  <c r="I31" i="56"/>
  <c r="I30" i="56"/>
  <c r="I29" i="56"/>
  <c r="I28" i="56"/>
  <c r="I27" i="56"/>
  <c r="I26" i="56"/>
  <c r="I25" i="56"/>
  <c r="I24" i="56"/>
  <c r="I23" i="56"/>
  <c r="I22" i="56"/>
  <c r="I21" i="56"/>
  <c r="I20" i="56"/>
  <c r="I19" i="56"/>
  <c r="I18" i="56"/>
  <c r="I17" i="56"/>
  <c r="I16" i="56"/>
  <c r="I15" i="56"/>
  <c r="J15" i="56" s="1"/>
  <c r="I14" i="56"/>
  <c r="I13" i="56"/>
  <c r="G8" i="56"/>
  <c r="D7" i="56"/>
  <c r="AW68" i="55"/>
  <c r="AZ68" i="55" s="1"/>
  <c r="AW65" i="55"/>
  <c r="AZ65" i="55" s="1"/>
  <c r="BE34" i="55"/>
  <c r="BD34" i="55"/>
  <c r="BC34" i="55"/>
  <c r="BB34" i="55"/>
  <c r="BA34" i="55"/>
  <c r="BD27" i="55"/>
  <c r="BC27" i="55"/>
  <c r="BB27" i="55"/>
  <c r="BA27" i="55"/>
  <c r="BE26" i="55"/>
  <c r="BD26" i="55"/>
  <c r="BC26" i="55"/>
  <c r="BB26" i="55"/>
  <c r="BA26" i="55"/>
  <c r="BF24" i="55"/>
  <c r="BE24" i="55"/>
  <c r="BD24" i="55"/>
  <c r="BC24" i="55"/>
  <c r="BB24" i="55"/>
  <c r="BA24" i="55"/>
  <c r="BD23" i="55"/>
  <c r="BC23" i="55"/>
  <c r="BB23" i="55"/>
  <c r="BA23" i="55"/>
  <c r="BE22" i="55"/>
  <c r="BD22" i="55"/>
  <c r="BC22" i="55"/>
  <c r="BB22" i="55"/>
  <c r="BA22" i="55"/>
  <c r="BR170" i="54"/>
  <c r="BR169" i="54"/>
  <c r="BR168" i="54"/>
  <c r="BR167" i="54"/>
  <c r="BR166" i="54"/>
  <c r="BR165" i="54"/>
  <c r="BR163" i="54"/>
  <c r="BR162" i="54"/>
  <c r="BR161" i="54"/>
  <c r="BR160" i="54"/>
  <c r="BR159" i="54"/>
  <c r="BR158" i="54"/>
  <c r="BR157" i="54"/>
  <c r="BR156" i="54"/>
  <c r="BR155" i="54"/>
  <c r="BR154" i="54"/>
  <c r="BR153" i="54"/>
  <c r="BR152" i="54"/>
  <c r="BR151" i="54"/>
  <c r="BR150" i="54"/>
  <c r="BR149" i="54"/>
  <c r="BR148" i="54"/>
  <c r="K148" i="54"/>
  <c r="AU148" i="54" s="1"/>
  <c r="BR147" i="54"/>
  <c r="BR146" i="54"/>
  <c r="K146" i="54"/>
  <c r="AU146" i="54" s="1"/>
  <c r="BR145" i="54"/>
  <c r="BR144" i="54"/>
  <c r="K144" i="54"/>
  <c r="AU144" i="54" s="1"/>
  <c r="BR143" i="54"/>
  <c r="BR142" i="54"/>
  <c r="K142" i="54"/>
  <c r="AU142" i="54" s="1"/>
  <c r="BR141" i="54"/>
  <c r="BR140" i="54"/>
  <c r="K140" i="54"/>
  <c r="AU140" i="54" s="1"/>
  <c r="BR139" i="54"/>
  <c r="BR138" i="54"/>
  <c r="K138" i="54"/>
  <c r="AU138" i="54" s="1"/>
  <c r="BR137" i="54"/>
  <c r="BY136" i="54"/>
  <c r="BR136" i="54"/>
  <c r="K136" i="54"/>
  <c r="AU136" i="54" s="1"/>
  <c r="BY135" i="54"/>
  <c r="BR135" i="54"/>
  <c r="BY134" i="54"/>
  <c r="BR134" i="54"/>
  <c r="K134" i="54"/>
  <c r="AU134" i="54" s="1"/>
  <c r="BY133" i="54"/>
  <c r="BR133" i="54"/>
  <c r="BY132" i="54"/>
  <c r="BW132" i="54"/>
  <c r="BR132" i="54"/>
  <c r="K132" i="54"/>
  <c r="AU132" i="54" s="1"/>
  <c r="BY131" i="54"/>
  <c r="BW131" i="54"/>
  <c r="BR131" i="54"/>
  <c r="BY130" i="54"/>
  <c r="BW130" i="54"/>
  <c r="BR130" i="54"/>
  <c r="K130" i="54"/>
  <c r="AU130" i="54" s="1"/>
  <c r="BY129" i="54"/>
  <c r="BW129" i="54"/>
  <c r="BR129" i="54"/>
  <c r="BY128" i="54"/>
  <c r="BW128" i="54"/>
  <c r="BR128" i="54"/>
  <c r="K128" i="54"/>
  <c r="AU128" i="54" s="1"/>
  <c r="BY127" i="54"/>
  <c r="BW127" i="54"/>
  <c r="BR127" i="54"/>
  <c r="BY126" i="54"/>
  <c r="BW126" i="54"/>
  <c r="BR126" i="54"/>
  <c r="K126" i="54"/>
  <c r="AU126" i="54" s="1"/>
  <c r="BY125" i="54"/>
  <c r="BF28" i="54"/>
  <c r="BE28" i="54"/>
  <c r="BD28" i="54"/>
  <c r="BC28" i="54"/>
  <c r="BB28" i="54"/>
  <c r="BA28" i="54"/>
  <c r="BF27" i="54"/>
  <c r="BE27" i="54"/>
  <c r="BD27" i="54"/>
  <c r="BC27" i="54"/>
  <c r="BB27" i="54"/>
  <c r="BA27" i="54"/>
  <c r="BF26" i="54"/>
  <c r="BE26" i="54"/>
  <c r="BD26" i="54"/>
  <c r="BC26" i="54"/>
  <c r="BB26" i="54"/>
  <c r="BA26" i="54"/>
  <c r="BF25" i="54"/>
  <c r="BE25" i="54"/>
  <c r="BD25" i="54"/>
  <c r="BC25" i="54"/>
  <c r="BB25" i="54"/>
  <c r="BA25" i="54"/>
  <c r="BF24" i="54"/>
  <c r="BE24" i="54"/>
  <c r="BD24" i="54"/>
  <c r="BC24" i="54"/>
  <c r="BB24" i="54"/>
  <c r="BA24" i="54"/>
  <c r="BF23" i="54"/>
  <c r="BE23" i="54"/>
  <c r="BD23" i="54"/>
  <c r="BC23" i="54"/>
  <c r="BB23" i="54"/>
  <c r="BA23" i="54"/>
  <c r="BF22" i="54"/>
  <c r="BE22" i="54"/>
  <c r="BD22" i="54"/>
  <c r="BC22" i="54"/>
  <c r="BB22" i="54"/>
  <c r="BA22" i="54"/>
  <c r="AG48" i="57" l="1"/>
  <c r="AG3" i="57" s="1"/>
  <c r="AG31" i="57"/>
  <c r="AG2" i="57" s="1"/>
  <c r="I46" i="62"/>
  <c r="I44" i="62"/>
  <c r="I50" i="62"/>
  <c r="J51" i="62" s="1"/>
  <c r="I52" i="62"/>
  <c r="I55" i="62"/>
  <c r="I53" i="62"/>
  <c r="I38" i="62"/>
  <c r="J39" i="62" s="1"/>
  <c r="I40" i="62"/>
  <c r="J29" i="62"/>
  <c r="K30" i="62" s="1"/>
  <c r="J31" i="62"/>
  <c r="I59" i="62"/>
  <c r="I61" i="62"/>
  <c r="I32" i="62"/>
  <c r="J33" i="62" s="1"/>
  <c r="I34" i="62"/>
  <c r="I41" i="62"/>
  <c r="I43" i="62"/>
  <c r="I26" i="62"/>
  <c r="J27" i="62" s="1"/>
  <c r="I28" i="62"/>
  <c r="J24" i="62"/>
  <c r="I54" i="62"/>
  <c r="I58" i="62"/>
  <c r="I56" i="62"/>
  <c r="J42" i="62"/>
  <c r="I36" i="62"/>
  <c r="I57" i="62"/>
  <c r="I60" i="62"/>
  <c r="I23" i="62"/>
  <c r="I25" i="62"/>
  <c r="I35" i="62"/>
  <c r="I37" i="62"/>
  <c r="I45" i="62"/>
  <c r="J45" i="62" s="1"/>
  <c r="I47" i="62"/>
  <c r="J48" i="62" s="1"/>
  <c r="I49" i="62"/>
  <c r="AG47" i="57"/>
  <c r="BG47" i="57"/>
  <c r="CE21" i="62"/>
  <c r="CE22" i="62"/>
  <c r="BG26" i="57"/>
  <c r="BK3" i="57" s="1"/>
  <c r="BG3" i="57" s="1"/>
  <c r="V22" i="62"/>
  <c r="DI21" i="62"/>
  <c r="DI22" i="62"/>
  <c r="EM18" i="62"/>
  <c r="EM21" i="62"/>
  <c r="FQ18" i="62"/>
  <c r="FQ21" i="62"/>
  <c r="V18" i="62"/>
  <c r="V21" i="62"/>
  <c r="BA18" i="62"/>
  <c r="BA21" i="62"/>
  <c r="FR17" i="62"/>
  <c r="FR22" i="62" s="1"/>
  <c r="U61" i="55"/>
  <c r="U58" i="55"/>
  <c r="BD58" i="55" s="1"/>
  <c r="BD57" i="55"/>
  <c r="CF17" i="62"/>
  <c r="X40" i="55"/>
  <c r="X37" i="55"/>
  <c r="BE37" i="55" s="1"/>
  <c r="BE36" i="55"/>
  <c r="EN17" i="62"/>
  <c r="EN22" i="62" s="1"/>
  <c r="V54" i="55"/>
  <c r="V51" i="55"/>
  <c r="DJ17" i="62"/>
  <c r="DJ22" i="62" s="1"/>
  <c r="W47" i="55"/>
  <c r="W44" i="55"/>
  <c r="Y33" i="55"/>
  <c r="Y30" i="55"/>
  <c r="W18" i="62"/>
  <c r="Y26" i="55"/>
  <c r="Y23" i="55"/>
  <c r="AB59" i="57"/>
  <c r="AG59" i="57" s="1"/>
  <c r="AG64" i="57"/>
  <c r="AG21" i="57"/>
  <c r="BH63" i="57"/>
  <c r="AB43" i="57"/>
  <c r="AG43" i="57" s="1"/>
  <c r="BH47" i="57"/>
  <c r="J64" i="54"/>
  <c r="BS153" i="54"/>
  <c r="AW35" i="54"/>
  <c r="AZ35" i="54" s="1"/>
  <c r="BS166" i="54"/>
  <c r="BS158" i="54"/>
  <c r="AW32" i="54"/>
  <c r="AZ32" i="54" s="1"/>
  <c r="AK64" i="54"/>
  <c r="AM64" i="54"/>
  <c r="X64" i="54"/>
  <c r="AE64" i="54"/>
  <c r="AN64" i="54"/>
  <c r="AJ64" i="54"/>
  <c r="Q64" i="54"/>
  <c r="M64" i="54"/>
  <c r="AI64" i="54"/>
  <c r="AA64" i="54"/>
  <c r="AT64" i="54"/>
  <c r="U64" i="54"/>
  <c r="R64" i="54"/>
  <c r="K64" i="54"/>
  <c r="N64" i="54"/>
  <c r="AP64" i="54"/>
  <c r="V64" i="54"/>
  <c r="AO64" i="54"/>
  <c r="O64" i="54"/>
  <c r="AF64" i="54"/>
  <c r="W64" i="54"/>
  <c r="AS64" i="54"/>
  <c r="AQ64" i="54"/>
  <c r="AB64" i="54"/>
  <c r="AD64" i="54"/>
  <c r="Z64" i="54"/>
  <c r="AR64" i="54"/>
  <c r="S64" i="54"/>
  <c r="AC64" i="54"/>
  <c r="L64" i="54"/>
  <c r="AH64" i="54"/>
  <c r="P64" i="54"/>
  <c r="AL64" i="54"/>
  <c r="T64" i="54"/>
  <c r="Y64" i="54"/>
  <c r="AG64" i="54"/>
  <c r="BS126" i="54"/>
  <c r="BS159" i="54"/>
  <c r="BS161" i="54"/>
  <c r="BS163" i="54"/>
  <c r="BS165" i="54"/>
  <c r="BS168" i="54"/>
  <c r="BS170" i="54"/>
  <c r="BS127" i="54"/>
  <c r="BS136" i="54"/>
  <c r="BS137" i="54"/>
  <c r="BS141" i="54"/>
  <c r="BS143" i="54"/>
  <c r="BS144" i="54"/>
  <c r="BS147" i="54"/>
  <c r="BS151" i="54"/>
  <c r="BS155" i="54"/>
  <c r="BS157" i="54"/>
  <c r="BS128" i="54"/>
  <c r="BS131" i="54"/>
  <c r="BS132" i="54"/>
  <c r="BS138" i="54"/>
  <c r="BS139" i="54"/>
  <c r="BS145" i="54"/>
  <c r="BS149" i="54"/>
  <c r="BS152" i="54"/>
  <c r="BS129" i="54"/>
  <c r="BS130" i="54"/>
  <c r="BS133" i="54"/>
  <c r="BS134" i="54"/>
  <c r="BS135" i="54"/>
  <c r="BS140" i="54"/>
  <c r="BS142" i="54"/>
  <c r="BS146" i="54"/>
  <c r="BS148" i="54"/>
  <c r="BS150" i="54"/>
  <c r="BS154" i="54"/>
  <c r="BS156" i="54"/>
  <c r="BS160" i="54"/>
  <c r="BS162" i="54"/>
  <c r="BS167" i="54"/>
  <c r="BS169" i="54"/>
  <c r="BH15" i="57"/>
  <c r="AG26" i="57"/>
  <c r="AG30" i="57" s="1"/>
  <c r="BH26" i="57"/>
  <c r="AG63" i="57"/>
  <c r="AG4" i="57" s="1"/>
  <c r="BG63" i="57"/>
  <c r="AZ30" i="54"/>
  <c r="B30" i="54" s="1"/>
  <c r="J57" i="62" l="1"/>
  <c r="J54" i="62"/>
  <c r="J41" i="62"/>
  <c r="K42" i="62" s="1"/>
  <c r="J43" i="62"/>
  <c r="J53" i="62"/>
  <c r="K54" i="62" s="1"/>
  <c r="J55" i="62"/>
  <c r="J26" i="62"/>
  <c r="K27" i="62" s="1"/>
  <c r="J28" i="62"/>
  <c r="J50" i="62"/>
  <c r="K51" i="62" s="1"/>
  <c r="J52" i="62"/>
  <c r="J56" i="62"/>
  <c r="K57" i="62" s="1"/>
  <c r="J58" i="62"/>
  <c r="J32" i="62"/>
  <c r="K33" i="62" s="1"/>
  <c r="J34" i="62"/>
  <c r="J35" i="62"/>
  <c r="J37" i="62"/>
  <c r="J38" i="62"/>
  <c r="K39" i="62" s="1"/>
  <c r="J40" i="62"/>
  <c r="J23" i="62"/>
  <c r="K24" i="62" s="1"/>
  <c r="J25" i="62"/>
  <c r="J36" i="62"/>
  <c r="K29" i="62"/>
  <c r="L30" i="62" s="1"/>
  <c r="K31" i="62"/>
  <c r="J59" i="62"/>
  <c r="J61" i="62"/>
  <c r="J44" i="62"/>
  <c r="K45" i="62" s="1"/>
  <c r="J46" i="62"/>
  <c r="J47" i="62"/>
  <c r="K48" i="62" s="1"/>
  <c r="J49" i="62"/>
  <c r="J60" i="62"/>
  <c r="BH3" i="57"/>
  <c r="BJ4" i="57"/>
  <c r="BJ5" i="57"/>
  <c r="CF21" i="62"/>
  <c r="CF22" i="62"/>
  <c r="DJ18" i="62"/>
  <c r="DJ21" i="62"/>
  <c r="EN18" i="62"/>
  <c r="EN21" i="62"/>
  <c r="FR18" i="62"/>
  <c r="FR21" i="62"/>
  <c r="Z33" i="55"/>
  <c r="Z30" i="55"/>
  <c r="BB17" i="62"/>
  <c r="BQ18" i="62"/>
  <c r="DK17" i="62"/>
  <c r="DK22" i="62" s="1"/>
  <c r="X47" i="55"/>
  <c r="X44" i="55"/>
  <c r="BE44" i="55" s="1"/>
  <c r="BE43" i="55"/>
  <c r="EO17" i="62"/>
  <c r="EO22" i="62" s="1"/>
  <c r="W54" i="55"/>
  <c r="W51" i="55"/>
  <c r="Y40" i="55"/>
  <c r="Y37" i="55"/>
  <c r="FS17" i="62"/>
  <c r="FS22" i="62" s="1"/>
  <c r="V61" i="55"/>
  <c r="V58" i="55"/>
  <c r="X17" i="62"/>
  <c r="X22" i="62" s="1"/>
  <c r="BC17" i="62"/>
  <c r="BC22" i="62" s="1"/>
  <c r="AZ2" i="54"/>
  <c r="AX61" i="54"/>
  <c r="AX52" i="54"/>
  <c r="K47" i="62" l="1"/>
  <c r="L48" i="62" s="1"/>
  <c r="K49" i="62"/>
  <c r="K53" i="62"/>
  <c r="L54" i="62" s="1"/>
  <c r="K55" i="62"/>
  <c r="K60" i="62"/>
  <c r="K38" i="62"/>
  <c r="L39" i="62" s="1"/>
  <c r="K40" i="62"/>
  <c r="K46" i="62"/>
  <c r="K44" i="62"/>
  <c r="L45" i="62" s="1"/>
  <c r="K59" i="62"/>
  <c r="L60" i="62" s="1"/>
  <c r="K61" i="62"/>
  <c r="K32" i="62"/>
  <c r="L33" i="62" s="1"/>
  <c r="K34" i="62"/>
  <c r="L29" i="62"/>
  <c r="M30" i="62" s="1"/>
  <c r="L31" i="62"/>
  <c r="K58" i="62"/>
  <c r="K56" i="62"/>
  <c r="L57" i="62" s="1"/>
  <c r="K26" i="62"/>
  <c r="L27" i="62" s="1"/>
  <c r="K28" i="62"/>
  <c r="K35" i="62"/>
  <c r="K37" i="62"/>
  <c r="K41" i="62"/>
  <c r="L42" i="62" s="1"/>
  <c r="K43" i="62"/>
  <c r="K36" i="62"/>
  <c r="K50" i="62"/>
  <c r="L51" i="62" s="1"/>
  <c r="K52" i="62"/>
  <c r="K23" i="62"/>
  <c r="L24" i="62" s="1"/>
  <c r="K25" i="62"/>
  <c r="BG5" i="57"/>
  <c r="BH5" i="57"/>
  <c r="BH4" i="57"/>
  <c r="BG4" i="57"/>
  <c r="BB21" i="62"/>
  <c r="BB22" i="62"/>
  <c r="AU52" i="54"/>
  <c r="AU56" i="54"/>
  <c r="AU53" i="54"/>
  <c r="AC76" i="54" s="1"/>
  <c r="R89" i="54" s="1"/>
  <c r="AU50" i="54"/>
  <c r="FS18" i="62"/>
  <c r="FS21" i="62"/>
  <c r="EO18" i="62"/>
  <c r="EO21" i="62"/>
  <c r="DK18" i="62"/>
  <c r="DK21" i="62"/>
  <c r="X18" i="62"/>
  <c r="X21" i="62"/>
  <c r="BC18" i="62"/>
  <c r="BC21" i="62"/>
  <c r="BB18" i="62"/>
  <c r="Z40" i="55"/>
  <c r="Z37" i="55"/>
  <c r="CG17" i="62"/>
  <c r="BR18" i="62"/>
  <c r="FT17" i="62"/>
  <c r="FT22" i="62" s="1"/>
  <c r="W61" i="55"/>
  <c r="W58" i="55"/>
  <c r="EP17" i="62"/>
  <c r="EP22" i="62" s="1"/>
  <c r="X54" i="55"/>
  <c r="X51" i="55"/>
  <c r="BE51" i="55" s="1"/>
  <c r="BE50" i="55"/>
  <c r="CH17" i="62"/>
  <c r="Y47" i="55"/>
  <c r="Y44" i="55"/>
  <c r="AA33" i="55"/>
  <c r="AA30" i="55"/>
  <c r="BF29" i="55"/>
  <c r="Y17" i="62"/>
  <c r="Y22" i="62" s="1"/>
  <c r="AA26" i="55"/>
  <c r="AA23" i="55"/>
  <c r="AZ54" i="54"/>
  <c r="L36" i="62" l="1"/>
  <c r="L47" i="62"/>
  <c r="M48" i="62" s="1"/>
  <c r="L49" i="62"/>
  <c r="L32" i="62"/>
  <c r="M33" i="62" s="1"/>
  <c r="L34" i="62"/>
  <c r="L59" i="62"/>
  <c r="M60" i="62" s="1"/>
  <c r="L61" i="62"/>
  <c r="L35" i="62"/>
  <c r="L37" i="62"/>
  <c r="L23" i="62"/>
  <c r="M24" i="62" s="1"/>
  <c r="L25" i="62"/>
  <c r="L58" i="62"/>
  <c r="L56" i="62"/>
  <c r="M57" i="62" s="1"/>
  <c r="L52" i="62"/>
  <c r="L50" i="62"/>
  <c r="M51" i="62" s="1"/>
  <c r="L46" i="62"/>
  <c r="L44" i="62"/>
  <c r="M45" i="62" s="1"/>
  <c r="L43" i="62"/>
  <c r="L41" i="62"/>
  <c r="M42" i="62" s="1"/>
  <c r="L28" i="62"/>
  <c r="L26" i="62"/>
  <c r="M27" i="62" s="1"/>
  <c r="L38" i="62"/>
  <c r="M39" i="62" s="1"/>
  <c r="L40" i="62"/>
  <c r="L55" i="62"/>
  <c r="L53" i="62"/>
  <c r="M54" i="62" s="1"/>
  <c r="M31" i="62"/>
  <c r="M29" i="62"/>
  <c r="N30" i="62" s="1"/>
  <c r="CH21" i="62"/>
  <c r="CH22" i="62"/>
  <c r="BF3" i="57"/>
  <c r="CG21" i="62"/>
  <c r="CG22" i="62"/>
  <c r="EP18" i="62"/>
  <c r="EP21" i="62"/>
  <c r="FT18" i="62"/>
  <c r="FT21" i="62"/>
  <c r="Y18" i="62"/>
  <c r="Y21" i="62"/>
  <c r="DL17" i="62"/>
  <c r="DL22" i="62" s="1"/>
  <c r="Z47" i="55"/>
  <c r="Z44" i="55"/>
  <c r="BD17" i="62"/>
  <c r="BD22" i="62" s="1"/>
  <c r="BS18" i="62"/>
  <c r="FU17" i="62"/>
  <c r="FU22" i="62" s="1"/>
  <c r="X61" i="55"/>
  <c r="X58" i="55"/>
  <c r="BE58" i="55" s="1"/>
  <c r="BE57" i="55"/>
  <c r="DM17" i="62"/>
  <c r="DM22" i="62" s="1"/>
  <c r="BF36" i="55"/>
  <c r="AA40" i="55"/>
  <c r="AA37" i="55"/>
  <c r="Y54" i="55"/>
  <c r="Y51" i="55"/>
  <c r="AB33" i="55"/>
  <c r="AB30" i="55"/>
  <c r="BF30" i="55" s="1"/>
  <c r="BE17" i="62"/>
  <c r="BE22" i="62" s="1"/>
  <c r="Z17" i="62"/>
  <c r="Z22" i="62" s="1"/>
  <c r="AB26" i="55"/>
  <c r="BF27" i="55" s="1"/>
  <c r="AB23" i="55"/>
  <c r="BF23" i="55" s="1"/>
  <c r="BE126" i="58"/>
  <c r="BE132" i="58"/>
  <c r="BE131" i="58"/>
  <c r="BE134" i="58"/>
  <c r="X76" i="54"/>
  <c r="AD89" i="54"/>
  <c r="AF89" i="54"/>
  <c r="Z89" i="54"/>
  <c r="M36" i="62" l="1"/>
  <c r="M52" i="62"/>
  <c r="M50" i="62"/>
  <c r="N51" i="62" s="1"/>
  <c r="M38" i="62"/>
  <c r="N39" i="62" s="1"/>
  <c r="M40" i="62"/>
  <c r="M25" i="62"/>
  <c r="M23" i="62"/>
  <c r="N24" i="62" s="1"/>
  <c r="M37" i="62"/>
  <c r="M35" i="62"/>
  <c r="M34" i="62"/>
  <c r="M32" i="62"/>
  <c r="N33" i="62" s="1"/>
  <c r="N31" i="62"/>
  <c r="N29" i="62"/>
  <c r="O30" i="62" s="1"/>
  <c r="M49" i="62"/>
  <c r="M47" i="62"/>
  <c r="N48" i="62" s="1"/>
  <c r="M56" i="62"/>
  <c r="N57" i="62" s="1"/>
  <c r="M58" i="62"/>
  <c r="M28" i="62"/>
  <c r="M26" i="62"/>
  <c r="N27" i="62" s="1"/>
  <c r="M53" i="62"/>
  <c r="N54" i="62" s="1"/>
  <c r="M55" i="62"/>
  <c r="M59" i="62"/>
  <c r="N60" i="62" s="1"/>
  <c r="M61" i="62"/>
  <c r="N36" i="62"/>
  <c r="M46" i="62"/>
  <c r="M44" i="62"/>
  <c r="N45" i="62" s="1"/>
  <c r="M43" i="62"/>
  <c r="M41" i="62"/>
  <c r="N42" i="62" s="1"/>
  <c r="DM18" i="62"/>
  <c r="DM21" i="62"/>
  <c r="FU18" i="62"/>
  <c r="FU21" i="62"/>
  <c r="DL18" i="62"/>
  <c r="DL21" i="62"/>
  <c r="Z18" i="62"/>
  <c r="Z21" i="62"/>
  <c r="EQ17" i="62"/>
  <c r="EQ22" i="62" s="1"/>
  <c r="Z54" i="55"/>
  <c r="Z51" i="55"/>
  <c r="BD18" i="62"/>
  <c r="BD21" i="62"/>
  <c r="BE18" i="62"/>
  <c r="BE21" i="62"/>
  <c r="CI17" i="62"/>
  <c r="BT18" i="62"/>
  <c r="CJ17" i="62"/>
  <c r="AB40" i="55"/>
  <c r="AB37" i="55"/>
  <c r="BF37" i="55" s="1"/>
  <c r="ER17" i="62"/>
  <c r="ER22" i="62" s="1"/>
  <c r="BF43" i="55"/>
  <c r="AA47" i="55"/>
  <c r="AA44" i="55"/>
  <c r="FV18" i="62"/>
  <c r="Y61" i="55"/>
  <c r="Y58" i="55"/>
  <c r="AA17" i="62"/>
  <c r="AA22" i="62" s="1"/>
  <c r="AC26" i="55"/>
  <c r="AC23" i="55"/>
  <c r="AC33" i="55"/>
  <c r="BF17" i="62"/>
  <c r="BF22" i="62" s="1"/>
  <c r="AC30" i="55"/>
  <c r="R83" i="54"/>
  <c r="AD83" i="54" s="1"/>
  <c r="R116" i="54"/>
  <c r="R98" i="54"/>
  <c r="R113" i="54"/>
  <c r="R110" i="54"/>
  <c r="R107" i="54"/>
  <c r="R104" i="54"/>
  <c r="R101" i="54"/>
  <c r="R95" i="54"/>
  <c r="R92" i="54"/>
  <c r="R86" i="54"/>
  <c r="AD86" i="54" s="1"/>
  <c r="R119" i="54"/>
  <c r="AZ64" i="54"/>
  <c r="AZ44" i="54"/>
  <c r="AZ3" i="54" s="1"/>
  <c r="N43" i="62" l="1"/>
  <c r="N41" i="62"/>
  <c r="O42" i="62" s="1"/>
  <c r="N52" i="62"/>
  <c r="N50" i="62"/>
  <c r="O51" i="62" s="1"/>
  <c r="N59" i="62"/>
  <c r="O60" i="62" s="1"/>
  <c r="N61" i="62"/>
  <c r="N34" i="62"/>
  <c r="N32" i="62"/>
  <c r="O33" i="62" s="1"/>
  <c r="N47" i="62"/>
  <c r="O48" i="62" s="1"/>
  <c r="N49" i="62"/>
  <c r="N44" i="62"/>
  <c r="O45" i="62" s="1"/>
  <c r="N46" i="62"/>
  <c r="O29" i="62"/>
  <c r="P30" i="62" s="1"/>
  <c r="O31" i="62"/>
  <c r="N55" i="62"/>
  <c r="N53" i="62"/>
  <c r="O54" i="62" s="1"/>
  <c r="N56" i="62"/>
  <c r="O57" i="62" s="1"/>
  <c r="N58" i="62"/>
  <c r="N37" i="62"/>
  <c r="N35" i="62"/>
  <c r="O36" i="62"/>
  <c r="N40" i="62"/>
  <c r="N38" i="62"/>
  <c r="O39" i="62" s="1"/>
  <c r="N26" i="62"/>
  <c r="O27" i="62" s="1"/>
  <c r="N28" i="62"/>
  <c r="N23" i="62"/>
  <c r="O24" i="62" s="1"/>
  <c r="N25" i="62"/>
  <c r="CI21" i="62"/>
  <c r="CI22" i="62"/>
  <c r="CJ21" i="62"/>
  <c r="CJ22" i="62"/>
  <c r="ER18" i="62"/>
  <c r="ER21" i="62"/>
  <c r="EQ18" i="62"/>
  <c r="EQ21" i="62"/>
  <c r="AA18" i="62"/>
  <c r="AA21" i="62"/>
  <c r="BF18" i="62"/>
  <c r="BF21" i="62"/>
  <c r="DN17" i="62"/>
  <c r="DN22" i="62" s="1"/>
  <c r="BU18" i="62"/>
  <c r="DO17" i="62"/>
  <c r="DO22" i="62" s="1"/>
  <c r="AB47" i="55"/>
  <c r="AB44" i="55"/>
  <c r="BF44" i="55" s="1"/>
  <c r="BF50" i="55"/>
  <c r="AA54" i="55"/>
  <c r="AA51" i="55"/>
  <c r="FW17" i="62"/>
  <c r="FW22" i="62" s="1"/>
  <c r="CK17" i="62"/>
  <c r="AC40" i="55"/>
  <c r="AC37" i="55"/>
  <c r="AD33" i="55"/>
  <c r="AD30" i="55"/>
  <c r="BG17" i="62"/>
  <c r="BG22" i="62" s="1"/>
  <c r="AB17" i="62"/>
  <c r="AB22" i="62" s="1"/>
  <c r="AD26" i="55"/>
  <c r="AD23" i="55"/>
  <c r="AF119" i="54"/>
  <c r="AD119" i="54"/>
  <c r="Z119" i="54"/>
  <c r="AF86" i="54"/>
  <c r="Z86" i="54"/>
  <c r="AF92" i="54"/>
  <c r="Z92" i="54"/>
  <c r="AD92" i="54"/>
  <c r="AF95" i="54"/>
  <c r="Z95" i="54"/>
  <c r="AD95" i="54"/>
  <c r="AF101" i="54"/>
  <c r="Z101" i="54"/>
  <c r="AD101" i="54"/>
  <c r="AF104" i="54"/>
  <c r="Z104" i="54"/>
  <c r="AD104" i="54"/>
  <c r="AF107" i="54"/>
  <c r="Z107" i="54"/>
  <c r="AD107" i="54"/>
  <c r="AF110" i="54"/>
  <c r="Z110" i="54"/>
  <c r="AD110" i="54"/>
  <c r="AF113" i="54"/>
  <c r="Z113" i="54"/>
  <c r="AD113" i="54"/>
  <c r="AF98" i="54"/>
  <c r="Z98" i="54"/>
  <c r="AD98" i="54"/>
  <c r="AF116" i="54"/>
  <c r="AD116" i="54"/>
  <c r="Z116" i="54"/>
  <c r="AF83" i="54"/>
  <c r="Z83" i="54"/>
  <c r="AZ66" i="54"/>
  <c r="B44" i="54"/>
  <c r="O18" i="5"/>
  <c r="DY4" i="49"/>
  <c r="DY5" i="49"/>
  <c r="DY6" i="49"/>
  <c r="DY7" i="49"/>
  <c r="DY8" i="49"/>
  <c r="DY9" i="49"/>
  <c r="DY10" i="49"/>
  <c r="DY11" i="49"/>
  <c r="DY12" i="49"/>
  <c r="DY13" i="49"/>
  <c r="DY14" i="49"/>
  <c r="DY15" i="49"/>
  <c r="DY16" i="49"/>
  <c r="DY17" i="49"/>
  <c r="DY18" i="49"/>
  <c r="DY19" i="49"/>
  <c r="DY20" i="49"/>
  <c r="DY21" i="49"/>
  <c r="DY22" i="49"/>
  <c r="DY23" i="49"/>
  <c r="DY24" i="49"/>
  <c r="DY25" i="49"/>
  <c r="DY26" i="49"/>
  <c r="DY27" i="49"/>
  <c r="DY28" i="49"/>
  <c r="DY29" i="49"/>
  <c r="DY30" i="49"/>
  <c r="DY31" i="49"/>
  <c r="DY32" i="49"/>
  <c r="DY33" i="49"/>
  <c r="DY34" i="49"/>
  <c r="DY35" i="49"/>
  <c r="DY36" i="49"/>
  <c r="DY37" i="49"/>
  <c r="DY38" i="49"/>
  <c r="DY39" i="49"/>
  <c r="DY40" i="49"/>
  <c r="DY41" i="49"/>
  <c r="DY42" i="49"/>
  <c r="DY43" i="49"/>
  <c r="DY44" i="49"/>
  <c r="DY45" i="49"/>
  <c r="DY46" i="49"/>
  <c r="DY47" i="49"/>
  <c r="DY48" i="49"/>
  <c r="DY49" i="49"/>
  <c r="DY50" i="49"/>
  <c r="DY51" i="49"/>
  <c r="DY52" i="49"/>
  <c r="DY53" i="49"/>
  <c r="DY3" i="49"/>
  <c r="O25" i="62" l="1"/>
  <c r="O23" i="62"/>
  <c r="P24" i="62" s="1"/>
  <c r="O28" i="62"/>
  <c r="O26" i="62"/>
  <c r="P27" i="62" s="1"/>
  <c r="O46" i="62"/>
  <c r="O44" i="62"/>
  <c r="P45" i="62" s="1"/>
  <c r="P31" i="62"/>
  <c r="P29" i="62"/>
  <c r="Q30" i="62" s="1"/>
  <c r="O40" i="62"/>
  <c r="O38" i="62"/>
  <c r="P39" i="62" s="1"/>
  <c r="O47" i="62"/>
  <c r="P48" i="62" s="1"/>
  <c r="O49" i="62"/>
  <c r="O52" i="62"/>
  <c r="O50" i="62"/>
  <c r="P51" i="62" s="1"/>
  <c r="O55" i="62"/>
  <c r="O53" i="62"/>
  <c r="P54" i="62" s="1"/>
  <c r="O43" i="62"/>
  <c r="O41" i="62"/>
  <c r="P42" i="62" s="1"/>
  <c r="O37" i="62"/>
  <c r="O35" i="62"/>
  <c r="P36" i="62" s="1"/>
  <c r="O34" i="62"/>
  <c r="O32" i="62"/>
  <c r="P33" i="62" s="1"/>
  <c r="O56" i="62"/>
  <c r="P57" i="62" s="1"/>
  <c r="O58" i="62"/>
  <c r="O59" i="62"/>
  <c r="P60" i="62" s="1"/>
  <c r="O61" i="62"/>
  <c r="CK21" i="62"/>
  <c r="CK22" i="62"/>
  <c r="FW18" i="62"/>
  <c r="FW21" i="62"/>
  <c r="DO18" i="62"/>
  <c r="DO21" i="62"/>
  <c r="DN18" i="62"/>
  <c r="DN21" i="62"/>
  <c r="AB18" i="62"/>
  <c r="AB21" i="62"/>
  <c r="BG18" i="62"/>
  <c r="BG21" i="62"/>
  <c r="ES17" i="62"/>
  <c r="ES22" i="62" s="1"/>
  <c r="BV18" i="62"/>
  <c r="BF57" i="55"/>
  <c r="AA61" i="55"/>
  <c r="AA58" i="55"/>
  <c r="CL17" i="62"/>
  <c r="AD40" i="55"/>
  <c r="AD37" i="55"/>
  <c r="ET17" i="62"/>
  <c r="ET22" i="62" s="1"/>
  <c r="AB54" i="55"/>
  <c r="AB51" i="55"/>
  <c r="BF51" i="55" s="1"/>
  <c r="DP17" i="62"/>
  <c r="DP22" i="62" s="1"/>
  <c r="AC47" i="55"/>
  <c r="AC44" i="55"/>
  <c r="AC17" i="62"/>
  <c r="AC22" i="62" s="1"/>
  <c r="AE26" i="55"/>
  <c r="AE23" i="55"/>
  <c r="AE33" i="55"/>
  <c r="BH17" i="62"/>
  <c r="BH22" i="62" s="1"/>
  <c r="AE30" i="55"/>
  <c r="P59" i="62" l="1"/>
  <c r="Q60" i="62" s="1"/>
  <c r="P61" i="62"/>
  <c r="P26" i="62"/>
  <c r="Q27" i="62" s="1"/>
  <c r="P28" i="62"/>
  <c r="P52" i="62"/>
  <c r="P50" i="62"/>
  <c r="Q51" i="62" s="1"/>
  <c r="P56" i="62"/>
  <c r="Q57" i="62" s="1"/>
  <c r="P58" i="62"/>
  <c r="P25" i="62"/>
  <c r="P23" i="62"/>
  <c r="Q24" i="62" s="1"/>
  <c r="P34" i="62"/>
  <c r="P32" i="62"/>
  <c r="Q33" i="62" s="1"/>
  <c r="P40" i="62"/>
  <c r="P38" i="62"/>
  <c r="Q39" i="62" s="1"/>
  <c r="P35" i="62"/>
  <c r="Q36" i="62" s="1"/>
  <c r="P37" i="62"/>
  <c r="P47" i="62"/>
  <c r="Q48" i="62" s="1"/>
  <c r="P49" i="62"/>
  <c r="Q31" i="62"/>
  <c r="Q29" i="62"/>
  <c r="R30" i="62" s="1"/>
  <c r="P43" i="62"/>
  <c r="P41" i="62"/>
  <c r="Q42" i="62" s="1"/>
  <c r="P55" i="62"/>
  <c r="P53" i="62"/>
  <c r="Q54" i="62" s="1"/>
  <c r="P44" i="62"/>
  <c r="Q45" i="62" s="1"/>
  <c r="P46" i="62"/>
  <c r="CL21" i="62"/>
  <c r="CL22" i="62"/>
  <c r="ET18" i="62"/>
  <c r="ET21" i="62"/>
  <c r="ES18" i="62"/>
  <c r="ES21" i="62"/>
  <c r="DP18" i="62"/>
  <c r="DP21" i="62"/>
  <c r="AC18" i="62"/>
  <c r="AC21" i="62"/>
  <c r="BH18" i="62"/>
  <c r="BH21" i="62"/>
  <c r="FX17" i="62"/>
  <c r="FX22" i="62" s="1"/>
  <c r="BW18" i="62"/>
  <c r="DQ17" i="62"/>
  <c r="DQ22" i="62" s="1"/>
  <c r="AD47" i="55"/>
  <c r="AD44" i="55"/>
  <c r="EU17" i="62"/>
  <c r="EU22" i="62" s="1"/>
  <c r="AC54" i="55"/>
  <c r="AC51" i="55"/>
  <c r="FY17" i="62"/>
  <c r="FY22" i="62" s="1"/>
  <c r="AB61" i="55"/>
  <c r="AB58" i="55"/>
  <c r="BF58" i="55" s="1"/>
  <c r="CM17" i="62"/>
  <c r="AE40" i="55"/>
  <c r="AE37" i="55"/>
  <c r="AD17" i="62"/>
  <c r="AD22" i="62" s="1"/>
  <c r="AF26" i="55"/>
  <c r="AF23" i="55"/>
  <c r="AF33" i="55"/>
  <c r="BI17" i="62"/>
  <c r="BI22" i="62" s="1"/>
  <c r="AF30" i="55"/>
  <c r="J3" i="25"/>
  <c r="R29" i="62" l="1"/>
  <c r="S30" i="62" s="1"/>
  <c r="R31" i="62"/>
  <c r="Q28" i="62"/>
  <c r="Q26" i="62"/>
  <c r="R27" i="62" s="1"/>
  <c r="Q47" i="62"/>
  <c r="R48" i="62" s="1"/>
  <c r="Q49" i="62"/>
  <c r="Q46" i="62"/>
  <c r="Q44" i="62"/>
  <c r="R45" i="62" s="1"/>
  <c r="Q25" i="62"/>
  <c r="Q23" i="62"/>
  <c r="R24" i="62" s="1"/>
  <c r="Q35" i="62"/>
  <c r="R36" i="62" s="1"/>
  <c r="Q37" i="62"/>
  <c r="Q61" i="62"/>
  <c r="Q59" i="62"/>
  <c r="R60" i="62" s="1"/>
  <c r="Q56" i="62"/>
  <c r="R57" i="62" s="1"/>
  <c r="Q58" i="62"/>
  <c r="Q50" i="62"/>
  <c r="R51" i="62" s="1"/>
  <c r="Q52" i="62"/>
  <c r="Q40" i="62"/>
  <c r="Q38" i="62"/>
  <c r="R39" i="62" s="1"/>
  <c r="Q43" i="62"/>
  <c r="Q41" i="62"/>
  <c r="R42" i="62" s="1"/>
  <c r="Q53" i="62"/>
  <c r="R54" i="62" s="1"/>
  <c r="Q55" i="62"/>
  <c r="Q34" i="62"/>
  <c r="Q32" i="62"/>
  <c r="R33" i="62" s="1"/>
  <c r="CM21" i="62"/>
  <c r="CM22" i="62"/>
  <c r="FY18" i="62"/>
  <c r="FY21" i="62"/>
  <c r="DQ18" i="62"/>
  <c r="DQ21" i="62"/>
  <c r="FX18" i="62"/>
  <c r="FX21" i="62"/>
  <c r="EU18" i="62"/>
  <c r="EU21" i="62"/>
  <c r="AD18" i="62"/>
  <c r="AD21" i="62"/>
  <c r="BI18" i="62"/>
  <c r="BI21" i="62"/>
  <c r="BX18" i="62"/>
  <c r="CN17" i="62"/>
  <c r="AF40" i="55"/>
  <c r="AF37" i="55"/>
  <c r="EV17" i="62"/>
  <c r="AD54" i="55"/>
  <c r="AD51" i="55"/>
  <c r="FZ17" i="62"/>
  <c r="FZ22" i="62" s="1"/>
  <c r="AC61" i="55"/>
  <c r="AC58" i="55"/>
  <c r="DR17" i="62"/>
  <c r="DR22" i="62" s="1"/>
  <c r="AE47" i="55"/>
  <c r="AE44" i="55"/>
  <c r="AG33" i="55"/>
  <c r="AG30" i="55"/>
  <c r="BJ17" i="62"/>
  <c r="BJ22" i="62" s="1"/>
  <c r="AE17" i="62"/>
  <c r="AE22" i="62" s="1"/>
  <c r="AG26" i="55"/>
  <c r="AG23" i="55"/>
  <c r="D24" i="51"/>
  <c r="D23" i="51"/>
  <c r="D22" i="51"/>
  <c r="R47" i="62" l="1"/>
  <c r="S48" i="62" s="1"/>
  <c r="R49" i="62"/>
  <c r="R28" i="62"/>
  <c r="R26" i="62"/>
  <c r="S27" i="62" s="1"/>
  <c r="R40" i="62"/>
  <c r="R38" i="62"/>
  <c r="S39" i="62" s="1"/>
  <c r="R34" i="62"/>
  <c r="R32" i="62"/>
  <c r="S33" i="62" s="1"/>
  <c r="R59" i="62"/>
  <c r="S60" i="62" s="1"/>
  <c r="R61" i="62"/>
  <c r="S29" i="62"/>
  <c r="T30" i="62" s="1"/>
  <c r="S31" i="62"/>
  <c r="R55" i="62"/>
  <c r="R53" i="62"/>
  <c r="S54" i="62" s="1"/>
  <c r="R35" i="62"/>
  <c r="S36" i="62" s="1"/>
  <c r="R37" i="62"/>
  <c r="R56" i="62"/>
  <c r="S57" i="62" s="1"/>
  <c r="R58" i="62"/>
  <c r="R46" i="62"/>
  <c r="R44" i="62"/>
  <c r="S45" i="62" s="1"/>
  <c r="R50" i="62"/>
  <c r="S51" i="62" s="1"/>
  <c r="R52" i="62"/>
  <c r="R41" i="62"/>
  <c r="S42" i="62" s="1"/>
  <c r="R43" i="62"/>
  <c r="R25" i="62"/>
  <c r="R23" i="62"/>
  <c r="S24" i="62" s="1"/>
  <c r="O27" i="25"/>
  <c r="CN21" i="62"/>
  <c r="CN22" i="62"/>
  <c r="EV21" i="62"/>
  <c r="EV22" i="62"/>
  <c r="DR18" i="62"/>
  <c r="DR21" i="62"/>
  <c r="FZ18" i="62"/>
  <c r="FZ21" i="62"/>
  <c r="AE18" i="62"/>
  <c r="AE21" i="62"/>
  <c r="BJ18" i="62"/>
  <c r="BJ21" i="62"/>
  <c r="EV18" i="62"/>
  <c r="BY18" i="62"/>
  <c r="DS17" i="62"/>
  <c r="DS22" i="62" s="1"/>
  <c r="AF47" i="55"/>
  <c r="AF44" i="55"/>
  <c r="EW17" i="62"/>
  <c r="EW22" i="62" s="1"/>
  <c r="AE54" i="55"/>
  <c r="AE51" i="55"/>
  <c r="GA17" i="62"/>
  <c r="GA22" i="62" s="1"/>
  <c r="AD61" i="55"/>
  <c r="AD58" i="55"/>
  <c r="CO17" i="62"/>
  <c r="AG40" i="55"/>
  <c r="AG37" i="55"/>
  <c r="AF17" i="62"/>
  <c r="AF22" i="62" s="1"/>
  <c r="AH26" i="55"/>
  <c r="AH23" i="55"/>
  <c r="AH33" i="55"/>
  <c r="BK17" i="62"/>
  <c r="BK22" i="62" s="1"/>
  <c r="AH30" i="55"/>
  <c r="O45" i="25"/>
  <c r="O47" i="25" s="1"/>
  <c r="S26" i="62" l="1"/>
  <c r="T27" i="62" s="1"/>
  <c r="S28" i="62"/>
  <c r="S49" i="62"/>
  <c r="S47" i="62"/>
  <c r="T48" i="62" s="1"/>
  <c r="S46" i="62"/>
  <c r="S44" i="62"/>
  <c r="T45" i="62" s="1"/>
  <c r="S56" i="62"/>
  <c r="T57" i="62" s="1"/>
  <c r="S58" i="62"/>
  <c r="S32" i="62"/>
  <c r="T33" i="62" s="1"/>
  <c r="S34" i="62"/>
  <c r="S40" i="62"/>
  <c r="S38" i="62"/>
  <c r="T39" i="62" s="1"/>
  <c r="S35" i="62"/>
  <c r="T36" i="62" s="1"/>
  <c r="S37" i="62"/>
  <c r="S55" i="62"/>
  <c r="S53" i="62"/>
  <c r="T54" i="62" s="1"/>
  <c r="S43" i="62"/>
  <c r="S41" i="62"/>
  <c r="T42" i="62" s="1"/>
  <c r="T29" i="62"/>
  <c r="U30" i="62" s="1"/>
  <c r="T31" i="62"/>
  <c r="S25" i="62"/>
  <c r="S23" i="62"/>
  <c r="T24" i="62" s="1"/>
  <c r="S50" i="62"/>
  <c r="T51" i="62" s="1"/>
  <c r="S52" i="62"/>
  <c r="S61" i="62"/>
  <c r="S59" i="62"/>
  <c r="T60" i="62" s="1"/>
  <c r="CO21" i="62"/>
  <c r="CO22" i="62"/>
  <c r="EW18" i="62"/>
  <c r="EW21" i="62"/>
  <c r="GA18" i="62"/>
  <c r="GA21" i="62"/>
  <c r="DS18" i="62"/>
  <c r="DS21" i="62"/>
  <c r="AF18" i="62"/>
  <c r="AF21" i="62"/>
  <c r="BK18" i="62"/>
  <c r="BK21" i="62"/>
  <c r="CP17" i="62"/>
  <c r="AH40" i="55"/>
  <c r="AH37" i="55"/>
  <c r="EX17" i="62"/>
  <c r="EX22" i="62" s="1"/>
  <c r="AF54" i="55"/>
  <c r="AF51" i="55"/>
  <c r="GB17" i="62"/>
  <c r="GB22" i="62" s="1"/>
  <c r="AE61" i="55"/>
  <c r="AE58" i="55"/>
  <c r="DT17" i="62"/>
  <c r="DT22" i="62" s="1"/>
  <c r="AG47" i="55"/>
  <c r="AG44" i="55"/>
  <c r="AI33" i="55"/>
  <c r="AI30" i="55"/>
  <c r="BL17" i="62"/>
  <c r="BL22" i="62" s="1"/>
  <c r="AG17" i="62"/>
  <c r="AG22" i="62" s="1"/>
  <c r="AI26" i="55"/>
  <c r="AI23" i="55"/>
  <c r="T23" i="62" l="1"/>
  <c r="U24" i="62" s="1"/>
  <c r="T25" i="62"/>
  <c r="T56" i="62"/>
  <c r="U57" i="62" s="1"/>
  <c r="T58" i="62"/>
  <c r="T44" i="62"/>
  <c r="U45" i="62" s="1"/>
  <c r="T46" i="62"/>
  <c r="T55" i="62"/>
  <c r="T53" i="62"/>
  <c r="U54" i="62" s="1"/>
  <c r="T47" i="62"/>
  <c r="U48" i="62" s="1"/>
  <c r="T49" i="62"/>
  <c r="U29" i="62"/>
  <c r="V30" i="62" s="1"/>
  <c r="U31" i="62"/>
  <c r="T35" i="62"/>
  <c r="U36" i="62" s="1"/>
  <c r="T37" i="62"/>
  <c r="T28" i="62"/>
  <c r="T26" i="62"/>
  <c r="U27" i="62" s="1"/>
  <c r="T43" i="62"/>
  <c r="T41" i="62"/>
  <c r="U42" i="62" s="1"/>
  <c r="T61" i="62"/>
  <c r="T59" i="62"/>
  <c r="U60" i="62" s="1"/>
  <c r="T38" i="62"/>
  <c r="U39" i="62" s="1"/>
  <c r="T40" i="62"/>
  <c r="T50" i="62"/>
  <c r="U51" i="62" s="1"/>
  <c r="T52" i="62"/>
  <c r="T34" i="62"/>
  <c r="T32" i="62"/>
  <c r="U33" i="62" s="1"/>
  <c r="CP21" i="62"/>
  <c r="CP22" i="62"/>
  <c r="DT18" i="62"/>
  <c r="DT21" i="62"/>
  <c r="EX18" i="62"/>
  <c r="EX21" i="62"/>
  <c r="GB18" i="62"/>
  <c r="GB21" i="62"/>
  <c r="AG18" i="62"/>
  <c r="AG21" i="62"/>
  <c r="BL18" i="62"/>
  <c r="BL21" i="62"/>
  <c r="CA18" i="62"/>
  <c r="DU17" i="62"/>
  <c r="DU22" i="62" s="1"/>
  <c r="AH47" i="55"/>
  <c r="AH44" i="55"/>
  <c r="EY17" i="62"/>
  <c r="EY22" i="62" s="1"/>
  <c r="AG54" i="55"/>
  <c r="AG51" i="55"/>
  <c r="GC17" i="62"/>
  <c r="GC22" i="62" s="1"/>
  <c r="AF61" i="55"/>
  <c r="AF58" i="55"/>
  <c r="CQ17" i="62"/>
  <c r="AI40" i="55"/>
  <c r="AI37" i="55"/>
  <c r="AH17" i="62"/>
  <c r="AH22" i="62" s="1"/>
  <c r="AJ26" i="55"/>
  <c r="AJ23" i="55"/>
  <c r="AJ33" i="55"/>
  <c r="BM17" i="62"/>
  <c r="BM22" i="62" s="1"/>
  <c r="AJ30" i="55"/>
  <c r="N4" i="50"/>
  <c r="G30" i="52"/>
  <c r="M29" i="52"/>
  <c r="L29" i="52"/>
  <c r="K29" i="52"/>
  <c r="J29" i="52"/>
  <c r="I29" i="52"/>
  <c r="H29" i="52"/>
  <c r="G29" i="52"/>
  <c r="G28" i="52"/>
  <c r="G26" i="52"/>
  <c r="G25" i="52"/>
  <c r="I24" i="52"/>
  <c r="H24" i="52"/>
  <c r="G24" i="52"/>
  <c r="J23" i="52"/>
  <c r="I23" i="52"/>
  <c r="H23" i="52"/>
  <c r="G23" i="52"/>
  <c r="U26" i="62" l="1"/>
  <c r="V27" i="62" s="1"/>
  <c r="U28" i="62"/>
  <c r="U35" i="62"/>
  <c r="V36" i="62" s="1"/>
  <c r="U37" i="62"/>
  <c r="U23" i="62"/>
  <c r="V24" i="62" s="1"/>
  <c r="U25" i="62"/>
  <c r="U59" i="62"/>
  <c r="V60" i="62" s="1"/>
  <c r="U61" i="62"/>
  <c r="U44" i="62"/>
  <c r="V45" i="62" s="1"/>
  <c r="U46" i="62"/>
  <c r="U32" i="62"/>
  <c r="V33" i="62" s="1"/>
  <c r="U34" i="62"/>
  <c r="U52" i="62"/>
  <c r="U50" i="62"/>
  <c r="V51" i="62" s="1"/>
  <c r="V29" i="62"/>
  <c r="W30" i="62" s="1"/>
  <c r="V31" i="62"/>
  <c r="U55" i="62"/>
  <c r="U53" i="62"/>
  <c r="V54" i="62" s="1"/>
  <c r="U41" i="62"/>
  <c r="V42" i="62" s="1"/>
  <c r="U43" i="62"/>
  <c r="U56" i="62"/>
  <c r="V57" i="62" s="1"/>
  <c r="U58" i="62"/>
  <c r="U38" i="62"/>
  <c r="V39" i="62" s="1"/>
  <c r="U40" i="62"/>
  <c r="U49" i="62"/>
  <c r="U47" i="62"/>
  <c r="V48" i="62" s="1"/>
  <c r="CQ21" i="62"/>
  <c r="CQ22" i="62"/>
  <c r="EY18" i="62"/>
  <c r="EY21" i="62"/>
  <c r="GC18" i="62"/>
  <c r="GC21" i="62"/>
  <c r="DU18" i="62"/>
  <c r="DU21" i="62"/>
  <c r="AH18" i="62"/>
  <c r="AH21" i="62"/>
  <c r="BM18" i="62"/>
  <c r="BM21" i="62"/>
  <c r="CB18" i="62"/>
  <c r="CR17" i="62"/>
  <c r="AJ40" i="55"/>
  <c r="AJ37" i="55"/>
  <c r="EZ17" i="62"/>
  <c r="EZ22" i="62" s="1"/>
  <c r="AH54" i="55"/>
  <c r="AH51" i="55"/>
  <c r="GD17" i="62"/>
  <c r="GD22" i="62" s="1"/>
  <c r="AG61" i="55"/>
  <c r="AG58" i="55"/>
  <c r="DV17" i="62"/>
  <c r="AI47" i="55"/>
  <c r="AI44" i="55"/>
  <c r="AK33" i="55"/>
  <c r="BN17" i="62"/>
  <c r="BN22" i="62" s="1"/>
  <c r="AK30" i="55"/>
  <c r="AI17" i="62"/>
  <c r="AI22" i="62" s="1"/>
  <c r="AK26" i="55"/>
  <c r="AK23" i="55"/>
  <c r="AC2" i="1"/>
  <c r="V41" i="62" l="1"/>
  <c r="W42" i="62" s="1"/>
  <c r="V43" i="62"/>
  <c r="V53" i="62"/>
  <c r="W54" i="62" s="1"/>
  <c r="V55" i="62"/>
  <c r="V26" i="62"/>
  <c r="W27" i="62" s="1"/>
  <c r="V28" i="62"/>
  <c r="W29" i="62"/>
  <c r="X30" i="62" s="1"/>
  <c r="W31" i="62"/>
  <c r="V59" i="62"/>
  <c r="W60" i="62" s="1"/>
  <c r="V61" i="62"/>
  <c r="V49" i="62"/>
  <c r="V47" i="62"/>
  <c r="W48" i="62" s="1"/>
  <c r="V50" i="62"/>
  <c r="W51" i="62" s="1"/>
  <c r="V52" i="62"/>
  <c r="V38" i="62"/>
  <c r="W39" i="62" s="1"/>
  <c r="V40" i="62"/>
  <c r="V32" i="62"/>
  <c r="W33" i="62" s="1"/>
  <c r="V34" i="62"/>
  <c r="V23" i="62"/>
  <c r="W24" i="62" s="1"/>
  <c r="V25" i="62"/>
  <c r="V35" i="62"/>
  <c r="W36" i="62" s="1"/>
  <c r="V37" i="62"/>
  <c r="V56" i="62"/>
  <c r="W57" i="62" s="1"/>
  <c r="V58" i="62"/>
  <c r="V46" i="62"/>
  <c r="V44" i="62"/>
  <c r="W45" i="62" s="1"/>
  <c r="CR21" i="62"/>
  <c r="CR22" i="62"/>
  <c r="DV21" i="62"/>
  <c r="DV22" i="62"/>
  <c r="EZ18" i="62"/>
  <c r="EZ21" i="62"/>
  <c r="GD18" i="62"/>
  <c r="GD21" i="62"/>
  <c r="AI18" i="62"/>
  <c r="AI21" i="62"/>
  <c r="BN18" i="62"/>
  <c r="BN21" i="62"/>
  <c r="DV18" i="62"/>
  <c r="CC18" i="62"/>
  <c r="DW17" i="62"/>
  <c r="DW22" i="62" s="1"/>
  <c r="AJ47" i="55"/>
  <c r="AJ44" i="55"/>
  <c r="FA17" i="62"/>
  <c r="FA22" i="62" s="1"/>
  <c r="AI54" i="55"/>
  <c r="AI51" i="55"/>
  <c r="GE17" i="62"/>
  <c r="GE22" i="62" s="1"/>
  <c r="AH61" i="55"/>
  <c r="AH58" i="55"/>
  <c r="CS17" i="62"/>
  <c r="AK40" i="55"/>
  <c r="AK37" i="55"/>
  <c r="AJ17" i="62"/>
  <c r="AJ22" i="62" s="1"/>
  <c r="AL26" i="55"/>
  <c r="AL23" i="55"/>
  <c r="AL33" i="55"/>
  <c r="AL30" i="55"/>
  <c r="BO17" i="62"/>
  <c r="BO22" i="62" s="1"/>
  <c r="W23" i="62" l="1"/>
  <c r="X24" i="62" s="1"/>
  <c r="W25" i="62"/>
  <c r="W38" i="62"/>
  <c r="X39" i="62" s="1"/>
  <c r="W40" i="62"/>
  <c r="W50" i="62"/>
  <c r="X51" i="62" s="1"/>
  <c r="W52" i="62"/>
  <c r="W41" i="62"/>
  <c r="X42" i="62" s="1"/>
  <c r="W43" i="62"/>
  <c r="W34" i="62"/>
  <c r="W32" i="62"/>
  <c r="X33" i="62" s="1"/>
  <c r="W46" i="62"/>
  <c r="W44" i="62"/>
  <c r="X45" i="62" s="1"/>
  <c r="X31" i="62"/>
  <c r="X29" i="62"/>
  <c r="Y30" i="62" s="1"/>
  <c r="W28" i="62"/>
  <c r="W26" i="62"/>
  <c r="X27" i="62" s="1"/>
  <c r="W53" i="62"/>
  <c r="X54" i="62" s="1"/>
  <c r="W55" i="62"/>
  <c r="W49" i="62"/>
  <c r="W47" i="62"/>
  <c r="X48" i="62" s="1"/>
  <c r="W58" i="62"/>
  <c r="W56" i="62"/>
  <c r="X57" i="62" s="1"/>
  <c r="W37" i="62"/>
  <c r="W35" i="62"/>
  <c r="X36" i="62" s="1"/>
  <c r="W61" i="62"/>
  <c r="W59" i="62"/>
  <c r="X60" i="62" s="1"/>
  <c r="CS21" i="62"/>
  <c r="CS22" i="62"/>
  <c r="FA18" i="62"/>
  <c r="FA21" i="62"/>
  <c r="GE18" i="62"/>
  <c r="GE21" i="62"/>
  <c r="DW18" i="62"/>
  <c r="DW21" i="62"/>
  <c r="AJ18" i="62"/>
  <c r="AJ21" i="62"/>
  <c r="BO18" i="62"/>
  <c r="BO21" i="62"/>
  <c r="CD18" i="62"/>
  <c r="CT17" i="62"/>
  <c r="AL40" i="55"/>
  <c r="AL37" i="55"/>
  <c r="FB17" i="62"/>
  <c r="FB22" i="62" s="1"/>
  <c r="AJ54" i="55"/>
  <c r="AJ51" i="55"/>
  <c r="GF17" i="62"/>
  <c r="GF22" i="62" s="1"/>
  <c r="AI61" i="55"/>
  <c r="AI58" i="55"/>
  <c r="DX17" i="62"/>
  <c r="DX22" i="62" s="1"/>
  <c r="AK47" i="55"/>
  <c r="AK44" i="55"/>
  <c r="AM30" i="55"/>
  <c r="AM33" i="55"/>
  <c r="BP17" i="62"/>
  <c r="BP22" i="62" s="1"/>
  <c r="AK17" i="62"/>
  <c r="AK22" i="62" s="1"/>
  <c r="AM26" i="55"/>
  <c r="AM23" i="55"/>
  <c r="AV30" i="52"/>
  <c r="AY30" i="52" s="1"/>
  <c r="AV28" i="52"/>
  <c r="AY28" i="52" s="1"/>
  <c r="AV26" i="52"/>
  <c r="AY26" i="52" s="1"/>
  <c r="AV25" i="52"/>
  <c r="AY25" i="52" s="1"/>
  <c r="AV31" i="52"/>
  <c r="AY31" i="52" s="1"/>
  <c r="W15" i="52"/>
  <c r="AE18" i="5"/>
  <c r="X34" i="62" l="1"/>
  <c r="X32" i="62"/>
  <c r="Y33" i="62" s="1"/>
  <c r="X23" i="62"/>
  <c r="Y24" i="62" s="1"/>
  <c r="X25" i="62"/>
  <c r="X38" i="62"/>
  <c r="Y39" i="62" s="1"/>
  <c r="X40" i="62"/>
  <c r="X28" i="62"/>
  <c r="X26" i="62"/>
  <c r="Y27" i="62" s="1"/>
  <c r="X59" i="62"/>
  <c r="Y60" i="62" s="1"/>
  <c r="X61" i="62"/>
  <c r="Y31" i="62"/>
  <c r="Y29" i="62"/>
  <c r="Z30" i="62" s="1"/>
  <c r="X53" i="62"/>
  <c r="Y54" i="62" s="1"/>
  <c r="X55" i="62"/>
  <c r="X35" i="62"/>
  <c r="Y36" i="62" s="1"/>
  <c r="X37" i="62"/>
  <c r="X44" i="62"/>
  <c r="Y45" i="62" s="1"/>
  <c r="X46" i="62"/>
  <c r="X56" i="62"/>
  <c r="Y57" i="62" s="1"/>
  <c r="X58" i="62"/>
  <c r="X41" i="62"/>
  <c r="Y42" i="62" s="1"/>
  <c r="X43" i="62"/>
  <c r="X47" i="62"/>
  <c r="Y48" i="62" s="1"/>
  <c r="X49" i="62"/>
  <c r="X50" i="62"/>
  <c r="Y51" i="62" s="1"/>
  <c r="X52" i="62"/>
  <c r="CT21" i="62"/>
  <c r="CT22" i="62"/>
  <c r="GF18" i="62"/>
  <c r="GF21" i="62"/>
  <c r="DX18" i="62"/>
  <c r="DX21" i="62"/>
  <c r="FB18" i="62"/>
  <c r="FB21" i="62"/>
  <c r="AK18" i="62"/>
  <c r="AK21" i="62"/>
  <c r="BP18" i="62"/>
  <c r="BP21" i="62"/>
  <c r="CE18" i="62"/>
  <c r="DY17" i="62"/>
  <c r="DY22" i="62" s="1"/>
  <c r="AL47" i="55"/>
  <c r="AL44" i="55"/>
  <c r="FC17" i="62"/>
  <c r="FC22" i="62" s="1"/>
  <c r="AK54" i="55"/>
  <c r="AK51" i="55"/>
  <c r="GG17" i="62"/>
  <c r="GG22" i="62" s="1"/>
  <c r="AJ61" i="55"/>
  <c r="AJ58" i="55"/>
  <c r="CU17" i="62"/>
  <c r="AM40" i="55"/>
  <c r="AM37" i="55"/>
  <c r="AN26" i="55"/>
  <c r="AU24" i="55" s="1"/>
  <c r="AN23" i="55"/>
  <c r="AN33" i="55"/>
  <c r="AU31" i="55" s="1"/>
  <c r="AZ18" i="55" s="1"/>
  <c r="AN30" i="55"/>
  <c r="AV23" i="52"/>
  <c r="AY23" i="52" s="1"/>
  <c r="AV24" i="52"/>
  <c r="AW24" i="52" s="1"/>
  <c r="AV29" i="52"/>
  <c r="AW29" i="52" s="1"/>
  <c r="AW28" i="52"/>
  <c r="AW26" i="52"/>
  <c r="AW31" i="52"/>
  <c r="AW25" i="52"/>
  <c r="AW30" i="52"/>
  <c r="Y58" i="62" l="1"/>
  <c r="Y56" i="62"/>
  <c r="Z57" i="62" s="1"/>
  <c r="Y35" i="62"/>
  <c r="Z36" i="62" s="1"/>
  <c r="Y37" i="62"/>
  <c r="Y25" i="62"/>
  <c r="Y23" i="62"/>
  <c r="Z24" i="62" s="1"/>
  <c r="Y43" i="62"/>
  <c r="Y41" i="62"/>
  <c r="Z42" i="62" s="1"/>
  <c r="Y61" i="62"/>
  <c r="Y59" i="62"/>
  <c r="Z60" i="62" s="1"/>
  <c r="Y44" i="62"/>
  <c r="Z45" i="62" s="1"/>
  <c r="Y46" i="62"/>
  <c r="Y53" i="62"/>
  <c r="Z54" i="62" s="1"/>
  <c r="Y55" i="62"/>
  <c r="Y26" i="62"/>
  <c r="Z27" i="62" s="1"/>
  <c r="Y28" i="62"/>
  <c r="Y52" i="62"/>
  <c r="Y50" i="62"/>
  <c r="Z51" i="62" s="1"/>
  <c r="Y34" i="62"/>
  <c r="Y32" i="62"/>
  <c r="Z33" i="62" s="1"/>
  <c r="Y40" i="62"/>
  <c r="Y38" i="62"/>
  <c r="Z39" i="62" s="1"/>
  <c r="Y49" i="62"/>
  <c r="Y47" i="62"/>
  <c r="Z48" i="62" s="1"/>
  <c r="Z31" i="62"/>
  <c r="Z29" i="62"/>
  <c r="AA30" i="62" s="1"/>
  <c r="AZ17" i="55"/>
  <c r="AO24" i="55"/>
  <c r="CU21" i="62"/>
  <c r="CU22" i="62"/>
  <c r="GG18" i="62"/>
  <c r="GG21" i="62"/>
  <c r="DY18" i="62"/>
  <c r="DY21" i="62"/>
  <c r="FC18" i="62"/>
  <c r="FC21" i="62"/>
  <c r="CU18" i="62"/>
  <c r="AO23" i="55"/>
  <c r="M84" i="55" s="1"/>
  <c r="M87" i="55"/>
  <c r="AO30" i="55"/>
  <c r="Q84" i="55" s="1"/>
  <c r="Q87" i="55"/>
  <c r="AO25" i="55"/>
  <c r="AO32" i="55"/>
  <c r="Q86" i="55" s="1"/>
  <c r="AO31" i="55"/>
  <c r="Q85" i="55" s="1"/>
  <c r="CF18" i="62"/>
  <c r="AN40" i="55"/>
  <c r="AU38" i="55" s="1"/>
  <c r="AZ19" i="55" s="1"/>
  <c r="AN37" i="55"/>
  <c r="FD17" i="62"/>
  <c r="FD22" i="62" s="1"/>
  <c r="AL54" i="55"/>
  <c r="AL51" i="55"/>
  <c r="GH17" i="62"/>
  <c r="GH22" i="62" s="1"/>
  <c r="AK61" i="55"/>
  <c r="AK58" i="55"/>
  <c r="DZ17" i="62"/>
  <c r="DZ22" i="62" s="1"/>
  <c r="AM47" i="55"/>
  <c r="AM44" i="55"/>
  <c r="AV22" i="52"/>
  <c r="AY29" i="52"/>
  <c r="AY24" i="52"/>
  <c r="AW23" i="52"/>
  <c r="AW22" i="52"/>
  <c r="Z52" i="62" l="1"/>
  <c r="Z50" i="62"/>
  <c r="AA51" i="62" s="1"/>
  <c r="Z25" i="62"/>
  <c r="Z23" i="62"/>
  <c r="AA24" i="62" s="1"/>
  <c r="Z26" i="62"/>
  <c r="AA27" i="62" s="1"/>
  <c r="Z28" i="62"/>
  <c r="Z37" i="62"/>
  <c r="Z35" i="62"/>
  <c r="AA36" i="62" s="1"/>
  <c r="Z61" i="62"/>
  <c r="Z59" i="62"/>
  <c r="AA60" i="62" s="1"/>
  <c r="Z40" i="62"/>
  <c r="Z38" i="62"/>
  <c r="AA39" i="62" s="1"/>
  <c r="Z41" i="62"/>
  <c r="AA42" i="62" s="1"/>
  <c r="Z43" i="62"/>
  <c r="Z55" i="62"/>
  <c r="Z53" i="62"/>
  <c r="AA54" i="62" s="1"/>
  <c r="Z34" i="62"/>
  <c r="Z32" i="62"/>
  <c r="AA33" i="62" s="1"/>
  <c r="AA31" i="62"/>
  <c r="AA29" i="62"/>
  <c r="AB30" i="62" s="1"/>
  <c r="Z58" i="62"/>
  <c r="Z56" i="62"/>
  <c r="AA57" i="62" s="1"/>
  <c r="Z44" i="62"/>
  <c r="AA45" i="62" s="1"/>
  <c r="Z46" i="62"/>
  <c r="Z49" i="62"/>
  <c r="Z47" i="62"/>
  <c r="AA48" i="62" s="1"/>
  <c r="AR24" i="55"/>
  <c r="AR25" i="55"/>
  <c r="GH18" i="62"/>
  <c r="GH21" i="62"/>
  <c r="DZ18" i="62"/>
  <c r="DZ21" i="62"/>
  <c r="FD18" i="62"/>
  <c r="FD21" i="62"/>
  <c r="AR31" i="55"/>
  <c r="AR32" i="55"/>
  <c r="U87" i="55"/>
  <c r="M86" i="55"/>
  <c r="M85" i="55"/>
  <c r="AO39" i="55"/>
  <c r="AO38" i="55"/>
  <c r="AO37" i="55"/>
  <c r="Q89" i="55"/>
  <c r="CG18" i="62"/>
  <c r="GI17" i="62"/>
  <c r="GI22" i="62" s="1"/>
  <c r="AL61" i="55"/>
  <c r="AL58" i="55"/>
  <c r="FE17" i="62"/>
  <c r="FE22" i="62" s="1"/>
  <c r="D22" i="62" s="1"/>
  <c r="AM54" i="55"/>
  <c r="AM51" i="55"/>
  <c r="AN47" i="55"/>
  <c r="AU45" i="55" s="1"/>
  <c r="AZ20" i="55" s="1"/>
  <c r="AN44" i="55"/>
  <c r="AY32" i="52"/>
  <c r="AA34" i="62" l="1"/>
  <c r="AA32" i="62"/>
  <c r="AB33" i="62" s="1"/>
  <c r="AA56" i="62"/>
  <c r="AB57" i="62" s="1"/>
  <c r="AA58" i="62"/>
  <c r="AA37" i="62"/>
  <c r="AA35" i="62"/>
  <c r="AB36" i="62" s="1"/>
  <c r="AA28" i="62"/>
  <c r="AA26" i="62"/>
  <c r="AB27" i="62" s="1"/>
  <c r="AA55" i="62"/>
  <c r="AA53" i="62"/>
  <c r="AB54" i="62" s="1"/>
  <c r="AA25" i="62"/>
  <c r="AB25" i="62" s="1"/>
  <c r="AC25" i="62" s="1"/>
  <c r="AD25" i="62" s="1"/>
  <c r="AE25" i="62" s="1"/>
  <c r="AF25" i="62" s="1"/>
  <c r="AG25" i="62" s="1"/>
  <c r="AH25" i="62" s="1"/>
  <c r="AI25" i="62" s="1"/>
  <c r="AJ25" i="62" s="1"/>
  <c r="AK25" i="62" s="1"/>
  <c r="AA23" i="62"/>
  <c r="AB24" i="62" s="1"/>
  <c r="AB23" i="62" s="1"/>
  <c r="AC24" i="62" s="1"/>
  <c r="AC23" i="62" s="1"/>
  <c r="AD24" i="62" s="1"/>
  <c r="AD23" i="62" s="1"/>
  <c r="AE24" i="62" s="1"/>
  <c r="AE23" i="62" s="1"/>
  <c r="AF24" i="62" s="1"/>
  <c r="AF23" i="62" s="1"/>
  <c r="AG24" i="62" s="1"/>
  <c r="AG23" i="62" s="1"/>
  <c r="AH24" i="62" s="1"/>
  <c r="AH23" i="62" s="1"/>
  <c r="AI24" i="62" s="1"/>
  <c r="AI23" i="62" s="1"/>
  <c r="AJ24" i="62" s="1"/>
  <c r="AJ23" i="62" s="1"/>
  <c r="AK24" i="62" s="1"/>
  <c r="AK23" i="62" s="1"/>
  <c r="AL24" i="62" s="1"/>
  <c r="AA43" i="62"/>
  <c r="AA41" i="62"/>
  <c r="AB42" i="62" s="1"/>
  <c r="AA59" i="62"/>
  <c r="AB60" i="62" s="1"/>
  <c r="AA61" i="62"/>
  <c r="AA50" i="62"/>
  <c r="AB51" i="62" s="1"/>
  <c r="AA52" i="62"/>
  <c r="AB31" i="62"/>
  <c r="AB29" i="62"/>
  <c r="AC30" i="62" s="1"/>
  <c r="AA49" i="62"/>
  <c r="AA47" i="62"/>
  <c r="AB48" i="62" s="1"/>
  <c r="AA44" i="62"/>
  <c r="AB45" i="62" s="1"/>
  <c r="AA46" i="62"/>
  <c r="AA40" i="62"/>
  <c r="AA38" i="62"/>
  <c r="AB39" i="62" s="1"/>
  <c r="GI18" i="62"/>
  <c r="GI21" i="62"/>
  <c r="FE18" i="62"/>
  <c r="FE21" i="62"/>
  <c r="D21" i="62" s="1"/>
  <c r="AR38" i="55"/>
  <c r="AO44" i="55"/>
  <c r="Y84" i="55" s="1"/>
  <c r="Y89" i="55" s="1"/>
  <c r="Y87" i="55"/>
  <c r="U84" i="55"/>
  <c r="U89" i="55" s="1"/>
  <c r="AO45" i="55"/>
  <c r="Y85" i="55" s="1"/>
  <c r="U85" i="55"/>
  <c r="U86" i="55"/>
  <c r="AR39" i="55"/>
  <c r="AO46" i="55"/>
  <c r="Y86" i="55" s="1"/>
  <c r="CH18" i="62"/>
  <c r="AN54" i="55"/>
  <c r="AU52" i="55" s="1"/>
  <c r="AZ21" i="55" s="1"/>
  <c r="AN51" i="55"/>
  <c r="GJ17" i="62"/>
  <c r="GJ22" i="62" s="1"/>
  <c r="AM61" i="55"/>
  <c r="AM58" i="55"/>
  <c r="F28" i="25"/>
  <c r="D46" i="25"/>
  <c r="E28" i="25"/>
  <c r="E46" i="25"/>
  <c r="H46" i="25"/>
  <c r="I46" i="25"/>
  <c r="J46" i="25"/>
  <c r="K46" i="25"/>
  <c r="I28" i="25"/>
  <c r="I48" i="25" s="1"/>
  <c r="J28" i="25"/>
  <c r="F46" i="25"/>
  <c r="F48" i="25" s="1"/>
  <c r="K28" i="25"/>
  <c r="K48" i="25" s="1"/>
  <c r="D28" i="25"/>
  <c r="G46" i="25"/>
  <c r="G28" i="25"/>
  <c r="E48" i="25"/>
  <c r="H28" i="25"/>
  <c r="H48" i="25" s="1"/>
  <c r="Z22" i="48"/>
  <c r="AE2" i="48" s="1"/>
  <c r="AA74" i="48"/>
  <c r="Z74" i="48"/>
  <c r="L74" i="48" s="1"/>
  <c r="AA73" i="48"/>
  <c r="Z73" i="48"/>
  <c r="L73" i="48" s="1"/>
  <c r="AA72" i="48"/>
  <c r="Z72" i="48"/>
  <c r="L72" i="48" s="1"/>
  <c r="AA71" i="48"/>
  <c r="Z71" i="48"/>
  <c r="L71" i="48" s="1"/>
  <c r="AA70" i="48"/>
  <c r="Z70" i="48"/>
  <c r="L70" i="48" s="1"/>
  <c r="AA69" i="48"/>
  <c r="Z69" i="48"/>
  <c r="L69" i="48" s="1"/>
  <c r="AA68" i="48"/>
  <c r="Z68" i="48"/>
  <c r="L68" i="48" s="1"/>
  <c r="AA67" i="48"/>
  <c r="Z67" i="48"/>
  <c r="L67" i="48" s="1"/>
  <c r="AA66" i="48"/>
  <c r="Z66" i="48"/>
  <c r="L66" i="48" s="1"/>
  <c r="AA65" i="48"/>
  <c r="Z65" i="48"/>
  <c r="L65" i="48" s="1"/>
  <c r="AA64" i="48"/>
  <c r="Z64" i="48"/>
  <c r="L64" i="48" s="1"/>
  <c r="AA63" i="48"/>
  <c r="Z63" i="48"/>
  <c r="L63" i="48" s="1"/>
  <c r="AA62" i="48"/>
  <c r="Z62" i="48"/>
  <c r="L62" i="48" s="1"/>
  <c r="AA61" i="48"/>
  <c r="Z61" i="48"/>
  <c r="L61" i="48" s="1"/>
  <c r="AA60" i="48"/>
  <c r="Z60" i="48"/>
  <c r="L60" i="48" s="1"/>
  <c r="AA59" i="48"/>
  <c r="Z59" i="48"/>
  <c r="L59" i="48" s="1"/>
  <c r="AA58" i="48"/>
  <c r="Z58" i="48"/>
  <c r="L58" i="48" s="1"/>
  <c r="AA57" i="48"/>
  <c r="Z57" i="48"/>
  <c r="L57" i="48" s="1"/>
  <c r="AA56" i="48"/>
  <c r="Z56" i="48"/>
  <c r="L56" i="48" s="1"/>
  <c r="AA55" i="48"/>
  <c r="Z55" i="48"/>
  <c r="L55" i="48" s="1"/>
  <c r="AA54" i="48"/>
  <c r="Z54" i="48"/>
  <c r="L54" i="48" s="1"/>
  <c r="AA53" i="48"/>
  <c r="Z53" i="48"/>
  <c r="L53" i="48" s="1"/>
  <c r="AA52" i="48"/>
  <c r="Z52" i="48"/>
  <c r="L52" i="48" s="1"/>
  <c r="AA51" i="48"/>
  <c r="Z51" i="48"/>
  <c r="L51" i="48" s="1"/>
  <c r="AA50" i="48"/>
  <c r="Z50" i="48"/>
  <c r="L50" i="48" s="1"/>
  <c r="AA49" i="48"/>
  <c r="Z49" i="48"/>
  <c r="L49" i="48" s="1"/>
  <c r="AA48" i="48"/>
  <c r="Z48" i="48"/>
  <c r="L48" i="48" s="1"/>
  <c r="AA47" i="48"/>
  <c r="Z47" i="48"/>
  <c r="L47" i="48" s="1"/>
  <c r="AA46" i="48"/>
  <c r="Z46" i="48"/>
  <c r="L46" i="48" s="1"/>
  <c r="AA45" i="48"/>
  <c r="Z45" i="48"/>
  <c r="L45" i="48" s="1"/>
  <c r="AA44" i="48"/>
  <c r="Z44" i="48"/>
  <c r="L44" i="48" s="1"/>
  <c r="AA43" i="48"/>
  <c r="Z43" i="48"/>
  <c r="L43" i="48" s="1"/>
  <c r="AA42" i="48"/>
  <c r="Z42" i="48"/>
  <c r="L42" i="48" s="1"/>
  <c r="AA41" i="48"/>
  <c r="Z41" i="48"/>
  <c r="L41" i="48" s="1"/>
  <c r="AA40" i="48"/>
  <c r="Z40" i="48"/>
  <c r="L40" i="48" s="1"/>
  <c r="AA39" i="48"/>
  <c r="Z39" i="48"/>
  <c r="L39" i="48" s="1"/>
  <c r="AA38" i="48"/>
  <c r="Z38" i="48"/>
  <c r="L38" i="48" s="1"/>
  <c r="AA37" i="48"/>
  <c r="Z37" i="48"/>
  <c r="L37" i="48" s="1"/>
  <c r="AA36" i="48"/>
  <c r="Z36" i="48"/>
  <c r="L36" i="48" s="1"/>
  <c r="AA35" i="48"/>
  <c r="Z35" i="48"/>
  <c r="AA34" i="48"/>
  <c r="Z34" i="48"/>
  <c r="AA33" i="48"/>
  <c r="Z33" i="48"/>
  <c r="AA32" i="48"/>
  <c r="Z32" i="48"/>
  <c r="L32" i="48" s="1"/>
  <c r="AA31" i="48"/>
  <c r="Z31" i="48"/>
  <c r="L31" i="48" s="1"/>
  <c r="AA30" i="48"/>
  <c r="Z30" i="48"/>
  <c r="AA22" i="48"/>
  <c r="AA15" i="48"/>
  <c r="Z15" i="48"/>
  <c r="AD2" i="48" s="1"/>
  <c r="B14" i="48"/>
  <c r="AA74" i="47"/>
  <c r="Z74" i="47"/>
  <c r="L74" i="47" s="1"/>
  <c r="AA73" i="47"/>
  <c r="Z73" i="47"/>
  <c r="L73" i="47" s="1"/>
  <c r="AA72" i="47"/>
  <c r="Z72" i="47"/>
  <c r="L72" i="47" s="1"/>
  <c r="AA71" i="47"/>
  <c r="Z71" i="47"/>
  <c r="L71" i="47" s="1"/>
  <c r="AA70" i="47"/>
  <c r="Z70" i="47"/>
  <c r="L70" i="47" s="1"/>
  <c r="AA69" i="47"/>
  <c r="Z69" i="47"/>
  <c r="L69" i="47" s="1"/>
  <c r="AA68" i="47"/>
  <c r="Z68" i="47"/>
  <c r="L68" i="47" s="1"/>
  <c r="AA67" i="47"/>
  <c r="Z67" i="47"/>
  <c r="L67" i="47" s="1"/>
  <c r="AA66" i="47"/>
  <c r="Z66" i="47"/>
  <c r="L66" i="47" s="1"/>
  <c r="AA65" i="47"/>
  <c r="Z65" i="47"/>
  <c r="L65" i="47" s="1"/>
  <c r="AA64" i="47"/>
  <c r="Z64" i="47"/>
  <c r="L64" i="47" s="1"/>
  <c r="AA63" i="47"/>
  <c r="Z63" i="47"/>
  <c r="L63" i="47" s="1"/>
  <c r="AA62" i="47"/>
  <c r="Z62" i="47"/>
  <c r="L62" i="47" s="1"/>
  <c r="AA61" i="47"/>
  <c r="Z61" i="47"/>
  <c r="L61" i="47" s="1"/>
  <c r="AA60" i="47"/>
  <c r="Z60" i="47"/>
  <c r="L60" i="47" s="1"/>
  <c r="AA59" i="47"/>
  <c r="Z59" i="47"/>
  <c r="L59" i="47" s="1"/>
  <c r="AA58" i="47"/>
  <c r="Z58" i="47"/>
  <c r="L58" i="47" s="1"/>
  <c r="AA57" i="47"/>
  <c r="Z57" i="47"/>
  <c r="L57" i="47" s="1"/>
  <c r="AA56" i="47"/>
  <c r="Z56" i="47"/>
  <c r="L56" i="47" s="1"/>
  <c r="AA55" i="47"/>
  <c r="Z55" i="47"/>
  <c r="L55" i="47" s="1"/>
  <c r="AA54" i="47"/>
  <c r="Z54" i="47"/>
  <c r="L54" i="47" s="1"/>
  <c r="AA53" i="47"/>
  <c r="Z53" i="47"/>
  <c r="L53" i="47" s="1"/>
  <c r="AA52" i="47"/>
  <c r="Z52" i="47"/>
  <c r="L52" i="47" s="1"/>
  <c r="AA51" i="47"/>
  <c r="Z51" i="47"/>
  <c r="L51" i="47" s="1"/>
  <c r="AA50" i="47"/>
  <c r="Z50" i="47"/>
  <c r="L50" i="47" s="1"/>
  <c r="AA49" i="47"/>
  <c r="Z49" i="47"/>
  <c r="L49" i="47" s="1"/>
  <c r="AA48" i="47"/>
  <c r="Z48" i="47"/>
  <c r="L48" i="47" s="1"/>
  <c r="AA47" i="47"/>
  <c r="Z47" i="47"/>
  <c r="L47" i="47" s="1"/>
  <c r="AA46" i="47"/>
  <c r="Z46" i="47"/>
  <c r="L46" i="47" s="1"/>
  <c r="AA45" i="47"/>
  <c r="Z45" i="47"/>
  <c r="L45" i="47" s="1"/>
  <c r="AA44" i="47"/>
  <c r="Z44" i="47"/>
  <c r="L44" i="47" s="1"/>
  <c r="AA43" i="47"/>
  <c r="Z43" i="47"/>
  <c r="L43" i="47" s="1"/>
  <c r="AA42" i="47"/>
  <c r="Z42" i="47"/>
  <c r="L42" i="47" s="1"/>
  <c r="AA41" i="47"/>
  <c r="Z41" i="47"/>
  <c r="L41" i="47" s="1"/>
  <c r="AA40" i="47"/>
  <c r="Z40" i="47"/>
  <c r="L40" i="47" s="1"/>
  <c r="AA39" i="47"/>
  <c r="Z39" i="47"/>
  <c r="L39" i="47" s="1"/>
  <c r="AA38" i="47"/>
  <c r="Z38" i="47"/>
  <c r="L38" i="47" s="1"/>
  <c r="AA37" i="47"/>
  <c r="Z37" i="47"/>
  <c r="L37" i="47" s="1"/>
  <c r="AA36" i="47"/>
  <c r="Z36" i="47"/>
  <c r="AA35" i="47"/>
  <c r="Z35" i="47"/>
  <c r="L35" i="47" s="1"/>
  <c r="AA34" i="47"/>
  <c r="Z34" i="47"/>
  <c r="AA33" i="47"/>
  <c r="Z33" i="47"/>
  <c r="L33" i="47" s="1"/>
  <c r="AA32" i="47"/>
  <c r="Z32" i="47"/>
  <c r="L32" i="47" s="1"/>
  <c r="AA31" i="47"/>
  <c r="Z31" i="47"/>
  <c r="L31" i="47" s="1"/>
  <c r="AA30" i="47"/>
  <c r="Z30" i="47"/>
  <c r="AA22" i="47"/>
  <c r="Z22" i="47"/>
  <c r="AE2" i="47" s="1"/>
  <c r="AA15" i="47"/>
  <c r="Z15" i="47"/>
  <c r="AD2" i="47" s="1"/>
  <c r="B14" i="47"/>
  <c r="AA74" i="46"/>
  <c r="Z74" i="46"/>
  <c r="L74" i="46" s="1"/>
  <c r="AA73" i="46"/>
  <c r="Z73" i="46"/>
  <c r="L73" i="46" s="1"/>
  <c r="AA72" i="46"/>
  <c r="Z72" i="46"/>
  <c r="L72" i="46" s="1"/>
  <c r="AA71" i="46"/>
  <c r="Z71" i="46"/>
  <c r="L71" i="46" s="1"/>
  <c r="AA70" i="46"/>
  <c r="Z70" i="46"/>
  <c r="L70" i="46" s="1"/>
  <c r="AA69" i="46"/>
  <c r="Z69" i="46"/>
  <c r="L69" i="46" s="1"/>
  <c r="AA68" i="46"/>
  <c r="Z68" i="46"/>
  <c r="L68" i="46" s="1"/>
  <c r="AA67" i="46"/>
  <c r="Z67" i="46"/>
  <c r="L67" i="46" s="1"/>
  <c r="AA66" i="46"/>
  <c r="Z66" i="46"/>
  <c r="L66" i="46" s="1"/>
  <c r="AA65" i="46"/>
  <c r="Z65" i="46"/>
  <c r="L65" i="46" s="1"/>
  <c r="AA64" i="46"/>
  <c r="Z64" i="46"/>
  <c r="L64" i="46" s="1"/>
  <c r="AA63" i="46"/>
  <c r="Z63" i="46"/>
  <c r="L63" i="46" s="1"/>
  <c r="AA62" i="46"/>
  <c r="Z62" i="46"/>
  <c r="L62" i="46" s="1"/>
  <c r="AA61" i="46"/>
  <c r="Z61" i="46"/>
  <c r="L61" i="46" s="1"/>
  <c r="AA60" i="46"/>
  <c r="Z60" i="46"/>
  <c r="L60" i="46" s="1"/>
  <c r="AA59" i="46"/>
  <c r="Z59" i="46"/>
  <c r="L59" i="46" s="1"/>
  <c r="AA58" i="46"/>
  <c r="Z58" i="46"/>
  <c r="L58" i="46" s="1"/>
  <c r="AA57" i="46"/>
  <c r="Z57" i="46"/>
  <c r="L57" i="46" s="1"/>
  <c r="AA56" i="46"/>
  <c r="Z56" i="46"/>
  <c r="L56" i="46" s="1"/>
  <c r="AA55" i="46"/>
  <c r="Z55" i="46"/>
  <c r="L55" i="46" s="1"/>
  <c r="AA54" i="46"/>
  <c r="Z54" i="46"/>
  <c r="L54" i="46" s="1"/>
  <c r="AA53" i="46"/>
  <c r="Z53" i="46"/>
  <c r="L53" i="46" s="1"/>
  <c r="AA52" i="46"/>
  <c r="Z52" i="46"/>
  <c r="L52" i="46" s="1"/>
  <c r="AA51" i="46"/>
  <c r="Z51" i="46"/>
  <c r="L51" i="46" s="1"/>
  <c r="AA50" i="46"/>
  <c r="Z50" i="46"/>
  <c r="L50" i="46" s="1"/>
  <c r="AA49" i="46"/>
  <c r="Z49" i="46"/>
  <c r="L49" i="46" s="1"/>
  <c r="AA48" i="46"/>
  <c r="Z48" i="46"/>
  <c r="L48" i="46" s="1"/>
  <c r="AA47" i="46"/>
  <c r="Z47" i="46"/>
  <c r="L47" i="46" s="1"/>
  <c r="AA46" i="46"/>
  <c r="Z46" i="46"/>
  <c r="L46" i="46" s="1"/>
  <c r="AA45" i="46"/>
  <c r="Z45" i="46"/>
  <c r="L45" i="46" s="1"/>
  <c r="AA44" i="46"/>
  <c r="Z44" i="46"/>
  <c r="L44" i="46" s="1"/>
  <c r="AA43" i="46"/>
  <c r="Z43" i="46"/>
  <c r="L43" i="46" s="1"/>
  <c r="AA42" i="46"/>
  <c r="Z42" i="46"/>
  <c r="L42" i="46" s="1"/>
  <c r="AA41" i="46"/>
  <c r="Z41" i="46"/>
  <c r="L41" i="46" s="1"/>
  <c r="AA40" i="46"/>
  <c r="Z40" i="46"/>
  <c r="L40" i="46" s="1"/>
  <c r="AA39" i="46"/>
  <c r="Z39" i="46"/>
  <c r="L39" i="46" s="1"/>
  <c r="AA38" i="46"/>
  <c r="Z38" i="46"/>
  <c r="L38" i="46" s="1"/>
  <c r="AA37" i="46"/>
  <c r="Z37" i="46"/>
  <c r="L37" i="46" s="1"/>
  <c r="AA36" i="46"/>
  <c r="Z36" i="46"/>
  <c r="AA35" i="46"/>
  <c r="Z35" i="46"/>
  <c r="AA34" i="46"/>
  <c r="Z34" i="46"/>
  <c r="L34" i="46" s="1"/>
  <c r="AA33" i="46"/>
  <c r="Z33" i="46"/>
  <c r="L33" i="46" s="1"/>
  <c r="AA32" i="46"/>
  <c r="Z32" i="46"/>
  <c r="L32" i="46" s="1"/>
  <c r="AA31" i="46"/>
  <c r="Z31" i="46"/>
  <c r="L31" i="46" s="1"/>
  <c r="AA30" i="46"/>
  <c r="Z30" i="46"/>
  <c r="AA22" i="46"/>
  <c r="Z22" i="46"/>
  <c r="AE2" i="46" s="1"/>
  <c r="AA15" i="46"/>
  <c r="Z15" i="46"/>
  <c r="AD2" i="46" s="1"/>
  <c r="B14" i="46"/>
  <c r="AA74" i="45"/>
  <c r="Z74" i="45"/>
  <c r="L74" i="45" s="1"/>
  <c r="AA73" i="45"/>
  <c r="Z73" i="45"/>
  <c r="L73" i="45" s="1"/>
  <c r="AA72" i="45"/>
  <c r="Z72" i="45"/>
  <c r="L72" i="45" s="1"/>
  <c r="AA71" i="45"/>
  <c r="Z71" i="45"/>
  <c r="L71" i="45" s="1"/>
  <c r="AA70" i="45"/>
  <c r="Z70" i="45"/>
  <c r="L70" i="45" s="1"/>
  <c r="AA69" i="45"/>
  <c r="Z69" i="45"/>
  <c r="L69" i="45" s="1"/>
  <c r="AA68" i="45"/>
  <c r="Z68" i="45"/>
  <c r="L68" i="45" s="1"/>
  <c r="AA67" i="45"/>
  <c r="Z67" i="45"/>
  <c r="L67" i="45" s="1"/>
  <c r="AA66" i="45"/>
  <c r="Z66" i="45"/>
  <c r="L66" i="45" s="1"/>
  <c r="AA65" i="45"/>
  <c r="Z65" i="45"/>
  <c r="L65" i="45" s="1"/>
  <c r="AA64" i="45"/>
  <c r="Z64" i="45"/>
  <c r="L64" i="45" s="1"/>
  <c r="AA63" i="45"/>
  <c r="Z63" i="45"/>
  <c r="L63" i="45" s="1"/>
  <c r="AA62" i="45"/>
  <c r="Z62" i="45"/>
  <c r="L62" i="45" s="1"/>
  <c r="AA61" i="45"/>
  <c r="Z61" i="45"/>
  <c r="L61" i="45" s="1"/>
  <c r="AA60" i="45"/>
  <c r="Z60" i="45"/>
  <c r="L60" i="45" s="1"/>
  <c r="AA59" i="45"/>
  <c r="Z59" i="45"/>
  <c r="L59" i="45" s="1"/>
  <c r="AA58" i="45"/>
  <c r="Z58" i="45"/>
  <c r="L58" i="45" s="1"/>
  <c r="AA57" i="45"/>
  <c r="Z57" i="45"/>
  <c r="L57" i="45" s="1"/>
  <c r="AA56" i="45"/>
  <c r="Z56" i="45"/>
  <c r="L56" i="45" s="1"/>
  <c r="AA55" i="45"/>
  <c r="Z55" i="45"/>
  <c r="L55" i="45" s="1"/>
  <c r="AA54" i="45"/>
  <c r="Z54" i="45"/>
  <c r="L54" i="45" s="1"/>
  <c r="AA53" i="45"/>
  <c r="Z53" i="45"/>
  <c r="L53" i="45" s="1"/>
  <c r="AA52" i="45"/>
  <c r="Z52" i="45"/>
  <c r="L52" i="45" s="1"/>
  <c r="AA51" i="45"/>
  <c r="Z51" i="45"/>
  <c r="L51" i="45" s="1"/>
  <c r="AA50" i="45"/>
  <c r="Z50" i="45"/>
  <c r="L50" i="45" s="1"/>
  <c r="AA49" i="45"/>
  <c r="Z49" i="45"/>
  <c r="L49" i="45" s="1"/>
  <c r="AA48" i="45"/>
  <c r="Z48" i="45"/>
  <c r="L48" i="45" s="1"/>
  <c r="AA47" i="45"/>
  <c r="Z47" i="45"/>
  <c r="L47" i="45" s="1"/>
  <c r="AA46" i="45"/>
  <c r="Z46" i="45"/>
  <c r="L46" i="45" s="1"/>
  <c r="AA45" i="45"/>
  <c r="Z45" i="45"/>
  <c r="AA44" i="45"/>
  <c r="Z44" i="45"/>
  <c r="AA43" i="45"/>
  <c r="Z43" i="45"/>
  <c r="AA42" i="45"/>
  <c r="Z42" i="45"/>
  <c r="L42" i="45" s="1"/>
  <c r="AA41" i="45"/>
  <c r="Z41" i="45"/>
  <c r="L41" i="45" s="1"/>
  <c r="AA40" i="45"/>
  <c r="Z40" i="45"/>
  <c r="L40" i="45" s="1"/>
  <c r="AA39" i="45"/>
  <c r="Z39" i="45"/>
  <c r="L39" i="45" s="1"/>
  <c r="AA38" i="45"/>
  <c r="Z38" i="45"/>
  <c r="L38" i="45" s="1"/>
  <c r="AA37" i="45"/>
  <c r="Z37" i="45"/>
  <c r="L37" i="45" s="1"/>
  <c r="AA36" i="45"/>
  <c r="Z36" i="45"/>
  <c r="L36" i="45" s="1"/>
  <c r="AA35" i="45"/>
  <c r="Z35" i="45"/>
  <c r="L35" i="45" s="1"/>
  <c r="AA34" i="45"/>
  <c r="Z34" i="45"/>
  <c r="L34" i="45" s="1"/>
  <c r="AA33" i="45"/>
  <c r="Z33" i="45"/>
  <c r="L33" i="45" s="1"/>
  <c r="AA32" i="45"/>
  <c r="Z32" i="45"/>
  <c r="L32" i="45" s="1"/>
  <c r="AA31" i="45"/>
  <c r="Z31" i="45"/>
  <c r="L31" i="45" s="1"/>
  <c r="AA30" i="45"/>
  <c r="Z30" i="45"/>
  <c r="AA22" i="45"/>
  <c r="Z22" i="45"/>
  <c r="AE2" i="45" s="1"/>
  <c r="AA15" i="45"/>
  <c r="Z15" i="45"/>
  <c r="AD2" i="45" s="1"/>
  <c r="B14" i="45"/>
  <c r="AA74" i="44"/>
  <c r="Z74" i="44"/>
  <c r="L74" i="44" s="1"/>
  <c r="AA73" i="44"/>
  <c r="Z73" i="44"/>
  <c r="L73" i="44" s="1"/>
  <c r="AA72" i="44"/>
  <c r="Z72" i="44"/>
  <c r="L72" i="44" s="1"/>
  <c r="AA71" i="44"/>
  <c r="Z71" i="44"/>
  <c r="L71" i="44" s="1"/>
  <c r="AA70" i="44"/>
  <c r="Z70" i="44"/>
  <c r="L70" i="44" s="1"/>
  <c r="AA69" i="44"/>
  <c r="Z69" i="44"/>
  <c r="L69" i="44" s="1"/>
  <c r="AA68" i="44"/>
  <c r="Z68" i="44"/>
  <c r="L68" i="44" s="1"/>
  <c r="AA67" i="44"/>
  <c r="Z67" i="44"/>
  <c r="L67" i="44" s="1"/>
  <c r="AA66" i="44"/>
  <c r="Z66" i="44"/>
  <c r="L66" i="44" s="1"/>
  <c r="AA65" i="44"/>
  <c r="Z65" i="44"/>
  <c r="L65" i="44" s="1"/>
  <c r="AA64" i="44"/>
  <c r="Z64" i="44"/>
  <c r="L64" i="44" s="1"/>
  <c r="AA63" i="44"/>
  <c r="Z63" i="44"/>
  <c r="L63" i="44" s="1"/>
  <c r="AA62" i="44"/>
  <c r="Z62" i="44"/>
  <c r="L62" i="44" s="1"/>
  <c r="AA61" i="44"/>
  <c r="Z61" i="44"/>
  <c r="L61" i="44" s="1"/>
  <c r="AA60" i="44"/>
  <c r="Z60" i="44"/>
  <c r="L60" i="44" s="1"/>
  <c r="AA59" i="44"/>
  <c r="Z59" i="44"/>
  <c r="L59" i="44" s="1"/>
  <c r="AA58" i="44"/>
  <c r="Z58" i="44"/>
  <c r="L58" i="44" s="1"/>
  <c r="AA57" i="44"/>
  <c r="Z57" i="44"/>
  <c r="L57" i="44" s="1"/>
  <c r="AA56" i="44"/>
  <c r="Z56" i="44"/>
  <c r="L56" i="44" s="1"/>
  <c r="AA55" i="44"/>
  <c r="Z55" i="44"/>
  <c r="L55" i="44" s="1"/>
  <c r="AA54" i="44"/>
  <c r="Z54" i="44"/>
  <c r="L54" i="44" s="1"/>
  <c r="AA53" i="44"/>
  <c r="Z53" i="44"/>
  <c r="L53" i="44" s="1"/>
  <c r="AA52" i="44"/>
  <c r="Z52" i="44"/>
  <c r="L52" i="44" s="1"/>
  <c r="AA51" i="44"/>
  <c r="Z51" i="44"/>
  <c r="L51" i="44" s="1"/>
  <c r="AA50" i="44"/>
  <c r="Z50" i="44"/>
  <c r="L50" i="44" s="1"/>
  <c r="AA49" i="44"/>
  <c r="Z49" i="44"/>
  <c r="L49" i="44" s="1"/>
  <c r="AA48" i="44"/>
  <c r="Z48" i="44"/>
  <c r="L48" i="44" s="1"/>
  <c r="AA47" i="44"/>
  <c r="Z47" i="44"/>
  <c r="L47" i="44" s="1"/>
  <c r="AA46" i="44"/>
  <c r="Z46" i="44"/>
  <c r="L46" i="44" s="1"/>
  <c r="AA45" i="44"/>
  <c r="Z45" i="44"/>
  <c r="L45" i="44" s="1"/>
  <c r="AA44" i="44"/>
  <c r="Z44" i="44"/>
  <c r="L44" i="44" s="1"/>
  <c r="AA43" i="44"/>
  <c r="Z43" i="44"/>
  <c r="L43" i="44" s="1"/>
  <c r="AA42" i="44"/>
  <c r="Z42" i="44"/>
  <c r="L42" i="44" s="1"/>
  <c r="AA41" i="44"/>
  <c r="Z41" i="44"/>
  <c r="L41" i="44" s="1"/>
  <c r="AA40" i="44"/>
  <c r="Z40" i="44"/>
  <c r="L40" i="44" s="1"/>
  <c r="AA39" i="44"/>
  <c r="Z39" i="44"/>
  <c r="L39" i="44" s="1"/>
  <c r="AA38" i="44"/>
  <c r="Z38" i="44"/>
  <c r="AA37" i="44"/>
  <c r="Z37" i="44"/>
  <c r="AA36" i="44"/>
  <c r="Z36" i="44"/>
  <c r="L36" i="44" s="1"/>
  <c r="AA35" i="44"/>
  <c r="Z35" i="44"/>
  <c r="L35" i="44" s="1"/>
  <c r="AA34" i="44"/>
  <c r="Z34" i="44"/>
  <c r="L34" i="44" s="1"/>
  <c r="AA33" i="44"/>
  <c r="Z33" i="44"/>
  <c r="L33" i="44" s="1"/>
  <c r="AA32" i="44"/>
  <c r="Z32" i="44"/>
  <c r="L32" i="44" s="1"/>
  <c r="AA31" i="44"/>
  <c r="Z31" i="44"/>
  <c r="L31" i="44" s="1"/>
  <c r="AA30" i="44"/>
  <c r="Z30" i="44"/>
  <c r="AA22" i="44"/>
  <c r="Z22" i="44"/>
  <c r="AE2" i="44" s="1"/>
  <c r="AA15" i="44"/>
  <c r="Z15" i="44"/>
  <c r="AD2" i="44" s="1"/>
  <c r="B14" i="44"/>
  <c r="AA74" i="43"/>
  <c r="Z74" i="43"/>
  <c r="L74" i="43" s="1"/>
  <c r="AA73" i="43"/>
  <c r="Z73" i="43"/>
  <c r="L73" i="43" s="1"/>
  <c r="AA72" i="43"/>
  <c r="Z72" i="43"/>
  <c r="L72" i="43" s="1"/>
  <c r="AA71" i="43"/>
  <c r="Z71" i="43"/>
  <c r="L71" i="43" s="1"/>
  <c r="AA70" i="43"/>
  <c r="Z70" i="43"/>
  <c r="L70" i="43" s="1"/>
  <c r="AA69" i="43"/>
  <c r="Z69" i="43"/>
  <c r="L69" i="43" s="1"/>
  <c r="AA68" i="43"/>
  <c r="Z68" i="43"/>
  <c r="L68" i="43" s="1"/>
  <c r="AA67" i="43"/>
  <c r="Z67" i="43"/>
  <c r="L67" i="43" s="1"/>
  <c r="AA66" i="43"/>
  <c r="Z66" i="43"/>
  <c r="L66" i="43" s="1"/>
  <c r="AA65" i="43"/>
  <c r="Z65" i="43"/>
  <c r="L65" i="43" s="1"/>
  <c r="AA64" i="43"/>
  <c r="Z64" i="43"/>
  <c r="L64" i="43" s="1"/>
  <c r="AA63" i="43"/>
  <c r="Z63" i="43"/>
  <c r="L63" i="43" s="1"/>
  <c r="AA62" i="43"/>
  <c r="Z62" i="43"/>
  <c r="L62" i="43" s="1"/>
  <c r="AA61" i="43"/>
  <c r="Z61" i="43"/>
  <c r="L61" i="43" s="1"/>
  <c r="AA60" i="43"/>
  <c r="Z60" i="43"/>
  <c r="L60" i="43" s="1"/>
  <c r="AA59" i="43"/>
  <c r="Z59" i="43"/>
  <c r="L59" i="43" s="1"/>
  <c r="AA58" i="43"/>
  <c r="Z58" i="43"/>
  <c r="L58" i="43" s="1"/>
  <c r="AA57" i="43"/>
  <c r="Z57" i="43"/>
  <c r="L57" i="43" s="1"/>
  <c r="AA56" i="43"/>
  <c r="Z56" i="43"/>
  <c r="L56" i="43" s="1"/>
  <c r="AA55" i="43"/>
  <c r="Z55" i="43"/>
  <c r="L55" i="43" s="1"/>
  <c r="AA54" i="43"/>
  <c r="Z54" i="43"/>
  <c r="L54" i="43" s="1"/>
  <c r="AA53" i="43"/>
  <c r="Z53" i="43"/>
  <c r="L53" i="43" s="1"/>
  <c r="AA52" i="43"/>
  <c r="Z52" i="43"/>
  <c r="L52" i="43" s="1"/>
  <c r="AA51" i="43"/>
  <c r="Z51" i="43"/>
  <c r="L51" i="43" s="1"/>
  <c r="AA50" i="43"/>
  <c r="Z50" i="43"/>
  <c r="L50" i="43" s="1"/>
  <c r="AA49" i="43"/>
  <c r="Z49" i="43"/>
  <c r="L49" i="43" s="1"/>
  <c r="AA48" i="43"/>
  <c r="Z48" i="43"/>
  <c r="L48" i="43" s="1"/>
  <c r="AA47" i="43"/>
  <c r="Z47" i="43"/>
  <c r="L47" i="43" s="1"/>
  <c r="AA46" i="43"/>
  <c r="Z46" i="43"/>
  <c r="L46" i="43" s="1"/>
  <c r="AA45" i="43"/>
  <c r="Z45" i="43"/>
  <c r="L45" i="43" s="1"/>
  <c r="AA44" i="43"/>
  <c r="Z44" i="43"/>
  <c r="L44" i="43" s="1"/>
  <c r="AA43" i="43"/>
  <c r="Z43" i="43"/>
  <c r="L43" i="43" s="1"/>
  <c r="AA42" i="43"/>
  <c r="Z42" i="43"/>
  <c r="L42" i="43" s="1"/>
  <c r="AA41" i="43"/>
  <c r="Z41" i="43"/>
  <c r="L41" i="43" s="1"/>
  <c r="AA40" i="43"/>
  <c r="Z40" i="43"/>
  <c r="L40" i="43" s="1"/>
  <c r="AA39" i="43"/>
  <c r="Z39" i="43"/>
  <c r="L39" i="43" s="1"/>
  <c r="AA38" i="43"/>
  <c r="Z38" i="43"/>
  <c r="AA37" i="43"/>
  <c r="Z37" i="43"/>
  <c r="AA36" i="43"/>
  <c r="Z36" i="43"/>
  <c r="AA35" i="43"/>
  <c r="Z35" i="43"/>
  <c r="L35" i="43" s="1"/>
  <c r="AA34" i="43"/>
  <c r="Z34" i="43"/>
  <c r="L34" i="43" s="1"/>
  <c r="AA33" i="43"/>
  <c r="Z33" i="43"/>
  <c r="L33" i="43" s="1"/>
  <c r="AA32" i="43"/>
  <c r="Z32" i="43"/>
  <c r="L32" i="43" s="1"/>
  <c r="AA31" i="43"/>
  <c r="Z31" i="43"/>
  <c r="L31" i="43" s="1"/>
  <c r="AA30" i="43"/>
  <c r="Z30" i="43"/>
  <c r="AA22" i="43"/>
  <c r="Z22" i="43"/>
  <c r="AE2" i="43" s="1"/>
  <c r="AA15" i="43"/>
  <c r="Z15" i="43"/>
  <c r="AD2" i="43" s="1"/>
  <c r="B14" i="43"/>
  <c r="AA74" i="42"/>
  <c r="Z74" i="42"/>
  <c r="L74" i="42" s="1"/>
  <c r="AA73" i="42"/>
  <c r="Z73" i="42"/>
  <c r="L73" i="42" s="1"/>
  <c r="AA72" i="42"/>
  <c r="Z72" i="42"/>
  <c r="L72" i="42" s="1"/>
  <c r="AA71" i="42"/>
  <c r="Z71" i="42"/>
  <c r="L71" i="42" s="1"/>
  <c r="AA70" i="42"/>
  <c r="Z70" i="42"/>
  <c r="L70" i="42" s="1"/>
  <c r="AA69" i="42"/>
  <c r="Z69" i="42"/>
  <c r="L69" i="42" s="1"/>
  <c r="AA68" i="42"/>
  <c r="Z68" i="42"/>
  <c r="L68" i="42" s="1"/>
  <c r="AA67" i="42"/>
  <c r="Z67" i="42"/>
  <c r="L67" i="42" s="1"/>
  <c r="AA66" i="42"/>
  <c r="Z66" i="42"/>
  <c r="L66" i="42" s="1"/>
  <c r="AA65" i="42"/>
  <c r="Z65" i="42"/>
  <c r="L65" i="42" s="1"/>
  <c r="AA64" i="42"/>
  <c r="Z64" i="42"/>
  <c r="L64" i="42" s="1"/>
  <c r="AA63" i="42"/>
  <c r="Z63" i="42"/>
  <c r="L63" i="42" s="1"/>
  <c r="AA62" i="42"/>
  <c r="Z62" i="42"/>
  <c r="L62" i="42" s="1"/>
  <c r="AA61" i="42"/>
  <c r="Z61" i="42"/>
  <c r="L61" i="42" s="1"/>
  <c r="AA60" i="42"/>
  <c r="Z60" i="42"/>
  <c r="L60" i="42" s="1"/>
  <c r="AA59" i="42"/>
  <c r="Z59" i="42"/>
  <c r="L59" i="42" s="1"/>
  <c r="AA58" i="42"/>
  <c r="Z58" i="42"/>
  <c r="L58" i="42" s="1"/>
  <c r="AA57" i="42"/>
  <c r="Z57" i="42"/>
  <c r="L57" i="42" s="1"/>
  <c r="AA56" i="42"/>
  <c r="Z56" i="42"/>
  <c r="L56" i="42" s="1"/>
  <c r="AA55" i="42"/>
  <c r="Z55" i="42"/>
  <c r="L55" i="42" s="1"/>
  <c r="AA54" i="42"/>
  <c r="Z54" i="42"/>
  <c r="L54" i="42" s="1"/>
  <c r="AA53" i="42"/>
  <c r="Z53" i="42"/>
  <c r="L53" i="42" s="1"/>
  <c r="AA52" i="42"/>
  <c r="Z52" i="42"/>
  <c r="L52" i="42" s="1"/>
  <c r="AA51" i="42"/>
  <c r="Z51" i="42"/>
  <c r="L51" i="42" s="1"/>
  <c r="AA50" i="42"/>
  <c r="Z50" i="42"/>
  <c r="L50" i="42" s="1"/>
  <c r="AA49" i="42"/>
  <c r="Z49" i="42"/>
  <c r="L49" i="42" s="1"/>
  <c r="AA48" i="42"/>
  <c r="Z48" i="42"/>
  <c r="L48" i="42" s="1"/>
  <c r="AA47" i="42"/>
  <c r="Z47" i="42"/>
  <c r="L47" i="42" s="1"/>
  <c r="AA46" i="42"/>
  <c r="Z46" i="42"/>
  <c r="L46" i="42" s="1"/>
  <c r="AA45" i="42"/>
  <c r="Z45" i="42"/>
  <c r="L45" i="42" s="1"/>
  <c r="AA44" i="42"/>
  <c r="Z44" i="42"/>
  <c r="L44" i="42" s="1"/>
  <c r="AA43" i="42"/>
  <c r="Z43" i="42"/>
  <c r="L43" i="42" s="1"/>
  <c r="AA42" i="42"/>
  <c r="Z42" i="42"/>
  <c r="L42" i="42" s="1"/>
  <c r="AA41" i="42"/>
  <c r="Z41" i="42"/>
  <c r="L41" i="42" s="1"/>
  <c r="AA40" i="42"/>
  <c r="Z40" i="42"/>
  <c r="L40" i="42" s="1"/>
  <c r="AA39" i="42"/>
  <c r="Z39" i="42"/>
  <c r="L39" i="42" s="1"/>
  <c r="AA38" i="42"/>
  <c r="Z38" i="42"/>
  <c r="L38" i="42" s="1"/>
  <c r="AA37" i="42"/>
  <c r="Z37" i="42"/>
  <c r="L37" i="42" s="1"/>
  <c r="AA36" i="42"/>
  <c r="Z36" i="42"/>
  <c r="L36" i="42" s="1"/>
  <c r="AA35" i="42"/>
  <c r="Z35" i="42"/>
  <c r="AA34" i="42"/>
  <c r="Z34" i="42"/>
  <c r="AA33" i="42"/>
  <c r="Z33" i="42"/>
  <c r="AA32" i="42"/>
  <c r="Z32" i="42"/>
  <c r="L32" i="42" s="1"/>
  <c r="AA31" i="42"/>
  <c r="Z31" i="42"/>
  <c r="L31" i="42" s="1"/>
  <c r="AA30" i="42"/>
  <c r="Z30" i="42"/>
  <c r="AA22" i="42"/>
  <c r="Z22" i="42"/>
  <c r="AE2" i="42" s="1"/>
  <c r="AA15" i="42"/>
  <c r="Z15" i="42"/>
  <c r="AD2" i="42" s="1"/>
  <c r="B14" i="42"/>
  <c r="AD22" i="41"/>
  <c r="AC22" i="41"/>
  <c r="AH2" i="41" s="1"/>
  <c r="AD15" i="41"/>
  <c r="AC15" i="41"/>
  <c r="AG2" i="41" s="1"/>
  <c r="B14" i="41"/>
  <c r="AF2" i="41"/>
  <c r="AD22" i="40"/>
  <c r="AC22" i="40"/>
  <c r="AH2" i="40" s="1"/>
  <c r="AD15" i="40"/>
  <c r="AC15" i="40"/>
  <c r="AG2" i="40" s="1"/>
  <c r="B14" i="40"/>
  <c r="AF2" i="40"/>
  <c r="AD74" i="38"/>
  <c r="AD73" i="38"/>
  <c r="AD72" i="38"/>
  <c r="AD71" i="38"/>
  <c r="AD70" i="38"/>
  <c r="AD69" i="38"/>
  <c r="AD68" i="38"/>
  <c r="AD67" i="38"/>
  <c r="AD66" i="38"/>
  <c r="AD65" i="38"/>
  <c r="AD64" i="38"/>
  <c r="AD63" i="38"/>
  <c r="AD62" i="38"/>
  <c r="AD61" i="38"/>
  <c r="AD60" i="38"/>
  <c r="AD59" i="38"/>
  <c r="AD58" i="38"/>
  <c r="AD57" i="38"/>
  <c r="AD56" i="38"/>
  <c r="AD55" i="38"/>
  <c r="AD54" i="38"/>
  <c r="AD53" i="38"/>
  <c r="AD52" i="38"/>
  <c r="AD51" i="38"/>
  <c r="AD50" i="38"/>
  <c r="AD49" i="38"/>
  <c r="AD48" i="38"/>
  <c r="AD47" i="38"/>
  <c r="AD46" i="38"/>
  <c r="AD45" i="38"/>
  <c r="AD44" i="38"/>
  <c r="AD43" i="38"/>
  <c r="AD42" i="38"/>
  <c r="AD41" i="38"/>
  <c r="AD40" i="38"/>
  <c r="AD39" i="38"/>
  <c r="AD38" i="38"/>
  <c r="AD37" i="38"/>
  <c r="AD36" i="38"/>
  <c r="AD35" i="38"/>
  <c r="AD34" i="38"/>
  <c r="AD33" i="38"/>
  <c r="AD32" i="38"/>
  <c r="AD31" i="38"/>
  <c r="O31" i="38"/>
  <c r="AD30" i="38"/>
  <c r="O30" i="38"/>
  <c r="AD22" i="38"/>
  <c r="AC22" i="38"/>
  <c r="AH2" i="38" s="1"/>
  <c r="AD15" i="38"/>
  <c r="AC15" i="38"/>
  <c r="AG2" i="38" s="1"/>
  <c r="B14" i="38"/>
  <c r="AF2" i="38"/>
  <c r="AD22" i="37"/>
  <c r="AC22" i="37"/>
  <c r="AH2" i="37" s="1"/>
  <c r="AD15" i="37"/>
  <c r="AC15" i="37"/>
  <c r="AG2" i="37" s="1"/>
  <c r="B14" i="37"/>
  <c r="AF2" i="37"/>
  <c r="AD22" i="36"/>
  <c r="AC22" i="36"/>
  <c r="AH2" i="36" s="1"/>
  <c r="AD15" i="36"/>
  <c r="AC15" i="36"/>
  <c r="AG2" i="36" s="1"/>
  <c r="B14" i="36"/>
  <c r="AF2" i="36"/>
  <c r="E45" i="25"/>
  <c r="E47" i="25" s="1"/>
  <c r="AE22" i="5"/>
  <c r="AB49" i="62" l="1"/>
  <c r="AB47" i="62"/>
  <c r="AC48" i="62" s="1"/>
  <c r="AC31" i="62"/>
  <c r="AC29" i="62"/>
  <c r="AD30" i="62" s="1"/>
  <c r="AB37" i="62"/>
  <c r="AB35" i="62"/>
  <c r="AC36" i="62" s="1"/>
  <c r="AB61" i="62"/>
  <c r="AB59" i="62"/>
  <c r="AC60" i="62" s="1"/>
  <c r="AB56" i="62"/>
  <c r="AC57" i="62" s="1"/>
  <c r="AB58" i="62"/>
  <c r="AB40" i="62"/>
  <c r="AB38" i="62"/>
  <c r="AC39" i="62" s="1"/>
  <c r="AB43" i="62"/>
  <c r="AB41" i="62"/>
  <c r="AC42" i="62" s="1"/>
  <c r="AB34" i="62"/>
  <c r="AB32" i="62"/>
  <c r="AC33" i="62" s="1"/>
  <c r="AB55" i="62"/>
  <c r="AB53" i="62"/>
  <c r="AC54" i="62" s="1"/>
  <c r="AB28" i="62"/>
  <c r="AB26" i="62"/>
  <c r="AC27" i="62" s="1"/>
  <c r="AB52" i="62"/>
  <c r="AB50" i="62"/>
  <c r="AC51" i="62" s="1"/>
  <c r="AB46" i="62"/>
  <c r="AB44" i="62"/>
  <c r="AC45" i="62" s="1"/>
  <c r="AL25" i="62"/>
  <c r="AL23" i="62"/>
  <c r="AM24" i="62" s="1"/>
  <c r="L33" i="42"/>
  <c r="L36" i="46"/>
  <c r="Z26" i="47"/>
  <c r="AF2" i="47" s="1"/>
  <c r="L30" i="47"/>
  <c r="AA26" i="47"/>
  <c r="Z26" i="46"/>
  <c r="AF2" i="46" s="1"/>
  <c r="L30" i="46"/>
  <c r="AA26" i="46"/>
  <c r="AA26" i="45"/>
  <c r="Z26" i="45"/>
  <c r="AF2" i="45" s="1"/>
  <c r="L30" i="45"/>
  <c r="L35" i="42"/>
  <c r="Z26" i="44"/>
  <c r="AF2" i="44" s="1"/>
  <c r="L30" i="44"/>
  <c r="AA26" i="44"/>
  <c r="L35" i="46"/>
  <c r="L36" i="47"/>
  <c r="L36" i="43"/>
  <c r="L43" i="45"/>
  <c r="L33" i="48"/>
  <c r="L30" i="42"/>
  <c r="AA26" i="42"/>
  <c r="Z26" i="42"/>
  <c r="AF2" i="42" s="1"/>
  <c r="L37" i="44"/>
  <c r="L34" i="42"/>
  <c r="L37" i="43"/>
  <c r="L44" i="45"/>
  <c r="L34" i="48"/>
  <c r="L30" i="48"/>
  <c r="AA26" i="48"/>
  <c r="Z26" i="48"/>
  <c r="AF2" i="48" s="1"/>
  <c r="L38" i="44"/>
  <c r="L30" i="43"/>
  <c r="AA26" i="43"/>
  <c r="Z26" i="43"/>
  <c r="AF2" i="43" s="1"/>
  <c r="L38" i="43"/>
  <c r="L45" i="45"/>
  <c r="L34" i="47"/>
  <c r="L35" i="48"/>
  <c r="GJ18" i="62"/>
  <c r="GJ21" i="62"/>
  <c r="AR46" i="55"/>
  <c r="AR45" i="55"/>
  <c r="AC87" i="55"/>
  <c r="AO51" i="55"/>
  <c r="AC84" i="55" s="1"/>
  <c r="AC89" i="55" s="1"/>
  <c r="AO53" i="55"/>
  <c r="AO52" i="55"/>
  <c r="AC85" i="55" s="1"/>
  <c r="CI18" i="62"/>
  <c r="O32" i="38"/>
  <c r="Q32" i="38"/>
  <c r="O33" i="38"/>
  <c r="Q33" i="38"/>
  <c r="O34" i="38"/>
  <c r="Q34" i="38"/>
  <c r="O35" i="38"/>
  <c r="Q35" i="38"/>
  <c r="O36" i="38"/>
  <c r="Q36" i="38"/>
  <c r="O37" i="38"/>
  <c r="Q37" i="38"/>
  <c r="O38" i="38"/>
  <c r="Q38" i="38"/>
  <c r="O39" i="38"/>
  <c r="Q39" i="38"/>
  <c r="O40" i="38"/>
  <c r="Q40" i="38"/>
  <c r="O41" i="38"/>
  <c r="Q41" i="38"/>
  <c r="O42" i="38"/>
  <c r="Q42" i="38"/>
  <c r="O43" i="38"/>
  <c r="Q43" i="38"/>
  <c r="O44" i="38"/>
  <c r="Q44" i="38"/>
  <c r="O45" i="38"/>
  <c r="Q45" i="38"/>
  <c r="O46" i="38"/>
  <c r="Q46" i="38"/>
  <c r="O47" i="38"/>
  <c r="Q47" i="38"/>
  <c r="O48" i="38"/>
  <c r="Q48" i="38"/>
  <c r="O49" i="38"/>
  <c r="Q49" i="38"/>
  <c r="O50" i="38"/>
  <c r="Q50" i="38"/>
  <c r="O51" i="38"/>
  <c r="Q51" i="38"/>
  <c r="O52" i="38"/>
  <c r="Q52" i="38"/>
  <c r="O53" i="38"/>
  <c r="Q53" i="38"/>
  <c r="O54" i="38"/>
  <c r="Q54" i="38"/>
  <c r="O55" i="38"/>
  <c r="Q55" i="38"/>
  <c r="O56" i="38"/>
  <c r="Q56" i="38"/>
  <c r="O57" i="38"/>
  <c r="Q57" i="38"/>
  <c r="O58" i="38"/>
  <c r="Q58" i="38"/>
  <c r="O59" i="38"/>
  <c r="Q59" i="38"/>
  <c r="O60" i="38"/>
  <c r="Q60" i="38"/>
  <c r="O61" i="38"/>
  <c r="Q61" i="38"/>
  <c r="O62" i="38"/>
  <c r="Q62" i="38"/>
  <c r="O63" i="38"/>
  <c r="Q63" i="38"/>
  <c r="O64" i="38"/>
  <c r="Q64" i="38"/>
  <c r="O65" i="38"/>
  <c r="Q65" i="38"/>
  <c r="O66" i="38"/>
  <c r="Q66" i="38"/>
  <c r="O67" i="38"/>
  <c r="Q67" i="38"/>
  <c r="O68" i="38"/>
  <c r="Q68" i="38"/>
  <c r="O69" i="38"/>
  <c r="Q69" i="38"/>
  <c r="O70" i="38"/>
  <c r="Q70" i="38"/>
  <c r="O71" i="38"/>
  <c r="Q71" i="38"/>
  <c r="O72" i="38"/>
  <c r="Q72" i="38"/>
  <c r="O73" i="38"/>
  <c r="Q73" i="38"/>
  <c r="O74" i="38"/>
  <c r="Q74" i="38"/>
  <c r="J48" i="25"/>
  <c r="AN61" i="55"/>
  <c r="AU59" i="55" s="1"/>
  <c r="AN58" i="55"/>
  <c r="D48" i="25"/>
  <c r="G48" i="25"/>
  <c r="AE24" i="5"/>
  <c r="AE25" i="5"/>
  <c r="AE19" i="5"/>
  <c r="AE23" i="5"/>
  <c r="AE20" i="5"/>
  <c r="AE21" i="5"/>
  <c r="AD26" i="38"/>
  <c r="AC26" i="40"/>
  <c r="AI2" i="40" s="1"/>
  <c r="AC3" i="40" s="1"/>
  <c r="AD26" i="40"/>
  <c r="AD26" i="36"/>
  <c r="AI2" i="37"/>
  <c r="AC3" i="37" s="1"/>
  <c r="AD26" i="41"/>
  <c r="AC26" i="41"/>
  <c r="AI2" i="41" s="1"/>
  <c r="AC3" i="41" s="1"/>
  <c r="Z3" i="42"/>
  <c r="H3" i="48"/>
  <c r="J3" i="48" s="1"/>
  <c r="H3" i="47"/>
  <c r="J3" i="47" s="1"/>
  <c r="H3" i="46"/>
  <c r="J3" i="46" s="1"/>
  <c r="H3" i="45"/>
  <c r="J3" i="45" s="1"/>
  <c r="H3" i="44"/>
  <c r="J3" i="44" s="1"/>
  <c r="H3" i="43"/>
  <c r="J3" i="43" s="1"/>
  <c r="H3" i="42"/>
  <c r="J3" i="42" s="1"/>
  <c r="H3" i="41"/>
  <c r="J3" i="41" s="1"/>
  <c r="H3" i="40"/>
  <c r="J3" i="40" s="1"/>
  <c r="H3" i="38"/>
  <c r="J3" i="38" s="1"/>
  <c r="AC26" i="38"/>
  <c r="AI2" i="38" s="1"/>
  <c r="AC3" i="38" s="1"/>
  <c r="H3" i="37"/>
  <c r="J3" i="37" s="1"/>
  <c r="AD26" i="37"/>
  <c r="H3" i="36"/>
  <c r="J3" i="36" s="1"/>
  <c r="AC26" i="36"/>
  <c r="AI2" i="36" s="1"/>
  <c r="AC3" i="36" s="1"/>
  <c r="AC55" i="62" l="1"/>
  <c r="AC53" i="62"/>
  <c r="AD54" i="62" s="1"/>
  <c r="AC37" i="62"/>
  <c r="AC35" i="62"/>
  <c r="AD36" i="62" s="1"/>
  <c r="AC52" i="62"/>
  <c r="AC50" i="62"/>
  <c r="AD51" i="62" s="1"/>
  <c r="AC26" i="62"/>
  <c r="AD27" i="62" s="1"/>
  <c r="AC28" i="62"/>
  <c r="AC59" i="62"/>
  <c r="AD60" i="62" s="1"/>
  <c r="AC61" i="62"/>
  <c r="AC34" i="62"/>
  <c r="AC32" i="62"/>
  <c r="AD33" i="62" s="1"/>
  <c r="AD29" i="62"/>
  <c r="AE30" i="62" s="1"/>
  <c r="AD31" i="62"/>
  <c r="AC40" i="62"/>
  <c r="AC38" i="62"/>
  <c r="AD39" i="62" s="1"/>
  <c r="AM25" i="62"/>
  <c r="AM23" i="62"/>
  <c r="AN24" i="62" s="1"/>
  <c r="AC43" i="62"/>
  <c r="AC41" i="62"/>
  <c r="AD42" i="62" s="1"/>
  <c r="AC47" i="62"/>
  <c r="AD48" i="62" s="1"/>
  <c r="AC49" i="62"/>
  <c r="AC46" i="62"/>
  <c r="AC44" i="62"/>
  <c r="AD45" i="62" s="1"/>
  <c r="AC56" i="62"/>
  <c r="AD57" i="62" s="1"/>
  <c r="AC58" i="62"/>
  <c r="AG87" i="55"/>
  <c r="AZ22" i="55"/>
  <c r="AA3" i="42"/>
  <c r="AR52" i="55"/>
  <c r="AC86" i="55"/>
  <c r="AR53" i="55"/>
  <c r="AO60" i="55"/>
  <c r="AG86" i="55" s="1"/>
  <c r="AO59" i="55"/>
  <c r="AG85" i="55" s="1"/>
  <c r="AO58" i="55"/>
  <c r="AG84" i="55" s="1"/>
  <c r="CJ18" i="62"/>
  <c r="T74" i="38"/>
  <c r="R74" i="38"/>
  <c r="S74" i="38"/>
  <c r="T73" i="38"/>
  <c r="S73" i="38"/>
  <c r="R73" i="38"/>
  <c r="T72" i="38"/>
  <c r="S72" i="38"/>
  <c r="R72" i="38"/>
  <c r="T71" i="38"/>
  <c r="S71" i="38"/>
  <c r="R71" i="38"/>
  <c r="T70" i="38"/>
  <c r="R70" i="38"/>
  <c r="S70" i="38"/>
  <c r="T69" i="38"/>
  <c r="S69" i="38"/>
  <c r="R69" i="38"/>
  <c r="T68" i="38"/>
  <c r="S68" i="38"/>
  <c r="R68" i="38"/>
  <c r="T67" i="38"/>
  <c r="S67" i="38"/>
  <c r="R67" i="38"/>
  <c r="T66" i="38"/>
  <c r="R66" i="38"/>
  <c r="S66" i="38"/>
  <c r="T65" i="38"/>
  <c r="S65" i="38"/>
  <c r="R65" i="38"/>
  <c r="T64" i="38"/>
  <c r="S64" i="38"/>
  <c r="R64" i="38"/>
  <c r="T63" i="38"/>
  <c r="S63" i="38"/>
  <c r="R63" i="38"/>
  <c r="T62" i="38"/>
  <c r="R62" i="38"/>
  <c r="S62" i="38"/>
  <c r="T61" i="38"/>
  <c r="S61" i="38"/>
  <c r="R61" i="38"/>
  <c r="T60" i="38"/>
  <c r="S60" i="38"/>
  <c r="R60" i="38"/>
  <c r="T59" i="38"/>
  <c r="S59" i="38"/>
  <c r="R59" i="38"/>
  <c r="T58" i="38"/>
  <c r="R58" i="38"/>
  <c r="S58" i="38"/>
  <c r="T57" i="38"/>
  <c r="S57" i="38"/>
  <c r="R57" i="38"/>
  <c r="T56" i="38"/>
  <c r="S56" i="38"/>
  <c r="R56" i="38"/>
  <c r="T55" i="38"/>
  <c r="S55" i="38"/>
  <c r="R55" i="38"/>
  <c r="T54" i="38"/>
  <c r="R54" i="38"/>
  <c r="S54" i="38"/>
  <c r="T53" i="38"/>
  <c r="S53" i="38"/>
  <c r="R53" i="38"/>
  <c r="T52" i="38"/>
  <c r="S52" i="38"/>
  <c r="R52" i="38"/>
  <c r="T51" i="38"/>
  <c r="S51" i="38"/>
  <c r="R51" i="38"/>
  <c r="T50" i="38"/>
  <c r="R50" i="38"/>
  <c r="S50" i="38"/>
  <c r="T49" i="38"/>
  <c r="S49" i="38"/>
  <c r="R49" i="38"/>
  <c r="T48" i="38"/>
  <c r="R48" i="38"/>
  <c r="S48" i="38"/>
  <c r="T47" i="38"/>
  <c r="S47" i="38"/>
  <c r="R47" i="38"/>
  <c r="T46" i="38"/>
  <c r="R46" i="38"/>
  <c r="S46" i="38"/>
  <c r="T45" i="38"/>
  <c r="S45" i="38"/>
  <c r="R45" i="38"/>
  <c r="T44" i="38"/>
  <c r="R44" i="38"/>
  <c r="S44" i="38"/>
  <c r="T43" i="38"/>
  <c r="S43" i="38"/>
  <c r="R43" i="38"/>
  <c r="T42" i="38"/>
  <c r="R42" i="38"/>
  <c r="S42" i="38"/>
  <c r="T41" i="38"/>
  <c r="S41" i="38"/>
  <c r="R41" i="38"/>
  <c r="T40" i="38"/>
  <c r="R40" i="38"/>
  <c r="S40" i="38"/>
  <c r="T39" i="38"/>
  <c r="S39" i="38"/>
  <c r="R39" i="38"/>
  <c r="T38" i="38"/>
  <c r="R38" i="38"/>
  <c r="S38" i="38"/>
  <c r="T37" i="38"/>
  <c r="S37" i="38"/>
  <c r="R37" i="38"/>
  <c r="T36" i="38"/>
  <c r="R36" i="38"/>
  <c r="S36" i="38"/>
  <c r="T35" i="38"/>
  <c r="S35" i="38"/>
  <c r="R35" i="38"/>
  <c r="T34" i="38"/>
  <c r="R34" i="38"/>
  <c r="S34" i="38"/>
  <c r="T33" i="38"/>
  <c r="S33" i="38"/>
  <c r="R33" i="38"/>
  <c r="R32" i="38"/>
  <c r="R30" i="38"/>
  <c r="R31" i="38"/>
  <c r="T30" i="38"/>
  <c r="S31" i="38"/>
  <c r="T32" i="38"/>
  <c r="S30" i="38"/>
  <c r="T31" i="38"/>
  <c r="S32" i="38"/>
  <c r="AD3" i="41"/>
  <c r="AD3" i="40"/>
  <c r="AD3" i="37"/>
  <c r="AD3" i="38"/>
  <c r="AD3" i="36"/>
  <c r="Z3" i="43"/>
  <c r="Z3" i="44"/>
  <c r="Z3" i="45"/>
  <c r="Z3" i="46"/>
  <c r="Z3" i="47"/>
  <c r="Z3" i="48"/>
  <c r="K24" i="23"/>
  <c r="L24" i="23" s="1"/>
  <c r="K28" i="23"/>
  <c r="L28" i="23" s="1"/>
  <c r="K25" i="23"/>
  <c r="L25" i="23" s="1"/>
  <c r="K30" i="23"/>
  <c r="L30" i="23" s="1"/>
  <c r="K32" i="23"/>
  <c r="L32" i="23" s="1"/>
  <c r="K36" i="23"/>
  <c r="L36" i="23" s="1"/>
  <c r="K39" i="23"/>
  <c r="L39" i="23" s="1"/>
  <c r="K41" i="23"/>
  <c r="L41" i="23" s="1"/>
  <c r="K42" i="23"/>
  <c r="L42" i="23" s="1"/>
  <c r="K26" i="23"/>
  <c r="L26" i="23" s="1"/>
  <c r="K27" i="23"/>
  <c r="L27" i="23" s="1"/>
  <c r="K34" i="23"/>
  <c r="L34" i="23" s="1"/>
  <c r="K35" i="23"/>
  <c r="L35" i="23" s="1"/>
  <c r="K40" i="23"/>
  <c r="L40" i="23" s="1"/>
  <c r="K29" i="23"/>
  <c r="L29" i="23" s="1"/>
  <c r="K31" i="23"/>
  <c r="L31" i="23" s="1"/>
  <c r="K44" i="23"/>
  <c r="L44" i="23" s="1"/>
  <c r="K46" i="23"/>
  <c r="L46" i="23" s="1"/>
  <c r="K48" i="23"/>
  <c r="L48" i="23" s="1"/>
  <c r="K50" i="23"/>
  <c r="L50" i="23" s="1"/>
  <c r="K51" i="23"/>
  <c r="L51" i="23" s="1"/>
  <c r="K53" i="23"/>
  <c r="L53" i="23" s="1"/>
  <c r="K54" i="23"/>
  <c r="L54" i="23" s="1"/>
  <c r="K55" i="23"/>
  <c r="L55" i="23" s="1"/>
  <c r="K57" i="23"/>
  <c r="L57" i="23" s="1"/>
  <c r="K59" i="23"/>
  <c r="L59" i="23" s="1"/>
  <c r="K61" i="23"/>
  <c r="L61" i="23" s="1"/>
  <c r="K64" i="23"/>
  <c r="L64" i="23" s="1"/>
  <c r="K66" i="23"/>
  <c r="L66" i="23" s="1"/>
  <c r="K33" i="23"/>
  <c r="L33" i="23" s="1"/>
  <c r="K38" i="23"/>
  <c r="L38" i="23" s="1"/>
  <c r="K43" i="23"/>
  <c r="L43" i="23" s="1"/>
  <c r="K49" i="23"/>
  <c r="L49" i="23" s="1"/>
  <c r="K56" i="23"/>
  <c r="L56" i="23" s="1"/>
  <c r="K60" i="23"/>
  <c r="L60" i="23" s="1"/>
  <c r="K63" i="23"/>
  <c r="L63" i="23" s="1"/>
  <c r="K47" i="23"/>
  <c r="L47" i="23" s="1"/>
  <c r="K65" i="23"/>
  <c r="L65" i="23" s="1"/>
  <c r="K67" i="23"/>
  <c r="L67" i="23" s="1"/>
  <c r="K70" i="23"/>
  <c r="L70" i="23" s="1"/>
  <c r="K72" i="23"/>
  <c r="L72" i="23" s="1"/>
  <c r="K73" i="23"/>
  <c r="L73" i="23" s="1"/>
  <c r="K75" i="23"/>
  <c r="L75" i="23" s="1"/>
  <c r="K77" i="23"/>
  <c r="L77" i="23" s="1"/>
  <c r="K79" i="23"/>
  <c r="L79" i="23" s="1"/>
  <c r="K80" i="23"/>
  <c r="L80" i="23" s="1"/>
  <c r="K82" i="23"/>
  <c r="L82" i="23" s="1"/>
  <c r="K84" i="23"/>
  <c r="L84" i="23" s="1"/>
  <c r="K86" i="23"/>
  <c r="L86" i="23" s="1"/>
  <c r="K87" i="23"/>
  <c r="L87" i="23" s="1"/>
  <c r="K88" i="23"/>
  <c r="L88" i="23" s="1"/>
  <c r="K89" i="23"/>
  <c r="L89" i="23" s="1"/>
  <c r="K95" i="23"/>
  <c r="L95" i="23" s="1"/>
  <c r="K100" i="23"/>
  <c r="L100" i="23" s="1"/>
  <c r="K108" i="23"/>
  <c r="L108" i="23" s="1"/>
  <c r="K111" i="23"/>
  <c r="L111" i="23" s="1"/>
  <c r="K114" i="23"/>
  <c r="L114" i="23" s="1"/>
  <c r="K116" i="23"/>
  <c r="L116" i="23" s="1"/>
  <c r="K118" i="23"/>
  <c r="L118" i="23" s="1"/>
  <c r="K120" i="23"/>
  <c r="L120" i="23" s="1"/>
  <c r="K122" i="23"/>
  <c r="L122" i="23" s="1"/>
  <c r="K37" i="23"/>
  <c r="L37" i="23" s="1"/>
  <c r="K45" i="23"/>
  <c r="L45" i="23" s="1"/>
  <c r="K52" i="23"/>
  <c r="L52" i="23" s="1"/>
  <c r="K58" i="23"/>
  <c r="L58" i="23" s="1"/>
  <c r="K62" i="23"/>
  <c r="L62" i="23" s="1"/>
  <c r="K68" i="23"/>
  <c r="L68" i="23" s="1"/>
  <c r="K69" i="23"/>
  <c r="L69" i="23" s="1"/>
  <c r="K71" i="23"/>
  <c r="L71" i="23" s="1"/>
  <c r="K74" i="23"/>
  <c r="L74" i="23" s="1"/>
  <c r="K76" i="23"/>
  <c r="L76" i="23" s="1"/>
  <c r="K78" i="23"/>
  <c r="L78" i="23" s="1"/>
  <c r="K81" i="23"/>
  <c r="L81" i="23" s="1"/>
  <c r="K83" i="23"/>
  <c r="L83" i="23" s="1"/>
  <c r="K85" i="23"/>
  <c r="L85" i="23" s="1"/>
  <c r="K90" i="23"/>
  <c r="L90" i="23" s="1"/>
  <c r="K91" i="23"/>
  <c r="L91" i="23" s="1"/>
  <c r="K97" i="23"/>
  <c r="L97" i="23" s="1"/>
  <c r="K98" i="23"/>
  <c r="L98" i="23" s="1"/>
  <c r="K103" i="23"/>
  <c r="L103" i="23" s="1"/>
  <c r="K105" i="23"/>
  <c r="L105" i="23" s="1"/>
  <c r="K106" i="23"/>
  <c r="L106" i="23" s="1"/>
  <c r="K112" i="23"/>
  <c r="L112" i="23" s="1"/>
  <c r="K113" i="23"/>
  <c r="L113" i="23" s="1"/>
  <c r="K115" i="23"/>
  <c r="L115" i="23" s="1"/>
  <c r="K121" i="23"/>
  <c r="L121" i="23" s="1"/>
  <c r="K123" i="23"/>
  <c r="L123" i="23" s="1"/>
  <c r="K125" i="23"/>
  <c r="L125" i="23" s="1"/>
  <c r="K130" i="23"/>
  <c r="L130" i="23" s="1"/>
  <c r="K132" i="23"/>
  <c r="L132" i="23" s="1"/>
  <c r="K134" i="23"/>
  <c r="L134" i="23" s="1"/>
  <c r="K136" i="23"/>
  <c r="L136" i="23" s="1"/>
  <c r="K138" i="23"/>
  <c r="L138" i="23" s="1"/>
  <c r="K140" i="23"/>
  <c r="L140" i="23" s="1"/>
  <c r="K142" i="23"/>
  <c r="L142" i="23" s="1"/>
  <c r="K143" i="23"/>
  <c r="L143" i="23" s="1"/>
  <c r="K144" i="23"/>
  <c r="L144" i="23" s="1"/>
  <c r="K145" i="23"/>
  <c r="L145" i="23" s="1"/>
  <c r="K146" i="23"/>
  <c r="L146" i="23" s="1"/>
  <c r="K147" i="23"/>
  <c r="L147" i="23" s="1"/>
  <c r="K148" i="23"/>
  <c r="L148" i="23" s="1"/>
  <c r="K149" i="23"/>
  <c r="L149" i="23" s="1"/>
  <c r="K150" i="23"/>
  <c r="L150" i="23" s="1"/>
  <c r="K151" i="23"/>
  <c r="L151" i="23" s="1"/>
  <c r="K154" i="23"/>
  <c r="L154" i="23" s="1"/>
  <c r="K155" i="23"/>
  <c r="L155" i="23" s="1"/>
  <c r="K158" i="23"/>
  <c r="L158" i="23" s="1"/>
  <c r="K159" i="23"/>
  <c r="L159" i="23" s="1"/>
  <c r="K162" i="23"/>
  <c r="L162" i="23" s="1"/>
  <c r="K163" i="23"/>
  <c r="L163" i="23" s="1"/>
  <c r="K166" i="23"/>
  <c r="L166" i="23" s="1"/>
  <c r="K167" i="23"/>
  <c r="L167" i="23" s="1"/>
  <c r="K170" i="23"/>
  <c r="L170" i="23" s="1"/>
  <c r="K171" i="23"/>
  <c r="L171" i="23" s="1"/>
  <c r="K174" i="23"/>
  <c r="L174" i="23" s="1"/>
  <c r="K99" i="23"/>
  <c r="L99" i="23" s="1"/>
  <c r="K101" i="23"/>
  <c r="L101" i="23" s="1"/>
  <c r="K104" i="23"/>
  <c r="L104" i="23" s="1"/>
  <c r="K110" i="23"/>
  <c r="L110" i="23" s="1"/>
  <c r="K124" i="23"/>
  <c r="L124" i="23" s="1"/>
  <c r="K126" i="23"/>
  <c r="L126" i="23" s="1"/>
  <c r="K127" i="23"/>
  <c r="L127" i="23" s="1"/>
  <c r="K128" i="23"/>
  <c r="L128" i="23" s="1"/>
  <c r="K129" i="23"/>
  <c r="L129" i="23" s="1"/>
  <c r="K131" i="23"/>
  <c r="L131" i="23" s="1"/>
  <c r="K137" i="23"/>
  <c r="L137" i="23" s="1"/>
  <c r="K139" i="23"/>
  <c r="L139" i="23" s="1"/>
  <c r="K152" i="23"/>
  <c r="L152" i="23" s="1"/>
  <c r="K153" i="23"/>
  <c r="L153" i="23" s="1"/>
  <c r="K160" i="23"/>
  <c r="L160" i="23" s="1"/>
  <c r="K161" i="23"/>
  <c r="L161" i="23" s="1"/>
  <c r="K168" i="23"/>
  <c r="L168" i="23" s="1"/>
  <c r="K169" i="23"/>
  <c r="L169" i="23" s="1"/>
  <c r="K177" i="23"/>
  <c r="L177" i="23" s="1"/>
  <c r="K179" i="23"/>
  <c r="L179" i="23" s="1"/>
  <c r="K180" i="23"/>
  <c r="L180" i="23" s="1"/>
  <c r="K182" i="23"/>
  <c r="L182" i="23" s="1"/>
  <c r="K185" i="23"/>
  <c r="L185" i="23" s="1"/>
  <c r="K187" i="23"/>
  <c r="L187" i="23" s="1"/>
  <c r="K189" i="23"/>
  <c r="L189" i="23" s="1"/>
  <c r="K191" i="23"/>
  <c r="L191" i="23" s="1"/>
  <c r="K192" i="23"/>
  <c r="L192" i="23" s="1"/>
  <c r="K194" i="23"/>
  <c r="L194" i="23" s="1"/>
  <c r="K195" i="23"/>
  <c r="L195" i="23" s="1"/>
  <c r="K198" i="23"/>
  <c r="L198" i="23" s="1"/>
  <c r="K201" i="23"/>
  <c r="L201" i="23" s="1"/>
  <c r="K205" i="23"/>
  <c r="L205" i="23" s="1"/>
  <c r="K206" i="23"/>
  <c r="L206" i="23" s="1"/>
  <c r="K209" i="23"/>
  <c r="L209" i="23" s="1"/>
  <c r="K210" i="23"/>
  <c r="L210" i="23" s="1"/>
  <c r="K212" i="23"/>
  <c r="L212" i="23" s="1"/>
  <c r="K94" i="23"/>
  <c r="L94" i="23" s="1"/>
  <c r="K102" i="23"/>
  <c r="L102" i="23" s="1"/>
  <c r="K109" i="23"/>
  <c r="L109" i="23" s="1"/>
  <c r="K117" i="23"/>
  <c r="L117" i="23" s="1"/>
  <c r="K141" i="23"/>
  <c r="L141" i="23" s="1"/>
  <c r="K164" i="23"/>
  <c r="L164" i="23" s="1"/>
  <c r="K165" i="23"/>
  <c r="L165" i="23" s="1"/>
  <c r="K176" i="23"/>
  <c r="L176" i="23" s="1"/>
  <c r="K178" i="23"/>
  <c r="L178" i="23" s="1"/>
  <c r="K186" i="23"/>
  <c r="L186" i="23" s="1"/>
  <c r="K188" i="23"/>
  <c r="L188" i="23" s="1"/>
  <c r="K196" i="23"/>
  <c r="L196" i="23" s="1"/>
  <c r="K199" i="23"/>
  <c r="L199" i="23" s="1"/>
  <c r="K202" i="23"/>
  <c r="L202" i="23" s="1"/>
  <c r="K203" i="23"/>
  <c r="L203" i="23" s="1"/>
  <c r="K204" i="23"/>
  <c r="L204" i="23" s="1"/>
  <c r="K207" i="23"/>
  <c r="L207" i="23" s="1"/>
  <c r="K208" i="23"/>
  <c r="L208" i="23" s="1"/>
  <c r="K211" i="23"/>
  <c r="L211" i="23" s="1"/>
  <c r="K214" i="23"/>
  <c r="L214" i="23" s="1"/>
  <c r="K219" i="23"/>
  <c r="L219" i="23" s="1"/>
  <c r="K220" i="23"/>
  <c r="L220" i="23" s="1"/>
  <c r="K221" i="23"/>
  <c r="L221" i="23" s="1"/>
  <c r="K222" i="23"/>
  <c r="L222" i="23" s="1"/>
  <c r="K223" i="23"/>
  <c r="L223" i="23" s="1"/>
  <c r="K227" i="23"/>
  <c r="L227" i="23" s="1"/>
  <c r="K228" i="23"/>
  <c r="L228" i="23" s="1"/>
  <c r="K239" i="23"/>
  <c r="L239" i="23" s="1"/>
  <c r="K241" i="23"/>
  <c r="L241" i="23" s="1"/>
  <c r="K244" i="23"/>
  <c r="L244" i="23" s="1"/>
  <c r="K246" i="23"/>
  <c r="L246" i="23" s="1"/>
  <c r="K248" i="23"/>
  <c r="L248" i="23" s="1"/>
  <c r="K250" i="23"/>
  <c r="L250" i="23" s="1"/>
  <c r="K251" i="23"/>
  <c r="L251" i="23" s="1"/>
  <c r="K253" i="23"/>
  <c r="L253" i="23" s="1"/>
  <c r="K256" i="23"/>
  <c r="L256" i="23" s="1"/>
  <c r="K258" i="23"/>
  <c r="L258" i="23" s="1"/>
  <c r="K260" i="23"/>
  <c r="L260" i="23" s="1"/>
  <c r="K269" i="23"/>
  <c r="L269" i="23" s="1"/>
  <c r="K270" i="23"/>
  <c r="L270" i="23" s="1"/>
  <c r="K272" i="23"/>
  <c r="L272" i="23" s="1"/>
  <c r="K275" i="23"/>
  <c r="L275" i="23" s="1"/>
  <c r="K276" i="23"/>
  <c r="L276" i="23" s="1"/>
  <c r="K278" i="23"/>
  <c r="L278" i="23" s="1"/>
  <c r="K281" i="23"/>
  <c r="L281" i="23" s="1"/>
  <c r="K282" i="23"/>
  <c r="L282" i="23" s="1"/>
  <c r="K284" i="23"/>
  <c r="L284" i="23" s="1"/>
  <c r="K287" i="23"/>
  <c r="L287" i="23" s="1"/>
  <c r="K288" i="23"/>
  <c r="L288" i="23" s="1"/>
  <c r="K291" i="23"/>
  <c r="L291" i="23" s="1"/>
  <c r="K293" i="23"/>
  <c r="L293" i="23" s="1"/>
  <c r="K294" i="23"/>
  <c r="L294" i="23" s="1"/>
  <c r="K297" i="23"/>
  <c r="L297" i="23" s="1"/>
  <c r="K298" i="23"/>
  <c r="L298" i="23" s="1"/>
  <c r="K301" i="23"/>
  <c r="L301" i="23" s="1"/>
  <c r="K302" i="23"/>
  <c r="L302" i="23" s="1"/>
  <c r="K304" i="23"/>
  <c r="L304" i="23" s="1"/>
  <c r="K306" i="23"/>
  <c r="L306" i="23" s="1"/>
  <c r="K308" i="23"/>
  <c r="L308" i="23" s="1"/>
  <c r="K310" i="23"/>
  <c r="L310" i="23" s="1"/>
  <c r="K312" i="23"/>
  <c r="L312" i="23" s="1"/>
  <c r="K314" i="23"/>
  <c r="L314" i="23" s="1"/>
  <c r="K317" i="23"/>
  <c r="L317" i="23" s="1"/>
  <c r="K92" i="23"/>
  <c r="L92" i="23" s="1"/>
  <c r="K93" i="23"/>
  <c r="L93" i="23" s="1"/>
  <c r="K96" i="23"/>
  <c r="L96" i="23" s="1"/>
  <c r="K107" i="23"/>
  <c r="L107" i="23" s="1"/>
  <c r="K119" i="23"/>
  <c r="L119" i="23" s="1"/>
  <c r="K133" i="23"/>
  <c r="L133" i="23" s="1"/>
  <c r="K135" i="23"/>
  <c r="L135" i="23" s="1"/>
  <c r="K156" i="23"/>
  <c r="L156" i="23" s="1"/>
  <c r="K157" i="23"/>
  <c r="L157" i="23" s="1"/>
  <c r="K172" i="23"/>
  <c r="L172" i="23" s="1"/>
  <c r="K173" i="23"/>
  <c r="L173" i="23" s="1"/>
  <c r="K175" i="23"/>
  <c r="L175" i="23" s="1"/>
  <c r="K181" i="23"/>
  <c r="L181" i="23" s="1"/>
  <c r="K183" i="23"/>
  <c r="L183" i="23" s="1"/>
  <c r="K184" i="23"/>
  <c r="L184" i="23" s="1"/>
  <c r="K190" i="23"/>
  <c r="L190" i="23" s="1"/>
  <c r="K193" i="23"/>
  <c r="L193" i="23" s="1"/>
  <c r="K197" i="23"/>
  <c r="L197" i="23" s="1"/>
  <c r="K200" i="23"/>
  <c r="L200" i="23" s="1"/>
  <c r="K213" i="23"/>
  <c r="L213" i="23" s="1"/>
  <c r="K215" i="23"/>
  <c r="L215" i="23" s="1"/>
  <c r="K216" i="23"/>
  <c r="L216" i="23" s="1"/>
  <c r="K217" i="23"/>
  <c r="L217" i="23" s="1"/>
  <c r="K218" i="23"/>
  <c r="L218" i="23" s="1"/>
  <c r="K224" i="23"/>
  <c r="L224" i="23" s="1"/>
  <c r="K225" i="23"/>
  <c r="L225" i="23" s="1"/>
  <c r="K226" i="23"/>
  <c r="L226" i="23" s="1"/>
  <c r="K229" i="23"/>
  <c r="L229" i="23" s="1"/>
  <c r="K230" i="23"/>
  <c r="L230" i="23" s="1"/>
  <c r="K231" i="23"/>
  <c r="L231" i="23" s="1"/>
  <c r="K232" i="23"/>
  <c r="L232" i="23" s="1"/>
  <c r="K233" i="23"/>
  <c r="L233" i="23" s="1"/>
  <c r="K234" i="23"/>
  <c r="L234" i="23" s="1"/>
  <c r="K235" i="23"/>
  <c r="L235" i="23" s="1"/>
  <c r="K236" i="23"/>
  <c r="L236" i="23" s="1"/>
  <c r="K237" i="23"/>
  <c r="L237" i="23" s="1"/>
  <c r="K238" i="23"/>
  <c r="L238" i="23" s="1"/>
  <c r="K240" i="23"/>
  <c r="L240" i="23" s="1"/>
  <c r="K242" i="23"/>
  <c r="L242" i="23" s="1"/>
  <c r="K243" i="23"/>
  <c r="L243" i="23" s="1"/>
  <c r="K245" i="23"/>
  <c r="L245" i="23" s="1"/>
  <c r="K247" i="23"/>
  <c r="L247" i="23" s="1"/>
  <c r="K249" i="23"/>
  <c r="L249" i="23" s="1"/>
  <c r="K252" i="23"/>
  <c r="L252" i="23" s="1"/>
  <c r="K254" i="23"/>
  <c r="L254" i="23" s="1"/>
  <c r="K255" i="23"/>
  <c r="L255" i="23" s="1"/>
  <c r="K257" i="23"/>
  <c r="L257" i="23" s="1"/>
  <c r="K259" i="23"/>
  <c r="L259" i="23" s="1"/>
  <c r="K261" i="23"/>
  <c r="L261" i="23" s="1"/>
  <c r="K262" i="23"/>
  <c r="L262" i="23" s="1"/>
  <c r="K263" i="23"/>
  <c r="L263" i="23" s="1"/>
  <c r="K264" i="23"/>
  <c r="L264" i="23" s="1"/>
  <c r="K265" i="23"/>
  <c r="L265" i="23" s="1"/>
  <c r="K266" i="23"/>
  <c r="L266" i="23" s="1"/>
  <c r="K267" i="23"/>
  <c r="L267" i="23" s="1"/>
  <c r="K268" i="23"/>
  <c r="L268" i="23" s="1"/>
  <c r="K271" i="23"/>
  <c r="L271" i="23" s="1"/>
  <c r="K273" i="23"/>
  <c r="L273" i="23" s="1"/>
  <c r="K274" i="23"/>
  <c r="L274" i="23" s="1"/>
  <c r="K277" i="23"/>
  <c r="L277" i="23" s="1"/>
  <c r="K279" i="23"/>
  <c r="L279" i="23" s="1"/>
  <c r="K280" i="23"/>
  <c r="L280" i="23" s="1"/>
  <c r="K283" i="23"/>
  <c r="L283" i="23" s="1"/>
  <c r="K285" i="23"/>
  <c r="L285" i="23" s="1"/>
  <c r="K286" i="23"/>
  <c r="L286" i="23" s="1"/>
  <c r="K289" i="23"/>
  <c r="L289" i="23" s="1"/>
  <c r="K290" i="23"/>
  <c r="L290" i="23" s="1"/>
  <c r="K292" i="23"/>
  <c r="L292" i="23" s="1"/>
  <c r="K295" i="23"/>
  <c r="L295" i="23" s="1"/>
  <c r="K296" i="23"/>
  <c r="L296" i="23" s="1"/>
  <c r="K299" i="23"/>
  <c r="L299" i="23" s="1"/>
  <c r="K300" i="23"/>
  <c r="L300" i="23" s="1"/>
  <c r="K303" i="23"/>
  <c r="L303" i="23" s="1"/>
  <c r="K305" i="23"/>
  <c r="L305" i="23" s="1"/>
  <c r="K307" i="23"/>
  <c r="L307" i="23" s="1"/>
  <c r="K309" i="23"/>
  <c r="L309" i="23" s="1"/>
  <c r="K311" i="23"/>
  <c r="L311" i="23" s="1"/>
  <c r="K313" i="23"/>
  <c r="L313" i="23" s="1"/>
  <c r="K315" i="23"/>
  <c r="L315" i="23" s="1"/>
  <c r="K316" i="23"/>
  <c r="L316" i="23" s="1"/>
  <c r="K320" i="23"/>
  <c r="L320" i="23" s="1"/>
  <c r="K321" i="23"/>
  <c r="L321" i="23" s="1"/>
  <c r="K318" i="23"/>
  <c r="L318" i="23" s="1"/>
  <c r="K319" i="23"/>
  <c r="L319" i="23" s="1"/>
  <c r="K322" i="23"/>
  <c r="L322" i="23" s="1"/>
  <c r="K23" i="23"/>
  <c r="L23" i="23" s="1"/>
  <c r="T27" i="23"/>
  <c r="U27" i="23" s="1"/>
  <c r="T30" i="23"/>
  <c r="U30" i="23" s="1"/>
  <c r="T24" i="23"/>
  <c r="U24" i="23" s="1"/>
  <c r="T25" i="23"/>
  <c r="U25" i="23" s="1"/>
  <c r="T31" i="23"/>
  <c r="U31" i="23" s="1"/>
  <c r="T34" i="23"/>
  <c r="U34" i="23" s="1"/>
  <c r="T35" i="23"/>
  <c r="U35" i="23" s="1"/>
  <c r="T36" i="23"/>
  <c r="U36" i="23" s="1"/>
  <c r="T38" i="23"/>
  <c r="U38" i="23" s="1"/>
  <c r="T41" i="23"/>
  <c r="U41" i="23" s="1"/>
  <c r="T29" i="23"/>
  <c r="U29" i="23" s="1"/>
  <c r="T39" i="23"/>
  <c r="U39" i="23" s="1"/>
  <c r="T28" i="23"/>
  <c r="U28" i="23" s="1"/>
  <c r="T33" i="23"/>
  <c r="U33" i="23" s="1"/>
  <c r="T37" i="23"/>
  <c r="U37" i="23" s="1"/>
  <c r="T43" i="23"/>
  <c r="U43" i="23" s="1"/>
  <c r="T44" i="23"/>
  <c r="U44" i="23" s="1"/>
  <c r="T45" i="23"/>
  <c r="U45" i="23" s="1"/>
  <c r="T47" i="23"/>
  <c r="U47" i="23" s="1"/>
  <c r="T48" i="23"/>
  <c r="U48" i="23" s="1"/>
  <c r="T49" i="23"/>
  <c r="U49" i="23" s="1"/>
  <c r="T53" i="23"/>
  <c r="U53" i="23" s="1"/>
  <c r="T58" i="23"/>
  <c r="U58" i="23" s="1"/>
  <c r="T62" i="23"/>
  <c r="U62" i="23" s="1"/>
  <c r="T63" i="23"/>
  <c r="U63" i="23" s="1"/>
  <c r="T64" i="23"/>
  <c r="U64" i="23" s="1"/>
  <c r="T65" i="23"/>
  <c r="U65" i="23" s="1"/>
  <c r="T67" i="23"/>
  <c r="U67" i="23" s="1"/>
  <c r="T26" i="23"/>
  <c r="U26" i="23" s="1"/>
  <c r="T32" i="23"/>
  <c r="U32" i="23" s="1"/>
  <c r="T40" i="23"/>
  <c r="U40" i="23" s="1"/>
  <c r="T42" i="23"/>
  <c r="U42" i="23" s="1"/>
  <c r="T46" i="23"/>
  <c r="U46" i="23" s="1"/>
  <c r="T52" i="23"/>
  <c r="U52" i="23" s="1"/>
  <c r="T54" i="23"/>
  <c r="U54" i="23" s="1"/>
  <c r="T55" i="23"/>
  <c r="U55" i="23" s="1"/>
  <c r="T57" i="23"/>
  <c r="U57" i="23" s="1"/>
  <c r="T59" i="23"/>
  <c r="U59" i="23" s="1"/>
  <c r="T61" i="23"/>
  <c r="U61" i="23" s="1"/>
  <c r="T50" i="23"/>
  <c r="U50" i="23" s="1"/>
  <c r="T51" i="23"/>
  <c r="U51" i="23" s="1"/>
  <c r="T56" i="23"/>
  <c r="U56" i="23" s="1"/>
  <c r="T60" i="23"/>
  <c r="U60" i="23" s="1"/>
  <c r="T69" i="23"/>
  <c r="U69" i="23" s="1"/>
  <c r="T71" i="23"/>
  <c r="U71" i="23" s="1"/>
  <c r="T72" i="23"/>
  <c r="U72" i="23" s="1"/>
  <c r="T74" i="23"/>
  <c r="U74" i="23" s="1"/>
  <c r="T77" i="23"/>
  <c r="U77" i="23" s="1"/>
  <c r="T78" i="23"/>
  <c r="U78" i="23" s="1"/>
  <c r="T79" i="23"/>
  <c r="U79" i="23" s="1"/>
  <c r="T81" i="23"/>
  <c r="U81" i="23" s="1"/>
  <c r="T82" i="23"/>
  <c r="U82" i="23" s="1"/>
  <c r="T85" i="23"/>
  <c r="U85" i="23" s="1"/>
  <c r="T86" i="23"/>
  <c r="U86" i="23" s="1"/>
  <c r="T87" i="23"/>
  <c r="U87" i="23" s="1"/>
  <c r="T88" i="23"/>
  <c r="U88" i="23" s="1"/>
  <c r="T94" i="23"/>
  <c r="U94" i="23" s="1"/>
  <c r="T95" i="23"/>
  <c r="U95" i="23" s="1"/>
  <c r="T98" i="23"/>
  <c r="U98" i="23" s="1"/>
  <c r="T99" i="23"/>
  <c r="U99" i="23" s="1"/>
  <c r="T102" i="23"/>
  <c r="U102" i="23" s="1"/>
  <c r="T103" i="23"/>
  <c r="U103" i="23" s="1"/>
  <c r="T106" i="23"/>
  <c r="U106" i="23" s="1"/>
  <c r="T107" i="23"/>
  <c r="U107" i="23" s="1"/>
  <c r="T113" i="23"/>
  <c r="U113" i="23" s="1"/>
  <c r="T114" i="23"/>
  <c r="U114" i="23" s="1"/>
  <c r="T115" i="23"/>
  <c r="U115" i="23" s="1"/>
  <c r="T117" i="23"/>
  <c r="U117" i="23" s="1"/>
  <c r="T118" i="23"/>
  <c r="U118" i="23" s="1"/>
  <c r="T121" i="23"/>
  <c r="U121" i="23" s="1"/>
  <c r="T122" i="23"/>
  <c r="U122" i="23" s="1"/>
  <c r="T123" i="23"/>
  <c r="U123" i="23" s="1"/>
  <c r="T66" i="23"/>
  <c r="U66" i="23" s="1"/>
  <c r="T68" i="23"/>
  <c r="U68" i="23" s="1"/>
  <c r="T70" i="23"/>
  <c r="U70" i="23" s="1"/>
  <c r="T73" i="23"/>
  <c r="U73" i="23" s="1"/>
  <c r="T75" i="23"/>
  <c r="U75" i="23" s="1"/>
  <c r="T76" i="23"/>
  <c r="U76" i="23" s="1"/>
  <c r="T80" i="23"/>
  <c r="U80" i="23" s="1"/>
  <c r="T83" i="23"/>
  <c r="U83" i="23" s="1"/>
  <c r="T84" i="23"/>
  <c r="U84" i="23" s="1"/>
  <c r="T89" i="23"/>
  <c r="U89" i="23" s="1"/>
  <c r="T90" i="23"/>
  <c r="U90" i="23" s="1"/>
  <c r="T91" i="23"/>
  <c r="U91" i="23" s="1"/>
  <c r="T92" i="23"/>
  <c r="U92" i="23" s="1"/>
  <c r="T97" i="23"/>
  <c r="U97" i="23" s="1"/>
  <c r="T100" i="23"/>
  <c r="U100" i="23" s="1"/>
  <c r="T105" i="23"/>
  <c r="U105" i="23" s="1"/>
  <c r="T108" i="23"/>
  <c r="U108" i="23" s="1"/>
  <c r="T116" i="23"/>
  <c r="U116" i="23" s="1"/>
  <c r="T124" i="23"/>
  <c r="U124" i="23" s="1"/>
  <c r="T129" i="23"/>
  <c r="U129" i="23" s="1"/>
  <c r="T130" i="23"/>
  <c r="U130" i="23" s="1"/>
  <c r="T131" i="23"/>
  <c r="U131" i="23" s="1"/>
  <c r="T133" i="23"/>
  <c r="U133" i="23" s="1"/>
  <c r="T134" i="23"/>
  <c r="U134" i="23" s="1"/>
  <c r="T137" i="23"/>
  <c r="U137" i="23" s="1"/>
  <c r="T138" i="23"/>
  <c r="U138" i="23" s="1"/>
  <c r="T139" i="23"/>
  <c r="U139" i="23" s="1"/>
  <c r="T141" i="23"/>
  <c r="U141" i="23" s="1"/>
  <c r="T142" i="23"/>
  <c r="U142" i="23" s="1"/>
  <c r="T144" i="23"/>
  <c r="U144" i="23" s="1"/>
  <c r="T146" i="23"/>
  <c r="U146" i="23" s="1"/>
  <c r="T150" i="23"/>
  <c r="U150" i="23" s="1"/>
  <c r="T153" i="23"/>
  <c r="U153" i="23" s="1"/>
  <c r="T154" i="23"/>
  <c r="U154" i="23" s="1"/>
  <c r="T157" i="23"/>
  <c r="U157" i="23" s="1"/>
  <c r="T158" i="23"/>
  <c r="U158" i="23" s="1"/>
  <c r="T161" i="23"/>
  <c r="U161" i="23" s="1"/>
  <c r="T162" i="23"/>
  <c r="U162" i="23" s="1"/>
  <c r="T165" i="23"/>
  <c r="U165" i="23" s="1"/>
  <c r="T166" i="23"/>
  <c r="U166" i="23" s="1"/>
  <c r="T169" i="23"/>
  <c r="U169" i="23" s="1"/>
  <c r="T170" i="23"/>
  <c r="U170" i="23" s="1"/>
  <c r="T173" i="23"/>
  <c r="U173" i="23" s="1"/>
  <c r="T174" i="23"/>
  <c r="U174" i="23" s="1"/>
  <c r="T175" i="23"/>
  <c r="U175" i="23" s="1"/>
  <c r="T93" i="23"/>
  <c r="U93" i="23" s="1"/>
  <c r="T96" i="23"/>
  <c r="U96" i="23" s="1"/>
  <c r="T109" i="23"/>
  <c r="U109" i="23" s="1"/>
  <c r="T112" i="23"/>
  <c r="U112" i="23" s="1"/>
  <c r="T119" i="23"/>
  <c r="U119" i="23" s="1"/>
  <c r="T125" i="23"/>
  <c r="U125" i="23" s="1"/>
  <c r="T127" i="23"/>
  <c r="U127" i="23" s="1"/>
  <c r="T132" i="23"/>
  <c r="U132" i="23" s="1"/>
  <c r="T140" i="23"/>
  <c r="U140" i="23" s="1"/>
  <c r="T143" i="23"/>
  <c r="U143" i="23" s="1"/>
  <c r="T145" i="23"/>
  <c r="U145" i="23" s="1"/>
  <c r="T147" i="23"/>
  <c r="U147" i="23" s="1"/>
  <c r="T148" i="23"/>
  <c r="U148" i="23" s="1"/>
  <c r="T151" i="23"/>
  <c r="U151" i="23" s="1"/>
  <c r="T156" i="23"/>
  <c r="U156" i="23" s="1"/>
  <c r="T159" i="23"/>
  <c r="U159" i="23" s="1"/>
  <c r="T164" i="23"/>
  <c r="U164" i="23" s="1"/>
  <c r="T167" i="23"/>
  <c r="U167" i="23" s="1"/>
  <c r="T172" i="23"/>
  <c r="U172" i="23" s="1"/>
  <c r="T176" i="23"/>
  <c r="U176" i="23" s="1"/>
  <c r="T179" i="23"/>
  <c r="U179" i="23" s="1"/>
  <c r="T181" i="23"/>
  <c r="U181" i="23" s="1"/>
  <c r="T182" i="23"/>
  <c r="U182" i="23" s="1"/>
  <c r="T183" i="23"/>
  <c r="U183" i="23" s="1"/>
  <c r="T184" i="23"/>
  <c r="U184" i="23" s="1"/>
  <c r="T186" i="23"/>
  <c r="U186" i="23" s="1"/>
  <c r="T188" i="23"/>
  <c r="U188" i="23" s="1"/>
  <c r="T190" i="23"/>
  <c r="U190" i="23" s="1"/>
  <c r="T191" i="23"/>
  <c r="U191" i="23" s="1"/>
  <c r="T193" i="23"/>
  <c r="U193" i="23" s="1"/>
  <c r="T195" i="23"/>
  <c r="U195" i="23" s="1"/>
  <c r="T197" i="23"/>
  <c r="U197" i="23" s="1"/>
  <c r="T200" i="23"/>
  <c r="U200" i="23" s="1"/>
  <c r="T202" i="23"/>
  <c r="U202" i="23" s="1"/>
  <c r="T203" i="23"/>
  <c r="U203" i="23" s="1"/>
  <c r="T205" i="23"/>
  <c r="U205" i="23" s="1"/>
  <c r="T207" i="23"/>
  <c r="U207" i="23" s="1"/>
  <c r="T209" i="23"/>
  <c r="U209" i="23" s="1"/>
  <c r="T211" i="23"/>
  <c r="U211" i="23" s="1"/>
  <c r="T212" i="23"/>
  <c r="U212" i="23" s="1"/>
  <c r="T101" i="23"/>
  <c r="U101" i="23" s="1"/>
  <c r="T104" i="23"/>
  <c r="U104" i="23" s="1"/>
  <c r="T111" i="23"/>
  <c r="U111" i="23" s="1"/>
  <c r="T126" i="23"/>
  <c r="U126" i="23" s="1"/>
  <c r="T128" i="23"/>
  <c r="U128" i="23" s="1"/>
  <c r="T135" i="23"/>
  <c r="U135" i="23" s="1"/>
  <c r="T149" i="23"/>
  <c r="U149" i="23" s="1"/>
  <c r="T155" i="23"/>
  <c r="U155" i="23" s="1"/>
  <c r="T160" i="23"/>
  <c r="U160" i="23" s="1"/>
  <c r="T171" i="23"/>
  <c r="U171" i="23" s="1"/>
  <c r="T177" i="23"/>
  <c r="U177" i="23" s="1"/>
  <c r="T180" i="23"/>
  <c r="U180" i="23" s="1"/>
  <c r="T185" i="23"/>
  <c r="U185" i="23" s="1"/>
  <c r="T192" i="23"/>
  <c r="U192" i="23" s="1"/>
  <c r="T196" i="23"/>
  <c r="U196" i="23" s="1"/>
  <c r="T199" i="23"/>
  <c r="U199" i="23" s="1"/>
  <c r="T201" i="23"/>
  <c r="U201" i="23" s="1"/>
  <c r="T204" i="23"/>
  <c r="U204" i="23" s="1"/>
  <c r="T206" i="23"/>
  <c r="U206" i="23" s="1"/>
  <c r="T208" i="23"/>
  <c r="U208" i="23" s="1"/>
  <c r="T210" i="23"/>
  <c r="U210" i="23" s="1"/>
  <c r="T217" i="23"/>
  <c r="U217" i="23" s="1"/>
  <c r="T218" i="23"/>
  <c r="U218" i="23" s="1"/>
  <c r="T219" i="23"/>
  <c r="U219" i="23" s="1"/>
  <c r="T220" i="23"/>
  <c r="U220" i="23" s="1"/>
  <c r="T223" i="23"/>
  <c r="U223" i="23" s="1"/>
  <c r="T224" i="23"/>
  <c r="U224" i="23" s="1"/>
  <c r="T227" i="23"/>
  <c r="U227" i="23" s="1"/>
  <c r="T231" i="23"/>
  <c r="U231" i="23" s="1"/>
  <c r="T232" i="23"/>
  <c r="U232" i="23" s="1"/>
  <c r="T235" i="23"/>
  <c r="U235" i="23" s="1"/>
  <c r="T236" i="23"/>
  <c r="U236" i="23" s="1"/>
  <c r="T240" i="23"/>
  <c r="U240" i="23" s="1"/>
  <c r="T243" i="23"/>
  <c r="U243" i="23" s="1"/>
  <c r="T245" i="23"/>
  <c r="U245" i="23" s="1"/>
  <c r="T246" i="23"/>
  <c r="U246" i="23" s="1"/>
  <c r="T247" i="23"/>
  <c r="U247" i="23" s="1"/>
  <c r="T249" i="23"/>
  <c r="U249" i="23" s="1"/>
  <c r="T250" i="23"/>
  <c r="U250" i="23" s="1"/>
  <c r="T252" i="23"/>
  <c r="U252" i="23" s="1"/>
  <c r="T255" i="23"/>
  <c r="U255" i="23" s="1"/>
  <c r="T259" i="23"/>
  <c r="U259" i="23" s="1"/>
  <c r="T264" i="23"/>
  <c r="U264" i="23" s="1"/>
  <c r="T267" i="23"/>
  <c r="U267" i="23" s="1"/>
  <c r="T268" i="23"/>
  <c r="U268" i="23" s="1"/>
  <c r="T269" i="23"/>
  <c r="U269" i="23" s="1"/>
  <c r="T271" i="23"/>
  <c r="U271" i="23" s="1"/>
  <c r="T274" i="23"/>
  <c r="U274" i="23" s="1"/>
  <c r="T279" i="23"/>
  <c r="U279" i="23" s="1"/>
  <c r="T280" i="23"/>
  <c r="U280" i="23" s="1"/>
  <c r="T281" i="23"/>
  <c r="U281" i="23" s="1"/>
  <c r="T283" i="23"/>
  <c r="U283" i="23" s="1"/>
  <c r="T286" i="23"/>
  <c r="U286" i="23" s="1"/>
  <c r="T290" i="23"/>
  <c r="U290" i="23" s="1"/>
  <c r="T292" i="23"/>
  <c r="U292" i="23" s="1"/>
  <c r="T293" i="23"/>
  <c r="U293" i="23" s="1"/>
  <c r="T295" i="23"/>
  <c r="U295" i="23" s="1"/>
  <c r="T296" i="23"/>
  <c r="U296" i="23" s="1"/>
  <c r="T297" i="23"/>
  <c r="U297" i="23" s="1"/>
  <c r="T299" i="23"/>
  <c r="U299" i="23" s="1"/>
  <c r="T300" i="23"/>
  <c r="U300" i="23" s="1"/>
  <c r="T301" i="23"/>
  <c r="U301" i="23" s="1"/>
  <c r="T303" i="23"/>
  <c r="U303" i="23" s="1"/>
  <c r="T307" i="23"/>
  <c r="U307" i="23" s="1"/>
  <c r="T311" i="23"/>
  <c r="U311" i="23" s="1"/>
  <c r="T315" i="23"/>
  <c r="U315" i="23" s="1"/>
  <c r="T317" i="23"/>
  <c r="U317" i="23" s="1"/>
  <c r="T110" i="23"/>
  <c r="U110" i="23" s="1"/>
  <c r="T120" i="23"/>
  <c r="U120" i="23" s="1"/>
  <c r="T136" i="23"/>
  <c r="U136" i="23" s="1"/>
  <c r="T152" i="23"/>
  <c r="U152" i="23" s="1"/>
  <c r="T163" i="23"/>
  <c r="U163" i="23" s="1"/>
  <c r="T168" i="23"/>
  <c r="U168" i="23" s="1"/>
  <c r="T178" i="23"/>
  <c r="U178" i="23" s="1"/>
  <c r="T187" i="23"/>
  <c r="U187" i="23" s="1"/>
  <c r="T189" i="23"/>
  <c r="U189" i="23" s="1"/>
  <c r="T194" i="23"/>
  <c r="U194" i="23" s="1"/>
  <c r="T198" i="23"/>
  <c r="U198" i="23" s="1"/>
  <c r="T213" i="23"/>
  <c r="U213" i="23" s="1"/>
  <c r="T214" i="23"/>
  <c r="U214" i="23" s="1"/>
  <c r="T215" i="23"/>
  <c r="U215" i="23" s="1"/>
  <c r="T216" i="23"/>
  <c r="U216" i="23" s="1"/>
  <c r="T221" i="23"/>
  <c r="U221" i="23" s="1"/>
  <c r="T222" i="23"/>
  <c r="U222" i="23" s="1"/>
  <c r="T225" i="23"/>
  <c r="U225" i="23" s="1"/>
  <c r="T226" i="23"/>
  <c r="U226" i="23" s="1"/>
  <c r="T228" i="23"/>
  <c r="U228" i="23" s="1"/>
  <c r="T229" i="23"/>
  <c r="U229" i="23" s="1"/>
  <c r="T230" i="23"/>
  <c r="U230" i="23" s="1"/>
  <c r="T233" i="23"/>
  <c r="U233" i="23" s="1"/>
  <c r="T234" i="23"/>
  <c r="U234" i="23" s="1"/>
  <c r="T237" i="23"/>
  <c r="U237" i="23" s="1"/>
  <c r="T238" i="23"/>
  <c r="U238" i="23" s="1"/>
  <c r="T239" i="23"/>
  <c r="U239" i="23" s="1"/>
  <c r="T241" i="23"/>
  <c r="U241" i="23" s="1"/>
  <c r="T242" i="23"/>
  <c r="U242" i="23" s="1"/>
  <c r="T244" i="23"/>
  <c r="U244" i="23" s="1"/>
  <c r="T248" i="23"/>
  <c r="U248" i="23" s="1"/>
  <c r="T251" i="23"/>
  <c r="U251" i="23" s="1"/>
  <c r="T253" i="23"/>
  <c r="U253" i="23" s="1"/>
  <c r="T254" i="23"/>
  <c r="U254" i="23" s="1"/>
  <c r="T256" i="23"/>
  <c r="U256" i="23" s="1"/>
  <c r="T257" i="23"/>
  <c r="U257" i="23" s="1"/>
  <c r="T258" i="23"/>
  <c r="U258" i="23" s="1"/>
  <c r="T260" i="23"/>
  <c r="U260" i="23" s="1"/>
  <c r="T261" i="23"/>
  <c r="U261" i="23" s="1"/>
  <c r="T262" i="23"/>
  <c r="U262" i="23" s="1"/>
  <c r="T263" i="23"/>
  <c r="U263" i="23" s="1"/>
  <c r="T265" i="23"/>
  <c r="U265" i="23" s="1"/>
  <c r="T266" i="23"/>
  <c r="U266" i="23" s="1"/>
  <c r="T270" i="23"/>
  <c r="U270" i="23" s="1"/>
  <c r="T272" i="23"/>
  <c r="U272" i="23" s="1"/>
  <c r="T273" i="23"/>
  <c r="U273" i="23" s="1"/>
  <c r="T275" i="23"/>
  <c r="U275" i="23" s="1"/>
  <c r="T276" i="23"/>
  <c r="U276" i="23" s="1"/>
  <c r="T277" i="23"/>
  <c r="U277" i="23" s="1"/>
  <c r="T278" i="23"/>
  <c r="U278" i="23" s="1"/>
  <c r="T282" i="23"/>
  <c r="U282" i="23" s="1"/>
  <c r="T284" i="23"/>
  <c r="U284" i="23" s="1"/>
  <c r="T285" i="23"/>
  <c r="U285" i="23" s="1"/>
  <c r="T287" i="23"/>
  <c r="U287" i="23" s="1"/>
  <c r="T288" i="23"/>
  <c r="U288" i="23" s="1"/>
  <c r="T289" i="23"/>
  <c r="U289" i="23" s="1"/>
  <c r="T291" i="23"/>
  <c r="U291" i="23" s="1"/>
  <c r="T294" i="23"/>
  <c r="U294" i="23" s="1"/>
  <c r="T298" i="23"/>
  <c r="U298" i="23" s="1"/>
  <c r="T302" i="23"/>
  <c r="U302" i="23" s="1"/>
  <c r="T304" i="23"/>
  <c r="U304" i="23" s="1"/>
  <c r="T305" i="23"/>
  <c r="U305" i="23" s="1"/>
  <c r="T306" i="23"/>
  <c r="U306" i="23" s="1"/>
  <c r="T308" i="23"/>
  <c r="U308" i="23" s="1"/>
  <c r="T309" i="23"/>
  <c r="U309" i="23" s="1"/>
  <c r="T310" i="23"/>
  <c r="U310" i="23" s="1"/>
  <c r="T312" i="23"/>
  <c r="U312" i="23" s="1"/>
  <c r="T313" i="23"/>
  <c r="U313" i="23" s="1"/>
  <c r="T314" i="23"/>
  <c r="U314" i="23" s="1"/>
  <c r="T318" i="23"/>
  <c r="U318" i="23" s="1"/>
  <c r="T319" i="23"/>
  <c r="U319" i="23" s="1"/>
  <c r="T320" i="23"/>
  <c r="U320" i="23" s="1"/>
  <c r="T321" i="23"/>
  <c r="U321" i="23" s="1"/>
  <c r="T322" i="23"/>
  <c r="U322" i="23" s="1"/>
  <c r="T316" i="23"/>
  <c r="U316" i="23" s="1"/>
  <c r="T23" i="23"/>
  <c r="U23" i="23" s="1"/>
  <c r="AB27" i="23"/>
  <c r="AC27" i="23" s="1"/>
  <c r="AB30" i="23"/>
  <c r="AC30" i="23" s="1"/>
  <c r="AB25" i="23"/>
  <c r="AC25" i="23" s="1"/>
  <c r="AB26" i="23"/>
  <c r="AC26" i="23" s="1"/>
  <c r="AB28" i="23"/>
  <c r="AC28" i="23" s="1"/>
  <c r="AB31" i="23"/>
  <c r="AC31" i="23" s="1"/>
  <c r="AB35" i="23"/>
  <c r="AC35" i="23" s="1"/>
  <c r="AB36" i="23"/>
  <c r="AC36" i="23" s="1"/>
  <c r="AB38" i="23"/>
  <c r="AC38" i="23" s="1"/>
  <c r="AB41" i="23"/>
  <c r="AC41" i="23" s="1"/>
  <c r="AB29" i="23"/>
  <c r="AC29" i="23" s="1"/>
  <c r="AB32" i="23"/>
  <c r="AC32" i="23" s="1"/>
  <c r="AB39" i="23"/>
  <c r="AC39" i="23" s="1"/>
  <c r="AB40" i="23"/>
  <c r="AC40" i="23" s="1"/>
  <c r="AB24" i="23"/>
  <c r="AC24" i="23" s="1"/>
  <c r="AB33" i="23"/>
  <c r="AC33" i="23" s="1"/>
  <c r="AB37" i="23"/>
  <c r="AC37" i="23" s="1"/>
  <c r="AB43" i="23"/>
  <c r="AC43" i="23" s="1"/>
  <c r="AB44" i="23"/>
  <c r="AC44" i="23" s="1"/>
  <c r="AB45" i="23"/>
  <c r="AC45" i="23" s="1"/>
  <c r="AB47" i="23"/>
  <c r="AC47" i="23" s="1"/>
  <c r="AB48" i="23"/>
  <c r="AC48" i="23" s="1"/>
  <c r="AB49" i="23"/>
  <c r="AC49" i="23" s="1"/>
  <c r="AB53" i="23"/>
  <c r="AC53" i="23" s="1"/>
  <c r="AB58" i="23"/>
  <c r="AC58" i="23" s="1"/>
  <c r="AB62" i="23"/>
  <c r="AC62" i="23" s="1"/>
  <c r="AB63" i="23"/>
  <c r="AC63" i="23" s="1"/>
  <c r="AB64" i="23"/>
  <c r="AC64" i="23" s="1"/>
  <c r="AB65" i="23"/>
  <c r="AC65" i="23" s="1"/>
  <c r="AB67" i="23"/>
  <c r="AC67" i="23" s="1"/>
  <c r="AB42" i="23"/>
  <c r="AC42" i="23" s="1"/>
  <c r="AB50" i="23"/>
  <c r="AC50" i="23" s="1"/>
  <c r="AB55" i="23"/>
  <c r="AC55" i="23" s="1"/>
  <c r="AB56" i="23"/>
  <c r="AC56" i="23" s="1"/>
  <c r="AB57" i="23"/>
  <c r="AC57" i="23" s="1"/>
  <c r="AB59" i="23"/>
  <c r="AC59" i="23" s="1"/>
  <c r="AB60" i="23"/>
  <c r="AC60" i="23" s="1"/>
  <c r="AB61" i="23"/>
  <c r="AC61" i="23" s="1"/>
  <c r="AB66" i="23"/>
  <c r="AC66" i="23" s="1"/>
  <c r="AB34" i="23"/>
  <c r="AC34" i="23" s="1"/>
  <c r="AB46" i="23"/>
  <c r="AC46" i="23" s="1"/>
  <c r="AB51" i="23"/>
  <c r="AC51" i="23" s="1"/>
  <c r="AB52" i="23"/>
  <c r="AC52" i="23" s="1"/>
  <c r="AB69" i="23"/>
  <c r="AC69" i="23" s="1"/>
  <c r="AB71" i="23"/>
  <c r="AC71" i="23" s="1"/>
  <c r="AB72" i="23"/>
  <c r="AC72" i="23" s="1"/>
  <c r="AB74" i="23"/>
  <c r="AC74" i="23" s="1"/>
  <c r="AB77" i="23"/>
  <c r="AC77" i="23" s="1"/>
  <c r="AB79" i="23"/>
  <c r="AC79" i="23" s="1"/>
  <c r="AB81" i="23"/>
  <c r="AC81" i="23" s="1"/>
  <c r="AB82" i="23"/>
  <c r="AC82" i="23" s="1"/>
  <c r="AB85" i="23"/>
  <c r="AC85" i="23" s="1"/>
  <c r="AB86" i="23"/>
  <c r="AC86" i="23" s="1"/>
  <c r="AB87" i="23"/>
  <c r="AC87" i="23" s="1"/>
  <c r="AB88" i="23"/>
  <c r="AC88" i="23" s="1"/>
  <c r="AB95" i="23"/>
  <c r="AC95" i="23" s="1"/>
  <c r="AB98" i="23"/>
  <c r="AC98" i="23" s="1"/>
  <c r="AB99" i="23"/>
  <c r="AC99" i="23" s="1"/>
  <c r="AB102" i="23"/>
  <c r="AC102" i="23" s="1"/>
  <c r="AB103" i="23"/>
  <c r="AC103" i="23" s="1"/>
  <c r="AB106" i="23"/>
  <c r="AC106" i="23" s="1"/>
  <c r="AB107" i="23"/>
  <c r="AC107" i="23" s="1"/>
  <c r="AB111" i="23"/>
  <c r="AC111" i="23" s="1"/>
  <c r="AB113" i="23"/>
  <c r="AC113" i="23" s="1"/>
  <c r="AB114" i="23"/>
  <c r="AC114" i="23" s="1"/>
  <c r="AB115" i="23"/>
  <c r="AC115" i="23" s="1"/>
  <c r="AB117" i="23"/>
  <c r="AC117" i="23" s="1"/>
  <c r="AB118" i="23"/>
  <c r="AC118" i="23" s="1"/>
  <c r="AB121" i="23"/>
  <c r="AC121" i="23" s="1"/>
  <c r="AB122" i="23"/>
  <c r="AC122" i="23" s="1"/>
  <c r="AB54" i="23"/>
  <c r="AC54" i="23" s="1"/>
  <c r="AB68" i="23"/>
  <c r="AC68" i="23" s="1"/>
  <c r="AB70" i="23"/>
  <c r="AC70" i="23" s="1"/>
  <c r="AB73" i="23"/>
  <c r="AC73" i="23" s="1"/>
  <c r="AB75" i="23"/>
  <c r="AC75" i="23" s="1"/>
  <c r="AB76" i="23"/>
  <c r="AC76" i="23" s="1"/>
  <c r="AB78" i="23"/>
  <c r="AC78" i="23" s="1"/>
  <c r="AB80" i="23"/>
  <c r="AC80" i="23" s="1"/>
  <c r="AB83" i="23"/>
  <c r="AC83" i="23" s="1"/>
  <c r="AB84" i="23"/>
  <c r="AC84" i="23" s="1"/>
  <c r="AB89" i="23"/>
  <c r="AC89" i="23" s="1"/>
  <c r="AB90" i="23"/>
  <c r="AC90" i="23" s="1"/>
  <c r="AB91" i="23"/>
  <c r="AC91" i="23" s="1"/>
  <c r="AB92" i="23"/>
  <c r="AC92" i="23" s="1"/>
  <c r="AB96" i="23"/>
  <c r="AC96" i="23" s="1"/>
  <c r="AB101" i="23"/>
  <c r="AC101" i="23" s="1"/>
  <c r="AB104" i="23"/>
  <c r="AC104" i="23" s="1"/>
  <c r="AB109" i="23"/>
  <c r="AC109" i="23" s="1"/>
  <c r="AB110" i="23"/>
  <c r="AC110" i="23" s="1"/>
  <c r="AB116" i="23"/>
  <c r="AC116" i="23" s="1"/>
  <c r="AB124" i="23"/>
  <c r="AC124" i="23" s="1"/>
  <c r="AB129" i="23"/>
  <c r="AC129" i="23" s="1"/>
  <c r="AB130" i="23"/>
  <c r="AC130" i="23" s="1"/>
  <c r="AB131" i="23"/>
  <c r="AC131" i="23" s="1"/>
  <c r="AB133" i="23"/>
  <c r="AC133" i="23" s="1"/>
  <c r="AB134" i="23"/>
  <c r="AC134" i="23" s="1"/>
  <c r="AB137" i="23"/>
  <c r="AC137" i="23" s="1"/>
  <c r="AB138" i="23"/>
  <c r="AC138" i="23" s="1"/>
  <c r="AB139" i="23"/>
  <c r="AC139" i="23" s="1"/>
  <c r="AB141" i="23"/>
  <c r="AC141" i="23" s="1"/>
  <c r="AB142" i="23"/>
  <c r="AC142" i="23" s="1"/>
  <c r="AB144" i="23"/>
  <c r="AC144" i="23" s="1"/>
  <c r="AB146" i="23"/>
  <c r="AC146" i="23" s="1"/>
  <c r="AB148" i="23"/>
  <c r="AC148" i="23" s="1"/>
  <c r="AB150" i="23"/>
  <c r="AC150" i="23" s="1"/>
  <c r="AB153" i="23"/>
  <c r="AC153" i="23" s="1"/>
  <c r="AB154" i="23"/>
  <c r="AC154" i="23" s="1"/>
  <c r="AB157" i="23"/>
  <c r="AC157" i="23" s="1"/>
  <c r="AB158" i="23"/>
  <c r="AC158" i="23" s="1"/>
  <c r="AB161" i="23"/>
  <c r="AC161" i="23" s="1"/>
  <c r="AB162" i="23"/>
  <c r="AC162" i="23" s="1"/>
  <c r="AB165" i="23"/>
  <c r="AC165" i="23" s="1"/>
  <c r="AB166" i="23"/>
  <c r="AC166" i="23" s="1"/>
  <c r="AB169" i="23"/>
  <c r="AC169" i="23" s="1"/>
  <c r="AB170" i="23"/>
  <c r="AC170" i="23" s="1"/>
  <c r="AB173" i="23"/>
  <c r="AC173" i="23" s="1"/>
  <c r="AB174" i="23"/>
  <c r="AC174" i="23" s="1"/>
  <c r="AB175" i="23"/>
  <c r="AC175" i="23" s="1"/>
  <c r="AB93" i="23"/>
  <c r="AC93" i="23" s="1"/>
  <c r="AB94" i="23"/>
  <c r="AC94" i="23" s="1"/>
  <c r="AB97" i="23"/>
  <c r="AC97" i="23" s="1"/>
  <c r="AB100" i="23"/>
  <c r="AC100" i="23" s="1"/>
  <c r="AB119" i="23"/>
  <c r="AC119" i="23" s="1"/>
  <c r="AB120" i="23"/>
  <c r="AC120" i="23" s="1"/>
  <c r="AB123" i="23"/>
  <c r="AC123" i="23" s="1"/>
  <c r="AB125" i="23"/>
  <c r="AC125" i="23" s="1"/>
  <c r="AB127" i="23"/>
  <c r="AC127" i="23" s="1"/>
  <c r="AB132" i="23"/>
  <c r="AC132" i="23" s="1"/>
  <c r="AB140" i="23"/>
  <c r="AC140" i="23" s="1"/>
  <c r="AB143" i="23"/>
  <c r="AC143" i="23" s="1"/>
  <c r="AB145" i="23"/>
  <c r="AC145" i="23" s="1"/>
  <c r="AB147" i="23"/>
  <c r="AC147" i="23" s="1"/>
  <c r="AB149" i="23"/>
  <c r="AC149" i="23" s="1"/>
  <c r="AB151" i="23"/>
  <c r="AC151" i="23" s="1"/>
  <c r="AB156" i="23"/>
  <c r="AC156" i="23" s="1"/>
  <c r="AB159" i="23"/>
  <c r="AC159" i="23" s="1"/>
  <c r="AB164" i="23"/>
  <c r="AC164" i="23" s="1"/>
  <c r="AB167" i="23"/>
  <c r="AC167" i="23" s="1"/>
  <c r="AB172" i="23"/>
  <c r="AC172" i="23" s="1"/>
  <c r="AB176" i="23"/>
  <c r="AC176" i="23" s="1"/>
  <c r="AB179" i="23"/>
  <c r="AC179" i="23" s="1"/>
  <c r="AB181" i="23"/>
  <c r="AC181" i="23" s="1"/>
  <c r="AB182" i="23"/>
  <c r="AC182" i="23" s="1"/>
  <c r="AB184" i="23"/>
  <c r="AC184" i="23" s="1"/>
  <c r="AB186" i="23"/>
  <c r="AC186" i="23" s="1"/>
  <c r="AB188" i="23"/>
  <c r="AC188" i="23" s="1"/>
  <c r="AB190" i="23"/>
  <c r="AC190" i="23" s="1"/>
  <c r="AB191" i="23"/>
  <c r="AC191" i="23" s="1"/>
  <c r="AB193" i="23"/>
  <c r="AC193" i="23" s="1"/>
  <c r="AB195" i="23"/>
  <c r="AC195" i="23" s="1"/>
  <c r="AB197" i="23"/>
  <c r="AC197" i="23" s="1"/>
  <c r="AB200" i="23"/>
  <c r="AC200" i="23" s="1"/>
  <c r="AB202" i="23"/>
  <c r="AC202" i="23" s="1"/>
  <c r="AB203" i="23"/>
  <c r="AC203" i="23" s="1"/>
  <c r="AB205" i="23"/>
  <c r="AC205" i="23" s="1"/>
  <c r="AB207" i="23"/>
  <c r="AC207" i="23" s="1"/>
  <c r="AB209" i="23"/>
  <c r="AC209" i="23" s="1"/>
  <c r="AB212" i="23"/>
  <c r="AC212" i="23" s="1"/>
  <c r="AB135" i="23"/>
  <c r="AC135" i="23" s="1"/>
  <c r="AB136" i="23"/>
  <c r="AC136" i="23" s="1"/>
  <c r="AB152" i="23"/>
  <c r="AC152" i="23" s="1"/>
  <c r="AB155" i="23"/>
  <c r="AC155" i="23" s="1"/>
  <c r="AB168" i="23"/>
  <c r="AC168" i="23" s="1"/>
  <c r="AB171" i="23"/>
  <c r="AC171" i="23" s="1"/>
  <c r="AB177" i="23"/>
  <c r="AC177" i="23" s="1"/>
  <c r="AB180" i="23"/>
  <c r="AC180" i="23" s="1"/>
  <c r="AB187" i="23"/>
  <c r="AC187" i="23" s="1"/>
  <c r="AB189" i="23"/>
  <c r="AC189" i="23" s="1"/>
  <c r="AB192" i="23"/>
  <c r="AC192" i="23" s="1"/>
  <c r="AB196" i="23"/>
  <c r="AC196" i="23" s="1"/>
  <c r="AB206" i="23"/>
  <c r="AC206" i="23" s="1"/>
  <c r="AB210" i="23"/>
  <c r="AC210" i="23" s="1"/>
  <c r="AB211" i="23"/>
  <c r="AC211" i="23" s="1"/>
  <c r="AB217" i="23"/>
  <c r="AC217" i="23" s="1"/>
  <c r="AB218" i="23"/>
  <c r="AC218" i="23" s="1"/>
  <c r="AB219" i="23"/>
  <c r="AC219" i="23" s="1"/>
  <c r="AB220" i="23"/>
  <c r="AC220" i="23" s="1"/>
  <c r="AB223" i="23"/>
  <c r="AC223" i="23" s="1"/>
  <c r="AB226" i="23"/>
  <c r="AC226" i="23" s="1"/>
  <c r="AB227" i="23"/>
  <c r="AC227" i="23" s="1"/>
  <c r="AB231" i="23"/>
  <c r="AC231" i="23" s="1"/>
  <c r="AB232" i="23"/>
  <c r="AC232" i="23" s="1"/>
  <c r="AB235" i="23"/>
  <c r="AC235" i="23" s="1"/>
  <c r="AB236" i="23"/>
  <c r="AC236" i="23" s="1"/>
  <c r="AB238" i="23"/>
  <c r="AC238" i="23" s="1"/>
  <c r="AB240" i="23"/>
  <c r="AC240" i="23" s="1"/>
  <c r="AB243" i="23"/>
  <c r="AC243" i="23" s="1"/>
  <c r="AB245" i="23"/>
  <c r="AC245" i="23" s="1"/>
  <c r="AB247" i="23"/>
  <c r="AC247" i="23" s="1"/>
  <c r="AB249" i="23"/>
  <c r="AC249" i="23" s="1"/>
  <c r="AB250" i="23"/>
  <c r="AC250" i="23" s="1"/>
  <c r="AB252" i="23"/>
  <c r="AC252" i="23" s="1"/>
  <c r="AB255" i="23"/>
  <c r="AC255" i="23" s="1"/>
  <c r="AB259" i="23"/>
  <c r="AC259" i="23" s="1"/>
  <c r="AB262" i="23"/>
  <c r="AC262" i="23" s="1"/>
  <c r="AB264" i="23"/>
  <c r="AC264" i="23" s="1"/>
  <c r="AB267" i="23"/>
  <c r="AC267" i="23" s="1"/>
  <c r="AB268" i="23"/>
  <c r="AC268" i="23" s="1"/>
  <c r="AB269" i="23"/>
  <c r="AC269" i="23" s="1"/>
  <c r="AB271" i="23"/>
  <c r="AC271" i="23" s="1"/>
  <c r="AB274" i="23"/>
  <c r="AC274" i="23" s="1"/>
  <c r="AB277" i="23"/>
  <c r="AC277" i="23" s="1"/>
  <c r="AB279" i="23"/>
  <c r="AC279" i="23" s="1"/>
  <c r="AB280" i="23"/>
  <c r="AC280" i="23" s="1"/>
  <c r="AB281" i="23"/>
  <c r="AC281" i="23" s="1"/>
  <c r="AB283" i="23"/>
  <c r="AC283" i="23" s="1"/>
  <c r="AB286" i="23"/>
  <c r="AC286" i="23" s="1"/>
  <c r="AB290" i="23"/>
  <c r="AC290" i="23" s="1"/>
  <c r="AB292" i="23"/>
  <c r="AC292" i="23" s="1"/>
  <c r="AB293" i="23"/>
  <c r="AC293" i="23" s="1"/>
  <c r="AB296" i="23"/>
  <c r="AC296" i="23" s="1"/>
  <c r="AB297" i="23"/>
  <c r="AC297" i="23" s="1"/>
  <c r="AB299" i="23"/>
  <c r="AC299" i="23" s="1"/>
  <c r="AB300" i="23"/>
  <c r="AC300" i="23" s="1"/>
  <c r="AB301" i="23"/>
  <c r="AC301" i="23" s="1"/>
  <c r="AB303" i="23"/>
  <c r="AC303" i="23" s="1"/>
  <c r="AB305" i="23"/>
  <c r="AC305" i="23" s="1"/>
  <c r="AB307" i="23"/>
  <c r="AC307" i="23" s="1"/>
  <c r="AB309" i="23"/>
  <c r="AC309" i="23" s="1"/>
  <c r="AB311" i="23"/>
  <c r="AC311" i="23" s="1"/>
  <c r="AB313" i="23"/>
  <c r="AC313" i="23" s="1"/>
  <c r="AB315" i="23"/>
  <c r="AC315" i="23" s="1"/>
  <c r="AB316" i="23"/>
  <c r="AC316" i="23" s="1"/>
  <c r="AB317" i="23"/>
  <c r="AC317" i="23" s="1"/>
  <c r="AB105" i="23"/>
  <c r="AC105" i="23" s="1"/>
  <c r="AB108" i="23"/>
  <c r="AC108" i="23" s="1"/>
  <c r="AB112" i="23"/>
  <c r="AC112" i="23" s="1"/>
  <c r="AB126" i="23"/>
  <c r="AC126" i="23" s="1"/>
  <c r="AB128" i="23"/>
  <c r="AC128" i="23" s="1"/>
  <c r="AB160" i="23"/>
  <c r="AC160" i="23" s="1"/>
  <c r="AB163" i="23"/>
  <c r="AC163" i="23" s="1"/>
  <c r="AB178" i="23"/>
  <c r="AC178" i="23" s="1"/>
  <c r="AB183" i="23"/>
  <c r="AC183" i="23" s="1"/>
  <c r="AB185" i="23"/>
  <c r="AC185" i="23" s="1"/>
  <c r="AB194" i="23"/>
  <c r="AC194" i="23" s="1"/>
  <c r="AB198" i="23"/>
  <c r="AC198" i="23" s="1"/>
  <c r="AB199" i="23"/>
  <c r="AC199" i="23" s="1"/>
  <c r="AB201" i="23"/>
  <c r="AC201" i="23" s="1"/>
  <c r="AB204" i="23"/>
  <c r="AC204" i="23" s="1"/>
  <c r="AB208" i="23"/>
  <c r="AC208" i="23" s="1"/>
  <c r="AB213" i="23"/>
  <c r="AC213" i="23" s="1"/>
  <c r="AB214" i="23"/>
  <c r="AC214" i="23" s="1"/>
  <c r="AB215" i="23"/>
  <c r="AC215" i="23" s="1"/>
  <c r="AB216" i="23"/>
  <c r="AC216" i="23" s="1"/>
  <c r="AB221" i="23"/>
  <c r="AC221" i="23" s="1"/>
  <c r="AB222" i="23"/>
  <c r="AC222" i="23" s="1"/>
  <c r="AB224" i="23"/>
  <c r="AC224" i="23" s="1"/>
  <c r="AB225" i="23"/>
  <c r="AC225" i="23" s="1"/>
  <c r="AB228" i="23"/>
  <c r="AC228" i="23" s="1"/>
  <c r="AB229" i="23"/>
  <c r="AC229" i="23" s="1"/>
  <c r="AB230" i="23"/>
  <c r="AC230" i="23" s="1"/>
  <c r="AB233" i="23"/>
  <c r="AC233" i="23" s="1"/>
  <c r="AB234" i="23"/>
  <c r="AC234" i="23" s="1"/>
  <c r="AB237" i="23"/>
  <c r="AC237" i="23" s="1"/>
  <c r="AB239" i="23"/>
  <c r="AC239" i="23" s="1"/>
  <c r="AB241" i="23"/>
  <c r="AC241" i="23" s="1"/>
  <c r="AB242" i="23"/>
  <c r="AC242" i="23" s="1"/>
  <c r="AB244" i="23"/>
  <c r="AC244" i="23" s="1"/>
  <c r="AB246" i="23"/>
  <c r="AC246" i="23" s="1"/>
  <c r="AB248" i="23"/>
  <c r="AC248" i="23" s="1"/>
  <c r="AB251" i="23"/>
  <c r="AC251" i="23" s="1"/>
  <c r="AB253" i="23"/>
  <c r="AC253" i="23" s="1"/>
  <c r="AB254" i="23"/>
  <c r="AC254" i="23" s="1"/>
  <c r="AB256" i="23"/>
  <c r="AC256" i="23" s="1"/>
  <c r="AB257" i="23"/>
  <c r="AC257" i="23" s="1"/>
  <c r="AB258" i="23"/>
  <c r="AC258" i="23" s="1"/>
  <c r="AB260" i="23"/>
  <c r="AC260" i="23" s="1"/>
  <c r="AB261" i="23"/>
  <c r="AC261" i="23" s="1"/>
  <c r="AB263" i="23"/>
  <c r="AC263" i="23" s="1"/>
  <c r="AB265" i="23"/>
  <c r="AC265" i="23" s="1"/>
  <c r="AB266" i="23"/>
  <c r="AC266" i="23" s="1"/>
  <c r="AB270" i="23"/>
  <c r="AC270" i="23" s="1"/>
  <c r="AB272" i="23"/>
  <c r="AC272" i="23" s="1"/>
  <c r="AB273" i="23"/>
  <c r="AC273" i="23" s="1"/>
  <c r="AB275" i="23"/>
  <c r="AC275" i="23" s="1"/>
  <c r="AB276" i="23"/>
  <c r="AC276" i="23" s="1"/>
  <c r="AB278" i="23"/>
  <c r="AC278" i="23" s="1"/>
  <c r="AB282" i="23"/>
  <c r="AC282" i="23" s="1"/>
  <c r="AB284" i="23"/>
  <c r="AC284" i="23" s="1"/>
  <c r="AB285" i="23"/>
  <c r="AC285" i="23" s="1"/>
  <c r="AB287" i="23"/>
  <c r="AC287" i="23" s="1"/>
  <c r="AB288" i="23"/>
  <c r="AC288" i="23" s="1"/>
  <c r="AB289" i="23"/>
  <c r="AC289" i="23" s="1"/>
  <c r="AB291" i="23"/>
  <c r="AC291" i="23" s="1"/>
  <c r="AB294" i="23"/>
  <c r="AC294" i="23" s="1"/>
  <c r="AB295" i="23"/>
  <c r="AC295" i="23" s="1"/>
  <c r="AB298" i="23"/>
  <c r="AC298" i="23" s="1"/>
  <c r="AB302" i="23"/>
  <c r="AC302" i="23" s="1"/>
  <c r="AB304" i="23"/>
  <c r="AC304" i="23" s="1"/>
  <c r="AB306" i="23"/>
  <c r="AC306" i="23" s="1"/>
  <c r="AB308" i="23"/>
  <c r="AC308" i="23" s="1"/>
  <c r="AB310" i="23"/>
  <c r="AC310" i="23" s="1"/>
  <c r="AB312" i="23"/>
  <c r="AC312" i="23" s="1"/>
  <c r="AB314" i="23"/>
  <c r="AC314" i="23" s="1"/>
  <c r="AB318" i="23"/>
  <c r="AC318" i="23" s="1"/>
  <c r="AB319" i="23"/>
  <c r="AC319" i="23" s="1"/>
  <c r="AB320" i="23"/>
  <c r="AC320" i="23" s="1"/>
  <c r="AB322" i="23"/>
  <c r="AC322" i="23" s="1"/>
  <c r="AB321" i="23"/>
  <c r="AC321" i="23" s="1"/>
  <c r="AB23" i="23"/>
  <c r="AC23" i="23" s="1"/>
  <c r="X24" i="23"/>
  <c r="Y24" i="23" s="1"/>
  <c r="X26" i="23"/>
  <c r="Y26" i="23" s="1"/>
  <c r="X27" i="23"/>
  <c r="Y27" i="23" s="1"/>
  <c r="X28" i="23"/>
  <c r="Y28" i="23" s="1"/>
  <c r="X25" i="23"/>
  <c r="Y25" i="23" s="1"/>
  <c r="X31" i="23"/>
  <c r="Y31" i="23" s="1"/>
  <c r="X32" i="23"/>
  <c r="Y32" i="23" s="1"/>
  <c r="X35" i="23"/>
  <c r="Y35" i="23" s="1"/>
  <c r="X38" i="23"/>
  <c r="Y38" i="23" s="1"/>
  <c r="X40" i="23"/>
  <c r="Y40" i="23" s="1"/>
  <c r="X41" i="23"/>
  <c r="Y41" i="23" s="1"/>
  <c r="X30" i="23"/>
  <c r="Y30" i="23" s="1"/>
  <c r="X34" i="23"/>
  <c r="Y34" i="23" s="1"/>
  <c r="X36" i="23"/>
  <c r="Y36" i="23" s="1"/>
  <c r="X39" i="23"/>
  <c r="Y39" i="23" s="1"/>
  <c r="X42" i="23"/>
  <c r="Y42" i="23" s="1"/>
  <c r="X43" i="23"/>
  <c r="Y43" i="23" s="1"/>
  <c r="X45" i="23"/>
  <c r="Y45" i="23" s="1"/>
  <c r="X46" i="23"/>
  <c r="Y46" i="23" s="1"/>
  <c r="X47" i="23"/>
  <c r="Y47" i="23" s="1"/>
  <c r="X49" i="23"/>
  <c r="Y49" i="23" s="1"/>
  <c r="X50" i="23"/>
  <c r="Y50" i="23" s="1"/>
  <c r="X52" i="23"/>
  <c r="Y52" i="23" s="1"/>
  <c r="X53" i="23"/>
  <c r="Y53" i="23" s="1"/>
  <c r="X54" i="23"/>
  <c r="Y54" i="23" s="1"/>
  <c r="X56" i="23"/>
  <c r="Y56" i="23" s="1"/>
  <c r="X60" i="23"/>
  <c r="Y60" i="23" s="1"/>
  <c r="X63" i="23"/>
  <c r="Y63" i="23" s="1"/>
  <c r="X65" i="23"/>
  <c r="Y65" i="23" s="1"/>
  <c r="X66" i="23"/>
  <c r="Y66" i="23" s="1"/>
  <c r="X67" i="23"/>
  <c r="Y67" i="23" s="1"/>
  <c r="X29" i="23"/>
  <c r="Y29" i="23" s="1"/>
  <c r="X37" i="23"/>
  <c r="Y37" i="23" s="1"/>
  <c r="X44" i="23"/>
  <c r="Y44" i="23" s="1"/>
  <c r="X55" i="23"/>
  <c r="Y55" i="23" s="1"/>
  <c r="X57" i="23"/>
  <c r="Y57" i="23" s="1"/>
  <c r="X59" i="23"/>
  <c r="Y59" i="23" s="1"/>
  <c r="X61" i="23"/>
  <c r="Y61" i="23" s="1"/>
  <c r="X64" i="23"/>
  <c r="Y64" i="23" s="1"/>
  <c r="X33" i="23"/>
  <c r="Y33" i="23" s="1"/>
  <c r="X48" i="23"/>
  <c r="Y48" i="23" s="1"/>
  <c r="X58" i="23"/>
  <c r="Y58" i="23" s="1"/>
  <c r="X62" i="23"/>
  <c r="Y62" i="23" s="1"/>
  <c r="X68" i="23"/>
  <c r="Y68" i="23" s="1"/>
  <c r="X69" i="23"/>
  <c r="Y69" i="23" s="1"/>
  <c r="X70" i="23"/>
  <c r="Y70" i="23" s="1"/>
  <c r="X71" i="23"/>
  <c r="Y71" i="23" s="1"/>
  <c r="X76" i="23"/>
  <c r="Y76" i="23" s="1"/>
  <c r="X77" i="23"/>
  <c r="Y77" i="23" s="1"/>
  <c r="X79" i="23"/>
  <c r="Y79" i="23" s="1"/>
  <c r="X81" i="23"/>
  <c r="Y81" i="23" s="1"/>
  <c r="X82" i="23"/>
  <c r="Y82" i="23" s="1"/>
  <c r="X85" i="23"/>
  <c r="Y85" i="23" s="1"/>
  <c r="X86" i="23"/>
  <c r="Y86" i="23" s="1"/>
  <c r="X87" i="23"/>
  <c r="Y87" i="23" s="1"/>
  <c r="X88" i="23"/>
  <c r="Y88" i="23" s="1"/>
  <c r="X96" i="23"/>
  <c r="Y96" i="23" s="1"/>
  <c r="X97" i="23"/>
  <c r="Y97" i="23" s="1"/>
  <c r="X100" i="23"/>
  <c r="Y100" i="23" s="1"/>
  <c r="X101" i="23"/>
  <c r="Y101" i="23" s="1"/>
  <c r="X104" i="23"/>
  <c r="Y104" i="23" s="1"/>
  <c r="X105" i="23"/>
  <c r="Y105" i="23" s="1"/>
  <c r="X108" i="23"/>
  <c r="Y108" i="23" s="1"/>
  <c r="X109" i="23"/>
  <c r="Y109" i="23" s="1"/>
  <c r="X110" i="23"/>
  <c r="Y110" i="23" s="1"/>
  <c r="X113" i="23"/>
  <c r="Y113" i="23" s="1"/>
  <c r="X114" i="23"/>
  <c r="Y114" i="23" s="1"/>
  <c r="X115" i="23"/>
  <c r="Y115" i="23" s="1"/>
  <c r="X117" i="23"/>
  <c r="Y117" i="23" s="1"/>
  <c r="X118" i="23"/>
  <c r="Y118" i="23" s="1"/>
  <c r="X121" i="23"/>
  <c r="Y121" i="23" s="1"/>
  <c r="X122" i="23"/>
  <c r="Y122" i="23" s="1"/>
  <c r="X51" i="23"/>
  <c r="Y51" i="23" s="1"/>
  <c r="X72" i="23"/>
  <c r="Y72" i="23" s="1"/>
  <c r="X73" i="23"/>
  <c r="Y73" i="23" s="1"/>
  <c r="X74" i="23"/>
  <c r="Y74" i="23" s="1"/>
  <c r="X75" i="23"/>
  <c r="Y75" i="23" s="1"/>
  <c r="X78" i="23"/>
  <c r="Y78" i="23" s="1"/>
  <c r="X80" i="23"/>
  <c r="Y80" i="23" s="1"/>
  <c r="X83" i="23"/>
  <c r="Y83" i="23" s="1"/>
  <c r="X84" i="23"/>
  <c r="Y84" i="23" s="1"/>
  <c r="X89" i="23"/>
  <c r="Y89" i="23" s="1"/>
  <c r="X90" i="23"/>
  <c r="Y90" i="23" s="1"/>
  <c r="X91" i="23"/>
  <c r="Y91" i="23" s="1"/>
  <c r="X94" i="23"/>
  <c r="Y94" i="23" s="1"/>
  <c r="X98" i="23"/>
  <c r="Y98" i="23" s="1"/>
  <c r="X99" i="23"/>
  <c r="Y99" i="23" s="1"/>
  <c r="X106" i="23"/>
  <c r="Y106" i="23" s="1"/>
  <c r="X107" i="23"/>
  <c r="Y107" i="23" s="1"/>
  <c r="X111" i="23"/>
  <c r="Y111" i="23" s="1"/>
  <c r="X112" i="23"/>
  <c r="Y112" i="23" s="1"/>
  <c r="X120" i="23"/>
  <c r="Y120" i="23" s="1"/>
  <c r="X124" i="23"/>
  <c r="Y124" i="23" s="1"/>
  <c r="X129" i="23"/>
  <c r="Y129" i="23" s="1"/>
  <c r="X130" i="23"/>
  <c r="Y130" i="23" s="1"/>
  <c r="X131" i="23"/>
  <c r="Y131" i="23" s="1"/>
  <c r="X133" i="23"/>
  <c r="Y133" i="23" s="1"/>
  <c r="X134" i="23"/>
  <c r="Y134" i="23" s="1"/>
  <c r="X137" i="23"/>
  <c r="Y137" i="23" s="1"/>
  <c r="X138" i="23"/>
  <c r="Y138" i="23" s="1"/>
  <c r="X139" i="23"/>
  <c r="Y139" i="23" s="1"/>
  <c r="X141" i="23"/>
  <c r="Y141" i="23" s="1"/>
  <c r="X142" i="23"/>
  <c r="Y142" i="23" s="1"/>
  <c r="X144" i="23"/>
  <c r="Y144" i="23" s="1"/>
  <c r="X146" i="23"/>
  <c r="Y146" i="23" s="1"/>
  <c r="X149" i="23"/>
  <c r="Y149" i="23" s="1"/>
  <c r="X150" i="23"/>
  <c r="Y150" i="23" s="1"/>
  <c r="X153" i="23"/>
  <c r="Y153" i="23" s="1"/>
  <c r="X154" i="23"/>
  <c r="Y154" i="23" s="1"/>
  <c r="X157" i="23"/>
  <c r="Y157" i="23" s="1"/>
  <c r="X158" i="23"/>
  <c r="Y158" i="23" s="1"/>
  <c r="X161" i="23"/>
  <c r="Y161" i="23" s="1"/>
  <c r="X162" i="23"/>
  <c r="Y162" i="23" s="1"/>
  <c r="X165" i="23"/>
  <c r="Y165" i="23" s="1"/>
  <c r="X166" i="23"/>
  <c r="Y166" i="23" s="1"/>
  <c r="X169" i="23"/>
  <c r="Y169" i="23" s="1"/>
  <c r="X170" i="23"/>
  <c r="Y170" i="23" s="1"/>
  <c r="X173" i="23"/>
  <c r="Y173" i="23" s="1"/>
  <c r="X174" i="23"/>
  <c r="Y174" i="23" s="1"/>
  <c r="X175" i="23"/>
  <c r="Y175" i="23" s="1"/>
  <c r="X95" i="23"/>
  <c r="Y95" i="23" s="1"/>
  <c r="X123" i="23"/>
  <c r="Y123" i="23" s="1"/>
  <c r="X125" i="23"/>
  <c r="Y125" i="23" s="1"/>
  <c r="X126" i="23"/>
  <c r="Y126" i="23" s="1"/>
  <c r="X127" i="23"/>
  <c r="Y127" i="23" s="1"/>
  <c r="X128" i="23"/>
  <c r="Y128" i="23" s="1"/>
  <c r="X136" i="23"/>
  <c r="Y136" i="23" s="1"/>
  <c r="X143" i="23"/>
  <c r="Y143" i="23" s="1"/>
  <c r="X145" i="23"/>
  <c r="Y145" i="23" s="1"/>
  <c r="X147" i="23"/>
  <c r="Y147" i="23" s="1"/>
  <c r="X151" i="23"/>
  <c r="Y151" i="23" s="1"/>
  <c r="X152" i="23"/>
  <c r="Y152" i="23" s="1"/>
  <c r="X159" i="23"/>
  <c r="Y159" i="23" s="1"/>
  <c r="X160" i="23"/>
  <c r="Y160" i="23" s="1"/>
  <c r="X167" i="23"/>
  <c r="Y167" i="23" s="1"/>
  <c r="X168" i="23"/>
  <c r="Y168" i="23" s="1"/>
  <c r="X176" i="23"/>
  <c r="Y176" i="23" s="1"/>
  <c r="X179" i="23"/>
  <c r="Y179" i="23" s="1"/>
  <c r="X181" i="23"/>
  <c r="Y181" i="23" s="1"/>
  <c r="X182" i="23"/>
  <c r="Y182" i="23" s="1"/>
  <c r="X183" i="23"/>
  <c r="Y183" i="23" s="1"/>
  <c r="X184" i="23"/>
  <c r="Y184" i="23" s="1"/>
  <c r="X185" i="23"/>
  <c r="Y185" i="23" s="1"/>
  <c r="X186" i="23"/>
  <c r="Y186" i="23" s="1"/>
  <c r="X187" i="23"/>
  <c r="Y187" i="23" s="1"/>
  <c r="X188" i="23"/>
  <c r="Y188" i="23" s="1"/>
  <c r="X189" i="23"/>
  <c r="Y189" i="23" s="1"/>
  <c r="X190" i="23"/>
  <c r="Y190" i="23" s="1"/>
  <c r="X199" i="23"/>
  <c r="Y199" i="23" s="1"/>
  <c r="X200" i="23"/>
  <c r="Y200" i="23" s="1"/>
  <c r="X201" i="23"/>
  <c r="Y201" i="23" s="1"/>
  <c r="X202" i="23"/>
  <c r="Y202" i="23" s="1"/>
  <c r="X204" i="23"/>
  <c r="Y204" i="23" s="1"/>
  <c r="X208" i="23"/>
  <c r="Y208" i="23" s="1"/>
  <c r="X92" i="23"/>
  <c r="Y92" i="23" s="1"/>
  <c r="X93" i="23"/>
  <c r="Y93" i="23" s="1"/>
  <c r="X103" i="23"/>
  <c r="Y103" i="23" s="1"/>
  <c r="X119" i="23"/>
  <c r="Y119" i="23" s="1"/>
  <c r="X140" i="23"/>
  <c r="Y140" i="23" s="1"/>
  <c r="X148" i="23"/>
  <c r="Y148" i="23" s="1"/>
  <c r="X163" i="23"/>
  <c r="Y163" i="23" s="1"/>
  <c r="X164" i="23"/>
  <c r="Y164" i="23" s="1"/>
  <c r="X177" i="23"/>
  <c r="Y177" i="23" s="1"/>
  <c r="X178" i="23"/>
  <c r="Y178" i="23" s="1"/>
  <c r="X191" i="23"/>
  <c r="Y191" i="23" s="1"/>
  <c r="X193" i="23"/>
  <c r="Y193" i="23" s="1"/>
  <c r="X194" i="23"/>
  <c r="Y194" i="23" s="1"/>
  <c r="X195" i="23"/>
  <c r="Y195" i="23" s="1"/>
  <c r="X197" i="23"/>
  <c r="Y197" i="23" s="1"/>
  <c r="X198" i="23"/>
  <c r="Y198" i="23" s="1"/>
  <c r="X203" i="23"/>
  <c r="Y203" i="23" s="1"/>
  <c r="X205" i="23"/>
  <c r="Y205" i="23" s="1"/>
  <c r="X207" i="23"/>
  <c r="Y207" i="23" s="1"/>
  <c r="X209" i="23"/>
  <c r="Y209" i="23" s="1"/>
  <c r="X211" i="23"/>
  <c r="Y211" i="23" s="1"/>
  <c r="X213" i="23"/>
  <c r="Y213" i="23" s="1"/>
  <c r="X214" i="23"/>
  <c r="Y214" i="23" s="1"/>
  <c r="X215" i="23"/>
  <c r="Y215" i="23" s="1"/>
  <c r="X216" i="23"/>
  <c r="Y216" i="23" s="1"/>
  <c r="X221" i="23"/>
  <c r="Y221" i="23" s="1"/>
  <c r="X222" i="23"/>
  <c r="Y222" i="23" s="1"/>
  <c r="X225" i="23"/>
  <c r="Y225" i="23" s="1"/>
  <c r="X227" i="23"/>
  <c r="Y227" i="23" s="1"/>
  <c r="X228" i="23"/>
  <c r="Y228" i="23" s="1"/>
  <c r="X229" i="23"/>
  <c r="Y229" i="23" s="1"/>
  <c r="X230" i="23"/>
  <c r="Y230" i="23" s="1"/>
  <c r="X232" i="23"/>
  <c r="Y232" i="23" s="1"/>
  <c r="X233" i="23"/>
  <c r="Y233" i="23" s="1"/>
  <c r="X234" i="23"/>
  <c r="Y234" i="23" s="1"/>
  <c r="X236" i="23"/>
  <c r="Y236" i="23" s="1"/>
  <c r="X237" i="23"/>
  <c r="Y237" i="23" s="1"/>
  <c r="X238" i="23"/>
  <c r="Y238" i="23" s="1"/>
  <c r="X239" i="23"/>
  <c r="Y239" i="23" s="1"/>
  <c r="X241" i="23"/>
  <c r="Y241" i="23" s="1"/>
  <c r="X244" i="23"/>
  <c r="Y244" i="23" s="1"/>
  <c r="X248" i="23"/>
  <c r="Y248" i="23" s="1"/>
  <c r="X251" i="23"/>
  <c r="Y251" i="23" s="1"/>
  <c r="X253" i="23"/>
  <c r="Y253" i="23" s="1"/>
  <c r="X256" i="23"/>
  <c r="Y256" i="23" s="1"/>
  <c r="X257" i="23"/>
  <c r="Y257" i="23" s="1"/>
  <c r="X260" i="23"/>
  <c r="Y260" i="23" s="1"/>
  <c r="X261" i="23"/>
  <c r="Y261" i="23" s="1"/>
  <c r="X262" i="23"/>
  <c r="Y262" i="23" s="1"/>
  <c r="X263" i="23"/>
  <c r="Y263" i="23" s="1"/>
  <c r="X265" i="23"/>
  <c r="Y265" i="23" s="1"/>
  <c r="X266" i="23"/>
  <c r="Y266" i="23" s="1"/>
  <c r="X270" i="23"/>
  <c r="Y270" i="23" s="1"/>
  <c r="X272" i="23"/>
  <c r="Y272" i="23" s="1"/>
  <c r="X273" i="23"/>
  <c r="Y273" i="23" s="1"/>
  <c r="X275" i="23"/>
  <c r="Y275" i="23" s="1"/>
  <c r="X276" i="23"/>
  <c r="Y276" i="23" s="1"/>
  <c r="X277" i="23"/>
  <c r="Y277" i="23" s="1"/>
  <c r="X278" i="23"/>
  <c r="Y278" i="23" s="1"/>
  <c r="X281" i="23"/>
  <c r="Y281" i="23" s="1"/>
  <c r="X282" i="23"/>
  <c r="Y282" i="23" s="1"/>
  <c r="X284" i="23"/>
  <c r="Y284" i="23" s="1"/>
  <c r="X287" i="23"/>
  <c r="Y287" i="23" s="1"/>
  <c r="X288" i="23"/>
  <c r="Y288" i="23" s="1"/>
  <c r="X291" i="23"/>
  <c r="Y291" i="23" s="1"/>
  <c r="X293" i="23"/>
  <c r="Y293" i="23" s="1"/>
  <c r="X294" i="23"/>
  <c r="Y294" i="23" s="1"/>
  <c r="X297" i="23"/>
  <c r="Y297" i="23" s="1"/>
  <c r="X298" i="23"/>
  <c r="Y298" i="23" s="1"/>
  <c r="X301" i="23"/>
  <c r="Y301" i="23" s="1"/>
  <c r="X302" i="23"/>
  <c r="Y302" i="23" s="1"/>
  <c r="X304" i="23"/>
  <c r="Y304" i="23" s="1"/>
  <c r="X305" i="23"/>
  <c r="Y305" i="23" s="1"/>
  <c r="X306" i="23"/>
  <c r="Y306" i="23" s="1"/>
  <c r="X308" i="23"/>
  <c r="Y308" i="23" s="1"/>
  <c r="X309" i="23"/>
  <c r="Y309" i="23" s="1"/>
  <c r="X310" i="23"/>
  <c r="Y310" i="23" s="1"/>
  <c r="X312" i="23"/>
  <c r="Y312" i="23" s="1"/>
  <c r="X313" i="23"/>
  <c r="Y313" i="23" s="1"/>
  <c r="X314" i="23"/>
  <c r="Y314" i="23" s="1"/>
  <c r="X102" i="23"/>
  <c r="Y102" i="23" s="1"/>
  <c r="X116" i="23"/>
  <c r="Y116" i="23" s="1"/>
  <c r="X132" i="23"/>
  <c r="Y132" i="23" s="1"/>
  <c r="X135" i="23"/>
  <c r="Y135" i="23" s="1"/>
  <c r="X155" i="23"/>
  <c r="Y155" i="23" s="1"/>
  <c r="X156" i="23"/>
  <c r="Y156" i="23" s="1"/>
  <c r="X171" i="23"/>
  <c r="Y171" i="23" s="1"/>
  <c r="X172" i="23"/>
  <c r="Y172" i="23" s="1"/>
  <c r="X180" i="23"/>
  <c r="Y180" i="23" s="1"/>
  <c r="X192" i="23"/>
  <c r="Y192" i="23" s="1"/>
  <c r="X196" i="23"/>
  <c r="Y196" i="23" s="1"/>
  <c r="X206" i="23"/>
  <c r="Y206" i="23" s="1"/>
  <c r="X210" i="23"/>
  <c r="Y210" i="23" s="1"/>
  <c r="X212" i="23"/>
  <c r="Y212" i="23" s="1"/>
  <c r="X217" i="23"/>
  <c r="Y217" i="23" s="1"/>
  <c r="X218" i="23"/>
  <c r="Y218" i="23" s="1"/>
  <c r="X219" i="23"/>
  <c r="Y219" i="23" s="1"/>
  <c r="X220" i="23"/>
  <c r="Y220" i="23" s="1"/>
  <c r="X223" i="23"/>
  <c r="Y223" i="23" s="1"/>
  <c r="X224" i="23"/>
  <c r="Y224" i="23" s="1"/>
  <c r="X226" i="23"/>
  <c r="Y226" i="23" s="1"/>
  <c r="X231" i="23"/>
  <c r="Y231" i="23" s="1"/>
  <c r="X235" i="23"/>
  <c r="Y235" i="23" s="1"/>
  <c r="X240" i="23"/>
  <c r="Y240" i="23" s="1"/>
  <c r="X242" i="23"/>
  <c r="Y242" i="23" s="1"/>
  <c r="X243" i="23"/>
  <c r="Y243" i="23" s="1"/>
  <c r="X245" i="23"/>
  <c r="Y245" i="23" s="1"/>
  <c r="X246" i="23"/>
  <c r="Y246" i="23" s="1"/>
  <c r="X247" i="23"/>
  <c r="Y247" i="23" s="1"/>
  <c r="X249" i="23"/>
  <c r="Y249" i="23" s="1"/>
  <c r="X250" i="23"/>
  <c r="Y250" i="23" s="1"/>
  <c r="X252" i="23"/>
  <c r="Y252" i="23" s="1"/>
  <c r="X254" i="23"/>
  <c r="Y254" i="23" s="1"/>
  <c r="X255" i="23"/>
  <c r="Y255" i="23" s="1"/>
  <c r="X258" i="23"/>
  <c r="Y258" i="23" s="1"/>
  <c r="X259" i="23"/>
  <c r="Y259" i="23" s="1"/>
  <c r="X264" i="23"/>
  <c r="Y264" i="23" s="1"/>
  <c r="X267" i="23"/>
  <c r="Y267" i="23" s="1"/>
  <c r="X268" i="23"/>
  <c r="Y268" i="23" s="1"/>
  <c r="X269" i="23"/>
  <c r="Y269" i="23" s="1"/>
  <c r="X271" i="23"/>
  <c r="Y271" i="23" s="1"/>
  <c r="X274" i="23"/>
  <c r="Y274" i="23" s="1"/>
  <c r="X279" i="23"/>
  <c r="Y279" i="23" s="1"/>
  <c r="X280" i="23"/>
  <c r="Y280" i="23" s="1"/>
  <c r="X283" i="23"/>
  <c r="Y283" i="23" s="1"/>
  <c r="X285" i="23"/>
  <c r="Y285" i="23" s="1"/>
  <c r="X286" i="23"/>
  <c r="Y286" i="23" s="1"/>
  <c r="X289" i="23"/>
  <c r="Y289" i="23" s="1"/>
  <c r="X290" i="23"/>
  <c r="Y290" i="23" s="1"/>
  <c r="X292" i="23"/>
  <c r="Y292" i="23" s="1"/>
  <c r="X295" i="23"/>
  <c r="Y295" i="23" s="1"/>
  <c r="X296" i="23"/>
  <c r="Y296" i="23" s="1"/>
  <c r="X299" i="23"/>
  <c r="Y299" i="23" s="1"/>
  <c r="X300" i="23"/>
  <c r="Y300" i="23" s="1"/>
  <c r="X303" i="23"/>
  <c r="Y303" i="23" s="1"/>
  <c r="X307" i="23"/>
  <c r="Y307" i="23" s="1"/>
  <c r="X311" i="23"/>
  <c r="Y311" i="23" s="1"/>
  <c r="X315" i="23"/>
  <c r="Y315" i="23" s="1"/>
  <c r="X316" i="23"/>
  <c r="Y316" i="23" s="1"/>
  <c r="X317" i="23"/>
  <c r="Y317" i="23" s="1"/>
  <c r="X319" i="23"/>
  <c r="Y319" i="23" s="1"/>
  <c r="X321" i="23"/>
  <c r="Y321" i="23" s="1"/>
  <c r="X318" i="23"/>
  <c r="Y318" i="23" s="1"/>
  <c r="X320" i="23"/>
  <c r="Y320" i="23" s="1"/>
  <c r="X322" i="23"/>
  <c r="Y322" i="23" s="1"/>
  <c r="X23" i="23"/>
  <c r="Y23" i="23" s="1"/>
  <c r="AF24" i="23"/>
  <c r="AG24" i="23" s="1"/>
  <c r="AF27" i="23"/>
  <c r="AG27" i="23" s="1"/>
  <c r="AF28" i="23"/>
  <c r="AG28" i="23" s="1"/>
  <c r="AF30" i="23"/>
  <c r="AG30" i="23" s="1"/>
  <c r="AF25" i="23"/>
  <c r="AG25" i="23" s="1"/>
  <c r="AF31" i="23"/>
  <c r="AG31" i="23" s="1"/>
  <c r="AF32" i="23"/>
  <c r="AG32" i="23" s="1"/>
  <c r="AF35" i="23"/>
  <c r="AG35" i="23" s="1"/>
  <c r="AF38" i="23"/>
  <c r="AG38" i="23" s="1"/>
  <c r="AF40" i="23"/>
  <c r="AG40" i="23" s="1"/>
  <c r="AF41" i="23"/>
  <c r="AG41" i="23" s="1"/>
  <c r="AF34" i="23"/>
  <c r="AG34" i="23" s="1"/>
  <c r="AF39" i="23"/>
  <c r="AG39" i="23" s="1"/>
  <c r="AF26" i="23"/>
  <c r="AG26" i="23" s="1"/>
  <c r="AF29" i="23"/>
  <c r="AG29" i="23" s="1"/>
  <c r="AF36" i="23"/>
  <c r="AG36" i="23" s="1"/>
  <c r="AF42" i="23"/>
  <c r="AG42" i="23" s="1"/>
  <c r="AF43" i="23"/>
  <c r="AG43" i="23" s="1"/>
  <c r="AF45" i="23"/>
  <c r="AG45" i="23" s="1"/>
  <c r="AF46" i="23"/>
  <c r="AG46" i="23" s="1"/>
  <c r="AF47" i="23"/>
  <c r="AG47" i="23" s="1"/>
  <c r="AF49" i="23"/>
  <c r="AG49" i="23" s="1"/>
  <c r="AF50" i="23"/>
  <c r="AG50" i="23" s="1"/>
  <c r="AF52" i="23"/>
  <c r="AG52" i="23" s="1"/>
  <c r="AF53" i="23"/>
  <c r="AG53" i="23" s="1"/>
  <c r="AF54" i="23"/>
  <c r="AG54" i="23" s="1"/>
  <c r="AF56" i="23"/>
  <c r="AG56" i="23" s="1"/>
  <c r="AF60" i="23"/>
  <c r="AG60" i="23" s="1"/>
  <c r="AF63" i="23"/>
  <c r="AG63" i="23" s="1"/>
  <c r="AF65" i="23"/>
  <c r="AG65" i="23" s="1"/>
  <c r="AF67" i="23"/>
  <c r="AG67" i="23" s="1"/>
  <c r="AF33" i="23"/>
  <c r="AG33" i="23" s="1"/>
  <c r="AF48" i="23"/>
  <c r="AG48" i="23" s="1"/>
  <c r="AF55" i="23"/>
  <c r="AG55" i="23" s="1"/>
  <c r="AF57" i="23"/>
  <c r="AG57" i="23" s="1"/>
  <c r="AF58" i="23"/>
  <c r="AG58" i="23" s="1"/>
  <c r="AF59" i="23"/>
  <c r="AG59" i="23" s="1"/>
  <c r="AF61" i="23"/>
  <c r="AG61" i="23" s="1"/>
  <c r="AF62" i="23"/>
  <c r="AG62" i="23" s="1"/>
  <c r="AF37" i="23"/>
  <c r="AG37" i="23" s="1"/>
  <c r="AF64" i="23"/>
  <c r="AG64" i="23" s="1"/>
  <c r="AF68" i="23"/>
  <c r="AG68" i="23" s="1"/>
  <c r="AF69" i="23"/>
  <c r="AG69" i="23" s="1"/>
  <c r="AF71" i="23"/>
  <c r="AG71" i="23" s="1"/>
  <c r="AF74" i="23"/>
  <c r="AG74" i="23" s="1"/>
  <c r="AF76" i="23"/>
  <c r="AG76" i="23" s="1"/>
  <c r="AF77" i="23"/>
  <c r="AG77" i="23" s="1"/>
  <c r="AF79" i="23"/>
  <c r="AG79" i="23" s="1"/>
  <c r="AF81" i="23"/>
  <c r="AG81" i="23" s="1"/>
  <c r="AF82" i="23"/>
  <c r="AG82" i="23" s="1"/>
  <c r="AF85" i="23"/>
  <c r="AG85" i="23" s="1"/>
  <c r="AF86" i="23"/>
  <c r="AG86" i="23" s="1"/>
  <c r="AF87" i="23"/>
  <c r="AG87" i="23" s="1"/>
  <c r="AF88" i="23"/>
  <c r="AG88" i="23" s="1"/>
  <c r="AF96" i="23"/>
  <c r="AG96" i="23" s="1"/>
  <c r="AF97" i="23"/>
  <c r="AG97" i="23" s="1"/>
  <c r="AF100" i="23"/>
  <c r="AG100" i="23" s="1"/>
  <c r="AF101" i="23"/>
  <c r="AG101" i="23" s="1"/>
  <c r="AF104" i="23"/>
  <c r="AG104" i="23" s="1"/>
  <c r="AF105" i="23"/>
  <c r="AG105" i="23" s="1"/>
  <c r="AF108" i="23"/>
  <c r="AG108" i="23" s="1"/>
  <c r="AF109" i="23"/>
  <c r="AG109" i="23" s="1"/>
  <c r="AF110" i="23"/>
  <c r="AG110" i="23" s="1"/>
  <c r="AF111" i="23"/>
  <c r="AG111" i="23" s="1"/>
  <c r="AF113" i="23"/>
  <c r="AG113" i="23" s="1"/>
  <c r="AF114" i="23"/>
  <c r="AG114" i="23" s="1"/>
  <c r="AF115" i="23"/>
  <c r="AG115" i="23" s="1"/>
  <c r="AF117" i="23"/>
  <c r="AG117" i="23" s="1"/>
  <c r="AF118" i="23"/>
  <c r="AG118" i="23" s="1"/>
  <c r="AF121" i="23"/>
  <c r="AG121" i="23" s="1"/>
  <c r="AF122" i="23"/>
  <c r="AG122" i="23" s="1"/>
  <c r="AF44" i="23"/>
  <c r="AG44" i="23" s="1"/>
  <c r="AF51" i="23"/>
  <c r="AG51" i="23" s="1"/>
  <c r="AF66" i="23"/>
  <c r="AG66" i="23" s="1"/>
  <c r="AF70" i="23"/>
  <c r="AG70" i="23" s="1"/>
  <c r="AF72" i="23"/>
  <c r="AG72" i="23" s="1"/>
  <c r="AF73" i="23"/>
  <c r="AG73" i="23" s="1"/>
  <c r="AF75" i="23"/>
  <c r="AG75" i="23" s="1"/>
  <c r="AF78" i="23"/>
  <c r="AG78" i="23" s="1"/>
  <c r="AF80" i="23"/>
  <c r="AG80" i="23" s="1"/>
  <c r="AF83" i="23"/>
  <c r="AG83" i="23" s="1"/>
  <c r="AF84" i="23"/>
  <c r="AG84" i="23" s="1"/>
  <c r="AF89" i="23"/>
  <c r="AG89" i="23" s="1"/>
  <c r="AF90" i="23"/>
  <c r="AG90" i="23" s="1"/>
  <c r="AF94" i="23"/>
  <c r="AG94" i="23" s="1"/>
  <c r="AF95" i="23"/>
  <c r="AG95" i="23" s="1"/>
  <c r="AF102" i="23"/>
  <c r="AG102" i="23" s="1"/>
  <c r="AF103" i="23"/>
  <c r="AG103" i="23" s="1"/>
  <c r="AF112" i="23"/>
  <c r="AG112" i="23" s="1"/>
  <c r="AF120" i="23"/>
  <c r="AG120" i="23" s="1"/>
  <c r="AF124" i="23"/>
  <c r="AG124" i="23" s="1"/>
  <c r="AF129" i="23"/>
  <c r="AG129" i="23" s="1"/>
  <c r="AF130" i="23"/>
  <c r="AG130" i="23" s="1"/>
  <c r="AF131" i="23"/>
  <c r="AG131" i="23" s="1"/>
  <c r="AF133" i="23"/>
  <c r="AG133" i="23" s="1"/>
  <c r="AF134" i="23"/>
  <c r="AG134" i="23" s="1"/>
  <c r="AF137" i="23"/>
  <c r="AG137" i="23" s="1"/>
  <c r="AF138" i="23"/>
  <c r="AG138" i="23" s="1"/>
  <c r="AF139" i="23"/>
  <c r="AG139" i="23" s="1"/>
  <c r="AF141" i="23"/>
  <c r="AG141" i="23" s="1"/>
  <c r="AF142" i="23"/>
  <c r="AG142" i="23" s="1"/>
  <c r="AF144" i="23"/>
  <c r="AG144" i="23" s="1"/>
  <c r="AF146" i="23"/>
  <c r="AG146" i="23" s="1"/>
  <c r="AF148" i="23"/>
  <c r="AG148" i="23" s="1"/>
  <c r="AF149" i="23"/>
  <c r="AG149" i="23" s="1"/>
  <c r="AF150" i="23"/>
  <c r="AG150" i="23" s="1"/>
  <c r="AF153" i="23"/>
  <c r="AG153" i="23" s="1"/>
  <c r="AF154" i="23"/>
  <c r="AG154" i="23" s="1"/>
  <c r="AF157" i="23"/>
  <c r="AG157" i="23" s="1"/>
  <c r="AF158" i="23"/>
  <c r="AG158" i="23" s="1"/>
  <c r="AF161" i="23"/>
  <c r="AG161" i="23" s="1"/>
  <c r="AF162" i="23"/>
  <c r="AG162" i="23" s="1"/>
  <c r="AF165" i="23"/>
  <c r="AG165" i="23" s="1"/>
  <c r="AF166" i="23"/>
  <c r="AG166" i="23" s="1"/>
  <c r="AF169" i="23"/>
  <c r="AG169" i="23" s="1"/>
  <c r="AF170" i="23"/>
  <c r="AG170" i="23" s="1"/>
  <c r="AF173" i="23"/>
  <c r="AG173" i="23" s="1"/>
  <c r="AF174" i="23"/>
  <c r="AG174" i="23" s="1"/>
  <c r="AF92" i="23"/>
  <c r="AG92" i="23" s="1"/>
  <c r="AF98" i="23"/>
  <c r="AG98" i="23" s="1"/>
  <c r="AF99" i="23"/>
  <c r="AG99" i="23" s="1"/>
  <c r="AF116" i="23"/>
  <c r="AG116" i="23" s="1"/>
  <c r="AF123" i="23"/>
  <c r="AG123" i="23" s="1"/>
  <c r="AF125" i="23"/>
  <c r="AG125" i="23" s="1"/>
  <c r="AF126" i="23"/>
  <c r="AG126" i="23" s="1"/>
  <c r="AF127" i="23"/>
  <c r="AG127" i="23" s="1"/>
  <c r="AF128" i="23"/>
  <c r="AG128" i="23" s="1"/>
  <c r="AF136" i="23"/>
  <c r="AG136" i="23" s="1"/>
  <c r="AF143" i="23"/>
  <c r="AG143" i="23" s="1"/>
  <c r="AF145" i="23"/>
  <c r="AG145" i="23" s="1"/>
  <c r="AF147" i="23"/>
  <c r="AG147" i="23" s="1"/>
  <c r="AF151" i="23"/>
  <c r="AG151" i="23" s="1"/>
  <c r="AF152" i="23"/>
  <c r="AG152" i="23" s="1"/>
  <c r="AF159" i="23"/>
  <c r="AG159" i="23" s="1"/>
  <c r="AF160" i="23"/>
  <c r="AG160" i="23" s="1"/>
  <c r="AF167" i="23"/>
  <c r="AG167" i="23" s="1"/>
  <c r="AF168" i="23"/>
  <c r="AG168" i="23" s="1"/>
  <c r="AF176" i="23"/>
  <c r="AG176" i="23" s="1"/>
  <c r="AF179" i="23"/>
  <c r="AG179" i="23" s="1"/>
  <c r="AF181" i="23"/>
  <c r="AG181" i="23" s="1"/>
  <c r="AF182" i="23"/>
  <c r="AG182" i="23" s="1"/>
  <c r="AF183" i="23"/>
  <c r="AG183" i="23" s="1"/>
  <c r="AF184" i="23"/>
  <c r="AG184" i="23" s="1"/>
  <c r="AF185" i="23"/>
  <c r="AG185" i="23" s="1"/>
  <c r="AF186" i="23"/>
  <c r="AG186" i="23" s="1"/>
  <c r="AF187" i="23"/>
  <c r="AG187" i="23" s="1"/>
  <c r="AF188" i="23"/>
  <c r="AG188" i="23" s="1"/>
  <c r="AF189" i="23"/>
  <c r="AG189" i="23" s="1"/>
  <c r="AF190" i="23"/>
  <c r="AG190" i="23" s="1"/>
  <c r="AF199" i="23"/>
  <c r="AG199" i="23" s="1"/>
  <c r="AF200" i="23"/>
  <c r="AG200" i="23" s="1"/>
  <c r="AF201" i="23"/>
  <c r="AG201" i="23" s="1"/>
  <c r="AF202" i="23"/>
  <c r="AG202" i="23" s="1"/>
  <c r="AF206" i="23"/>
  <c r="AG206" i="23" s="1"/>
  <c r="AF210" i="23"/>
  <c r="AG210" i="23" s="1"/>
  <c r="AF212" i="23"/>
  <c r="AG212" i="23" s="1"/>
  <c r="AF91" i="23"/>
  <c r="AG91" i="23" s="1"/>
  <c r="AF106" i="23"/>
  <c r="AG106" i="23" s="1"/>
  <c r="AF132" i="23"/>
  <c r="AG132" i="23" s="1"/>
  <c r="AF156" i="23"/>
  <c r="AG156" i="23" s="1"/>
  <c r="AF163" i="23"/>
  <c r="AG163" i="23" s="1"/>
  <c r="AF172" i="23"/>
  <c r="AG172" i="23" s="1"/>
  <c r="AF175" i="23"/>
  <c r="AG175" i="23" s="1"/>
  <c r="AF177" i="23"/>
  <c r="AG177" i="23" s="1"/>
  <c r="AF178" i="23"/>
  <c r="AG178" i="23" s="1"/>
  <c r="AF194" i="23"/>
  <c r="AG194" i="23" s="1"/>
  <c r="AF198" i="23"/>
  <c r="AG198" i="23" s="1"/>
  <c r="AF204" i="23"/>
  <c r="AG204" i="23" s="1"/>
  <c r="AF208" i="23"/>
  <c r="AG208" i="23" s="1"/>
  <c r="AF211" i="23"/>
  <c r="AG211" i="23" s="1"/>
  <c r="AF213" i="23"/>
  <c r="AG213" i="23" s="1"/>
  <c r="AF214" i="23"/>
  <c r="AG214" i="23" s="1"/>
  <c r="AF215" i="23"/>
  <c r="AG215" i="23" s="1"/>
  <c r="AF216" i="23"/>
  <c r="AG216" i="23" s="1"/>
  <c r="AF221" i="23"/>
  <c r="AG221" i="23" s="1"/>
  <c r="AF222" i="23"/>
  <c r="AG222" i="23" s="1"/>
  <c r="AF225" i="23"/>
  <c r="AG225" i="23" s="1"/>
  <c r="AF227" i="23"/>
  <c r="AG227" i="23" s="1"/>
  <c r="AF228" i="23"/>
  <c r="AG228" i="23" s="1"/>
  <c r="AF229" i="23"/>
  <c r="AG229" i="23" s="1"/>
  <c r="AF230" i="23"/>
  <c r="AG230" i="23" s="1"/>
  <c r="AF232" i="23"/>
  <c r="AG232" i="23" s="1"/>
  <c r="AF233" i="23"/>
  <c r="AG233" i="23" s="1"/>
  <c r="AF234" i="23"/>
  <c r="AG234" i="23" s="1"/>
  <c r="AF236" i="23"/>
  <c r="AG236" i="23" s="1"/>
  <c r="AF237" i="23"/>
  <c r="AG237" i="23" s="1"/>
  <c r="AF238" i="23"/>
  <c r="AG238" i="23" s="1"/>
  <c r="AF239" i="23"/>
  <c r="AG239" i="23" s="1"/>
  <c r="AF241" i="23"/>
  <c r="AG241" i="23" s="1"/>
  <c r="AF244" i="23"/>
  <c r="AG244" i="23" s="1"/>
  <c r="AF248" i="23"/>
  <c r="AG248" i="23" s="1"/>
  <c r="AF250" i="23"/>
  <c r="AG250" i="23" s="1"/>
  <c r="AF251" i="23"/>
  <c r="AG251" i="23" s="1"/>
  <c r="AF253" i="23"/>
  <c r="AG253" i="23" s="1"/>
  <c r="AF256" i="23"/>
  <c r="AG256" i="23" s="1"/>
  <c r="AF257" i="23"/>
  <c r="AG257" i="23" s="1"/>
  <c r="AF260" i="23"/>
  <c r="AG260" i="23" s="1"/>
  <c r="AF261" i="23"/>
  <c r="AG261" i="23" s="1"/>
  <c r="AF262" i="23"/>
  <c r="AG262" i="23" s="1"/>
  <c r="AF263" i="23"/>
  <c r="AG263" i="23" s="1"/>
  <c r="AF265" i="23"/>
  <c r="AG265" i="23" s="1"/>
  <c r="AF266" i="23"/>
  <c r="AG266" i="23" s="1"/>
  <c r="AF269" i="23"/>
  <c r="AG269" i="23" s="1"/>
  <c r="AF270" i="23"/>
  <c r="AG270" i="23" s="1"/>
  <c r="AF272" i="23"/>
  <c r="AG272" i="23" s="1"/>
  <c r="AF275" i="23"/>
  <c r="AG275" i="23" s="1"/>
  <c r="AF276" i="23"/>
  <c r="AG276" i="23" s="1"/>
  <c r="AF277" i="23"/>
  <c r="AG277" i="23" s="1"/>
  <c r="AF278" i="23"/>
  <c r="AG278" i="23" s="1"/>
  <c r="AF281" i="23"/>
  <c r="AG281" i="23" s="1"/>
  <c r="AF282" i="23"/>
  <c r="AG282" i="23" s="1"/>
  <c r="AF283" i="23"/>
  <c r="AG283" i="23" s="1"/>
  <c r="AF284" i="23"/>
  <c r="AG284" i="23" s="1"/>
  <c r="AF287" i="23"/>
  <c r="AG287" i="23" s="1"/>
  <c r="AF288" i="23"/>
  <c r="AG288" i="23" s="1"/>
  <c r="AF293" i="23"/>
  <c r="AG293" i="23" s="1"/>
  <c r="AF294" i="23"/>
  <c r="AG294" i="23" s="1"/>
  <c r="AF297" i="23"/>
  <c r="AG297" i="23" s="1"/>
  <c r="AF298" i="23"/>
  <c r="AG298" i="23" s="1"/>
  <c r="AF301" i="23"/>
  <c r="AG301" i="23" s="1"/>
  <c r="AF302" i="23"/>
  <c r="AG302" i="23" s="1"/>
  <c r="AF304" i="23"/>
  <c r="AG304" i="23" s="1"/>
  <c r="AF305" i="23"/>
  <c r="AG305" i="23" s="1"/>
  <c r="AF306" i="23"/>
  <c r="AG306" i="23" s="1"/>
  <c r="AF308" i="23"/>
  <c r="AG308" i="23" s="1"/>
  <c r="AF309" i="23"/>
  <c r="AG309" i="23" s="1"/>
  <c r="AF310" i="23"/>
  <c r="AG310" i="23" s="1"/>
  <c r="AF312" i="23"/>
  <c r="AG312" i="23" s="1"/>
  <c r="AF313" i="23"/>
  <c r="AG313" i="23" s="1"/>
  <c r="AF314" i="23"/>
  <c r="AG314" i="23" s="1"/>
  <c r="AF93" i="23"/>
  <c r="AG93" i="23" s="1"/>
  <c r="AF107" i="23"/>
  <c r="AG107" i="23" s="1"/>
  <c r="AF119" i="23"/>
  <c r="AG119" i="23" s="1"/>
  <c r="AF135" i="23"/>
  <c r="AG135" i="23" s="1"/>
  <c r="AF140" i="23"/>
  <c r="AG140" i="23" s="1"/>
  <c r="AF155" i="23"/>
  <c r="AG155" i="23" s="1"/>
  <c r="AF164" i="23"/>
  <c r="AG164" i="23" s="1"/>
  <c r="AF171" i="23"/>
  <c r="AG171" i="23" s="1"/>
  <c r="AF180" i="23"/>
  <c r="AG180" i="23" s="1"/>
  <c r="AF191" i="23"/>
  <c r="AG191" i="23" s="1"/>
  <c r="AF192" i="23"/>
  <c r="AG192" i="23" s="1"/>
  <c r="AF193" i="23"/>
  <c r="AG193" i="23" s="1"/>
  <c r="AF195" i="23"/>
  <c r="AG195" i="23" s="1"/>
  <c r="AF196" i="23"/>
  <c r="AG196" i="23" s="1"/>
  <c r="AF197" i="23"/>
  <c r="AG197" i="23" s="1"/>
  <c r="AF203" i="23"/>
  <c r="AG203" i="23" s="1"/>
  <c r="AF205" i="23"/>
  <c r="AG205" i="23" s="1"/>
  <c r="AF207" i="23"/>
  <c r="AG207" i="23" s="1"/>
  <c r="AF209" i="23"/>
  <c r="AG209" i="23" s="1"/>
  <c r="AF217" i="23"/>
  <c r="AG217" i="23" s="1"/>
  <c r="AF218" i="23"/>
  <c r="AG218" i="23" s="1"/>
  <c r="AF219" i="23"/>
  <c r="AG219" i="23" s="1"/>
  <c r="AF220" i="23"/>
  <c r="AG220" i="23" s="1"/>
  <c r="AF223" i="23"/>
  <c r="AG223" i="23" s="1"/>
  <c r="AF224" i="23"/>
  <c r="AG224" i="23" s="1"/>
  <c r="AF226" i="23"/>
  <c r="AG226" i="23" s="1"/>
  <c r="AF231" i="23"/>
  <c r="AG231" i="23" s="1"/>
  <c r="AF235" i="23"/>
  <c r="AG235" i="23" s="1"/>
  <c r="AF240" i="23"/>
  <c r="AG240" i="23" s="1"/>
  <c r="AF242" i="23"/>
  <c r="AG242" i="23" s="1"/>
  <c r="AF243" i="23"/>
  <c r="AG243" i="23" s="1"/>
  <c r="AF245" i="23"/>
  <c r="AG245" i="23" s="1"/>
  <c r="AF246" i="23"/>
  <c r="AG246" i="23" s="1"/>
  <c r="AF247" i="23"/>
  <c r="AG247" i="23" s="1"/>
  <c r="AF249" i="23"/>
  <c r="AG249" i="23" s="1"/>
  <c r="AF252" i="23"/>
  <c r="AG252" i="23" s="1"/>
  <c r="AF254" i="23"/>
  <c r="AG254" i="23" s="1"/>
  <c r="AF255" i="23"/>
  <c r="AG255" i="23" s="1"/>
  <c r="AF258" i="23"/>
  <c r="AG258" i="23" s="1"/>
  <c r="AF259" i="23"/>
  <c r="AG259" i="23" s="1"/>
  <c r="AF264" i="23"/>
  <c r="AG264" i="23" s="1"/>
  <c r="AF267" i="23"/>
  <c r="AG267" i="23" s="1"/>
  <c r="AF268" i="23"/>
  <c r="AG268" i="23" s="1"/>
  <c r="AF271" i="23"/>
  <c r="AG271" i="23" s="1"/>
  <c r="AF273" i="23"/>
  <c r="AG273" i="23" s="1"/>
  <c r="AF274" i="23"/>
  <c r="AG274" i="23" s="1"/>
  <c r="AF279" i="23"/>
  <c r="AG279" i="23" s="1"/>
  <c r="AF280" i="23"/>
  <c r="AG280" i="23" s="1"/>
  <c r="AF285" i="23"/>
  <c r="AG285" i="23" s="1"/>
  <c r="AF286" i="23"/>
  <c r="AG286" i="23" s="1"/>
  <c r="AF289" i="23"/>
  <c r="AG289" i="23" s="1"/>
  <c r="AF290" i="23"/>
  <c r="AG290" i="23" s="1"/>
  <c r="AF291" i="23"/>
  <c r="AG291" i="23" s="1"/>
  <c r="AF292" i="23"/>
  <c r="AG292" i="23" s="1"/>
  <c r="AF295" i="23"/>
  <c r="AG295" i="23" s="1"/>
  <c r="AF296" i="23"/>
  <c r="AG296" i="23" s="1"/>
  <c r="AF299" i="23"/>
  <c r="AG299" i="23" s="1"/>
  <c r="AF300" i="23"/>
  <c r="AG300" i="23" s="1"/>
  <c r="AF303" i="23"/>
  <c r="AG303" i="23" s="1"/>
  <c r="AF307" i="23"/>
  <c r="AG307" i="23" s="1"/>
  <c r="AF311" i="23"/>
  <c r="AG311" i="23" s="1"/>
  <c r="AF315" i="23"/>
  <c r="AG315" i="23" s="1"/>
  <c r="AF316" i="23"/>
  <c r="AG316" i="23" s="1"/>
  <c r="AF317" i="23"/>
  <c r="AG317" i="23" s="1"/>
  <c r="AF319" i="23"/>
  <c r="AG319" i="23" s="1"/>
  <c r="AF321" i="23"/>
  <c r="AG321" i="23" s="1"/>
  <c r="AF320" i="23"/>
  <c r="AG320" i="23" s="1"/>
  <c r="AF23" i="23"/>
  <c r="AG23" i="23" s="1"/>
  <c r="AF318" i="23"/>
  <c r="AG318" i="23" s="1"/>
  <c r="AF322" i="23"/>
  <c r="AG322" i="23" s="1"/>
  <c r="E24" i="23"/>
  <c r="F24" i="23" s="1"/>
  <c r="G24" i="23" s="1"/>
  <c r="H24" i="23" s="1"/>
  <c r="E28" i="23"/>
  <c r="F28" i="23" s="1"/>
  <c r="G28" i="23" s="1"/>
  <c r="H28" i="23" s="1"/>
  <c r="E25" i="23"/>
  <c r="F25" i="23" s="1"/>
  <c r="G25" i="23" s="1"/>
  <c r="H25" i="23" s="1"/>
  <c r="E26" i="23"/>
  <c r="F26" i="23" s="1"/>
  <c r="G26" i="23" s="1"/>
  <c r="H26" i="23" s="1"/>
  <c r="E27" i="23"/>
  <c r="F27" i="23" s="1"/>
  <c r="G27" i="23" s="1"/>
  <c r="H27" i="23" s="1"/>
  <c r="E32" i="23"/>
  <c r="F32" i="23" s="1"/>
  <c r="G32" i="23" s="1"/>
  <c r="H32" i="23" s="1"/>
  <c r="E36" i="23"/>
  <c r="F36" i="23" s="1"/>
  <c r="G36" i="23" s="1"/>
  <c r="H36" i="23" s="1"/>
  <c r="E39" i="23"/>
  <c r="F39" i="23" s="1"/>
  <c r="G39" i="23" s="1"/>
  <c r="H39" i="23" s="1"/>
  <c r="E41" i="23"/>
  <c r="F41" i="23" s="1"/>
  <c r="G41" i="23" s="1"/>
  <c r="H41" i="23" s="1"/>
  <c r="E42" i="23"/>
  <c r="F42" i="23" s="1"/>
  <c r="G42" i="23" s="1"/>
  <c r="H42" i="23" s="1"/>
  <c r="E29" i="23"/>
  <c r="F29" i="23" s="1"/>
  <c r="G29" i="23" s="1"/>
  <c r="H29" i="23" s="1"/>
  <c r="E30" i="23"/>
  <c r="F30" i="23" s="1"/>
  <c r="G30" i="23" s="1"/>
  <c r="H30" i="23" s="1"/>
  <c r="E31" i="23"/>
  <c r="F31" i="23" s="1"/>
  <c r="G31" i="23" s="1"/>
  <c r="H31" i="23" s="1"/>
  <c r="E37" i="23"/>
  <c r="F37" i="23" s="1"/>
  <c r="G37" i="23" s="1"/>
  <c r="H37" i="23" s="1"/>
  <c r="E40" i="23"/>
  <c r="F40" i="23" s="1"/>
  <c r="G40" i="23" s="1"/>
  <c r="H40" i="23" s="1"/>
  <c r="E33" i="23"/>
  <c r="F33" i="23" s="1"/>
  <c r="G33" i="23" s="1"/>
  <c r="H33" i="23" s="1"/>
  <c r="E34" i="23"/>
  <c r="F34" i="23" s="1"/>
  <c r="G34" i="23" s="1"/>
  <c r="H34" i="23" s="1"/>
  <c r="E35" i="23"/>
  <c r="F35" i="23" s="1"/>
  <c r="G35" i="23" s="1"/>
  <c r="H35" i="23" s="1"/>
  <c r="E38" i="23"/>
  <c r="F38" i="23" s="1"/>
  <c r="G38" i="23" s="1"/>
  <c r="H38" i="23" s="1"/>
  <c r="E44" i="23"/>
  <c r="F44" i="23" s="1"/>
  <c r="G44" i="23" s="1"/>
  <c r="H44" i="23" s="1"/>
  <c r="E45" i="23"/>
  <c r="F45" i="23" s="1"/>
  <c r="G45" i="23" s="1"/>
  <c r="H45" i="23" s="1"/>
  <c r="E46" i="23"/>
  <c r="F46" i="23" s="1"/>
  <c r="G46" i="23" s="1"/>
  <c r="H46" i="23" s="1"/>
  <c r="E48" i="23"/>
  <c r="F48" i="23" s="1"/>
  <c r="G48" i="23" s="1"/>
  <c r="H48" i="23" s="1"/>
  <c r="E49" i="23"/>
  <c r="F49" i="23" s="1"/>
  <c r="G49" i="23" s="1"/>
  <c r="H49" i="23" s="1"/>
  <c r="E50" i="23"/>
  <c r="F50" i="23" s="1"/>
  <c r="G50" i="23" s="1"/>
  <c r="H50" i="23" s="1"/>
  <c r="E51" i="23"/>
  <c r="F51" i="23" s="1"/>
  <c r="G51" i="23" s="1"/>
  <c r="H51" i="23" s="1"/>
  <c r="E54" i="23"/>
  <c r="F54" i="23" s="1"/>
  <c r="G54" i="23" s="1"/>
  <c r="H54" i="23" s="1"/>
  <c r="E55" i="23"/>
  <c r="F55" i="23" s="1"/>
  <c r="G55" i="23" s="1"/>
  <c r="H55" i="23" s="1"/>
  <c r="E59" i="23"/>
  <c r="F59" i="23" s="1"/>
  <c r="G59" i="23" s="1"/>
  <c r="H59" i="23" s="1"/>
  <c r="E64" i="23"/>
  <c r="F64" i="23" s="1"/>
  <c r="G64" i="23" s="1"/>
  <c r="H64" i="23" s="1"/>
  <c r="E65" i="23"/>
  <c r="F65" i="23" s="1"/>
  <c r="G65" i="23" s="1"/>
  <c r="H65" i="23" s="1"/>
  <c r="E66" i="23"/>
  <c r="F66" i="23" s="1"/>
  <c r="G66" i="23" s="1"/>
  <c r="H66" i="23" s="1"/>
  <c r="E47" i="23"/>
  <c r="F47" i="23" s="1"/>
  <c r="G47" i="23" s="1"/>
  <c r="H47" i="23" s="1"/>
  <c r="E53" i="23"/>
  <c r="F53" i="23" s="1"/>
  <c r="G53" i="23" s="1"/>
  <c r="H53" i="23" s="1"/>
  <c r="E56" i="23"/>
  <c r="F56" i="23" s="1"/>
  <c r="G56" i="23" s="1"/>
  <c r="H56" i="23" s="1"/>
  <c r="E58" i="23"/>
  <c r="F58" i="23" s="1"/>
  <c r="G58" i="23" s="1"/>
  <c r="H58" i="23" s="1"/>
  <c r="E60" i="23"/>
  <c r="F60" i="23" s="1"/>
  <c r="G60" i="23" s="1"/>
  <c r="H60" i="23" s="1"/>
  <c r="E62" i="23"/>
  <c r="F62" i="23" s="1"/>
  <c r="G62" i="23" s="1"/>
  <c r="H62" i="23" s="1"/>
  <c r="E67" i="23"/>
  <c r="F67" i="23" s="1"/>
  <c r="G67" i="23" s="1"/>
  <c r="H67" i="23" s="1"/>
  <c r="E52" i="23"/>
  <c r="F52" i="23" s="1"/>
  <c r="G52" i="23" s="1"/>
  <c r="H52" i="23" s="1"/>
  <c r="E63" i="23"/>
  <c r="F63" i="23" s="1"/>
  <c r="G63" i="23" s="1"/>
  <c r="H63" i="23" s="1"/>
  <c r="E70" i="23"/>
  <c r="F70" i="23" s="1"/>
  <c r="G70" i="23" s="1"/>
  <c r="H70" i="23" s="1"/>
  <c r="E72" i="23"/>
  <c r="F72" i="23" s="1"/>
  <c r="G72" i="23" s="1"/>
  <c r="H72" i="23" s="1"/>
  <c r="E73" i="23"/>
  <c r="F73" i="23" s="1"/>
  <c r="G73" i="23" s="1"/>
  <c r="H73" i="23" s="1"/>
  <c r="E75" i="23"/>
  <c r="F75" i="23" s="1"/>
  <c r="G75" i="23" s="1"/>
  <c r="H75" i="23" s="1"/>
  <c r="E78" i="23"/>
  <c r="F78" i="23" s="1"/>
  <c r="G78" i="23" s="1"/>
  <c r="H78" i="23" s="1"/>
  <c r="E80" i="23"/>
  <c r="F80" i="23" s="1"/>
  <c r="G80" i="23" s="1"/>
  <c r="H80" i="23" s="1"/>
  <c r="E82" i="23"/>
  <c r="F82" i="23" s="1"/>
  <c r="G82" i="23" s="1"/>
  <c r="H82" i="23" s="1"/>
  <c r="E83" i="23"/>
  <c r="F83" i="23" s="1"/>
  <c r="G83" i="23" s="1"/>
  <c r="H83" i="23" s="1"/>
  <c r="E86" i="23"/>
  <c r="F86" i="23" s="1"/>
  <c r="G86" i="23" s="1"/>
  <c r="H86" i="23" s="1"/>
  <c r="E87" i="23"/>
  <c r="F87" i="23" s="1"/>
  <c r="G87" i="23" s="1"/>
  <c r="H87" i="23" s="1"/>
  <c r="E88" i="23"/>
  <c r="F88" i="23" s="1"/>
  <c r="G88" i="23" s="1"/>
  <c r="H88" i="23" s="1"/>
  <c r="E89" i="23"/>
  <c r="F89" i="23" s="1"/>
  <c r="G89" i="23" s="1"/>
  <c r="H89" i="23" s="1"/>
  <c r="E95" i="23"/>
  <c r="F95" i="23" s="1"/>
  <c r="G95" i="23" s="1"/>
  <c r="H95" i="23" s="1"/>
  <c r="E96" i="23"/>
  <c r="F96" i="23" s="1"/>
  <c r="G96" i="23" s="1"/>
  <c r="H96" i="23" s="1"/>
  <c r="E99" i="23"/>
  <c r="F99" i="23" s="1"/>
  <c r="G99" i="23" s="1"/>
  <c r="H99" i="23" s="1"/>
  <c r="E100" i="23"/>
  <c r="F100" i="23" s="1"/>
  <c r="G100" i="23" s="1"/>
  <c r="H100" i="23" s="1"/>
  <c r="E103" i="23"/>
  <c r="F103" i="23" s="1"/>
  <c r="G103" i="23" s="1"/>
  <c r="H103" i="23" s="1"/>
  <c r="E104" i="23"/>
  <c r="F104" i="23" s="1"/>
  <c r="G104" i="23" s="1"/>
  <c r="H104" i="23" s="1"/>
  <c r="E107" i="23"/>
  <c r="F107" i="23" s="1"/>
  <c r="G107" i="23" s="1"/>
  <c r="H107" i="23" s="1"/>
  <c r="E108" i="23"/>
  <c r="F108" i="23" s="1"/>
  <c r="G108" i="23" s="1"/>
  <c r="H108" i="23" s="1"/>
  <c r="E114" i="23"/>
  <c r="F114" i="23" s="1"/>
  <c r="G114" i="23" s="1"/>
  <c r="H114" i="23" s="1"/>
  <c r="E115" i="23"/>
  <c r="F115" i="23" s="1"/>
  <c r="G115" i="23" s="1"/>
  <c r="H115" i="23" s="1"/>
  <c r="E116" i="23"/>
  <c r="F116" i="23" s="1"/>
  <c r="G116" i="23" s="1"/>
  <c r="H116" i="23" s="1"/>
  <c r="E118" i="23"/>
  <c r="F118" i="23" s="1"/>
  <c r="G118" i="23" s="1"/>
  <c r="H118" i="23" s="1"/>
  <c r="E119" i="23"/>
  <c r="F119" i="23" s="1"/>
  <c r="G119" i="23" s="1"/>
  <c r="H119" i="23" s="1"/>
  <c r="E122" i="23"/>
  <c r="F122" i="23" s="1"/>
  <c r="G122" i="23" s="1"/>
  <c r="H122" i="23" s="1"/>
  <c r="E123" i="23"/>
  <c r="F123" i="23" s="1"/>
  <c r="G123" i="23" s="1"/>
  <c r="H123" i="23" s="1"/>
  <c r="E43" i="23"/>
  <c r="F43" i="23" s="1"/>
  <c r="G43" i="23" s="1"/>
  <c r="H43" i="23" s="1"/>
  <c r="E57" i="23"/>
  <c r="F57" i="23" s="1"/>
  <c r="G57" i="23" s="1"/>
  <c r="H57" i="23" s="1"/>
  <c r="E61" i="23"/>
  <c r="F61" i="23" s="1"/>
  <c r="G61" i="23" s="1"/>
  <c r="H61" i="23" s="1"/>
  <c r="E68" i="23"/>
  <c r="F68" i="23" s="1"/>
  <c r="G68" i="23" s="1"/>
  <c r="H68" i="23" s="1"/>
  <c r="E69" i="23"/>
  <c r="F69" i="23" s="1"/>
  <c r="G69" i="23" s="1"/>
  <c r="H69" i="23" s="1"/>
  <c r="E71" i="23"/>
  <c r="F71" i="23" s="1"/>
  <c r="G71" i="23" s="1"/>
  <c r="H71" i="23" s="1"/>
  <c r="E74" i="23"/>
  <c r="F74" i="23" s="1"/>
  <c r="G74" i="23" s="1"/>
  <c r="H74" i="23" s="1"/>
  <c r="E76" i="23"/>
  <c r="F76" i="23" s="1"/>
  <c r="G76" i="23" s="1"/>
  <c r="H76" i="23" s="1"/>
  <c r="E77" i="23"/>
  <c r="F77" i="23" s="1"/>
  <c r="G77" i="23" s="1"/>
  <c r="H77" i="23" s="1"/>
  <c r="E79" i="23"/>
  <c r="F79" i="23" s="1"/>
  <c r="G79" i="23" s="1"/>
  <c r="H79" i="23" s="1"/>
  <c r="E81" i="23"/>
  <c r="F81" i="23" s="1"/>
  <c r="G81" i="23" s="1"/>
  <c r="H81" i="23" s="1"/>
  <c r="E84" i="23"/>
  <c r="F84" i="23" s="1"/>
  <c r="G84" i="23" s="1"/>
  <c r="H84" i="23" s="1"/>
  <c r="E85" i="23"/>
  <c r="F85" i="23" s="1"/>
  <c r="G85" i="23" s="1"/>
  <c r="H85" i="23" s="1"/>
  <c r="E90" i="23"/>
  <c r="F90" i="23" s="1"/>
  <c r="G90" i="23" s="1"/>
  <c r="H90" i="23" s="1"/>
  <c r="E91" i="23"/>
  <c r="F91" i="23" s="1"/>
  <c r="G91" i="23" s="1"/>
  <c r="H91" i="23" s="1"/>
  <c r="E93" i="23"/>
  <c r="F93" i="23" s="1"/>
  <c r="G93" i="23" s="1"/>
  <c r="H93" i="23" s="1"/>
  <c r="E98" i="23"/>
  <c r="F98" i="23" s="1"/>
  <c r="G98" i="23" s="1"/>
  <c r="H98" i="23" s="1"/>
  <c r="E101" i="23"/>
  <c r="F101" i="23" s="1"/>
  <c r="G101" i="23" s="1"/>
  <c r="H101" i="23" s="1"/>
  <c r="E106" i="23"/>
  <c r="F106" i="23" s="1"/>
  <c r="G106" i="23" s="1"/>
  <c r="H106" i="23" s="1"/>
  <c r="E109" i="23"/>
  <c r="F109" i="23" s="1"/>
  <c r="G109" i="23" s="1"/>
  <c r="H109" i="23" s="1"/>
  <c r="E112" i="23"/>
  <c r="F112" i="23" s="1"/>
  <c r="G112" i="23" s="1"/>
  <c r="H112" i="23" s="1"/>
  <c r="E117" i="23"/>
  <c r="F117" i="23" s="1"/>
  <c r="G117" i="23" s="1"/>
  <c r="H117" i="23" s="1"/>
  <c r="E125" i="23"/>
  <c r="F125" i="23" s="1"/>
  <c r="G125" i="23" s="1"/>
  <c r="H125" i="23" s="1"/>
  <c r="E130" i="23"/>
  <c r="F130" i="23" s="1"/>
  <c r="G130" i="23" s="1"/>
  <c r="H130" i="23" s="1"/>
  <c r="E131" i="23"/>
  <c r="F131" i="23" s="1"/>
  <c r="G131" i="23" s="1"/>
  <c r="H131" i="23" s="1"/>
  <c r="E132" i="23"/>
  <c r="F132" i="23" s="1"/>
  <c r="G132" i="23" s="1"/>
  <c r="H132" i="23" s="1"/>
  <c r="E134" i="23"/>
  <c r="F134" i="23" s="1"/>
  <c r="G134" i="23" s="1"/>
  <c r="H134" i="23" s="1"/>
  <c r="E135" i="23"/>
  <c r="F135" i="23" s="1"/>
  <c r="G135" i="23" s="1"/>
  <c r="H135" i="23" s="1"/>
  <c r="E138" i="23"/>
  <c r="F138" i="23" s="1"/>
  <c r="G138" i="23" s="1"/>
  <c r="H138" i="23" s="1"/>
  <c r="E139" i="23"/>
  <c r="F139" i="23" s="1"/>
  <c r="G139" i="23" s="1"/>
  <c r="H139" i="23" s="1"/>
  <c r="E140" i="23"/>
  <c r="F140" i="23" s="1"/>
  <c r="G140" i="23" s="1"/>
  <c r="H140" i="23" s="1"/>
  <c r="E142" i="23"/>
  <c r="F142" i="23" s="1"/>
  <c r="G142" i="23" s="1"/>
  <c r="H142" i="23" s="1"/>
  <c r="E143" i="23"/>
  <c r="F143" i="23" s="1"/>
  <c r="G143" i="23" s="1"/>
  <c r="H143" i="23" s="1"/>
  <c r="E145" i="23"/>
  <c r="F145" i="23" s="1"/>
  <c r="G145" i="23" s="1"/>
  <c r="H145" i="23" s="1"/>
  <c r="E147" i="23"/>
  <c r="F147" i="23" s="1"/>
  <c r="G147" i="23" s="1"/>
  <c r="H147" i="23" s="1"/>
  <c r="E151" i="23"/>
  <c r="F151" i="23" s="1"/>
  <c r="G151" i="23" s="1"/>
  <c r="H151" i="23" s="1"/>
  <c r="E154" i="23"/>
  <c r="F154" i="23" s="1"/>
  <c r="G154" i="23" s="1"/>
  <c r="H154" i="23" s="1"/>
  <c r="E155" i="23"/>
  <c r="F155" i="23" s="1"/>
  <c r="G155" i="23" s="1"/>
  <c r="H155" i="23" s="1"/>
  <c r="E158" i="23"/>
  <c r="F158" i="23" s="1"/>
  <c r="G158" i="23" s="1"/>
  <c r="H158" i="23" s="1"/>
  <c r="E159" i="23"/>
  <c r="F159" i="23" s="1"/>
  <c r="G159" i="23" s="1"/>
  <c r="H159" i="23" s="1"/>
  <c r="E162" i="23"/>
  <c r="F162" i="23" s="1"/>
  <c r="G162" i="23" s="1"/>
  <c r="H162" i="23" s="1"/>
  <c r="E163" i="23"/>
  <c r="F163" i="23" s="1"/>
  <c r="G163" i="23" s="1"/>
  <c r="H163" i="23" s="1"/>
  <c r="E166" i="23"/>
  <c r="F166" i="23" s="1"/>
  <c r="G166" i="23" s="1"/>
  <c r="H166" i="23" s="1"/>
  <c r="E167" i="23"/>
  <c r="F167" i="23" s="1"/>
  <c r="G167" i="23" s="1"/>
  <c r="H167" i="23" s="1"/>
  <c r="E170" i="23"/>
  <c r="F170" i="23" s="1"/>
  <c r="G170" i="23" s="1"/>
  <c r="H170" i="23" s="1"/>
  <c r="E171" i="23"/>
  <c r="F171" i="23" s="1"/>
  <c r="G171" i="23" s="1"/>
  <c r="H171" i="23" s="1"/>
  <c r="E174" i="23"/>
  <c r="F174" i="23" s="1"/>
  <c r="G174" i="23" s="1"/>
  <c r="H174" i="23" s="1"/>
  <c r="E175" i="23"/>
  <c r="F175" i="23" s="1"/>
  <c r="G175" i="23" s="1"/>
  <c r="H175" i="23" s="1"/>
  <c r="E92" i="23"/>
  <c r="F92" i="23" s="1"/>
  <c r="G92" i="23" s="1"/>
  <c r="H92" i="23" s="1"/>
  <c r="E94" i="23"/>
  <c r="F94" i="23" s="1"/>
  <c r="G94" i="23" s="1"/>
  <c r="H94" i="23" s="1"/>
  <c r="E102" i="23"/>
  <c r="F102" i="23" s="1"/>
  <c r="G102" i="23" s="1"/>
  <c r="H102" i="23" s="1"/>
  <c r="E105" i="23"/>
  <c r="F105" i="23" s="1"/>
  <c r="G105" i="23" s="1"/>
  <c r="H105" i="23" s="1"/>
  <c r="E111" i="23"/>
  <c r="F111" i="23" s="1"/>
  <c r="G111" i="23" s="1"/>
  <c r="H111" i="23" s="1"/>
  <c r="E113" i="23"/>
  <c r="F113" i="23" s="1"/>
  <c r="G113" i="23" s="1"/>
  <c r="H113" i="23" s="1"/>
  <c r="E120" i="23"/>
  <c r="F120" i="23" s="1"/>
  <c r="G120" i="23" s="1"/>
  <c r="H120" i="23" s="1"/>
  <c r="E124" i="23"/>
  <c r="F124" i="23" s="1"/>
  <c r="G124" i="23" s="1"/>
  <c r="H124" i="23" s="1"/>
  <c r="E126" i="23"/>
  <c r="F126" i="23" s="1"/>
  <c r="G126" i="23" s="1"/>
  <c r="H126" i="23" s="1"/>
  <c r="E128" i="23"/>
  <c r="F128" i="23" s="1"/>
  <c r="G128" i="23" s="1"/>
  <c r="H128" i="23" s="1"/>
  <c r="E133" i="23"/>
  <c r="F133" i="23" s="1"/>
  <c r="G133" i="23" s="1"/>
  <c r="H133" i="23" s="1"/>
  <c r="E141" i="23"/>
  <c r="F141" i="23" s="1"/>
  <c r="G141" i="23" s="1"/>
  <c r="H141" i="23" s="1"/>
  <c r="E144" i="23"/>
  <c r="F144" i="23" s="1"/>
  <c r="G144" i="23" s="1"/>
  <c r="H144" i="23" s="1"/>
  <c r="E146" i="23"/>
  <c r="F146" i="23" s="1"/>
  <c r="G146" i="23" s="1"/>
  <c r="H146" i="23" s="1"/>
  <c r="E148" i="23"/>
  <c r="F148" i="23" s="1"/>
  <c r="G148" i="23" s="1"/>
  <c r="H148" i="23" s="1"/>
  <c r="E152" i="23"/>
  <c r="F152" i="23" s="1"/>
  <c r="G152" i="23" s="1"/>
  <c r="H152" i="23" s="1"/>
  <c r="E157" i="23"/>
  <c r="F157" i="23" s="1"/>
  <c r="G157" i="23" s="1"/>
  <c r="H157" i="23" s="1"/>
  <c r="E160" i="23"/>
  <c r="F160" i="23" s="1"/>
  <c r="G160" i="23" s="1"/>
  <c r="H160" i="23" s="1"/>
  <c r="E165" i="23"/>
  <c r="F165" i="23" s="1"/>
  <c r="G165" i="23" s="1"/>
  <c r="H165" i="23" s="1"/>
  <c r="E168" i="23"/>
  <c r="F168" i="23" s="1"/>
  <c r="G168" i="23" s="1"/>
  <c r="H168" i="23" s="1"/>
  <c r="E173" i="23"/>
  <c r="F173" i="23" s="1"/>
  <c r="G173" i="23" s="1"/>
  <c r="H173" i="23" s="1"/>
  <c r="E177" i="23"/>
  <c r="F177" i="23" s="1"/>
  <c r="G177" i="23" s="1"/>
  <c r="H177" i="23" s="1"/>
  <c r="E180" i="23"/>
  <c r="F180" i="23" s="1"/>
  <c r="G180" i="23" s="1"/>
  <c r="H180" i="23" s="1"/>
  <c r="E182" i="23"/>
  <c r="F182" i="23" s="1"/>
  <c r="G182" i="23" s="1"/>
  <c r="H182" i="23" s="1"/>
  <c r="E183" i="23"/>
  <c r="F183" i="23" s="1"/>
  <c r="G183" i="23" s="1"/>
  <c r="H183" i="23" s="1"/>
  <c r="E185" i="23"/>
  <c r="F185" i="23" s="1"/>
  <c r="G185" i="23" s="1"/>
  <c r="H185" i="23" s="1"/>
  <c r="E187" i="23"/>
  <c r="F187" i="23" s="1"/>
  <c r="G187" i="23" s="1"/>
  <c r="H187" i="23" s="1"/>
  <c r="E189" i="23"/>
  <c r="F189" i="23" s="1"/>
  <c r="G189" i="23" s="1"/>
  <c r="H189" i="23" s="1"/>
  <c r="E191" i="23"/>
  <c r="F191" i="23" s="1"/>
  <c r="G191" i="23" s="1"/>
  <c r="H191" i="23" s="1"/>
  <c r="E192" i="23"/>
  <c r="F192" i="23" s="1"/>
  <c r="G192" i="23" s="1"/>
  <c r="H192" i="23" s="1"/>
  <c r="E194" i="23"/>
  <c r="F194" i="23" s="1"/>
  <c r="G194" i="23" s="1"/>
  <c r="H194" i="23" s="1"/>
  <c r="E196" i="23"/>
  <c r="F196" i="23" s="1"/>
  <c r="G196" i="23" s="1"/>
  <c r="H196" i="23" s="1"/>
  <c r="E198" i="23"/>
  <c r="F198" i="23" s="1"/>
  <c r="G198" i="23" s="1"/>
  <c r="H198" i="23" s="1"/>
  <c r="E201" i="23"/>
  <c r="F201" i="23" s="1"/>
  <c r="G201" i="23" s="1"/>
  <c r="H201" i="23" s="1"/>
  <c r="E203" i="23"/>
  <c r="F203" i="23" s="1"/>
  <c r="G203" i="23" s="1"/>
  <c r="H203" i="23" s="1"/>
  <c r="E204" i="23"/>
  <c r="F204" i="23" s="1"/>
  <c r="G204" i="23" s="1"/>
  <c r="H204" i="23" s="1"/>
  <c r="E206" i="23"/>
  <c r="F206" i="23" s="1"/>
  <c r="G206" i="23" s="1"/>
  <c r="H206" i="23" s="1"/>
  <c r="E208" i="23"/>
  <c r="F208" i="23" s="1"/>
  <c r="G208" i="23" s="1"/>
  <c r="H208" i="23" s="1"/>
  <c r="E210" i="23"/>
  <c r="F210" i="23" s="1"/>
  <c r="G210" i="23" s="1"/>
  <c r="H210" i="23" s="1"/>
  <c r="E110" i="23"/>
  <c r="F110" i="23" s="1"/>
  <c r="G110" i="23" s="1"/>
  <c r="H110" i="23" s="1"/>
  <c r="E121" i="23"/>
  <c r="F121" i="23" s="1"/>
  <c r="G121" i="23" s="1"/>
  <c r="H121" i="23" s="1"/>
  <c r="E127" i="23"/>
  <c r="F127" i="23" s="1"/>
  <c r="G127" i="23" s="1"/>
  <c r="H127" i="23" s="1"/>
  <c r="E129" i="23"/>
  <c r="F129" i="23" s="1"/>
  <c r="G129" i="23" s="1"/>
  <c r="H129" i="23" s="1"/>
  <c r="E136" i="23"/>
  <c r="F136" i="23" s="1"/>
  <c r="G136" i="23" s="1"/>
  <c r="H136" i="23" s="1"/>
  <c r="E149" i="23"/>
  <c r="F149" i="23" s="1"/>
  <c r="G149" i="23" s="1"/>
  <c r="H149" i="23" s="1"/>
  <c r="E156" i="23"/>
  <c r="F156" i="23" s="1"/>
  <c r="G156" i="23" s="1"/>
  <c r="H156" i="23" s="1"/>
  <c r="E161" i="23"/>
  <c r="F161" i="23" s="1"/>
  <c r="G161" i="23" s="1"/>
  <c r="H161" i="23" s="1"/>
  <c r="E172" i="23"/>
  <c r="F172" i="23" s="1"/>
  <c r="G172" i="23" s="1"/>
  <c r="H172" i="23" s="1"/>
  <c r="E176" i="23"/>
  <c r="F176" i="23" s="1"/>
  <c r="G176" i="23" s="1"/>
  <c r="H176" i="23" s="1"/>
  <c r="E178" i="23"/>
  <c r="F178" i="23" s="1"/>
  <c r="G178" i="23" s="1"/>
  <c r="H178" i="23" s="1"/>
  <c r="E181" i="23"/>
  <c r="F181" i="23" s="1"/>
  <c r="G181" i="23" s="1"/>
  <c r="H181" i="23" s="1"/>
  <c r="E184" i="23"/>
  <c r="F184" i="23" s="1"/>
  <c r="G184" i="23" s="1"/>
  <c r="H184" i="23" s="1"/>
  <c r="E186" i="23"/>
  <c r="F186" i="23" s="1"/>
  <c r="G186" i="23" s="1"/>
  <c r="H186" i="23" s="1"/>
  <c r="E193" i="23"/>
  <c r="F193" i="23" s="1"/>
  <c r="G193" i="23" s="1"/>
  <c r="H193" i="23" s="1"/>
  <c r="E197" i="23"/>
  <c r="F197" i="23" s="1"/>
  <c r="G197" i="23" s="1"/>
  <c r="H197" i="23" s="1"/>
  <c r="E200" i="23"/>
  <c r="F200" i="23" s="1"/>
  <c r="G200" i="23" s="1"/>
  <c r="H200" i="23" s="1"/>
  <c r="E202" i="23"/>
  <c r="F202" i="23" s="1"/>
  <c r="G202" i="23" s="1"/>
  <c r="H202" i="23" s="1"/>
  <c r="E212" i="23"/>
  <c r="F212" i="23" s="1"/>
  <c r="G212" i="23" s="1"/>
  <c r="H212" i="23" s="1"/>
  <c r="E218" i="23"/>
  <c r="F218" i="23" s="1"/>
  <c r="G218" i="23" s="1"/>
  <c r="H218" i="23" s="1"/>
  <c r="E219" i="23"/>
  <c r="F219" i="23" s="1"/>
  <c r="G219" i="23" s="1"/>
  <c r="H219" i="23" s="1"/>
  <c r="E220" i="23"/>
  <c r="F220" i="23" s="1"/>
  <c r="G220" i="23" s="1"/>
  <c r="H220" i="23" s="1"/>
  <c r="E221" i="23"/>
  <c r="F221" i="23" s="1"/>
  <c r="G221" i="23" s="1"/>
  <c r="H221" i="23" s="1"/>
  <c r="E224" i="23"/>
  <c r="F224" i="23" s="1"/>
  <c r="G224" i="23" s="1"/>
  <c r="H224" i="23" s="1"/>
  <c r="E225" i="23"/>
  <c r="F225" i="23" s="1"/>
  <c r="G225" i="23" s="1"/>
  <c r="H225" i="23" s="1"/>
  <c r="E228" i="23"/>
  <c r="F228" i="23" s="1"/>
  <c r="G228" i="23" s="1"/>
  <c r="H228" i="23" s="1"/>
  <c r="E232" i="23"/>
  <c r="F232" i="23" s="1"/>
  <c r="G232" i="23" s="1"/>
  <c r="H232" i="23" s="1"/>
  <c r="E236" i="23"/>
  <c r="F236" i="23" s="1"/>
  <c r="G236" i="23" s="1"/>
  <c r="H236" i="23" s="1"/>
  <c r="E239" i="23"/>
  <c r="F239" i="23" s="1"/>
  <c r="G239" i="23" s="1"/>
  <c r="H239" i="23" s="1"/>
  <c r="E241" i="23"/>
  <c r="F241" i="23" s="1"/>
  <c r="G241" i="23" s="1"/>
  <c r="H241" i="23" s="1"/>
  <c r="E244" i="23"/>
  <c r="F244" i="23" s="1"/>
  <c r="G244" i="23" s="1"/>
  <c r="H244" i="23" s="1"/>
  <c r="E246" i="23"/>
  <c r="F246" i="23" s="1"/>
  <c r="G246" i="23" s="1"/>
  <c r="H246" i="23" s="1"/>
  <c r="E248" i="23"/>
  <c r="F248" i="23" s="1"/>
  <c r="G248" i="23" s="1"/>
  <c r="H248" i="23" s="1"/>
  <c r="E250" i="23"/>
  <c r="F250" i="23" s="1"/>
  <c r="G250" i="23" s="1"/>
  <c r="H250" i="23" s="1"/>
  <c r="E251" i="23"/>
  <c r="F251" i="23" s="1"/>
  <c r="G251" i="23" s="1"/>
  <c r="H251" i="23" s="1"/>
  <c r="E253" i="23"/>
  <c r="F253" i="23" s="1"/>
  <c r="G253" i="23" s="1"/>
  <c r="H253" i="23" s="1"/>
  <c r="E256" i="23"/>
  <c r="F256" i="23" s="1"/>
  <c r="G256" i="23" s="1"/>
  <c r="H256" i="23" s="1"/>
  <c r="E257" i="23"/>
  <c r="F257" i="23" s="1"/>
  <c r="G257" i="23" s="1"/>
  <c r="H257" i="23" s="1"/>
  <c r="E260" i="23"/>
  <c r="F260" i="23" s="1"/>
  <c r="G260" i="23" s="1"/>
  <c r="H260" i="23" s="1"/>
  <c r="E265" i="23"/>
  <c r="F265" i="23" s="1"/>
  <c r="G265" i="23" s="1"/>
  <c r="H265" i="23" s="1"/>
  <c r="E268" i="23"/>
  <c r="F268" i="23" s="1"/>
  <c r="G268" i="23" s="1"/>
  <c r="H268" i="23" s="1"/>
  <c r="E269" i="23"/>
  <c r="F269" i="23" s="1"/>
  <c r="G269" i="23" s="1"/>
  <c r="H269" i="23" s="1"/>
  <c r="E270" i="23"/>
  <c r="F270" i="23" s="1"/>
  <c r="G270" i="23" s="1"/>
  <c r="H270" i="23" s="1"/>
  <c r="E272" i="23"/>
  <c r="F272" i="23" s="1"/>
  <c r="G272" i="23" s="1"/>
  <c r="H272" i="23" s="1"/>
  <c r="E275" i="23"/>
  <c r="F275" i="23" s="1"/>
  <c r="G275" i="23" s="1"/>
  <c r="H275" i="23" s="1"/>
  <c r="E276" i="23"/>
  <c r="F276" i="23" s="1"/>
  <c r="G276" i="23" s="1"/>
  <c r="H276" i="23" s="1"/>
  <c r="E278" i="23"/>
  <c r="F278" i="23" s="1"/>
  <c r="G278" i="23" s="1"/>
  <c r="H278" i="23" s="1"/>
  <c r="E281" i="23"/>
  <c r="F281" i="23" s="1"/>
  <c r="G281" i="23" s="1"/>
  <c r="H281" i="23" s="1"/>
  <c r="E282" i="23"/>
  <c r="F282" i="23" s="1"/>
  <c r="G282" i="23" s="1"/>
  <c r="H282" i="23" s="1"/>
  <c r="E284" i="23"/>
  <c r="F284" i="23" s="1"/>
  <c r="G284" i="23" s="1"/>
  <c r="H284" i="23" s="1"/>
  <c r="E287" i="23"/>
  <c r="F287" i="23" s="1"/>
  <c r="G287" i="23" s="1"/>
  <c r="H287" i="23" s="1"/>
  <c r="E288" i="23"/>
  <c r="F288" i="23" s="1"/>
  <c r="G288" i="23" s="1"/>
  <c r="H288" i="23" s="1"/>
  <c r="E291" i="23"/>
  <c r="F291" i="23" s="1"/>
  <c r="G291" i="23" s="1"/>
  <c r="H291" i="23" s="1"/>
  <c r="E293" i="23"/>
  <c r="F293" i="23" s="1"/>
  <c r="G293" i="23" s="1"/>
  <c r="H293" i="23" s="1"/>
  <c r="E294" i="23"/>
  <c r="F294" i="23" s="1"/>
  <c r="G294" i="23" s="1"/>
  <c r="H294" i="23" s="1"/>
  <c r="E297" i="23"/>
  <c r="F297" i="23" s="1"/>
  <c r="G297" i="23" s="1"/>
  <c r="H297" i="23" s="1"/>
  <c r="E298" i="23"/>
  <c r="F298" i="23" s="1"/>
  <c r="G298" i="23" s="1"/>
  <c r="H298" i="23" s="1"/>
  <c r="E301" i="23"/>
  <c r="F301" i="23" s="1"/>
  <c r="G301" i="23" s="1"/>
  <c r="H301" i="23" s="1"/>
  <c r="E302" i="23"/>
  <c r="F302" i="23" s="1"/>
  <c r="G302" i="23" s="1"/>
  <c r="H302" i="23" s="1"/>
  <c r="E304" i="23"/>
  <c r="F304" i="23" s="1"/>
  <c r="G304" i="23" s="1"/>
  <c r="H304" i="23" s="1"/>
  <c r="E306" i="23"/>
  <c r="F306" i="23" s="1"/>
  <c r="G306" i="23" s="1"/>
  <c r="H306" i="23" s="1"/>
  <c r="E308" i="23"/>
  <c r="F308" i="23" s="1"/>
  <c r="G308" i="23" s="1"/>
  <c r="H308" i="23" s="1"/>
  <c r="E310" i="23"/>
  <c r="F310" i="23" s="1"/>
  <c r="G310" i="23" s="1"/>
  <c r="H310" i="23" s="1"/>
  <c r="E312" i="23"/>
  <c r="F312" i="23" s="1"/>
  <c r="G312" i="23" s="1"/>
  <c r="H312" i="23" s="1"/>
  <c r="E314" i="23"/>
  <c r="F314" i="23" s="1"/>
  <c r="G314" i="23" s="1"/>
  <c r="H314" i="23" s="1"/>
  <c r="E97" i="23"/>
  <c r="F97" i="23" s="1"/>
  <c r="G97" i="23" s="1"/>
  <c r="H97" i="23" s="1"/>
  <c r="E137" i="23"/>
  <c r="F137" i="23" s="1"/>
  <c r="G137" i="23" s="1"/>
  <c r="H137" i="23" s="1"/>
  <c r="E150" i="23"/>
  <c r="F150" i="23" s="1"/>
  <c r="G150" i="23" s="1"/>
  <c r="H150" i="23" s="1"/>
  <c r="E153" i="23"/>
  <c r="F153" i="23" s="1"/>
  <c r="G153" i="23" s="1"/>
  <c r="H153" i="23" s="1"/>
  <c r="E164" i="23"/>
  <c r="F164" i="23" s="1"/>
  <c r="G164" i="23" s="1"/>
  <c r="H164" i="23" s="1"/>
  <c r="E169" i="23"/>
  <c r="F169" i="23" s="1"/>
  <c r="G169" i="23" s="1"/>
  <c r="H169" i="23" s="1"/>
  <c r="E179" i="23"/>
  <c r="F179" i="23" s="1"/>
  <c r="G179" i="23" s="1"/>
  <c r="H179" i="23" s="1"/>
  <c r="E188" i="23"/>
  <c r="F188" i="23" s="1"/>
  <c r="G188" i="23" s="1"/>
  <c r="H188" i="23" s="1"/>
  <c r="E190" i="23"/>
  <c r="F190" i="23" s="1"/>
  <c r="G190" i="23" s="1"/>
  <c r="H190" i="23" s="1"/>
  <c r="E195" i="23"/>
  <c r="F195" i="23" s="1"/>
  <c r="G195" i="23" s="1"/>
  <c r="H195" i="23" s="1"/>
  <c r="E199" i="23"/>
  <c r="F199" i="23" s="1"/>
  <c r="G199" i="23" s="1"/>
  <c r="H199" i="23" s="1"/>
  <c r="E205" i="23"/>
  <c r="F205" i="23" s="1"/>
  <c r="G205" i="23" s="1"/>
  <c r="H205" i="23" s="1"/>
  <c r="E207" i="23"/>
  <c r="F207" i="23" s="1"/>
  <c r="G207" i="23" s="1"/>
  <c r="H207" i="23" s="1"/>
  <c r="E209" i="23"/>
  <c r="F209" i="23" s="1"/>
  <c r="G209" i="23" s="1"/>
  <c r="H209" i="23" s="1"/>
  <c r="E211" i="23"/>
  <c r="F211" i="23" s="1"/>
  <c r="G211" i="23" s="1"/>
  <c r="H211" i="23" s="1"/>
  <c r="E213" i="23"/>
  <c r="F213" i="23" s="1"/>
  <c r="G213" i="23" s="1"/>
  <c r="H213" i="23" s="1"/>
  <c r="E214" i="23"/>
  <c r="F214" i="23" s="1"/>
  <c r="G214" i="23" s="1"/>
  <c r="H214" i="23" s="1"/>
  <c r="E215" i="23"/>
  <c r="F215" i="23" s="1"/>
  <c r="G215" i="23" s="1"/>
  <c r="H215" i="23" s="1"/>
  <c r="E216" i="23"/>
  <c r="F216" i="23" s="1"/>
  <c r="G216" i="23" s="1"/>
  <c r="H216" i="23" s="1"/>
  <c r="E217" i="23"/>
  <c r="F217" i="23" s="1"/>
  <c r="G217" i="23" s="1"/>
  <c r="H217" i="23" s="1"/>
  <c r="E222" i="23"/>
  <c r="F222" i="23" s="1"/>
  <c r="G222" i="23" s="1"/>
  <c r="H222" i="23" s="1"/>
  <c r="E223" i="23"/>
  <c r="F223" i="23" s="1"/>
  <c r="G223" i="23" s="1"/>
  <c r="H223" i="23" s="1"/>
  <c r="E226" i="23"/>
  <c r="F226" i="23" s="1"/>
  <c r="G226" i="23" s="1"/>
  <c r="H226" i="23" s="1"/>
  <c r="E227" i="23"/>
  <c r="F227" i="23" s="1"/>
  <c r="G227" i="23" s="1"/>
  <c r="H227" i="23" s="1"/>
  <c r="E229" i="23"/>
  <c r="F229" i="23" s="1"/>
  <c r="G229" i="23" s="1"/>
  <c r="H229" i="23" s="1"/>
  <c r="E230" i="23"/>
  <c r="F230" i="23" s="1"/>
  <c r="G230" i="23" s="1"/>
  <c r="H230" i="23" s="1"/>
  <c r="E231" i="23"/>
  <c r="F231" i="23" s="1"/>
  <c r="G231" i="23" s="1"/>
  <c r="H231" i="23" s="1"/>
  <c r="E233" i="23"/>
  <c r="F233" i="23" s="1"/>
  <c r="G233" i="23" s="1"/>
  <c r="H233" i="23" s="1"/>
  <c r="E234" i="23"/>
  <c r="F234" i="23" s="1"/>
  <c r="G234" i="23" s="1"/>
  <c r="H234" i="23" s="1"/>
  <c r="E235" i="23"/>
  <c r="F235" i="23" s="1"/>
  <c r="G235" i="23" s="1"/>
  <c r="H235" i="23" s="1"/>
  <c r="E237" i="23"/>
  <c r="F237" i="23" s="1"/>
  <c r="G237" i="23" s="1"/>
  <c r="H237" i="23" s="1"/>
  <c r="E238" i="23"/>
  <c r="F238" i="23" s="1"/>
  <c r="G238" i="23" s="1"/>
  <c r="H238" i="23" s="1"/>
  <c r="E240" i="23"/>
  <c r="F240" i="23" s="1"/>
  <c r="G240" i="23" s="1"/>
  <c r="H240" i="23" s="1"/>
  <c r="E242" i="23"/>
  <c r="F242" i="23" s="1"/>
  <c r="G242" i="23" s="1"/>
  <c r="H242" i="23" s="1"/>
  <c r="E243" i="23"/>
  <c r="F243" i="23" s="1"/>
  <c r="G243" i="23" s="1"/>
  <c r="H243" i="23" s="1"/>
  <c r="E245" i="23"/>
  <c r="F245" i="23" s="1"/>
  <c r="G245" i="23" s="1"/>
  <c r="H245" i="23" s="1"/>
  <c r="E247" i="23"/>
  <c r="F247" i="23" s="1"/>
  <c r="G247" i="23" s="1"/>
  <c r="H247" i="23" s="1"/>
  <c r="E249" i="23"/>
  <c r="F249" i="23" s="1"/>
  <c r="G249" i="23" s="1"/>
  <c r="H249" i="23" s="1"/>
  <c r="E252" i="23"/>
  <c r="F252" i="23" s="1"/>
  <c r="G252" i="23" s="1"/>
  <c r="H252" i="23" s="1"/>
  <c r="E254" i="23"/>
  <c r="F254" i="23" s="1"/>
  <c r="G254" i="23" s="1"/>
  <c r="H254" i="23" s="1"/>
  <c r="E255" i="23"/>
  <c r="F255" i="23" s="1"/>
  <c r="G255" i="23" s="1"/>
  <c r="H255" i="23" s="1"/>
  <c r="E258" i="23"/>
  <c r="F258" i="23" s="1"/>
  <c r="G258" i="23" s="1"/>
  <c r="H258" i="23" s="1"/>
  <c r="E259" i="23"/>
  <c r="F259" i="23" s="1"/>
  <c r="G259" i="23" s="1"/>
  <c r="H259" i="23" s="1"/>
  <c r="E261" i="23"/>
  <c r="F261" i="23" s="1"/>
  <c r="G261" i="23" s="1"/>
  <c r="H261" i="23" s="1"/>
  <c r="E262" i="23"/>
  <c r="F262" i="23" s="1"/>
  <c r="G262" i="23" s="1"/>
  <c r="H262" i="23" s="1"/>
  <c r="E263" i="23"/>
  <c r="F263" i="23" s="1"/>
  <c r="G263" i="23" s="1"/>
  <c r="H263" i="23" s="1"/>
  <c r="E264" i="23"/>
  <c r="F264" i="23" s="1"/>
  <c r="G264" i="23" s="1"/>
  <c r="H264" i="23" s="1"/>
  <c r="E266" i="23"/>
  <c r="F266" i="23" s="1"/>
  <c r="G266" i="23" s="1"/>
  <c r="H266" i="23" s="1"/>
  <c r="E267" i="23"/>
  <c r="F267" i="23" s="1"/>
  <c r="G267" i="23" s="1"/>
  <c r="H267" i="23" s="1"/>
  <c r="E271" i="23"/>
  <c r="F271" i="23" s="1"/>
  <c r="G271" i="23" s="1"/>
  <c r="H271" i="23" s="1"/>
  <c r="E273" i="23"/>
  <c r="F273" i="23" s="1"/>
  <c r="G273" i="23" s="1"/>
  <c r="H273" i="23" s="1"/>
  <c r="E274" i="23"/>
  <c r="F274" i="23" s="1"/>
  <c r="G274" i="23" s="1"/>
  <c r="H274" i="23" s="1"/>
  <c r="E277" i="23"/>
  <c r="F277" i="23" s="1"/>
  <c r="G277" i="23" s="1"/>
  <c r="H277" i="23" s="1"/>
  <c r="E279" i="23"/>
  <c r="F279" i="23" s="1"/>
  <c r="G279" i="23" s="1"/>
  <c r="H279" i="23" s="1"/>
  <c r="E280" i="23"/>
  <c r="F280" i="23" s="1"/>
  <c r="G280" i="23" s="1"/>
  <c r="H280" i="23" s="1"/>
  <c r="E283" i="23"/>
  <c r="F283" i="23" s="1"/>
  <c r="G283" i="23" s="1"/>
  <c r="H283" i="23" s="1"/>
  <c r="E285" i="23"/>
  <c r="F285" i="23" s="1"/>
  <c r="G285" i="23" s="1"/>
  <c r="H285" i="23" s="1"/>
  <c r="E286" i="23"/>
  <c r="F286" i="23" s="1"/>
  <c r="G286" i="23" s="1"/>
  <c r="H286" i="23" s="1"/>
  <c r="E289" i="23"/>
  <c r="F289" i="23" s="1"/>
  <c r="G289" i="23" s="1"/>
  <c r="H289" i="23" s="1"/>
  <c r="E290" i="23"/>
  <c r="F290" i="23" s="1"/>
  <c r="G290" i="23" s="1"/>
  <c r="H290" i="23" s="1"/>
  <c r="E292" i="23"/>
  <c r="F292" i="23" s="1"/>
  <c r="G292" i="23" s="1"/>
  <c r="H292" i="23" s="1"/>
  <c r="E295" i="23"/>
  <c r="F295" i="23" s="1"/>
  <c r="G295" i="23" s="1"/>
  <c r="H295" i="23" s="1"/>
  <c r="E296" i="23"/>
  <c r="F296" i="23" s="1"/>
  <c r="G296" i="23" s="1"/>
  <c r="H296" i="23" s="1"/>
  <c r="E299" i="23"/>
  <c r="F299" i="23" s="1"/>
  <c r="G299" i="23" s="1"/>
  <c r="H299" i="23" s="1"/>
  <c r="E300" i="23"/>
  <c r="F300" i="23" s="1"/>
  <c r="G300" i="23" s="1"/>
  <c r="H300" i="23" s="1"/>
  <c r="E303" i="23"/>
  <c r="F303" i="23" s="1"/>
  <c r="G303" i="23" s="1"/>
  <c r="H303" i="23" s="1"/>
  <c r="E305" i="23"/>
  <c r="F305" i="23" s="1"/>
  <c r="G305" i="23" s="1"/>
  <c r="H305" i="23" s="1"/>
  <c r="E307" i="23"/>
  <c r="F307" i="23" s="1"/>
  <c r="G307" i="23" s="1"/>
  <c r="H307" i="23" s="1"/>
  <c r="E309" i="23"/>
  <c r="F309" i="23" s="1"/>
  <c r="G309" i="23" s="1"/>
  <c r="H309" i="23" s="1"/>
  <c r="E311" i="23"/>
  <c r="F311" i="23" s="1"/>
  <c r="G311" i="23" s="1"/>
  <c r="H311" i="23" s="1"/>
  <c r="E313" i="23"/>
  <c r="F313" i="23" s="1"/>
  <c r="G313" i="23" s="1"/>
  <c r="H313" i="23" s="1"/>
  <c r="E315" i="23"/>
  <c r="F315" i="23" s="1"/>
  <c r="G315" i="23" s="1"/>
  <c r="H315" i="23" s="1"/>
  <c r="E316" i="23"/>
  <c r="F316" i="23" s="1"/>
  <c r="G316" i="23" s="1"/>
  <c r="H316" i="23" s="1"/>
  <c r="E319" i="23"/>
  <c r="F319" i="23" s="1"/>
  <c r="G319" i="23" s="1"/>
  <c r="H319" i="23" s="1"/>
  <c r="E320" i="23"/>
  <c r="F320" i="23" s="1"/>
  <c r="G320" i="23" s="1"/>
  <c r="H320" i="23" s="1"/>
  <c r="E321" i="23"/>
  <c r="F321" i="23" s="1"/>
  <c r="G321" i="23" s="1"/>
  <c r="H321" i="23" s="1"/>
  <c r="E317" i="23"/>
  <c r="F317" i="23" s="1"/>
  <c r="G317" i="23" s="1"/>
  <c r="H317" i="23" s="1"/>
  <c r="E318" i="23"/>
  <c r="F318" i="23" s="1"/>
  <c r="G318" i="23" s="1"/>
  <c r="H318" i="23" s="1"/>
  <c r="E322" i="23"/>
  <c r="F322" i="23" s="1"/>
  <c r="G322" i="23" s="1"/>
  <c r="H322" i="23" s="1"/>
  <c r="E23" i="23"/>
  <c r="F23" i="23" s="1"/>
  <c r="I24" i="23"/>
  <c r="J24" i="23" s="1"/>
  <c r="I25" i="23"/>
  <c r="J25" i="23" s="1"/>
  <c r="I27" i="23"/>
  <c r="J27" i="23" s="1"/>
  <c r="I28" i="23"/>
  <c r="J28" i="23" s="1"/>
  <c r="I29" i="23"/>
  <c r="J29" i="23" s="1"/>
  <c r="I26" i="23"/>
  <c r="J26" i="23" s="1"/>
  <c r="I31" i="23"/>
  <c r="J31" i="23" s="1"/>
  <c r="I32" i="23"/>
  <c r="J32" i="23" s="1"/>
  <c r="I33" i="23"/>
  <c r="J33" i="23" s="1"/>
  <c r="I35" i="23"/>
  <c r="J35" i="23" s="1"/>
  <c r="I36" i="23"/>
  <c r="J36" i="23" s="1"/>
  <c r="I37" i="23"/>
  <c r="J37" i="23" s="1"/>
  <c r="I42" i="23"/>
  <c r="J42" i="23" s="1"/>
  <c r="I38" i="23"/>
  <c r="J38" i="23" s="1"/>
  <c r="I39" i="23"/>
  <c r="J39" i="23" s="1"/>
  <c r="I41" i="23"/>
  <c r="J41" i="23" s="1"/>
  <c r="I43" i="23"/>
  <c r="J43" i="23" s="1"/>
  <c r="I44" i="23"/>
  <c r="J44" i="23" s="1"/>
  <c r="I46" i="23"/>
  <c r="J46" i="23" s="1"/>
  <c r="I47" i="23"/>
  <c r="J47" i="23" s="1"/>
  <c r="I48" i="23"/>
  <c r="J48" i="23" s="1"/>
  <c r="I50" i="23"/>
  <c r="J50" i="23" s="1"/>
  <c r="I53" i="23"/>
  <c r="J53" i="23" s="1"/>
  <c r="I54" i="23"/>
  <c r="J54" i="23" s="1"/>
  <c r="I57" i="23"/>
  <c r="J57" i="23" s="1"/>
  <c r="I61" i="23"/>
  <c r="J61" i="23" s="1"/>
  <c r="I63" i="23"/>
  <c r="J63" i="23" s="1"/>
  <c r="I64" i="23"/>
  <c r="J64" i="23" s="1"/>
  <c r="I66" i="23"/>
  <c r="J66" i="23" s="1"/>
  <c r="I67" i="23"/>
  <c r="J67" i="23" s="1"/>
  <c r="I45" i="23"/>
  <c r="J45" i="23" s="1"/>
  <c r="I52" i="23"/>
  <c r="J52" i="23" s="1"/>
  <c r="I55" i="23"/>
  <c r="J55" i="23" s="1"/>
  <c r="I58" i="23"/>
  <c r="J58" i="23" s="1"/>
  <c r="I59" i="23"/>
  <c r="J59" i="23" s="1"/>
  <c r="I62" i="23"/>
  <c r="J62" i="23" s="1"/>
  <c r="I65" i="23"/>
  <c r="J65" i="23" s="1"/>
  <c r="I30" i="23"/>
  <c r="J30" i="23" s="1"/>
  <c r="I56" i="23"/>
  <c r="J56" i="23" s="1"/>
  <c r="I60" i="23"/>
  <c r="J60" i="23" s="1"/>
  <c r="I69" i="23"/>
  <c r="J69" i="23" s="1"/>
  <c r="I70" i="23"/>
  <c r="J70" i="23" s="1"/>
  <c r="I71" i="23"/>
  <c r="J71" i="23" s="1"/>
  <c r="I72" i="23"/>
  <c r="J72" i="23" s="1"/>
  <c r="I80" i="23"/>
  <c r="J80" i="23" s="1"/>
  <c r="I81" i="23"/>
  <c r="J81" i="23" s="1"/>
  <c r="I82" i="23"/>
  <c r="J82" i="23" s="1"/>
  <c r="I83" i="23"/>
  <c r="J83" i="23" s="1"/>
  <c r="I84" i="23"/>
  <c r="J84" i="23" s="1"/>
  <c r="I85" i="23"/>
  <c r="J85" i="23" s="1"/>
  <c r="I86" i="23"/>
  <c r="J86" i="23" s="1"/>
  <c r="I88" i="23"/>
  <c r="J88" i="23" s="1"/>
  <c r="I91" i="23"/>
  <c r="J91" i="23" s="1"/>
  <c r="I93" i="23"/>
  <c r="J93" i="23" s="1"/>
  <c r="I96" i="23"/>
  <c r="J96" i="23" s="1"/>
  <c r="I97" i="23"/>
  <c r="J97" i="23" s="1"/>
  <c r="I101" i="23"/>
  <c r="J101" i="23" s="1"/>
  <c r="I104" i="23"/>
  <c r="J104" i="23" s="1"/>
  <c r="I105" i="23"/>
  <c r="J105" i="23" s="1"/>
  <c r="I109" i="23"/>
  <c r="J109" i="23" s="1"/>
  <c r="I111" i="23"/>
  <c r="J111" i="23" s="1"/>
  <c r="I113" i="23"/>
  <c r="J113" i="23" s="1"/>
  <c r="I114" i="23"/>
  <c r="J114" i="23" s="1"/>
  <c r="I115" i="23"/>
  <c r="J115" i="23" s="1"/>
  <c r="I116" i="23"/>
  <c r="J116" i="23" s="1"/>
  <c r="I117" i="23"/>
  <c r="J117" i="23" s="1"/>
  <c r="I118" i="23"/>
  <c r="J118" i="23" s="1"/>
  <c r="I119" i="23"/>
  <c r="J119" i="23" s="1"/>
  <c r="I120" i="23"/>
  <c r="J120" i="23" s="1"/>
  <c r="I121" i="23"/>
  <c r="J121" i="23" s="1"/>
  <c r="I122" i="23"/>
  <c r="J122" i="23" s="1"/>
  <c r="I123" i="23"/>
  <c r="J123" i="23" s="1"/>
  <c r="I34" i="23"/>
  <c r="J34" i="23" s="1"/>
  <c r="I40" i="23"/>
  <c r="J40" i="23" s="1"/>
  <c r="I49" i="23"/>
  <c r="J49" i="23" s="1"/>
  <c r="I51" i="23"/>
  <c r="J51" i="23" s="1"/>
  <c r="I68" i="23"/>
  <c r="J68" i="23" s="1"/>
  <c r="I73" i="23"/>
  <c r="J73" i="23" s="1"/>
  <c r="I74" i="23"/>
  <c r="J74" i="23" s="1"/>
  <c r="I75" i="23"/>
  <c r="J75" i="23" s="1"/>
  <c r="I76" i="23"/>
  <c r="J76" i="23" s="1"/>
  <c r="I77" i="23"/>
  <c r="J77" i="23" s="1"/>
  <c r="I78" i="23"/>
  <c r="J78" i="23" s="1"/>
  <c r="I79" i="23"/>
  <c r="J79" i="23" s="1"/>
  <c r="I87" i="23"/>
  <c r="J87" i="23" s="1"/>
  <c r="I89" i="23"/>
  <c r="J89" i="23" s="1"/>
  <c r="I90" i="23"/>
  <c r="J90" i="23" s="1"/>
  <c r="I92" i="23"/>
  <c r="J92" i="23" s="1"/>
  <c r="I94" i="23"/>
  <c r="J94" i="23" s="1"/>
  <c r="I95" i="23"/>
  <c r="J95" i="23" s="1"/>
  <c r="I99" i="23"/>
  <c r="J99" i="23" s="1"/>
  <c r="I102" i="23"/>
  <c r="J102" i="23" s="1"/>
  <c r="I107" i="23"/>
  <c r="J107" i="23" s="1"/>
  <c r="I110" i="23"/>
  <c r="J110" i="23" s="1"/>
  <c r="I127" i="23"/>
  <c r="J127" i="23" s="1"/>
  <c r="I129" i="23"/>
  <c r="J129" i="23" s="1"/>
  <c r="I130" i="23"/>
  <c r="J130" i="23" s="1"/>
  <c r="I131" i="23"/>
  <c r="J131" i="23" s="1"/>
  <c r="I132" i="23"/>
  <c r="J132" i="23" s="1"/>
  <c r="I133" i="23"/>
  <c r="J133" i="23" s="1"/>
  <c r="I134" i="23"/>
  <c r="J134" i="23" s="1"/>
  <c r="I135" i="23"/>
  <c r="J135" i="23" s="1"/>
  <c r="I136" i="23"/>
  <c r="J136" i="23" s="1"/>
  <c r="I137" i="23"/>
  <c r="J137" i="23" s="1"/>
  <c r="I138" i="23"/>
  <c r="J138" i="23" s="1"/>
  <c r="I139" i="23"/>
  <c r="J139" i="23" s="1"/>
  <c r="I140" i="23"/>
  <c r="J140" i="23" s="1"/>
  <c r="I141" i="23"/>
  <c r="J141" i="23" s="1"/>
  <c r="I142" i="23"/>
  <c r="J142" i="23" s="1"/>
  <c r="I144" i="23"/>
  <c r="J144" i="23" s="1"/>
  <c r="I146" i="23"/>
  <c r="J146" i="23" s="1"/>
  <c r="I148" i="23"/>
  <c r="J148" i="23" s="1"/>
  <c r="I150" i="23"/>
  <c r="J150" i="23" s="1"/>
  <c r="I153" i="23"/>
  <c r="J153" i="23" s="1"/>
  <c r="I154" i="23"/>
  <c r="J154" i="23" s="1"/>
  <c r="I157" i="23"/>
  <c r="J157" i="23" s="1"/>
  <c r="I158" i="23"/>
  <c r="J158" i="23" s="1"/>
  <c r="I161" i="23"/>
  <c r="J161" i="23" s="1"/>
  <c r="I162" i="23"/>
  <c r="J162" i="23" s="1"/>
  <c r="I165" i="23"/>
  <c r="J165" i="23" s="1"/>
  <c r="I166" i="23"/>
  <c r="J166" i="23" s="1"/>
  <c r="I169" i="23"/>
  <c r="J169" i="23" s="1"/>
  <c r="I170" i="23"/>
  <c r="J170" i="23" s="1"/>
  <c r="I173" i="23"/>
  <c r="J173" i="23" s="1"/>
  <c r="I174" i="23"/>
  <c r="J174" i="23" s="1"/>
  <c r="I175" i="23"/>
  <c r="J175" i="23" s="1"/>
  <c r="I98" i="23"/>
  <c r="J98" i="23" s="1"/>
  <c r="I103" i="23"/>
  <c r="J103" i="23" s="1"/>
  <c r="I108" i="23"/>
  <c r="J108" i="23" s="1"/>
  <c r="I112" i="23"/>
  <c r="J112" i="23" s="1"/>
  <c r="I125" i="23"/>
  <c r="J125" i="23" s="1"/>
  <c r="I143" i="23"/>
  <c r="J143" i="23" s="1"/>
  <c r="I145" i="23"/>
  <c r="J145" i="23" s="1"/>
  <c r="I147" i="23"/>
  <c r="J147" i="23" s="1"/>
  <c r="I149" i="23"/>
  <c r="J149" i="23" s="1"/>
  <c r="I151" i="23"/>
  <c r="J151" i="23" s="1"/>
  <c r="I156" i="23"/>
  <c r="J156" i="23" s="1"/>
  <c r="I159" i="23"/>
  <c r="J159" i="23" s="1"/>
  <c r="I164" i="23"/>
  <c r="J164" i="23" s="1"/>
  <c r="I167" i="23"/>
  <c r="J167" i="23" s="1"/>
  <c r="I172" i="23"/>
  <c r="J172" i="23" s="1"/>
  <c r="I180" i="23"/>
  <c r="J180" i="23" s="1"/>
  <c r="I181" i="23"/>
  <c r="J181" i="23" s="1"/>
  <c r="I182" i="23"/>
  <c r="J182" i="23" s="1"/>
  <c r="I183" i="23"/>
  <c r="J183" i="23" s="1"/>
  <c r="I184" i="23"/>
  <c r="J184" i="23" s="1"/>
  <c r="I188" i="23"/>
  <c r="J188" i="23" s="1"/>
  <c r="I193" i="23"/>
  <c r="J193" i="23" s="1"/>
  <c r="I194" i="23"/>
  <c r="J194" i="23" s="1"/>
  <c r="I196" i="23"/>
  <c r="J196" i="23" s="1"/>
  <c r="I197" i="23"/>
  <c r="J197" i="23" s="1"/>
  <c r="I198" i="23"/>
  <c r="J198" i="23" s="1"/>
  <c r="I199" i="23"/>
  <c r="J199" i="23" s="1"/>
  <c r="I200" i="23"/>
  <c r="J200" i="23" s="1"/>
  <c r="I203" i="23"/>
  <c r="J203" i="23" s="1"/>
  <c r="I204" i="23"/>
  <c r="J204" i="23" s="1"/>
  <c r="I206" i="23"/>
  <c r="J206" i="23" s="1"/>
  <c r="I207" i="23"/>
  <c r="J207" i="23" s="1"/>
  <c r="I208" i="23"/>
  <c r="J208" i="23" s="1"/>
  <c r="I210" i="23"/>
  <c r="J210" i="23" s="1"/>
  <c r="I211" i="23"/>
  <c r="J211" i="23" s="1"/>
  <c r="I212" i="23"/>
  <c r="J212" i="23" s="1"/>
  <c r="I106" i="23"/>
  <c r="J106" i="23" s="1"/>
  <c r="I124" i="23"/>
  <c r="J124" i="23" s="1"/>
  <c r="I126" i="23"/>
  <c r="J126" i="23" s="1"/>
  <c r="I128" i="23"/>
  <c r="J128" i="23" s="1"/>
  <c r="I160" i="23"/>
  <c r="J160" i="23" s="1"/>
  <c r="I163" i="23"/>
  <c r="J163" i="23" s="1"/>
  <c r="I177" i="23"/>
  <c r="J177" i="23" s="1"/>
  <c r="I179" i="23"/>
  <c r="J179" i="23" s="1"/>
  <c r="I185" i="23"/>
  <c r="J185" i="23" s="1"/>
  <c r="I190" i="23"/>
  <c r="J190" i="23" s="1"/>
  <c r="I191" i="23"/>
  <c r="J191" i="23" s="1"/>
  <c r="I195" i="23"/>
  <c r="J195" i="23" s="1"/>
  <c r="I201" i="23"/>
  <c r="J201" i="23" s="1"/>
  <c r="I205" i="23"/>
  <c r="J205" i="23" s="1"/>
  <c r="I209" i="23"/>
  <c r="J209" i="23" s="1"/>
  <c r="I214" i="23"/>
  <c r="J214" i="23" s="1"/>
  <c r="I215" i="23"/>
  <c r="J215" i="23" s="1"/>
  <c r="I216" i="23"/>
  <c r="J216" i="23" s="1"/>
  <c r="I221" i="23"/>
  <c r="J221" i="23" s="1"/>
  <c r="I222" i="23"/>
  <c r="J222" i="23" s="1"/>
  <c r="I224" i="23"/>
  <c r="J224" i="23" s="1"/>
  <c r="I225" i="23"/>
  <c r="J225" i="23" s="1"/>
  <c r="I229" i="23"/>
  <c r="J229" i="23" s="1"/>
  <c r="I230" i="23"/>
  <c r="J230" i="23" s="1"/>
  <c r="I233" i="23"/>
  <c r="J233" i="23" s="1"/>
  <c r="I234" i="23"/>
  <c r="J234" i="23" s="1"/>
  <c r="I237" i="23"/>
  <c r="J237" i="23" s="1"/>
  <c r="I238" i="23"/>
  <c r="J238" i="23" s="1"/>
  <c r="I242" i="23"/>
  <c r="J242" i="23" s="1"/>
  <c r="I243" i="23"/>
  <c r="J243" i="23" s="1"/>
  <c r="I244" i="23"/>
  <c r="J244" i="23" s="1"/>
  <c r="I245" i="23"/>
  <c r="J245" i="23" s="1"/>
  <c r="I247" i="23"/>
  <c r="J247" i="23" s="1"/>
  <c r="I248" i="23"/>
  <c r="J248" i="23" s="1"/>
  <c r="I249" i="23"/>
  <c r="J249" i="23" s="1"/>
  <c r="I254" i="23"/>
  <c r="J254" i="23" s="1"/>
  <c r="I255" i="23"/>
  <c r="J255" i="23" s="1"/>
  <c r="I256" i="23"/>
  <c r="J256" i="23" s="1"/>
  <c r="I257" i="23"/>
  <c r="J257" i="23" s="1"/>
  <c r="I259" i="23"/>
  <c r="J259" i="23" s="1"/>
  <c r="I260" i="23"/>
  <c r="J260" i="23" s="1"/>
  <c r="I261" i="23"/>
  <c r="J261" i="23" s="1"/>
  <c r="I262" i="23"/>
  <c r="J262" i="23" s="1"/>
  <c r="I263" i="23"/>
  <c r="J263" i="23" s="1"/>
  <c r="I265" i="23"/>
  <c r="J265" i="23" s="1"/>
  <c r="I266" i="23"/>
  <c r="J266" i="23" s="1"/>
  <c r="I273" i="23"/>
  <c r="J273" i="23" s="1"/>
  <c r="I274" i="23"/>
  <c r="J274" i="23" s="1"/>
  <c r="I275" i="23"/>
  <c r="J275" i="23" s="1"/>
  <c r="I277" i="23"/>
  <c r="J277" i="23" s="1"/>
  <c r="I280" i="23"/>
  <c r="J280" i="23" s="1"/>
  <c r="I285" i="23"/>
  <c r="J285" i="23" s="1"/>
  <c r="I286" i="23"/>
  <c r="J286" i="23" s="1"/>
  <c r="I287" i="23"/>
  <c r="J287" i="23" s="1"/>
  <c r="I289" i="23"/>
  <c r="J289" i="23" s="1"/>
  <c r="I290" i="23"/>
  <c r="J290" i="23" s="1"/>
  <c r="I291" i="23"/>
  <c r="J291" i="23" s="1"/>
  <c r="I292" i="23"/>
  <c r="J292" i="23" s="1"/>
  <c r="I296" i="23"/>
  <c r="J296" i="23" s="1"/>
  <c r="I300" i="23"/>
  <c r="J300" i="23" s="1"/>
  <c r="I305" i="23"/>
  <c r="J305" i="23" s="1"/>
  <c r="I309" i="23"/>
  <c r="J309" i="23" s="1"/>
  <c r="I313" i="23"/>
  <c r="J313" i="23" s="1"/>
  <c r="I100" i="23"/>
  <c r="J100" i="23" s="1"/>
  <c r="I152" i="23"/>
  <c r="J152" i="23" s="1"/>
  <c r="I155" i="23"/>
  <c r="J155" i="23" s="1"/>
  <c r="I168" i="23"/>
  <c r="J168" i="23" s="1"/>
  <c r="I171" i="23"/>
  <c r="J171" i="23" s="1"/>
  <c r="I176" i="23"/>
  <c r="J176" i="23" s="1"/>
  <c r="I178" i="23"/>
  <c r="J178" i="23" s="1"/>
  <c r="I186" i="23"/>
  <c r="J186" i="23" s="1"/>
  <c r="I187" i="23"/>
  <c r="J187" i="23" s="1"/>
  <c r="I189" i="23"/>
  <c r="J189" i="23" s="1"/>
  <c r="I192" i="23"/>
  <c r="J192" i="23" s="1"/>
  <c r="I202" i="23"/>
  <c r="J202" i="23" s="1"/>
  <c r="I213" i="23"/>
  <c r="J213" i="23" s="1"/>
  <c r="I217" i="23"/>
  <c r="J217" i="23" s="1"/>
  <c r="I218" i="23"/>
  <c r="J218" i="23" s="1"/>
  <c r="I219" i="23"/>
  <c r="J219" i="23" s="1"/>
  <c r="I220" i="23"/>
  <c r="J220" i="23" s="1"/>
  <c r="I223" i="23"/>
  <c r="J223" i="23" s="1"/>
  <c r="I226" i="23"/>
  <c r="J226" i="23" s="1"/>
  <c r="I227" i="23"/>
  <c r="J227" i="23" s="1"/>
  <c r="I228" i="23"/>
  <c r="J228" i="23" s="1"/>
  <c r="I231" i="23"/>
  <c r="J231" i="23" s="1"/>
  <c r="I232" i="23"/>
  <c r="J232" i="23" s="1"/>
  <c r="I235" i="23"/>
  <c r="J235" i="23" s="1"/>
  <c r="I236" i="23"/>
  <c r="J236" i="23" s="1"/>
  <c r="I239" i="23"/>
  <c r="J239" i="23" s="1"/>
  <c r="I240" i="23"/>
  <c r="J240" i="23" s="1"/>
  <c r="I241" i="23"/>
  <c r="J241" i="23" s="1"/>
  <c r="I246" i="23"/>
  <c r="J246" i="23" s="1"/>
  <c r="I250" i="23"/>
  <c r="J250" i="23" s="1"/>
  <c r="I251" i="23"/>
  <c r="J251" i="23" s="1"/>
  <c r="I252" i="23"/>
  <c r="J252" i="23" s="1"/>
  <c r="I253" i="23"/>
  <c r="J253" i="23" s="1"/>
  <c r="I258" i="23"/>
  <c r="J258" i="23" s="1"/>
  <c r="I264" i="23"/>
  <c r="J264" i="23" s="1"/>
  <c r="I267" i="23"/>
  <c r="J267" i="23" s="1"/>
  <c r="I268" i="23"/>
  <c r="J268" i="23" s="1"/>
  <c r="I269" i="23"/>
  <c r="J269" i="23" s="1"/>
  <c r="I270" i="23"/>
  <c r="J270" i="23" s="1"/>
  <c r="I271" i="23"/>
  <c r="J271" i="23" s="1"/>
  <c r="I272" i="23"/>
  <c r="J272" i="23" s="1"/>
  <c r="I276" i="23"/>
  <c r="J276" i="23" s="1"/>
  <c r="I278" i="23"/>
  <c r="J278" i="23" s="1"/>
  <c r="I279" i="23"/>
  <c r="J279" i="23" s="1"/>
  <c r="I281" i="23"/>
  <c r="J281" i="23" s="1"/>
  <c r="I282" i="23"/>
  <c r="J282" i="23" s="1"/>
  <c r="I283" i="23"/>
  <c r="J283" i="23" s="1"/>
  <c r="I284" i="23"/>
  <c r="J284" i="23" s="1"/>
  <c r="I288" i="23"/>
  <c r="J288" i="23" s="1"/>
  <c r="I293" i="23"/>
  <c r="J293" i="23" s="1"/>
  <c r="I294" i="23"/>
  <c r="J294" i="23" s="1"/>
  <c r="I295" i="23"/>
  <c r="J295" i="23" s="1"/>
  <c r="I297" i="23"/>
  <c r="J297" i="23" s="1"/>
  <c r="I298" i="23"/>
  <c r="J298" i="23" s="1"/>
  <c r="I299" i="23"/>
  <c r="J299" i="23" s="1"/>
  <c r="I301" i="23"/>
  <c r="J301" i="23" s="1"/>
  <c r="I302" i="23"/>
  <c r="J302" i="23" s="1"/>
  <c r="I303" i="23"/>
  <c r="J303" i="23" s="1"/>
  <c r="I304" i="23"/>
  <c r="J304" i="23" s="1"/>
  <c r="I306" i="23"/>
  <c r="J306" i="23" s="1"/>
  <c r="I307" i="23"/>
  <c r="J307" i="23" s="1"/>
  <c r="I308" i="23"/>
  <c r="J308" i="23" s="1"/>
  <c r="I310" i="23"/>
  <c r="J310" i="23" s="1"/>
  <c r="I311" i="23"/>
  <c r="J311" i="23" s="1"/>
  <c r="I312" i="23"/>
  <c r="J312" i="23" s="1"/>
  <c r="I314" i="23"/>
  <c r="J314" i="23" s="1"/>
  <c r="I315" i="23"/>
  <c r="J315" i="23" s="1"/>
  <c r="I317" i="23"/>
  <c r="J317" i="23" s="1"/>
  <c r="I23" i="23"/>
  <c r="J23" i="23" s="1"/>
  <c r="I316" i="23"/>
  <c r="J316" i="23" s="1"/>
  <c r="I319" i="23"/>
  <c r="J319" i="23" s="1"/>
  <c r="I321" i="23"/>
  <c r="J321" i="23" s="1"/>
  <c r="I322" i="23"/>
  <c r="J322" i="23" s="1"/>
  <c r="I318" i="23"/>
  <c r="J318" i="23" s="1"/>
  <c r="I320" i="23"/>
  <c r="J320" i="23" s="1"/>
  <c r="M25" i="23"/>
  <c r="N25" i="23" s="1"/>
  <c r="O25" i="23" s="1"/>
  <c r="P25" i="23" s="1"/>
  <c r="M27" i="23"/>
  <c r="N27" i="23" s="1"/>
  <c r="O27" i="23" s="1"/>
  <c r="P27" i="23" s="1"/>
  <c r="M29" i="23"/>
  <c r="N29" i="23" s="1"/>
  <c r="O29" i="23" s="1"/>
  <c r="P29" i="23" s="1"/>
  <c r="M24" i="23"/>
  <c r="N24" i="23" s="1"/>
  <c r="O24" i="23" s="1"/>
  <c r="P24" i="23" s="1"/>
  <c r="M26" i="23"/>
  <c r="N26" i="23" s="1"/>
  <c r="O26" i="23" s="1"/>
  <c r="P26" i="23" s="1"/>
  <c r="M31" i="23"/>
  <c r="N31" i="23" s="1"/>
  <c r="O31" i="23" s="1"/>
  <c r="P31" i="23" s="1"/>
  <c r="M33" i="23"/>
  <c r="N33" i="23" s="1"/>
  <c r="O33" i="23" s="1"/>
  <c r="P33" i="23" s="1"/>
  <c r="M35" i="23"/>
  <c r="N35" i="23" s="1"/>
  <c r="O35" i="23" s="1"/>
  <c r="P35" i="23" s="1"/>
  <c r="M36" i="23"/>
  <c r="N36" i="23" s="1"/>
  <c r="O36" i="23" s="1"/>
  <c r="P36" i="23" s="1"/>
  <c r="M37" i="23"/>
  <c r="N37" i="23" s="1"/>
  <c r="O37" i="23" s="1"/>
  <c r="P37" i="23" s="1"/>
  <c r="M42" i="23"/>
  <c r="N42" i="23" s="1"/>
  <c r="O42" i="23" s="1"/>
  <c r="P42" i="23" s="1"/>
  <c r="M28" i="23"/>
  <c r="N28" i="23" s="1"/>
  <c r="O28" i="23" s="1"/>
  <c r="P28" i="23" s="1"/>
  <c r="M30" i="23"/>
  <c r="N30" i="23" s="1"/>
  <c r="O30" i="23" s="1"/>
  <c r="P30" i="23" s="1"/>
  <c r="M38" i="23"/>
  <c r="N38" i="23" s="1"/>
  <c r="O38" i="23" s="1"/>
  <c r="P38" i="23" s="1"/>
  <c r="M41" i="23"/>
  <c r="N41" i="23" s="1"/>
  <c r="O41" i="23" s="1"/>
  <c r="P41" i="23" s="1"/>
  <c r="M32" i="23"/>
  <c r="N32" i="23" s="1"/>
  <c r="O32" i="23" s="1"/>
  <c r="P32" i="23" s="1"/>
  <c r="M34" i="23"/>
  <c r="N34" i="23" s="1"/>
  <c r="O34" i="23" s="1"/>
  <c r="P34" i="23" s="1"/>
  <c r="M39" i="23"/>
  <c r="N39" i="23" s="1"/>
  <c r="O39" i="23" s="1"/>
  <c r="P39" i="23" s="1"/>
  <c r="M40" i="23"/>
  <c r="N40" i="23" s="1"/>
  <c r="O40" i="23" s="1"/>
  <c r="P40" i="23" s="1"/>
  <c r="M43" i="23"/>
  <c r="N43" i="23" s="1"/>
  <c r="O43" i="23" s="1"/>
  <c r="P43" i="23" s="1"/>
  <c r="M44" i="23"/>
  <c r="N44" i="23" s="1"/>
  <c r="O44" i="23" s="1"/>
  <c r="P44" i="23" s="1"/>
  <c r="M45" i="23"/>
  <c r="N45" i="23" s="1"/>
  <c r="O45" i="23" s="1"/>
  <c r="P45" i="23" s="1"/>
  <c r="M46" i="23"/>
  <c r="N46" i="23" s="1"/>
  <c r="O46" i="23" s="1"/>
  <c r="P46" i="23" s="1"/>
  <c r="M47" i="23"/>
  <c r="N47" i="23" s="1"/>
  <c r="O47" i="23" s="1"/>
  <c r="P47" i="23" s="1"/>
  <c r="M48" i="23"/>
  <c r="N48" i="23" s="1"/>
  <c r="O48" i="23" s="1"/>
  <c r="P48" i="23" s="1"/>
  <c r="M49" i="23"/>
  <c r="N49" i="23" s="1"/>
  <c r="O49" i="23" s="1"/>
  <c r="P49" i="23" s="1"/>
  <c r="M50" i="23"/>
  <c r="N50" i="23" s="1"/>
  <c r="O50" i="23" s="1"/>
  <c r="P50" i="23" s="1"/>
  <c r="M54" i="23"/>
  <c r="N54" i="23" s="1"/>
  <c r="O54" i="23" s="1"/>
  <c r="P54" i="23" s="1"/>
  <c r="M63" i="23"/>
  <c r="N63" i="23" s="1"/>
  <c r="O63" i="23" s="1"/>
  <c r="P63" i="23" s="1"/>
  <c r="M64" i="23"/>
  <c r="N64" i="23" s="1"/>
  <c r="O64" i="23" s="1"/>
  <c r="P64" i="23" s="1"/>
  <c r="M65" i="23"/>
  <c r="N65" i="23" s="1"/>
  <c r="O65" i="23" s="1"/>
  <c r="P65" i="23" s="1"/>
  <c r="M66" i="23"/>
  <c r="N66" i="23" s="1"/>
  <c r="O66" i="23" s="1"/>
  <c r="P66" i="23" s="1"/>
  <c r="M67" i="23"/>
  <c r="N67" i="23" s="1"/>
  <c r="O67" i="23" s="1"/>
  <c r="P67" i="23" s="1"/>
  <c r="M51" i="23"/>
  <c r="N51" i="23" s="1"/>
  <c r="O51" i="23" s="1"/>
  <c r="P51" i="23" s="1"/>
  <c r="M52" i="23"/>
  <c r="N52" i="23" s="1"/>
  <c r="O52" i="23" s="1"/>
  <c r="P52" i="23" s="1"/>
  <c r="M57" i="23"/>
  <c r="N57" i="23" s="1"/>
  <c r="O57" i="23" s="1"/>
  <c r="P57" i="23" s="1"/>
  <c r="M58" i="23"/>
  <c r="N58" i="23" s="1"/>
  <c r="O58" i="23" s="1"/>
  <c r="P58" i="23" s="1"/>
  <c r="M61" i="23"/>
  <c r="N61" i="23" s="1"/>
  <c r="O61" i="23" s="1"/>
  <c r="P61" i="23" s="1"/>
  <c r="M62" i="23"/>
  <c r="N62" i="23" s="1"/>
  <c r="O62" i="23" s="1"/>
  <c r="P62" i="23" s="1"/>
  <c r="M69" i="23"/>
  <c r="N69" i="23" s="1"/>
  <c r="O69" i="23" s="1"/>
  <c r="P69" i="23" s="1"/>
  <c r="M70" i="23"/>
  <c r="N70" i="23" s="1"/>
  <c r="O70" i="23" s="1"/>
  <c r="P70" i="23" s="1"/>
  <c r="M71" i="23"/>
  <c r="N71" i="23" s="1"/>
  <c r="O71" i="23" s="1"/>
  <c r="P71" i="23" s="1"/>
  <c r="M72" i="23"/>
  <c r="N72" i="23" s="1"/>
  <c r="O72" i="23" s="1"/>
  <c r="P72" i="23" s="1"/>
  <c r="M80" i="23"/>
  <c r="N80" i="23" s="1"/>
  <c r="O80" i="23" s="1"/>
  <c r="P80" i="23" s="1"/>
  <c r="M81" i="23"/>
  <c r="N81" i="23" s="1"/>
  <c r="O81" i="23" s="1"/>
  <c r="P81" i="23" s="1"/>
  <c r="M82" i="23"/>
  <c r="N82" i="23" s="1"/>
  <c r="O82" i="23" s="1"/>
  <c r="P82" i="23" s="1"/>
  <c r="M83" i="23"/>
  <c r="N83" i="23" s="1"/>
  <c r="O83" i="23" s="1"/>
  <c r="P83" i="23" s="1"/>
  <c r="M84" i="23"/>
  <c r="N84" i="23" s="1"/>
  <c r="O84" i="23" s="1"/>
  <c r="P84" i="23" s="1"/>
  <c r="M85" i="23"/>
  <c r="N85" i="23" s="1"/>
  <c r="O85" i="23" s="1"/>
  <c r="P85" i="23" s="1"/>
  <c r="M86" i="23"/>
  <c r="N86" i="23" s="1"/>
  <c r="O86" i="23" s="1"/>
  <c r="P86" i="23" s="1"/>
  <c r="M88" i="23"/>
  <c r="N88" i="23" s="1"/>
  <c r="O88" i="23" s="1"/>
  <c r="P88" i="23" s="1"/>
  <c r="M91" i="23"/>
  <c r="N91" i="23" s="1"/>
  <c r="O91" i="23" s="1"/>
  <c r="P91" i="23" s="1"/>
  <c r="M93" i="23"/>
  <c r="N93" i="23" s="1"/>
  <c r="O93" i="23" s="1"/>
  <c r="P93" i="23" s="1"/>
  <c r="M98" i="23"/>
  <c r="N98" i="23" s="1"/>
  <c r="O98" i="23" s="1"/>
  <c r="P98" i="23" s="1"/>
  <c r="M99" i="23"/>
  <c r="N99" i="23" s="1"/>
  <c r="O99" i="23" s="1"/>
  <c r="P99" i="23" s="1"/>
  <c r="M100" i="23"/>
  <c r="N100" i="23" s="1"/>
  <c r="O100" i="23" s="1"/>
  <c r="P100" i="23" s="1"/>
  <c r="M102" i="23"/>
  <c r="N102" i="23" s="1"/>
  <c r="O102" i="23" s="1"/>
  <c r="P102" i="23" s="1"/>
  <c r="M103" i="23"/>
  <c r="N103" i="23" s="1"/>
  <c r="O103" i="23" s="1"/>
  <c r="P103" i="23" s="1"/>
  <c r="M106" i="23"/>
  <c r="N106" i="23" s="1"/>
  <c r="O106" i="23" s="1"/>
  <c r="P106" i="23" s="1"/>
  <c r="M107" i="23"/>
  <c r="N107" i="23" s="1"/>
  <c r="O107" i="23" s="1"/>
  <c r="P107" i="23" s="1"/>
  <c r="M108" i="23"/>
  <c r="N108" i="23" s="1"/>
  <c r="O108" i="23" s="1"/>
  <c r="P108" i="23" s="1"/>
  <c r="M110" i="23"/>
  <c r="N110" i="23" s="1"/>
  <c r="O110" i="23" s="1"/>
  <c r="P110" i="23" s="1"/>
  <c r="M113" i="23"/>
  <c r="N113" i="23" s="1"/>
  <c r="O113" i="23" s="1"/>
  <c r="P113" i="23" s="1"/>
  <c r="M114" i="23"/>
  <c r="N114" i="23" s="1"/>
  <c r="O114" i="23" s="1"/>
  <c r="P114" i="23" s="1"/>
  <c r="M115" i="23"/>
  <c r="N115" i="23" s="1"/>
  <c r="O115" i="23" s="1"/>
  <c r="P115" i="23" s="1"/>
  <c r="M116" i="23"/>
  <c r="N116" i="23" s="1"/>
  <c r="O116" i="23" s="1"/>
  <c r="P116" i="23" s="1"/>
  <c r="M117" i="23"/>
  <c r="N117" i="23" s="1"/>
  <c r="O117" i="23" s="1"/>
  <c r="P117" i="23" s="1"/>
  <c r="M118" i="23"/>
  <c r="N118" i="23" s="1"/>
  <c r="O118" i="23" s="1"/>
  <c r="P118" i="23" s="1"/>
  <c r="M119" i="23"/>
  <c r="N119" i="23" s="1"/>
  <c r="O119" i="23" s="1"/>
  <c r="P119" i="23" s="1"/>
  <c r="M120" i="23"/>
  <c r="N120" i="23" s="1"/>
  <c r="O120" i="23" s="1"/>
  <c r="P120" i="23" s="1"/>
  <c r="M121" i="23"/>
  <c r="N121" i="23" s="1"/>
  <c r="O121" i="23" s="1"/>
  <c r="P121" i="23" s="1"/>
  <c r="M122" i="23"/>
  <c r="N122" i="23" s="1"/>
  <c r="O122" i="23" s="1"/>
  <c r="P122" i="23" s="1"/>
  <c r="M123" i="23"/>
  <c r="N123" i="23" s="1"/>
  <c r="O123" i="23" s="1"/>
  <c r="P123" i="23" s="1"/>
  <c r="M53" i="23"/>
  <c r="N53" i="23" s="1"/>
  <c r="O53" i="23" s="1"/>
  <c r="P53" i="23" s="1"/>
  <c r="M55" i="23"/>
  <c r="N55" i="23" s="1"/>
  <c r="O55" i="23" s="1"/>
  <c r="P55" i="23" s="1"/>
  <c r="M56" i="23"/>
  <c r="N56" i="23" s="1"/>
  <c r="O56" i="23" s="1"/>
  <c r="P56" i="23" s="1"/>
  <c r="M59" i="23"/>
  <c r="N59" i="23" s="1"/>
  <c r="O59" i="23" s="1"/>
  <c r="P59" i="23" s="1"/>
  <c r="M60" i="23"/>
  <c r="N60" i="23" s="1"/>
  <c r="O60" i="23" s="1"/>
  <c r="P60" i="23" s="1"/>
  <c r="M68" i="23"/>
  <c r="N68" i="23" s="1"/>
  <c r="O68" i="23" s="1"/>
  <c r="P68" i="23" s="1"/>
  <c r="M73" i="23"/>
  <c r="N73" i="23" s="1"/>
  <c r="O73" i="23" s="1"/>
  <c r="P73" i="23" s="1"/>
  <c r="M74" i="23"/>
  <c r="N74" i="23" s="1"/>
  <c r="O74" i="23" s="1"/>
  <c r="P74" i="23" s="1"/>
  <c r="M75" i="23"/>
  <c r="N75" i="23" s="1"/>
  <c r="O75" i="23" s="1"/>
  <c r="P75" i="23" s="1"/>
  <c r="M76" i="23"/>
  <c r="N76" i="23" s="1"/>
  <c r="O76" i="23" s="1"/>
  <c r="P76" i="23" s="1"/>
  <c r="M77" i="23"/>
  <c r="N77" i="23" s="1"/>
  <c r="O77" i="23" s="1"/>
  <c r="P77" i="23" s="1"/>
  <c r="M78" i="23"/>
  <c r="N78" i="23" s="1"/>
  <c r="O78" i="23" s="1"/>
  <c r="P78" i="23" s="1"/>
  <c r="M79" i="23"/>
  <c r="N79" i="23" s="1"/>
  <c r="O79" i="23" s="1"/>
  <c r="P79" i="23" s="1"/>
  <c r="M87" i="23"/>
  <c r="N87" i="23" s="1"/>
  <c r="O87" i="23" s="1"/>
  <c r="P87" i="23" s="1"/>
  <c r="M89" i="23"/>
  <c r="N89" i="23" s="1"/>
  <c r="O89" i="23" s="1"/>
  <c r="P89" i="23" s="1"/>
  <c r="M90" i="23"/>
  <c r="N90" i="23" s="1"/>
  <c r="O90" i="23" s="1"/>
  <c r="P90" i="23" s="1"/>
  <c r="M92" i="23"/>
  <c r="N92" i="23" s="1"/>
  <c r="O92" i="23" s="1"/>
  <c r="P92" i="23" s="1"/>
  <c r="M94" i="23"/>
  <c r="N94" i="23" s="1"/>
  <c r="O94" i="23" s="1"/>
  <c r="P94" i="23" s="1"/>
  <c r="M96" i="23"/>
  <c r="N96" i="23" s="1"/>
  <c r="O96" i="23" s="1"/>
  <c r="P96" i="23" s="1"/>
  <c r="M101" i="23"/>
  <c r="N101" i="23" s="1"/>
  <c r="O101" i="23" s="1"/>
  <c r="P101" i="23" s="1"/>
  <c r="M104" i="23"/>
  <c r="N104" i="23" s="1"/>
  <c r="O104" i="23" s="1"/>
  <c r="P104" i="23" s="1"/>
  <c r="M109" i="23"/>
  <c r="N109" i="23" s="1"/>
  <c r="O109" i="23" s="1"/>
  <c r="P109" i="23" s="1"/>
  <c r="M111" i="23"/>
  <c r="N111" i="23" s="1"/>
  <c r="O111" i="23" s="1"/>
  <c r="P111" i="23" s="1"/>
  <c r="M127" i="23"/>
  <c r="N127" i="23" s="1"/>
  <c r="O127" i="23" s="1"/>
  <c r="P127" i="23" s="1"/>
  <c r="M129" i="23"/>
  <c r="N129" i="23" s="1"/>
  <c r="O129" i="23" s="1"/>
  <c r="P129" i="23" s="1"/>
  <c r="M130" i="23"/>
  <c r="N130" i="23" s="1"/>
  <c r="O130" i="23" s="1"/>
  <c r="P130" i="23" s="1"/>
  <c r="M131" i="23"/>
  <c r="N131" i="23" s="1"/>
  <c r="O131" i="23" s="1"/>
  <c r="P131" i="23" s="1"/>
  <c r="M132" i="23"/>
  <c r="N132" i="23" s="1"/>
  <c r="O132" i="23" s="1"/>
  <c r="P132" i="23" s="1"/>
  <c r="M133" i="23"/>
  <c r="N133" i="23" s="1"/>
  <c r="O133" i="23" s="1"/>
  <c r="P133" i="23" s="1"/>
  <c r="M134" i="23"/>
  <c r="N134" i="23" s="1"/>
  <c r="O134" i="23" s="1"/>
  <c r="P134" i="23" s="1"/>
  <c r="M135" i="23"/>
  <c r="N135" i="23" s="1"/>
  <c r="O135" i="23" s="1"/>
  <c r="P135" i="23" s="1"/>
  <c r="M136" i="23"/>
  <c r="N136" i="23" s="1"/>
  <c r="O136" i="23" s="1"/>
  <c r="P136" i="23" s="1"/>
  <c r="M137" i="23"/>
  <c r="N137" i="23" s="1"/>
  <c r="O137" i="23" s="1"/>
  <c r="P137" i="23" s="1"/>
  <c r="M138" i="23"/>
  <c r="N138" i="23" s="1"/>
  <c r="O138" i="23" s="1"/>
  <c r="P138" i="23" s="1"/>
  <c r="M139" i="23"/>
  <c r="N139" i="23" s="1"/>
  <c r="O139" i="23" s="1"/>
  <c r="P139" i="23" s="1"/>
  <c r="M140" i="23"/>
  <c r="N140" i="23" s="1"/>
  <c r="O140" i="23" s="1"/>
  <c r="P140" i="23" s="1"/>
  <c r="M141" i="23"/>
  <c r="N141" i="23" s="1"/>
  <c r="O141" i="23" s="1"/>
  <c r="P141" i="23" s="1"/>
  <c r="M142" i="23"/>
  <c r="N142" i="23" s="1"/>
  <c r="O142" i="23" s="1"/>
  <c r="P142" i="23" s="1"/>
  <c r="M144" i="23"/>
  <c r="N144" i="23" s="1"/>
  <c r="O144" i="23" s="1"/>
  <c r="P144" i="23" s="1"/>
  <c r="M146" i="23"/>
  <c r="N146" i="23" s="1"/>
  <c r="O146" i="23" s="1"/>
  <c r="P146" i="23" s="1"/>
  <c r="M148" i="23"/>
  <c r="N148" i="23" s="1"/>
  <c r="O148" i="23" s="1"/>
  <c r="P148" i="23" s="1"/>
  <c r="M149" i="23"/>
  <c r="N149" i="23" s="1"/>
  <c r="O149" i="23" s="1"/>
  <c r="P149" i="23" s="1"/>
  <c r="M150" i="23"/>
  <c r="N150" i="23" s="1"/>
  <c r="O150" i="23" s="1"/>
  <c r="P150" i="23" s="1"/>
  <c r="M153" i="23"/>
  <c r="N153" i="23" s="1"/>
  <c r="O153" i="23" s="1"/>
  <c r="P153" i="23" s="1"/>
  <c r="M154" i="23"/>
  <c r="N154" i="23" s="1"/>
  <c r="O154" i="23" s="1"/>
  <c r="P154" i="23" s="1"/>
  <c r="M157" i="23"/>
  <c r="N157" i="23" s="1"/>
  <c r="O157" i="23" s="1"/>
  <c r="P157" i="23" s="1"/>
  <c r="M158" i="23"/>
  <c r="N158" i="23" s="1"/>
  <c r="O158" i="23" s="1"/>
  <c r="P158" i="23" s="1"/>
  <c r="M161" i="23"/>
  <c r="N161" i="23" s="1"/>
  <c r="O161" i="23" s="1"/>
  <c r="P161" i="23" s="1"/>
  <c r="M162" i="23"/>
  <c r="N162" i="23" s="1"/>
  <c r="O162" i="23" s="1"/>
  <c r="P162" i="23" s="1"/>
  <c r="M165" i="23"/>
  <c r="N165" i="23" s="1"/>
  <c r="O165" i="23" s="1"/>
  <c r="P165" i="23" s="1"/>
  <c r="M166" i="23"/>
  <c r="N166" i="23" s="1"/>
  <c r="O166" i="23" s="1"/>
  <c r="P166" i="23" s="1"/>
  <c r="M169" i="23"/>
  <c r="N169" i="23" s="1"/>
  <c r="O169" i="23" s="1"/>
  <c r="P169" i="23" s="1"/>
  <c r="M170" i="23"/>
  <c r="N170" i="23" s="1"/>
  <c r="O170" i="23" s="1"/>
  <c r="P170" i="23" s="1"/>
  <c r="M173" i="23"/>
  <c r="N173" i="23" s="1"/>
  <c r="O173" i="23" s="1"/>
  <c r="P173" i="23" s="1"/>
  <c r="M174" i="23"/>
  <c r="N174" i="23" s="1"/>
  <c r="O174" i="23" s="1"/>
  <c r="P174" i="23" s="1"/>
  <c r="M175" i="23"/>
  <c r="N175" i="23" s="1"/>
  <c r="O175" i="23" s="1"/>
  <c r="P175" i="23" s="1"/>
  <c r="M95" i="23"/>
  <c r="N95" i="23" s="1"/>
  <c r="O95" i="23" s="1"/>
  <c r="P95" i="23" s="1"/>
  <c r="M97" i="23"/>
  <c r="N97" i="23" s="1"/>
  <c r="O97" i="23" s="1"/>
  <c r="P97" i="23" s="1"/>
  <c r="M155" i="23"/>
  <c r="N155" i="23" s="1"/>
  <c r="O155" i="23" s="1"/>
  <c r="P155" i="23" s="1"/>
  <c r="M156" i="23"/>
  <c r="N156" i="23" s="1"/>
  <c r="O156" i="23" s="1"/>
  <c r="P156" i="23" s="1"/>
  <c r="M163" i="23"/>
  <c r="N163" i="23" s="1"/>
  <c r="O163" i="23" s="1"/>
  <c r="P163" i="23" s="1"/>
  <c r="M164" i="23"/>
  <c r="N164" i="23" s="1"/>
  <c r="O164" i="23" s="1"/>
  <c r="P164" i="23" s="1"/>
  <c r="M171" i="23"/>
  <c r="N171" i="23" s="1"/>
  <c r="O171" i="23" s="1"/>
  <c r="P171" i="23" s="1"/>
  <c r="M172" i="23"/>
  <c r="N172" i="23" s="1"/>
  <c r="O172" i="23" s="1"/>
  <c r="P172" i="23" s="1"/>
  <c r="M180" i="23"/>
  <c r="N180" i="23" s="1"/>
  <c r="O180" i="23" s="1"/>
  <c r="P180" i="23" s="1"/>
  <c r="M181" i="23"/>
  <c r="N181" i="23" s="1"/>
  <c r="O181" i="23" s="1"/>
  <c r="P181" i="23" s="1"/>
  <c r="M182" i="23"/>
  <c r="N182" i="23" s="1"/>
  <c r="O182" i="23" s="1"/>
  <c r="P182" i="23" s="1"/>
  <c r="M183" i="23"/>
  <c r="N183" i="23" s="1"/>
  <c r="O183" i="23" s="1"/>
  <c r="P183" i="23" s="1"/>
  <c r="M186" i="23"/>
  <c r="N186" i="23" s="1"/>
  <c r="O186" i="23" s="1"/>
  <c r="P186" i="23" s="1"/>
  <c r="M190" i="23"/>
  <c r="N190" i="23" s="1"/>
  <c r="O190" i="23" s="1"/>
  <c r="P190" i="23" s="1"/>
  <c r="M192" i="23"/>
  <c r="N192" i="23" s="1"/>
  <c r="O192" i="23" s="1"/>
  <c r="P192" i="23" s="1"/>
  <c r="M193" i="23"/>
  <c r="N193" i="23" s="1"/>
  <c r="O193" i="23" s="1"/>
  <c r="P193" i="23" s="1"/>
  <c r="M197" i="23"/>
  <c r="N197" i="23" s="1"/>
  <c r="O197" i="23" s="1"/>
  <c r="P197" i="23" s="1"/>
  <c r="M199" i="23"/>
  <c r="N199" i="23" s="1"/>
  <c r="O199" i="23" s="1"/>
  <c r="P199" i="23" s="1"/>
  <c r="M202" i="23"/>
  <c r="N202" i="23" s="1"/>
  <c r="O202" i="23" s="1"/>
  <c r="P202" i="23" s="1"/>
  <c r="M203" i="23"/>
  <c r="N203" i="23" s="1"/>
  <c r="O203" i="23" s="1"/>
  <c r="P203" i="23" s="1"/>
  <c r="M207" i="23"/>
  <c r="N207" i="23" s="1"/>
  <c r="O207" i="23" s="1"/>
  <c r="P207" i="23" s="1"/>
  <c r="M211" i="23"/>
  <c r="N211" i="23" s="1"/>
  <c r="O211" i="23" s="1"/>
  <c r="P211" i="23" s="1"/>
  <c r="M212" i="23"/>
  <c r="N212" i="23" s="1"/>
  <c r="O212" i="23" s="1"/>
  <c r="P212" i="23" s="1"/>
  <c r="M105" i="23"/>
  <c r="N105" i="23" s="1"/>
  <c r="O105" i="23" s="1"/>
  <c r="P105" i="23" s="1"/>
  <c r="M112" i="23"/>
  <c r="N112" i="23" s="1"/>
  <c r="O112" i="23" s="1"/>
  <c r="P112" i="23" s="1"/>
  <c r="M143" i="23"/>
  <c r="N143" i="23" s="1"/>
  <c r="O143" i="23" s="1"/>
  <c r="P143" i="23" s="1"/>
  <c r="M145" i="23"/>
  <c r="N145" i="23" s="1"/>
  <c r="O145" i="23" s="1"/>
  <c r="P145" i="23" s="1"/>
  <c r="M147" i="23"/>
  <c r="N147" i="23" s="1"/>
  <c r="O147" i="23" s="1"/>
  <c r="P147" i="23" s="1"/>
  <c r="M151" i="23"/>
  <c r="N151" i="23" s="1"/>
  <c r="O151" i="23" s="1"/>
  <c r="P151" i="23" s="1"/>
  <c r="M152" i="23"/>
  <c r="N152" i="23" s="1"/>
  <c r="O152" i="23" s="1"/>
  <c r="P152" i="23" s="1"/>
  <c r="M167" i="23"/>
  <c r="N167" i="23" s="1"/>
  <c r="O167" i="23" s="1"/>
  <c r="P167" i="23" s="1"/>
  <c r="M168" i="23"/>
  <c r="N168" i="23" s="1"/>
  <c r="O168" i="23" s="1"/>
  <c r="P168" i="23" s="1"/>
  <c r="M184" i="23"/>
  <c r="N184" i="23" s="1"/>
  <c r="O184" i="23" s="1"/>
  <c r="P184" i="23" s="1"/>
  <c r="M187" i="23"/>
  <c r="N187" i="23" s="1"/>
  <c r="O187" i="23" s="1"/>
  <c r="P187" i="23" s="1"/>
  <c r="M189" i="23"/>
  <c r="N189" i="23" s="1"/>
  <c r="O189" i="23" s="1"/>
  <c r="P189" i="23" s="1"/>
  <c r="M200" i="23"/>
  <c r="N200" i="23" s="1"/>
  <c r="O200" i="23" s="1"/>
  <c r="P200" i="23" s="1"/>
  <c r="M213" i="23"/>
  <c r="N213" i="23" s="1"/>
  <c r="O213" i="23" s="1"/>
  <c r="P213" i="23" s="1"/>
  <c r="M217" i="23"/>
  <c r="N217" i="23" s="1"/>
  <c r="O217" i="23" s="1"/>
  <c r="P217" i="23" s="1"/>
  <c r="M218" i="23"/>
  <c r="N218" i="23" s="1"/>
  <c r="O218" i="23" s="1"/>
  <c r="P218" i="23" s="1"/>
  <c r="M219" i="23"/>
  <c r="N219" i="23" s="1"/>
  <c r="O219" i="23" s="1"/>
  <c r="P219" i="23" s="1"/>
  <c r="M220" i="23"/>
  <c r="N220" i="23" s="1"/>
  <c r="O220" i="23" s="1"/>
  <c r="P220" i="23" s="1"/>
  <c r="M223" i="23"/>
  <c r="N223" i="23" s="1"/>
  <c r="O223" i="23" s="1"/>
  <c r="P223" i="23" s="1"/>
  <c r="M225" i="23"/>
  <c r="N225" i="23" s="1"/>
  <c r="O225" i="23" s="1"/>
  <c r="P225" i="23" s="1"/>
  <c r="M226" i="23"/>
  <c r="N226" i="23" s="1"/>
  <c r="O226" i="23" s="1"/>
  <c r="P226" i="23" s="1"/>
  <c r="M227" i="23"/>
  <c r="N227" i="23" s="1"/>
  <c r="O227" i="23" s="1"/>
  <c r="P227" i="23" s="1"/>
  <c r="M231" i="23"/>
  <c r="N231" i="23" s="1"/>
  <c r="O231" i="23" s="1"/>
  <c r="P231" i="23" s="1"/>
  <c r="M232" i="23"/>
  <c r="N232" i="23" s="1"/>
  <c r="O232" i="23" s="1"/>
  <c r="P232" i="23" s="1"/>
  <c r="M235" i="23"/>
  <c r="N235" i="23" s="1"/>
  <c r="O235" i="23" s="1"/>
  <c r="P235" i="23" s="1"/>
  <c r="M236" i="23"/>
  <c r="N236" i="23" s="1"/>
  <c r="O236" i="23" s="1"/>
  <c r="P236" i="23" s="1"/>
  <c r="M240" i="23"/>
  <c r="N240" i="23" s="1"/>
  <c r="O240" i="23" s="1"/>
  <c r="P240" i="23" s="1"/>
  <c r="M243" i="23"/>
  <c r="N243" i="23" s="1"/>
  <c r="O243" i="23" s="1"/>
  <c r="P243" i="23" s="1"/>
  <c r="M245" i="23"/>
  <c r="N245" i="23" s="1"/>
  <c r="O245" i="23" s="1"/>
  <c r="P245" i="23" s="1"/>
  <c r="M246" i="23"/>
  <c r="N246" i="23" s="1"/>
  <c r="O246" i="23" s="1"/>
  <c r="P246" i="23" s="1"/>
  <c r="M247" i="23"/>
  <c r="N247" i="23" s="1"/>
  <c r="O247" i="23" s="1"/>
  <c r="P247" i="23" s="1"/>
  <c r="M249" i="23"/>
  <c r="N249" i="23" s="1"/>
  <c r="O249" i="23" s="1"/>
  <c r="P249" i="23" s="1"/>
  <c r="M250" i="23"/>
  <c r="N250" i="23" s="1"/>
  <c r="O250" i="23" s="1"/>
  <c r="P250" i="23" s="1"/>
  <c r="M252" i="23"/>
  <c r="N252" i="23" s="1"/>
  <c r="O252" i="23" s="1"/>
  <c r="P252" i="23" s="1"/>
  <c r="M255" i="23"/>
  <c r="N255" i="23" s="1"/>
  <c r="O255" i="23" s="1"/>
  <c r="P255" i="23" s="1"/>
  <c r="M257" i="23"/>
  <c r="N257" i="23" s="1"/>
  <c r="O257" i="23" s="1"/>
  <c r="P257" i="23" s="1"/>
  <c r="M258" i="23"/>
  <c r="N258" i="23" s="1"/>
  <c r="O258" i="23" s="1"/>
  <c r="P258" i="23" s="1"/>
  <c r="M259" i="23"/>
  <c r="N259" i="23" s="1"/>
  <c r="O259" i="23" s="1"/>
  <c r="P259" i="23" s="1"/>
  <c r="M261" i="23"/>
  <c r="N261" i="23" s="1"/>
  <c r="O261" i="23" s="1"/>
  <c r="P261" i="23" s="1"/>
  <c r="M263" i="23"/>
  <c r="N263" i="23" s="1"/>
  <c r="O263" i="23" s="1"/>
  <c r="P263" i="23" s="1"/>
  <c r="M264" i="23"/>
  <c r="N264" i="23" s="1"/>
  <c r="O264" i="23" s="1"/>
  <c r="P264" i="23" s="1"/>
  <c r="M267" i="23"/>
  <c r="N267" i="23" s="1"/>
  <c r="O267" i="23" s="1"/>
  <c r="P267" i="23" s="1"/>
  <c r="M268" i="23"/>
  <c r="N268" i="23" s="1"/>
  <c r="O268" i="23" s="1"/>
  <c r="P268" i="23" s="1"/>
  <c r="M269" i="23"/>
  <c r="N269" i="23" s="1"/>
  <c r="O269" i="23" s="1"/>
  <c r="P269" i="23" s="1"/>
  <c r="M271" i="23"/>
  <c r="N271" i="23" s="1"/>
  <c r="O271" i="23" s="1"/>
  <c r="P271" i="23" s="1"/>
  <c r="M274" i="23"/>
  <c r="N274" i="23" s="1"/>
  <c r="O274" i="23" s="1"/>
  <c r="P274" i="23" s="1"/>
  <c r="M279" i="23"/>
  <c r="N279" i="23" s="1"/>
  <c r="O279" i="23" s="1"/>
  <c r="P279" i="23" s="1"/>
  <c r="M280" i="23"/>
  <c r="N280" i="23" s="1"/>
  <c r="O280" i="23" s="1"/>
  <c r="P280" i="23" s="1"/>
  <c r="M281" i="23"/>
  <c r="N281" i="23" s="1"/>
  <c r="O281" i="23" s="1"/>
  <c r="P281" i="23" s="1"/>
  <c r="M283" i="23"/>
  <c r="N283" i="23" s="1"/>
  <c r="O283" i="23" s="1"/>
  <c r="P283" i="23" s="1"/>
  <c r="M286" i="23"/>
  <c r="N286" i="23" s="1"/>
  <c r="O286" i="23" s="1"/>
  <c r="P286" i="23" s="1"/>
  <c r="M290" i="23"/>
  <c r="N290" i="23" s="1"/>
  <c r="O290" i="23" s="1"/>
  <c r="P290" i="23" s="1"/>
  <c r="M292" i="23"/>
  <c r="N292" i="23" s="1"/>
  <c r="O292" i="23" s="1"/>
  <c r="P292" i="23" s="1"/>
  <c r="M293" i="23"/>
  <c r="N293" i="23" s="1"/>
  <c r="O293" i="23" s="1"/>
  <c r="P293" i="23" s="1"/>
  <c r="M295" i="23"/>
  <c r="N295" i="23" s="1"/>
  <c r="O295" i="23" s="1"/>
  <c r="P295" i="23" s="1"/>
  <c r="M296" i="23"/>
  <c r="N296" i="23" s="1"/>
  <c r="O296" i="23" s="1"/>
  <c r="P296" i="23" s="1"/>
  <c r="M297" i="23"/>
  <c r="N297" i="23" s="1"/>
  <c r="O297" i="23" s="1"/>
  <c r="P297" i="23" s="1"/>
  <c r="M299" i="23"/>
  <c r="N299" i="23" s="1"/>
  <c r="O299" i="23" s="1"/>
  <c r="P299" i="23" s="1"/>
  <c r="M300" i="23"/>
  <c r="N300" i="23" s="1"/>
  <c r="O300" i="23" s="1"/>
  <c r="P300" i="23" s="1"/>
  <c r="M301" i="23"/>
  <c r="N301" i="23" s="1"/>
  <c r="O301" i="23" s="1"/>
  <c r="P301" i="23" s="1"/>
  <c r="M303" i="23"/>
  <c r="N303" i="23" s="1"/>
  <c r="O303" i="23" s="1"/>
  <c r="P303" i="23" s="1"/>
  <c r="M307" i="23"/>
  <c r="N307" i="23" s="1"/>
  <c r="O307" i="23" s="1"/>
  <c r="P307" i="23" s="1"/>
  <c r="M311" i="23"/>
  <c r="N311" i="23" s="1"/>
  <c r="O311" i="23" s="1"/>
  <c r="P311" i="23" s="1"/>
  <c r="M315" i="23"/>
  <c r="N315" i="23" s="1"/>
  <c r="O315" i="23" s="1"/>
  <c r="P315" i="23" s="1"/>
  <c r="M316" i="23"/>
  <c r="N316" i="23" s="1"/>
  <c r="O316" i="23" s="1"/>
  <c r="P316" i="23" s="1"/>
  <c r="M124" i="23"/>
  <c r="N124" i="23" s="1"/>
  <c r="O124" i="23" s="1"/>
  <c r="P124" i="23" s="1"/>
  <c r="M125" i="23"/>
  <c r="N125" i="23" s="1"/>
  <c r="O125" i="23" s="1"/>
  <c r="P125" i="23" s="1"/>
  <c r="M126" i="23"/>
  <c r="N126" i="23" s="1"/>
  <c r="O126" i="23" s="1"/>
  <c r="P126" i="23" s="1"/>
  <c r="M128" i="23"/>
  <c r="N128" i="23" s="1"/>
  <c r="O128" i="23" s="1"/>
  <c r="P128" i="23" s="1"/>
  <c r="M159" i="23"/>
  <c r="N159" i="23" s="1"/>
  <c r="O159" i="23" s="1"/>
  <c r="P159" i="23" s="1"/>
  <c r="M160" i="23"/>
  <c r="N160" i="23" s="1"/>
  <c r="O160" i="23" s="1"/>
  <c r="P160" i="23" s="1"/>
  <c r="M176" i="23"/>
  <c r="N176" i="23" s="1"/>
  <c r="O176" i="23" s="1"/>
  <c r="P176" i="23" s="1"/>
  <c r="M177" i="23"/>
  <c r="N177" i="23" s="1"/>
  <c r="O177" i="23" s="1"/>
  <c r="P177" i="23" s="1"/>
  <c r="M178" i="23"/>
  <c r="N178" i="23" s="1"/>
  <c r="O178" i="23" s="1"/>
  <c r="P178" i="23" s="1"/>
  <c r="M179" i="23"/>
  <c r="N179" i="23" s="1"/>
  <c r="O179" i="23" s="1"/>
  <c r="P179" i="23" s="1"/>
  <c r="M185" i="23"/>
  <c r="N185" i="23" s="1"/>
  <c r="O185" i="23" s="1"/>
  <c r="P185" i="23" s="1"/>
  <c r="M188" i="23"/>
  <c r="N188" i="23" s="1"/>
  <c r="O188" i="23" s="1"/>
  <c r="P188" i="23" s="1"/>
  <c r="M191" i="23"/>
  <c r="N191" i="23" s="1"/>
  <c r="O191" i="23" s="1"/>
  <c r="P191" i="23" s="1"/>
  <c r="M194" i="23"/>
  <c r="N194" i="23" s="1"/>
  <c r="O194" i="23" s="1"/>
  <c r="P194" i="23" s="1"/>
  <c r="M195" i="23"/>
  <c r="N195" i="23" s="1"/>
  <c r="O195" i="23" s="1"/>
  <c r="P195" i="23" s="1"/>
  <c r="M196" i="23"/>
  <c r="N196" i="23" s="1"/>
  <c r="O196" i="23" s="1"/>
  <c r="P196" i="23" s="1"/>
  <c r="M198" i="23"/>
  <c r="N198" i="23" s="1"/>
  <c r="O198" i="23" s="1"/>
  <c r="P198" i="23" s="1"/>
  <c r="M201" i="23"/>
  <c r="N201" i="23" s="1"/>
  <c r="O201" i="23" s="1"/>
  <c r="P201" i="23" s="1"/>
  <c r="M204" i="23"/>
  <c r="N204" i="23" s="1"/>
  <c r="O204" i="23" s="1"/>
  <c r="P204" i="23" s="1"/>
  <c r="M205" i="23"/>
  <c r="N205" i="23" s="1"/>
  <c r="O205" i="23" s="1"/>
  <c r="P205" i="23" s="1"/>
  <c r="M206" i="23"/>
  <c r="N206" i="23" s="1"/>
  <c r="O206" i="23" s="1"/>
  <c r="P206" i="23" s="1"/>
  <c r="M208" i="23"/>
  <c r="N208" i="23" s="1"/>
  <c r="O208" i="23" s="1"/>
  <c r="P208" i="23" s="1"/>
  <c r="M209" i="23"/>
  <c r="N209" i="23" s="1"/>
  <c r="O209" i="23" s="1"/>
  <c r="P209" i="23" s="1"/>
  <c r="M210" i="23"/>
  <c r="N210" i="23" s="1"/>
  <c r="O210" i="23" s="1"/>
  <c r="P210" i="23" s="1"/>
  <c r="M214" i="23"/>
  <c r="N214" i="23" s="1"/>
  <c r="O214" i="23" s="1"/>
  <c r="P214" i="23" s="1"/>
  <c r="M215" i="23"/>
  <c r="N215" i="23" s="1"/>
  <c r="O215" i="23" s="1"/>
  <c r="P215" i="23" s="1"/>
  <c r="M216" i="23"/>
  <c r="N216" i="23" s="1"/>
  <c r="O216" i="23" s="1"/>
  <c r="P216" i="23" s="1"/>
  <c r="M221" i="23"/>
  <c r="N221" i="23" s="1"/>
  <c r="O221" i="23" s="1"/>
  <c r="P221" i="23" s="1"/>
  <c r="M222" i="23"/>
  <c r="N222" i="23" s="1"/>
  <c r="O222" i="23" s="1"/>
  <c r="P222" i="23" s="1"/>
  <c r="M224" i="23"/>
  <c r="N224" i="23" s="1"/>
  <c r="O224" i="23" s="1"/>
  <c r="P224" i="23" s="1"/>
  <c r="M228" i="23"/>
  <c r="N228" i="23" s="1"/>
  <c r="O228" i="23" s="1"/>
  <c r="P228" i="23" s="1"/>
  <c r="M229" i="23"/>
  <c r="N229" i="23" s="1"/>
  <c r="O229" i="23" s="1"/>
  <c r="P229" i="23" s="1"/>
  <c r="M230" i="23"/>
  <c r="N230" i="23" s="1"/>
  <c r="O230" i="23" s="1"/>
  <c r="P230" i="23" s="1"/>
  <c r="M233" i="23"/>
  <c r="N233" i="23" s="1"/>
  <c r="O233" i="23" s="1"/>
  <c r="P233" i="23" s="1"/>
  <c r="M234" i="23"/>
  <c r="N234" i="23" s="1"/>
  <c r="O234" i="23" s="1"/>
  <c r="P234" i="23" s="1"/>
  <c r="M237" i="23"/>
  <c r="N237" i="23" s="1"/>
  <c r="O237" i="23" s="1"/>
  <c r="P237" i="23" s="1"/>
  <c r="M238" i="23"/>
  <c r="N238" i="23" s="1"/>
  <c r="O238" i="23" s="1"/>
  <c r="P238" i="23" s="1"/>
  <c r="M239" i="23"/>
  <c r="N239" i="23" s="1"/>
  <c r="O239" i="23" s="1"/>
  <c r="P239" i="23" s="1"/>
  <c r="M241" i="23"/>
  <c r="N241" i="23" s="1"/>
  <c r="O241" i="23" s="1"/>
  <c r="P241" i="23" s="1"/>
  <c r="M242" i="23"/>
  <c r="N242" i="23" s="1"/>
  <c r="O242" i="23" s="1"/>
  <c r="P242" i="23" s="1"/>
  <c r="M244" i="23"/>
  <c r="N244" i="23" s="1"/>
  <c r="O244" i="23" s="1"/>
  <c r="P244" i="23" s="1"/>
  <c r="M248" i="23"/>
  <c r="N248" i="23" s="1"/>
  <c r="O248" i="23" s="1"/>
  <c r="P248" i="23" s="1"/>
  <c r="M251" i="23"/>
  <c r="N251" i="23" s="1"/>
  <c r="O251" i="23" s="1"/>
  <c r="P251" i="23" s="1"/>
  <c r="M253" i="23"/>
  <c r="N253" i="23" s="1"/>
  <c r="O253" i="23" s="1"/>
  <c r="P253" i="23" s="1"/>
  <c r="M254" i="23"/>
  <c r="N254" i="23" s="1"/>
  <c r="O254" i="23" s="1"/>
  <c r="P254" i="23" s="1"/>
  <c r="M256" i="23"/>
  <c r="N256" i="23" s="1"/>
  <c r="O256" i="23" s="1"/>
  <c r="P256" i="23" s="1"/>
  <c r="M260" i="23"/>
  <c r="N260" i="23" s="1"/>
  <c r="O260" i="23" s="1"/>
  <c r="P260" i="23" s="1"/>
  <c r="M262" i="23"/>
  <c r="N262" i="23" s="1"/>
  <c r="O262" i="23" s="1"/>
  <c r="P262" i="23" s="1"/>
  <c r="M265" i="23"/>
  <c r="N265" i="23" s="1"/>
  <c r="O265" i="23" s="1"/>
  <c r="P265" i="23" s="1"/>
  <c r="M266" i="23"/>
  <c r="N266" i="23" s="1"/>
  <c r="O266" i="23" s="1"/>
  <c r="P266" i="23" s="1"/>
  <c r="M270" i="23"/>
  <c r="N270" i="23" s="1"/>
  <c r="O270" i="23" s="1"/>
  <c r="P270" i="23" s="1"/>
  <c r="M272" i="23"/>
  <c r="N272" i="23" s="1"/>
  <c r="O272" i="23" s="1"/>
  <c r="P272" i="23" s="1"/>
  <c r="M273" i="23"/>
  <c r="N273" i="23" s="1"/>
  <c r="O273" i="23" s="1"/>
  <c r="P273" i="23" s="1"/>
  <c r="M275" i="23"/>
  <c r="N275" i="23" s="1"/>
  <c r="O275" i="23" s="1"/>
  <c r="P275" i="23" s="1"/>
  <c r="M276" i="23"/>
  <c r="N276" i="23" s="1"/>
  <c r="O276" i="23" s="1"/>
  <c r="P276" i="23" s="1"/>
  <c r="M277" i="23"/>
  <c r="N277" i="23" s="1"/>
  <c r="O277" i="23" s="1"/>
  <c r="P277" i="23" s="1"/>
  <c r="M278" i="23"/>
  <c r="N278" i="23" s="1"/>
  <c r="O278" i="23" s="1"/>
  <c r="P278" i="23" s="1"/>
  <c r="M282" i="23"/>
  <c r="N282" i="23" s="1"/>
  <c r="O282" i="23" s="1"/>
  <c r="P282" i="23" s="1"/>
  <c r="M284" i="23"/>
  <c r="N284" i="23" s="1"/>
  <c r="O284" i="23" s="1"/>
  <c r="P284" i="23" s="1"/>
  <c r="M285" i="23"/>
  <c r="N285" i="23" s="1"/>
  <c r="O285" i="23" s="1"/>
  <c r="P285" i="23" s="1"/>
  <c r="M287" i="23"/>
  <c r="N287" i="23" s="1"/>
  <c r="O287" i="23" s="1"/>
  <c r="P287" i="23" s="1"/>
  <c r="M288" i="23"/>
  <c r="N288" i="23" s="1"/>
  <c r="O288" i="23" s="1"/>
  <c r="P288" i="23" s="1"/>
  <c r="M289" i="23"/>
  <c r="N289" i="23" s="1"/>
  <c r="O289" i="23" s="1"/>
  <c r="P289" i="23" s="1"/>
  <c r="M291" i="23"/>
  <c r="N291" i="23" s="1"/>
  <c r="O291" i="23" s="1"/>
  <c r="P291" i="23" s="1"/>
  <c r="M294" i="23"/>
  <c r="N294" i="23" s="1"/>
  <c r="O294" i="23" s="1"/>
  <c r="P294" i="23" s="1"/>
  <c r="M298" i="23"/>
  <c r="N298" i="23" s="1"/>
  <c r="O298" i="23" s="1"/>
  <c r="P298" i="23" s="1"/>
  <c r="M302" i="23"/>
  <c r="N302" i="23" s="1"/>
  <c r="O302" i="23" s="1"/>
  <c r="P302" i="23" s="1"/>
  <c r="M304" i="23"/>
  <c r="N304" i="23" s="1"/>
  <c r="O304" i="23" s="1"/>
  <c r="P304" i="23" s="1"/>
  <c r="M305" i="23"/>
  <c r="N305" i="23" s="1"/>
  <c r="O305" i="23" s="1"/>
  <c r="P305" i="23" s="1"/>
  <c r="M306" i="23"/>
  <c r="N306" i="23" s="1"/>
  <c r="O306" i="23" s="1"/>
  <c r="P306" i="23" s="1"/>
  <c r="M308" i="23"/>
  <c r="N308" i="23" s="1"/>
  <c r="O308" i="23" s="1"/>
  <c r="P308" i="23" s="1"/>
  <c r="M309" i="23"/>
  <c r="N309" i="23" s="1"/>
  <c r="O309" i="23" s="1"/>
  <c r="P309" i="23" s="1"/>
  <c r="M310" i="23"/>
  <c r="N310" i="23" s="1"/>
  <c r="O310" i="23" s="1"/>
  <c r="P310" i="23" s="1"/>
  <c r="M312" i="23"/>
  <c r="N312" i="23" s="1"/>
  <c r="O312" i="23" s="1"/>
  <c r="P312" i="23" s="1"/>
  <c r="M313" i="23"/>
  <c r="N313" i="23" s="1"/>
  <c r="O313" i="23" s="1"/>
  <c r="P313" i="23" s="1"/>
  <c r="M314" i="23"/>
  <c r="N314" i="23" s="1"/>
  <c r="O314" i="23" s="1"/>
  <c r="P314" i="23" s="1"/>
  <c r="M318" i="23"/>
  <c r="N318" i="23" s="1"/>
  <c r="O318" i="23" s="1"/>
  <c r="P318" i="23" s="1"/>
  <c r="M319" i="23"/>
  <c r="N319" i="23" s="1"/>
  <c r="O319" i="23" s="1"/>
  <c r="P319" i="23" s="1"/>
  <c r="M320" i="23"/>
  <c r="N320" i="23" s="1"/>
  <c r="O320" i="23" s="1"/>
  <c r="P320" i="23" s="1"/>
  <c r="M321" i="23"/>
  <c r="N321" i="23" s="1"/>
  <c r="O321" i="23" s="1"/>
  <c r="P321" i="23" s="1"/>
  <c r="M322" i="23"/>
  <c r="N322" i="23" s="1"/>
  <c r="O322" i="23" s="1"/>
  <c r="P322" i="23" s="1"/>
  <c r="M23" i="23"/>
  <c r="N23" i="23" s="1"/>
  <c r="M317" i="23"/>
  <c r="N317" i="23" s="1"/>
  <c r="O317" i="23" s="1"/>
  <c r="P317" i="23" s="1"/>
  <c r="Q26" i="23"/>
  <c r="R26" i="23" s="1"/>
  <c r="S26" i="23" s="1"/>
  <c r="Q27" i="23"/>
  <c r="R27" i="23" s="1"/>
  <c r="S27" i="23" s="1"/>
  <c r="Q28" i="23"/>
  <c r="R28" i="23" s="1"/>
  <c r="S28" i="23" s="1"/>
  <c r="Q29" i="23"/>
  <c r="R29" i="23" s="1"/>
  <c r="S29" i="23" s="1"/>
  <c r="Q33" i="23"/>
  <c r="R33" i="23" s="1"/>
  <c r="S33" i="23" s="1"/>
  <c r="Q36" i="23"/>
  <c r="R36" i="23" s="1"/>
  <c r="S36" i="23" s="1"/>
  <c r="Q39" i="23"/>
  <c r="R39" i="23" s="1"/>
  <c r="S39" i="23" s="1"/>
  <c r="Q41" i="23"/>
  <c r="R41" i="23" s="1"/>
  <c r="S41" i="23" s="1"/>
  <c r="Q42" i="23"/>
  <c r="R42" i="23" s="1"/>
  <c r="S42" i="23" s="1"/>
  <c r="Q25" i="23"/>
  <c r="R25" i="23" s="1"/>
  <c r="S25" i="23" s="1"/>
  <c r="Q31" i="23"/>
  <c r="R31" i="23" s="1"/>
  <c r="S31" i="23" s="1"/>
  <c r="Q32" i="23"/>
  <c r="R32" i="23" s="1"/>
  <c r="S32" i="23" s="1"/>
  <c r="Q37" i="23"/>
  <c r="R37" i="23" s="1"/>
  <c r="S37" i="23" s="1"/>
  <c r="Q38" i="23"/>
  <c r="R38" i="23" s="1"/>
  <c r="S38" i="23" s="1"/>
  <c r="Q40" i="23"/>
  <c r="R40" i="23" s="1"/>
  <c r="S40" i="23" s="1"/>
  <c r="Q30" i="23"/>
  <c r="R30" i="23" s="1"/>
  <c r="S30" i="23" s="1"/>
  <c r="Q44" i="23"/>
  <c r="R44" i="23" s="1"/>
  <c r="S44" i="23" s="1"/>
  <c r="Q46" i="23"/>
  <c r="R46" i="23" s="1"/>
  <c r="S46" i="23" s="1"/>
  <c r="Q48" i="23"/>
  <c r="R48" i="23" s="1"/>
  <c r="S48" i="23" s="1"/>
  <c r="Q50" i="23"/>
  <c r="R50" i="23" s="1"/>
  <c r="S50" i="23" s="1"/>
  <c r="Q51" i="23"/>
  <c r="R51" i="23" s="1"/>
  <c r="S51" i="23" s="1"/>
  <c r="Q54" i="23"/>
  <c r="R54" i="23" s="1"/>
  <c r="S54" i="23" s="1"/>
  <c r="Q55" i="23"/>
  <c r="R55" i="23" s="1"/>
  <c r="S55" i="23" s="1"/>
  <c r="Q57" i="23"/>
  <c r="R57" i="23" s="1"/>
  <c r="S57" i="23" s="1"/>
  <c r="Q59" i="23"/>
  <c r="R59" i="23" s="1"/>
  <c r="S59" i="23" s="1"/>
  <c r="Q61" i="23"/>
  <c r="R61" i="23" s="1"/>
  <c r="S61" i="23" s="1"/>
  <c r="Q64" i="23"/>
  <c r="R64" i="23" s="1"/>
  <c r="S64" i="23" s="1"/>
  <c r="Q65" i="23"/>
  <c r="R65" i="23" s="1"/>
  <c r="S65" i="23" s="1"/>
  <c r="Q66" i="23"/>
  <c r="R66" i="23" s="1"/>
  <c r="S66" i="23" s="1"/>
  <c r="Q34" i="23"/>
  <c r="R34" i="23" s="1"/>
  <c r="S34" i="23" s="1"/>
  <c r="Q35" i="23"/>
  <c r="R35" i="23" s="1"/>
  <c r="S35" i="23" s="1"/>
  <c r="Q47" i="23"/>
  <c r="R47" i="23" s="1"/>
  <c r="S47" i="23" s="1"/>
  <c r="Q53" i="23"/>
  <c r="R53" i="23" s="1"/>
  <c r="S53" i="23" s="1"/>
  <c r="Q56" i="23"/>
  <c r="R56" i="23" s="1"/>
  <c r="S56" i="23" s="1"/>
  <c r="Q58" i="23"/>
  <c r="R58" i="23" s="1"/>
  <c r="S58" i="23" s="1"/>
  <c r="Q60" i="23"/>
  <c r="R60" i="23" s="1"/>
  <c r="S60" i="23" s="1"/>
  <c r="Q62" i="23"/>
  <c r="R62" i="23" s="1"/>
  <c r="S62" i="23" s="1"/>
  <c r="Q67" i="23"/>
  <c r="R67" i="23" s="1"/>
  <c r="S67" i="23" s="1"/>
  <c r="Q24" i="23"/>
  <c r="R24" i="23" s="1"/>
  <c r="S24" i="23" s="1"/>
  <c r="Q43" i="23"/>
  <c r="R43" i="23" s="1"/>
  <c r="S43" i="23" s="1"/>
  <c r="Q45" i="23"/>
  <c r="R45" i="23" s="1"/>
  <c r="S45" i="23" s="1"/>
  <c r="Q49" i="23"/>
  <c r="R49" i="23" s="1"/>
  <c r="S49" i="23" s="1"/>
  <c r="Q52" i="23"/>
  <c r="R52" i="23" s="1"/>
  <c r="S52" i="23" s="1"/>
  <c r="Q70" i="23"/>
  <c r="R70" i="23" s="1"/>
  <c r="S70" i="23" s="1"/>
  <c r="Q72" i="23"/>
  <c r="R72" i="23" s="1"/>
  <c r="S72" i="23" s="1"/>
  <c r="Q75" i="23"/>
  <c r="R75" i="23" s="1"/>
  <c r="S75" i="23" s="1"/>
  <c r="Q78" i="23"/>
  <c r="R78" i="23" s="1"/>
  <c r="S78" i="23" s="1"/>
  <c r="Q82" i="23"/>
  <c r="R82" i="23" s="1"/>
  <c r="S82" i="23" s="1"/>
  <c r="Q83" i="23"/>
  <c r="R83" i="23" s="1"/>
  <c r="S83" i="23" s="1"/>
  <c r="Q86" i="23"/>
  <c r="R86" i="23" s="1"/>
  <c r="S86" i="23" s="1"/>
  <c r="Q87" i="23"/>
  <c r="R87" i="23" s="1"/>
  <c r="S87" i="23" s="1"/>
  <c r="Q88" i="23"/>
  <c r="R88" i="23" s="1"/>
  <c r="S88" i="23" s="1"/>
  <c r="Q89" i="23"/>
  <c r="R89" i="23" s="1"/>
  <c r="S89" i="23" s="1"/>
  <c r="Q96" i="23"/>
  <c r="R96" i="23" s="1"/>
  <c r="S96" i="23" s="1"/>
  <c r="Q97" i="23"/>
  <c r="R97" i="23" s="1"/>
  <c r="S97" i="23" s="1"/>
  <c r="Q98" i="23"/>
  <c r="R98" i="23" s="1"/>
  <c r="S98" i="23" s="1"/>
  <c r="Q100" i="23"/>
  <c r="R100" i="23" s="1"/>
  <c r="S100" i="23" s="1"/>
  <c r="Q101" i="23"/>
  <c r="R101" i="23" s="1"/>
  <c r="S101" i="23" s="1"/>
  <c r="Q102" i="23"/>
  <c r="R102" i="23" s="1"/>
  <c r="S102" i="23" s="1"/>
  <c r="Q104" i="23"/>
  <c r="R104" i="23" s="1"/>
  <c r="S104" i="23" s="1"/>
  <c r="Q105" i="23"/>
  <c r="R105" i="23" s="1"/>
  <c r="S105" i="23" s="1"/>
  <c r="Q106" i="23"/>
  <c r="R106" i="23" s="1"/>
  <c r="S106" i="23" s="1"/>
  <c r="Q108" i="23"/>
  <c r="R108" i="23" s="1"/>
  <c r="S108" i="23" s="1"/>
  <c r="Q109" i="23"/>
  <c r="R109" i="23" s="1"/>
  <c r="S109" i="23" s="1"/>
  <c r="Q111" i="23"/>
  <c r="R111" i="23" s="1"/>
  <c r="S111" i="23" s="1"/>
  <c r="Q114" i="23"/>
  <c r="R114" i="23" s="1"/>
  <c r="S114" i="23" s="1"/>
  <c r="Q115" i="23"/>
  <c r="R115" i="23" s="1"/>
  <c r="S115" i="23" s="1"/>
  <c r="Q118" i="23"/>
  <c r="R118" i="23" s="1"/>
  <c r="S118" i="23" s="1"/>
  <c r="Q119" i="23"/>
  <c r="R119" i="23" s="1"/>
  <c r="S119" i="23" s="1"/>
  <c r="Q122" i="23"/>
  <c r="R122" i="23" s="1"/>
  <c r="S122" i="23" s="1"/>
  <c r="Q123" i="23"/>
  <c r="R123" i="23" s="1"/>
  <c r="S123" i="23" s="1"/>
  <c r="Q63" i="23"/>
  <c r="R63" i="23" s="1"/>
  <c r="S63" i="23" s="1"/>
  <c r="Q68" i="23"/>
  <c r="R68" i="23" s="1"/>
  <c r="S68" i="23" s="1"/>
  <c r="Q69" i="23"/>
  <c r="R69" i="23" s="1"/>
  <c r="S69" i="23" s="1"/>
  <c r="Q71" i="23"/>
  <c r="R71" i="23" s="1"/>
  <c r="S71" i="23" s="1"/>
  <c r="Q73" i="23"/>
  <c r="R73" i="23" s="1"/>
  <c r="S73" i="23" s="1"/>
  <c r="Q74" i="23"/>
  <c r="R74" i="23" s="1"/>
  <c r="S74" i="23" s="1"/>
  <c r="Q76" i="23"/>
  <c r="R76" i="23" s="1"/>
  <c r="S76" i="23" s="1"/>
  <c r="Q77" i="23"/>
  <c r="R77" i="23" s="1"/>
  <c r="S77" i="23" s="1"/>
  <c r="Q79" i="23"/>
  <c r="R79" i="23" s="1"/>
  <c r="S79" i="23" s="1"/>
  <c r="Q80" i="23"/>
  <c r="R80" i="23" s="1"/>
  <c r="S80" i="23" s="1"/>
  <c r="Q81" i="23"/>
  <c r="R81" i="23" s="1"/>
  <c r="S81" i="23" s="1"/>
  <c r="Q84" i="23"/>
  <c r="R84" i="23" s="1"/>
  <c r="S84" i="23" s="1"/>
  <c r="Q85" i="23"/>
  <c r="R85" i="23" s="1"/>
  <c r="S85" i="23" s="1"/>
  <c r="Q90" i="23"/>
  <c r="R90" i="23" s="1"/>
  <c r="S90" i="23" s="1"/>
  <c r="Q91" i="23"/>
  <c r="R91" i="23" s="1"/>
  <c r="S91" i="23" s="1"/>
  <c r="Q93" i="23"/>
  <c r="R93" i="23" s="1"/>
  <c r="S93" i="23" s="1"/>
  <c r="Q95" i="23"/>
  <c r="R95" i="23" s="1"/>
  <c r="S95" i="23" s="1"/>
  <c r="Q103" i="23"/>
  <c r="R103" i="23" s="1"/>
  <c r="S103" i="23" s="1"/>
  <c r="Q110" i="23"/>
  <c r="R110" i="23" s="1"/>
  <c r="S110" i="23" s="1"/>
  <c r="Q112" i="23"/>
  <c r="R112" i="23" s="1"/>
  <c r="S112" i="23" s="1"/>
  <c r="Q117" i="23"/>
  <c r="R117" i="23" s="1"/>
  <c r="S117" i="23" s="1"/>
  <c r="Q120" i="23"/>
  <c r="R120" i="23" s="1"/>
  <c r="S120" i="23" s="1"/>
  <c r="Q124" i="23"/>
  <c r="R124" i="23" s="1"/>
  <c r="S124" i="23" s="1"/>
  <c r="Q125" i="23"/>
  <c r="R125" i="23" s="1"/>
  <c r="S125" i="23" s="1"/>
  <c r="Q130" i="23"/>
  <c r="R130" i="23" s="1"/>
  <c r="S130" i="23" s="1"/>
  <c r="Q131" i="23"/>
  <c r="R131" i="23" s="1"/>
  <c r="S131" i="23" s="1"/>
  <c r="Q134" i="23"/>
  <c r="R134" i="23" s="1"/>
  <c r="S134" i="23" s="1"/>
  <c r="Q135" i="23"/>
  <c r="R135" i="23" s="1"/>
  <c r="S135" i="23" s="1"/>
  <c r="Q138" i="23"/>
  <c r="R138" i="23" s="1"/>
  <c r="S138" i="23" s="1"/>
  <c r="Q139" i="23"/>
  <c r="R139" i="23" s="1"/>
  <c r="S139" i="23" s="1"/>
  <c r="Q142" i="23"/>
  <c r="R142" i="23" s="1"/>
  <c r="S142" i="23" s="1"/>
  <c r="Q143" i="23"/>
  <c r="R143" i="23" s="1"/>
  <c r="S143" i="23" s="1"/>
  <c r="Q144" i="23"/>
  <c r="R144" i="23" s="1"/>
  <c r="S144" i="23" s="1"/>
  <c r="Q145" i="23"/>
  <c r="R145" i="23" s="1"/>
  <c r="S145" i="23" s="1"/>
  <c r="Q146" i="23"/>
  <c r="R146" i="23" s="1"/>
  <c r="S146" i="23" s="1"/>
  <c r="Q147" i="23"/>
  <c r="R147" i="23" s="1"/>
  <c r="S147" i="23" s="1"/>
  <c r="Q148" i="23"/>
  <c r="R148" i="23" s="1"/>
  <c r="S148" i="23" s="1"/>
  <c r="Q149" i="23"/>
  <c r="R149" i="23" s="1"/>
  <c r="S149" i="23" s="1"/>
  <c r="Q150" i="23"/>
  <c r="R150" i="23" s="1"/>
  <c r="S150" i="23" s="1"/>
  <c r="Q151" i="23"/>
  <c r="R151" i="23" s="1"/>
  <c r="S151" i="23" s="1"/>
  <c r="Q154" i="23"/>
  <c r="R154" i="23" s="1"/>
  <c r="S154" i="23" s="1"/>
  <c r="Q155" i="23"/>
  <c r="R155" i="23" s="1"/>
  <c r="S155" i="23" s="1"/>
  <c r="Q158" i="23"/>
  <c r="R158" i="23" s="1"/>
  <c r="S158" i="23" s="1"/>
  <c r="Q159" i="23"/>
  <c r="R159" i="23" s="1"/>
  <c r="S159" i="23" s="1"/>
  <c r="Q162" i="23"/>
  <c r="R162" i="23" s="1"/>
  <c r="S162" i="23" s="1"/>
  <c r="Q163" i="23"/>
  <c r="R163" i="23" s="1"/>
  <c r="S163" i="23" s="1"/>
  <c r="Q166" i="23"/>
  <c r="R166" i="23" s="1"/>
  <c r="S166" i="23" s="1"/>
  <c r="Q167" i="23"/>
  <c r="R167" i="23" s="1"/>
  <c r="S167" i="23" s="1"/>
  <c r="Q170" i="23"/>
  <c r="R170" i="23" s="1"/>
  <c r="S170" i="23" s="1"/>
  <c r="Q171" i="23"/>
  <c r="R171" i="23" s="1"/>
  <c r="S171" i="23" s="1"/>
  <c r="Q174" i="23"/>
  <c r="R174" i="23" s="1"/>
  <c r="S174" i="23" s="1"/>
  <c r="Q175" i="23"/>
  <c r="R175" i="23" s="1"/>
  <c r="S175" i="23" s="1"/>
  <c r="Q92" i="23"/>
  <c r="R92" i="23" s="1"/>
  <c r="S92" i="23" s="1"/>
  <c r="Q94" i="23"/>
  <c r="R94" i="23" s="1"/>
  <c r="S94" i="23" s="1"/>
  <c r="Q107" i="23"/>
  <c r="R107" i="23" s="1"/>
  <c r="S107" i="23" s="1"/>
  <c r="Q116" i="23"/>
  <c r="R116" i="23" s="1"/>
  <c r="S116" i="23" s="1"/>
  <c r="Q121" i="23"/>
  <c r="R121" i="23" s="1"/>
  <c r="S121" i="23" s="1"/>
  <c r="Q126" i="23"/>
  <c r="R126" i="23" s="1"/>
  <c r="S126" i="23" s="1"/>
  <c r="Q128" i="23"/>
  <c r="R128" i="23" s="1"/>
  <c r="S128" i="23" s="1"/>
  <c r="Q133" i="23"/>
  <c r="R133" i="23" s="1"/>
  <c r="S133" i="23" s="1"/>
  <c r="Q136" i="23"/>
  <c r="R136" i="23" s="1"/>
  <c r="S136" i="23" s="1"/>
  <c r="Q141" i="23"/>
  <c r="R141" i="23" s="1"/>
  <c r="S141" i="23" s="1"/>
  <c r="Q152" i="23"/>
  <c r="R152" i="23" s="1"/>
  <c r="S152" i="23" s="1"/>
  <c r="Q157" i="23"/>
  <c r="R157" i="23" s="1"/>
  <c r="S157" i="23" s="1"/>
  <c r="Q160" i="23"/>
  <c r="R160" i="23" s="1"/>
  <c r="S160" i="23" s="1"/>
  <c r="Q165" i="23"/>
  <c r="R165" i="23" s="1"/>
  <c r="S165" i="23" s="1"/>
  <c r="Q168" i="23"/>
  <c r="R168" i="23" s="1"/>
  <c r="S168" i="23" s="1"/>
  <c r="Q173" i="23"/>
  <c r="R173" i="23" s="1"/>
  <c r="S173" i="23" s="1"/>
  <c r="Q176" i="23"/>
  <c r="R176" i="23" s="1"/>
  <c r="S176" i="23" s="1"/>
  <c r="Q177" i="23"/>
  <c r="R177" i="23" s="1"/>
  <c r="S177" i="23" s="1"/>
  <c r="Q182" i="23"/>
  <c r="R182" i="23" s="1"/>
  <c r="S182" i="23" s="1"/>
  <c r="Q183" i="23"/>
  <c r="R183" i="23" s="1"/>
  <c r="S183" i="23" s="1"/>
  <c r="Q185" i="23"/>
  <c r="R185" i="23" s="1"/>
  <c r="S185" i="23" s="1"/>
  <c r="Q186" i="23"/>
  <c r="R186" i="23" s="1"/>
  <c r="S186" i="23" s="1"/>
  <c r="Q187" i="23"/>
  <c r="R187" i="23" s="1"/>
  <c r="S187" i="23" s="1"/>
  <c r="Q189" i="23"/>
  <c r="R189" i="23" s="1"/>
  <c r="S189" i="23" s="1"/>
  <c r="Q190" i="23"/>
  <c r="R190" i="23" s="1"/>
  <c r="S190" i="23" s="1"/>
  <c r="Q191" i="23"/>
  <c r="R191" i="23" s="1"/>
  <c r="S191" i="23" s="1"/>
  <c r="Q192" i="23"/>
  <c r="R192" i="23" s="1"/>
  <c r="S192" i="23" s="1"/>
  <c r="Q196" i="23"/>
  <c r="R196" i="23" s="1"/>
  <c r="S196" i="23" s="1"/>
  <c r="Q201" i="23"/>
  <c r="R201" i="23" s="1"/>
  <c r="S201" i="23" s="1"/>
  <c r="Q202" i="23"/>
  <c r="R202" i="23" s="1"/>
  <c r="S202" i="23" s="1"/>
  <c r="Q203" i="23"/>
  <c r="R203" i="23" s="1"/>
  <c r="S203" i="23" s="1"/>
  <c r="Q204" i="23"/>
  <c r="R204" i="23" s="1"/>
  <c r="S204" i="23" s="1"/>
  <c r="Q205" i="23"/>
  <c r="R205" i="23" s="1"/>
  <c r="S205" i="23" s="1"/>
  <c r="Q206" i="23"/>
  <c r="R206" i="23" s="1"/>
  <c r="S206" i="23" s="1"/>
  <c r="Q208" i="23"/>
  <c r="R208" i="23" s="1"/>
  <c r="S208" i="23" s="1"/>
  <c r="Q209" i="23"/>
  <c r="R209" i="23" s="1"/>
  <c r="S209" i="23" s="1"/>
  <c r="Q210" i="23"/>
  <c r="R210" i="23" s="1"/>
  <c r="S210" i="23" s="1"/>
  <c r="Q113" i="23"/>
  <c r="R113" i="23" s="1"/>
  <c r="S113" i="23" s="1"/>
  <c r="Q132" i="23"/>
  <c r="R132" i="23" s="1"/>
  <c r="S132" i="23" s="1"/>
  <c r="Q137" i="23"/>
  <c r="R137" i="23" s="1"/>
  <c r="S137" i="23" s="1"/>
  <c r="Q153" i="23"/>
  <c r="R153" i="23" s="1"/>
  <c r="S153" i="23" s="1"/>
  <c r="Q156" i="23"/>
  <c r="R156" i="23" s="1"/>
  <c r="S156" i="23" s="1"/>
  <c r="Q169" i="23"/>
  <c r="R169" i="23" s="1"/>
  <c r="S169" i="23" s="1"/>
  <c r="Q172" i="23"/>
  <c r="R172" i="23" s="1"/>
  <c r="S172" i="23" s="1"/>
  <c r="Q178" i="23"/>
  <c r="R178" i="23" s="1"/>
  <c r="S178" i="23" s="1"/>
  <c r="Q179" i="23"/>
  <c r="R179" i="23" s="1"/>
  <c r="S179" i="23" s="1"/>
  <c r="Q181" i="23"/>
  <c r="R181" i="23" s="1"/>
  <c r="S181" i="23" s="1"/>
  <c r="Q188" i="23"/>
  <c r="R188" i="23" s="1"/>
  <c r="S188" i="23" s="1"/>
  <c r="Q193" i="23"/>
  <c r="R193" i="23" s="1"/>
  <c r="S193" i="23" s="1"/>
  <c r="Q194" i="23"/>
  <c r="R194" i="23" s="1"/>
  <c r="S194" i="23" s="1"/>
  <c r="Q195" i="23"/>
  <c r="R195" i="23" s="1"/>
  <c r="S195" i="23" s="1"/>
  <c r="Q197" i="23"/>
  <c r="R197" i="23" s="1"/>
  <c r="S197" i="23" s="1"/>
  <c r="Q198" i="23"/>
  <c r="R198" i="23" s="1"/>
  <c r="S198" i="23" s="1"/>
  <c r="Q207" i="23"/>
  <c r="R207" i="23" s="1"/>
  <c r="S207" i="23" s="1"/>
  <c r="Q211" i="23"/>
  <c r="R211" i="23" s="1"/>
  <c r="S211" i="23" s="1"/>
  <c r="Q214" i="23"/>
  <c r="R214" i="23" s="1"/>
  <c r="S214" i="23" s="1"/>
  <c r="Q215" i="23"/>
  <c r="R215" i="23" s="1"/>
  <c r="S215" i="23" s="1"/>
  <c r="Q216" i="23"/>
  <c r="R216" i="23" s="1"/>
  <c r="S216" i="23" s="1"/>
  <c r="Q217" i="23"/>
  <c r="R217" i="23" s="1"/>
  <c r="S217" i="23" s="1"/>
  <c r="Q222" i="23"/>
  <c r="R222" i="23" s="1"/>
  <c r="S222" i="23" s="1"/>
  <c r="Q225" i="23"/>
  <c r="R225" i="23" s="1"/>
  <c r="S225" i="23" s="1"/>
  <c r="Q228" i="23"/>
  <c r="R228" i="23" s="1"/>
  <c r="S228" i="23" s="1"/>
  <c r="Q229" i="23"/>
  <c r="R229" i="23" s="1"/>
  <c r="S229" i="23" s="1"/>
  <c r="Q230" i="23"/>
  <c r="R230" i="23" s="1"/>
  <c r="S230" i="23" s="1"/>
  <c r="Q231" i="23"/>
  <c r="R231" i="23" s="1"/>
  <c r="S231" i="23" s="1"/>
  <c r="Q233" i="23"/>
  <c r="R233" i="23" s="1"/>
  <c r="S233" i="23" s="1"/>
  <c r="Q234" i="23"/>
  <c r="R234" i="23" s="1"/>
  <c r="S234" i="23" s="1"/>
  <c r="Q235" i="23"/>
  <c r="R235" i="23" s="1"/>
  <c r="S235" i="23" s="1"/>
  <c r="Q237" i="23"/>
  <c r="R237" i="23" s="1"/>
  <c r="S237" i="23" s="1"/>
  <c r="Q238" i="23"/>
  <c r="R238" i="23" s="1"/>
  <c r="S238" i="23" s="1"/>
  <c r="Q239" i="23"/>
  <c r="R239" i="23" s="1"/>
  <c r="S239" i="23" s="1"/>
  <c r="Q240" i="23"/>
  <c r="R240" i="23" s="1"/>
  <c r="S240" i="23" s="1"/>
  <c r="Q241" i="23"/>
  <c r="R241" i="23" s="1"/>
  <c r="S241" i="23" s="1"/>
  <c r="Q242" i="23"/>
  <c r="R242" i="23" s="1"/>
  <c r="S242" i="23" s="1"/>
  <c r="Q251" i="23"/>
  <c r="R251" i="23" s="1"/>
  <c r="S251" i="23" s="1"/>
  <c r="Q252" i="23"/>
  <c r="R252" i="23" s="1"/>
  <c r="S252" i="23" s="1"/>
  <c r="Q253" i="23"/>
  <c r="R253" i="23" s="1"/>
  <c r="S253" i="23" s="1"/>
  <c r="Q254" i="23"/>
  <c r="R254" i="23" s="1"/>
  <c r="S254" i="23" s="1"/>
  <c r="Q257" i="23"/>
  <c r="R257" i="23" s="1"/>
  <c r="S257" i="23" s="1"/>
  <c r="Q258" i="23"/>
  <c r="R258" i="23" s="1"/>
  <c r="S258" i="23" s="1"/>
  <c r="Q262" i="23"/>
  <c r="R262" i="23" s="1"/>
  <c r="S262" i="23" s="1"/>
  <c r="Q263" i="23"/>
  <c r="R263" i="23" s="1"/>
  <c r="S263" i="23" s="1"/>
  <c r="Q264" i="23"/>
  <c r="R264" i="23" s="1"/>
  <c r="S264" i="23" s="1"/>
  <c r="Q265" i="23"/>
  <c r="R265" i="23" s="1"/>
  <c r="S265" i="23" s="1"/>
  <c r="Q266" i="23"/>
  <c r="R266" i="23" s="1"/>
  <c r="S266" i="23" s="1"/>
  <c r="Q267" i="23"/>
  <c r="R267" i="23" s="1"/>
  <c r="S267" i="23" s="1"/>
  <c r="Q270" i="23"/>
  <c r="R270" i="23" s="1"/>
  <c r="S270" i="23" s="1"/>
  <c r="Q271" i="23"/>
  <c r="R271" i="23" s="1"/>
  <c r="S271" i="23" s="1"/>
  <c r="Q272" i="23"/>
  <c r="R272" i="23" s="1"/>
  <c r="S272" i="23" s="1"/>
  <c r="Q273" i="23"/>
  <c r="R273" i="23" s="1"/>
  <c r="S273" i="23" s="1"/>
  <c r="Q276" i="23"/>
  <c r="R276" i="23" s="1"/>
  <c r="S276" i="23" s="1"/>
  <c r="Q277" i="23"/>
  <c r="R277" i="23" s="1"/>
  <c r="S277" i="23" s="1"/>
  <c r="Q278" i="23"/>
  <c r="R278" i="23" s="1"/>
  <c r="S278" i="23" s="1"/>
  <c r="Q279" i="23"/>
  <c r="R279" i="23" s="1"/>
  <c r="S279" i="23" s="1"/>
  <c r="Q282" i="23"/>
  <c r="R282" i="23" s="1"/>
  <c r="S282" i="23" s="1"/>
  <c r="Q283" i="23"/>
  <c r="R283" i="23" s="1"/>
  <c r="S283" i="23" s="1"/>
  <c r="Q284" i="23"/>
  <c r="R284" i="23" s="1"/>
  <c r="S284" i="23" s="1"/>
  <c r="Q285" i="23"/>
  <c r="R285" i="23" s="1"/>
  <c r="S285" i="23" s="1"/>
  <c r="Q288" i="23"/>
  <c r="R288" i="23" s="1"/>
  <c r="S288" i="23" s="1"/>
  <c r="Q289" i="23"/>
  <c r="R289" i="23" s="1"/>
  <c r="S289" i="23" s="1"/>
  <c r="Q294" i="23"/>
  <c r="R294" i="23" s="1"/>
  <c r="S294" i="23" s="1"/>
  <c r="Q295" i="23"/>
  <c r="R295" i="23" s="1"/>
  <c r="S295" i="23" s="1"/>
  <c r="Q298" i="23"/>
  <c r="R298" i="23" s="1"/>
  <c r="S298" i="23" s="1"/>
  <c r="Q299" i="23"/>
  <c r="R299" i="23" s="1"/>
  <c r="S299" i="23" s="1"/>
  <c r="Q302" i="23"/>
  <c r="R302" i="23" s="1"/>
  <c r="S302" i="23" s="1"/>
  <c r="Q303" i="23"/>
  <c r="R303" i="23" s="1"/>
  <c r="S303" i="23" s="1"/>
  <c r="Q304" i="23"/>
  <c r="R304" i="23" s="1"/>
  <c r="S304" i="23" s="1"/>
  <c r="Q305" i="23"/>
  <c r="R305" i="23" s="1"/>
  <c r="S305" i="23" s="1"/>
  <c r="Q306" i="23"/>
  <c r="R306" i="23" s="1"/>
  <c r="S306" i="23" s="1"/>
  <c r="Q307" i="23"/>
  <c r="R307" i="23" s="1"/>
  <c r="S307" i="23" s="1"/>
  <c r="Q308" i="23"/>
  <c r="R308" i="23" s="1"/>
  <c r="S308" i="23" s="1"/>
  <c r="Q309" i="23"/>
  <c r="R309" i="23" s="1"/>
  <c r="S309" i="23" s="1"/>
  <c r="Q310" i="23"/>
  <c r="R310" i="23" s="1"/>
  <c r="S310" i="23" s="1"/>
  <c r="Q311" i="23"/>
  <c r="R311" i="23" s="1"/>
  <c r="S311" i="23" s="1"/>
  <c r="Q312" i="23"/>
  <c r="R312" i="23" s="1"/>
  <c r="S312" i="23" s="1"/>
  <c r="Q313" i="23"/>
  <c r="R313" i="23" s="1"/>
  <c r="S313" i="23" s="1"/>
  <c r="Q314" i="23"/>
  <c r="R314" i="23" s="1"/>
  <c r="S314" i="23" s="1"/>
  <c r="Q315" i="23"/>
  <c r="R315" i="23" s="1"/>
  <c r="S315" i="23" s="1"/>
  <c r="Q99" i="23"/>
  <c r="R99" i="23" s="1"/>
  <c r="S99" i="23" s="1"/>
  <c r="Q127" i="23"/>
  <c r="R127" i="23" s="1"/>
  <c r="S127" i="23" s="1"/>
  <c r="Q129" i="23"/>
  <c r="R129" i="23" s="1"/>
  <c r="S129" i="23" s="1"/>
  <c r="Q140" i="23"/>
  <c r="R140" i="23" s="1"/>
  <c r="S140" i="23" s="1"/>
  <c r="Q161" i="23"/>
  <c r="R161" i="23" s="1"/>
  <c r="S161" i="23" s="1"/>
  <c r="Q164" i="23"/>
  <c r="R164" i="23" s="1"/>
  <c r="S164" i="23" s="1"/>
  <c r="Q180" i="23"/>
  <c r="R180" i="23" s="1"/>
  <c r="S180" i="23" s="1"/>
  <c r="Q184" i="23"/>
  <c r="R184" i="23" s="1"/>
  <c r="S184" i="23" s="1"/>
  <c r="Q199" i="23"/>
  <c r="R199" i="23" s="1"/>
  <c r="S199" i="23" s="1"/>
  <c r="Q200" i="23"/>
  <c r="R200" i="23" s="1"/>
  <c r="S200" i="23" s="1"/>
  <c r="Q212" i="23"/>
  <c r="R212" i="23" s="1"/>
  <c r="S212" i="23" s="1"/>
  <c r="Q213" i="23"/>
  <c r="R213" i="23" s="1"/>
  <c r="S213" i="23" s="1"/>
  <c r="Q218" i="23"/>
  <c r="R218" i="23" s="1"/>
  <c r="S218" i="23" s="1"/>
  <c r="Q219" i="23"/>
  <c r="R219" i="23" s="1"/>
  <c r="S219" i="23" s="1"/>
  <c r="Q220" i="23"/>
  <c r="R220" i="23" s="1"/>
  <c r="S220" i="23" s="1"/>
  <c r="Q221" i="23"/>
  <c r="R221" i="23" s="1"/>
  <c r="S221" i="23" s="1"/>
  <c r="Q223" i="23"/>
  <c r="R223" i="23" s="1"/>
  <c r="S223" i="23" s="1"/>
  <c r="Q224" i="23"/>
  <c r="R224" i="23" s="1"/>
  <c r="S224" i="23" s="1"/>
  <c r="Q226" i="23"/>
  <c r="R226" i="23" s="1"/>
  <c r="S226" i="23" s="1"/>
  <c r="Q227" i="23"/>
  <c r="R227" i="23" s="1"/>
  <c r="S227" i="23" s="1"/>
  <c r="Q232" i="23"/>
  <c r="R232" i="23" s="1"/>
  <c r="S232" i="23" s="1"/>
  <c r="Q236" i="23"/>
  <c r="R236" i="23" s="1"/>
  <c r="S236" i="23" s="1"/>
  <c r="Q243" i="23"/>
  <c r="R243" i="23" s="1"/>
  <c r="S243" i="23" s="1"/>
  <c r="Q244" i="23"/>
  <c r="R244" i="23" s="1"/>
  <c r="S244" i="23" s="1"/>
  <c r="Q245" i="23"/>
  <c r="R245" i="23" s="1"/>
  <c r="S245" i="23" s="1"/>
  <c r="Q246" i="23"/>
  <c r="R246" i="23" s="1"/>
  <c r="S246" i="23" s="1"/>
  <c r="Q247" i="23"/>
  <c r="R247" i="23" s="1"/>
  <c r="S247" i="23" s="1"/>
  <c r="Q248" i="23"/>
  <c r="R248" i="23" s="1"/>
  <c r="S248" i="23" s="1"/>
  <c r="Q249" i="23"/>
  <c r="R249" i="23" s="1"/>
  <c r="S249" i="23" s="1"/>
  <c r="Q250" i="23"/>
  <c r="R250" i="23" s="1"/>
  <c r="S250" i="23" s="1"/>
  <c r="Q255" i="23"/>
  <c r="R255" i="23" s="1"/>
  <c r="S255" i="23" s="1"/>
  <c r="Q256" i="23"/>
  <c r="R256" i="23" s="1"/>
  <c r="S256" i="23" s="1"/>
  <c r="Q259" i="23"/>
  <c r="R259" i="23" s="1"/>
  <c r="S259" i="23" s="1"/>
  <c r="Q260" i="23"/>
  <c r="R260" i="23" s="1"/>
  <c r="S260" i="23" s="1"/>
  <c r="Q261" i="23"/>
  <c r="R261" i="23" s="1"/>
  <c r="S261" i="23" s="1"/>
  <c r="Q268" i="23"/>
  <c r="R268" i="23" s="1"/>
  <c r="S268" i="23" s="1"/>
  <c r="Q269" i="23"/>
  <c r="R269" i="23" s="1"/>
  <c r="S269" i="23" s="1"/>
  <c r="Q274" i="23"/>
  <c r="R274" i="23" s="1"/>
  <c r="S274" i="23" s="1"/>
  <c r="Q275" i="23"/>
  <c r="R275" i="23" s="1"/>
  <c r="S275" i="23" s="1"/>
  <c r="Q280" i="23"/>
  <c r="R280" i="23" s="1"/>
  <c r="S280" i="23" s="1"/>
  <c r="Q281" i="23"/>
  <c r="R281" i="23" s="1"/>
  <c r="S281" i="23" s="1"/>
  <c r="Q286" i="23"/>
  <c r="R286" i="23" s="1"/>
  <c r="S286" i="23" s="1"/>
  <c r="Q287" i="23"/>
  <c r="R287" i="23" s="1"/>
  <c r="S287" i="23" s="1"/>
  <c r="Q290" i="23"/>
  <c r="R290" i="23" s="1"/>
  <c r="S290" i="23" s="1"/>
  <c r="Q291" i="23"/>
  <c r="R291" i="23" s="1"/>
  <c r="S291" i="23" s="1"/>
  <c r="Q292" i="23"/>
  <c r="R292" i="23" s="1"/>
  <c r="S292" i="23" s="1"/>
  <c r="Q293" i="23"/>
  <c r="R293" i="23" s="1"/>
  <c r="S293" i="23" s="1"/>
  <c r="Q296" i="23"/>
  <c r="R296" i="23" s="1"/>
  <c r="S296" i="23" s="1"/>
  <c r="Q297" i="23"/>
  <c r="R297" i="23" s="1"/>
  <c r="S297" i="23" s="1"/>
  <c r="Q300" i="23"/>
  <c r="R300" i="23" s="1"/>
  <c r="S300" i="23" s="1"/>
  <c r="Q301" i="23"/>
  <c r="R301" i="23" s="1"/>
  <c r="S301" i="23" s="1"/>
  <c r="Q316" i="23"/>
  <c r="R316" i="23" s="1"/>
  <c r="S316" i="23" s="1"/>
  <c r="Q317" i="23"/>
  <c r="R317" i="23" s="1"/>
  <c r="S317" i="23" s="1"/>
  <c r="Q318" i="23"/>
  <c r="R318" i="23" s="1"/>
  <c r="S318" i="23" s="1"/>
  <c r="Q322" i="23"/>
  <c r="R322" i="23" s="1"/>
  <c r="S322" i="23" s="1"/>
  <c r="Q321" i="23"/>
  <c r="R321" i="23" s="1"/>
  <c r="S321" i="23" s="1"/>
  <c r="Q319" i="23"/>
  <c r="R319" i="23" s="1"/>
  <c r="S319" i="23" s="1"/>
  <c r="Q320" i="23"/>
  <c r="R320" i="23" s="1"/>
  <c r="S320" i="23" s="1"/>
  <c r="Q23" i="23"/>
  <c r="R23" i="23" s="1"/>
  <c r="V26" i="23"/>
  <c r="W26" i="23" s="1"/>
  <c r="V27" i="23"/>
  <c r="W27" i="23" s="1"/>
  <c r="V28" i="23"/>
  <c r="W28" i="23" s="1"/>
  <c r="V29" i="23"/>
  <c r="W29" i="23" s="1"/>
  <c r="V30" i="23"/>
  <c r="W30" i="23" s="1"/>
  <c r="V31" i="23"/>
  <c r="W31" i="23" s="1"/>
  <c r="V35" i="23"/>
  <c r="W35" i="23" s="1"/>
  <c r="V36" i="23"/>
  <c r="W36" i="23" s="1"/>
  <c r="V41" i="23"/>
  <c r="W41" i="23" s="1"/>
  <c r="V42" i="23"/>
  <c r="W42" i="23" s="1"/>
  <c r="V24" i="23"/>
  <c r="W24" i="23" s="1"/>
  <c r="V32" i="23"/>
  <c r="W32" i="23" s="1"/>
  <c r="V33" i="23"/>
  <c r="W33" i="23" s="1"/>
  <c r="V37" i="23"/>
  <c r="W37" i="23" s="1"/>
  <c r="V38" i="23"/>
  <c r="W38" i="23" s="1"/>
  <c r="V40" i="23"/>
  <c r="W40" i="23" s="1"/>
  <c r="V25" i="23"/>
  <c r="W25" i="23" s="1"/>
  <c r="V34" i="23"/>
  <c r="W34" i="23" s="1"/>
  <c r="V43" i="23"/>
  <c r="W43" i="23" s="1"/>
  <c r="V44" i="23"/>
  <c r="W44" i="23" s="1"/>
  <c r="V45" i="23"/>
  <c r="W45" i="23" s="1"/>
  <c r="V46" i="23"/>
  <c r="W46" i="23" s="1"/>
  <c r="V47" i="23"/>
  <c r="W47" i="23" s="1"/>
  <c r="V48" i="23"/>
  <c r="W48" i="23" s="1"/>
  <c r="V49" i="23"/>
  <c r="W49" i="23" s="1"/>
  <c r="V50" i="23"/>
  <c r="W50" i="23" s="1"/>
  <c r="V53" i="23"/>
  <c r="W53" i="23" s="1"/>
  <c r="V54" i="23"/>
  <c r="W54" i="23" s="1"/>
  <c r="V63" i="23"/>
  <c r="W63" i="23" s="1"/>
  <c r="V64" i="23"/>
  <c r="W64" i="23" s="1"/>
  <c r="V65" i="23"/>
  <c r="W65" i="23" s="1"/>
  <c r="V66" i="23"/>
  <c r="W66" i="23" s="1"/>
  <c r="V67" i="23"/>
  <c r="W67" i="23" s="1"/>
  <c r="V51" i="23"/>
  <c r="W51" i="23" s="1"/>
  <c r="V56" i="23"/>
  <c r="W56" i="23" s="1"/>
  <c r="V58" i="23"/>
  <c r="W58" i="23" s="1"/>
  <c r="V60" i="23"/>
  <c r="W60" i="23" s="1"/>
  <c r="V62" i="23"/>
  <c r="W62" i="23" s="1"/>
  <c r="V39" i="23"/>
  <c r="W39" i="23" s="1"/>
  <c r="V55" i="23"/>
  <c r="W55" i="23" s="1"/>
  <c r="V57" i="23"/>
  <c r="W57" i="23" s="1"/>
  <c r="V59" i="23"/>
  <c r="W59" i="23" s="1"/>
  <c r="V61" i="23"/>
  <c r="W61" i="23" s="1"/>
  <c r="V69" i="23"/>
  <c r="W69" i="23" s="1"/>
  <c r="V70" i="23"/>
  <c r="W70" i="23" s="1"/>
  <c r="V71" i="23"/>
  <c r="W71" i="23" s="1"/>
  <c r="V72" i="23"/>
  <c r="W72" i="23" s="1"/>
  <c r="V77" i="23"/>
  <c r="W77" i="23" s="1"/>
  <c r="V79" i="23"/>
  <c r="W79" i="23" s="1"/>
  <c r="V80" i="23"/>
  <c r="W80" i="23" s="1"/>
  <c r="V81" i="23"/>
  <c r="W81" i="23" s="1"/>
  <c r="V84" i="23"/>
  <c r="W84" i="23" s="1"/>
  <c r="V85" i="23"/>
  <c r="W85" i="23" s="1"/>
  <c r="V87" i="23"/>
  <c r="W87" i="23" s="1"/>
  <c r="V90" i="23"/>
  <c r="W90" i="23" s="1"/>
  <c r="V92" i="23"/>
  <c r="W92" i="23" s="1"/>
  <c r="V96" i="23"/>
  <c r="W96" i="23" s="1"/>
  <c r="V98" i="23"/>
  <c r="W98" i="23" s="1"/>
  <c r="V100" i="23"/>
  <c r="W100" i="23" s="1"/>
  <c r="V102" i="23"/>
  <c r="W102" i="23" s="1"/>
  <c r="V104" i="23"/>
  <c r="W104" i="23" s="1"/>
  <c r="V106" i="23"/>
  <c r="W106" i="23" s="1"/>
  <c r="V108" i="23"/>
  <c r="W108" i="23" s="1"/>
  <c r="V111" i="23"/>
  <c r="W111" i="23" s="1"/>
  <c r="V112" i="23"/>
  <c r="W112" i="23" s="1"/>
  <c r="V113" i="23"/>
  <c r="W113" i="23" s="1"/>
  <c r="V115" i="23"/>
  <c r="W115" i="23" s="1"/>
  <c r="V116" i="23"/>
  <c r="W116" i="23" s="1"/>
  <c r="V117" i="23"/>
  <c r="W117" i="23" s="1"/>
  <c r="V120" i="23"/>
  <c r="W120" i="23" s="1"/>
  <c r="V121" i="23"/>
  <c r="W121" i="23" s="1"/>
  <c r="V123" i="23"/>
  <c r="W123" i="23" s="1"/>
  <c r="V52" i="23"/>
  <c r="W52" i="23" s="1"/>
  <c r="V68" i="23"/>
  <c r="W68" i="23" s="1"/>
  <c r="V73" i="23"/>
  <c r="W73" i="23" s="1"/>
  <c r="V74" i="23"/>
  <c r="W74" i="23" s="1"/>
  <c r="V75" i="23"/>
  <c r="W75" i="23" s="1"/>
  <c r="V76" i="23"/>
  <c r="W76" i="23" s="1"/>
  <c r="V78" i="23"/>
  <c r="W78" i="23" s="1"/>
  <c r="V82" i="23"/>
  <c r="W82" i="23" s="1"/>
  <c r="V83" i="23"/>
  <c r="W83" i="23" s="1"/>
  <c r="V86" i="23"/>
  <c r="W86" i="23" s="1"/>
  <c r="V88" i="23"/>
  <c r="W88" i="23" s="1"/>
  <c r="V89" i="23"/>
  <c r="W89" i="23" s="1"/>
  <c r="V91" i="23"/>
  <c r="W91" i="23" s="1"/>
  <c r="V93" i="23"/>
  <c r="W93" i="23" s="1"/>
  <c r="V95" i="23"/>
  <c r="W95" i="23" s="1"/>
  <c r="V101" i="23"/>
  <c r="W101" i="23" s="1"/>
  <c r="V103" i="23"/>
  <c r="W103" i="23" s="1"/>
  <c r="V109" i="23"/>
  <c r="W109" i="23" s="1"/>
  <c r="V110" i="23"/>
  <c r="W110" i="23" s="1"/>
  <c r="V118" i="23"/>
  <c r="W118" i="23" s="1"/>
  <c r="V119" i="23"/>
  <c r="W119" i="23" s="1"/>
  <c r="V126" i="23"/>
  <c r="W126" i="23" s="1"/>
  <c r="V128" i="23"/>
  <c r="W128" i="23" s="1"/>
  <c r="V129" i="23"/>
  <c r="W129" i="23" s="1"/>
  <c r="V131" i="23"/>
  <c r="W131" i="23" s="1"/>
  <c r="V132" i="23"/>
  <c r="W132" i="23" s="1"/>
  <c r="V133" i="23"/>
  <c r="W133" i="23" s="1"/>
  <c r="V136" i="23"/>
  <c r="W136" i="23" s="1"/>
  <c r="V137" i="23"/>
  <c r="W137" i="23" s="1"/>
  <c r="V139" i="23"/>
  <c r="W139" i="23" s="1"/>
  <c r="V140" i="23"/>
  <c r="W140" i="23" s="1"/>
  <c r="V141" i="23"/>
  <c r="W141" i="23" s="1"/>
  <c r="V148" i="23"/>
  <c r="W148" i="23" s="1"/>
  <c r="V149" i="23"/>
  <c r="W149" i="23" s="1"/>
  <c r="V152" i="23"/>
  <c r="W152" i="23" s="1"/>
  <c r="V153" i="23"/>
  <c r="W153" i="23" s="1"/>
  <c r="V156" i="23"/>
  <c r="W156" i="23" s="1"/>
  <c r="V157" i="23"/>
  <c r="W157" i="23" s="1"/>
  <c r="V160" i="23"/>
  <c r="W160" i="23" s="1"/>
  <c r="V161" i="23"/>
  <c r="W161" i="23" s="1"/>
  <c r="V164" i="23"/>
  <c r="W164" i="23" s="1"/>
  <c r="V165" i="23"/>
  <c r="W165" i="23" s="1"/>
  <c r="V168" i="23"/>
  <c r="W168" i="23" s="1"/>
  <c r="V169" i="23"/>
  <c r="W169" i="23" s="1"/>
  <c r="V172" i="23"/>
  <c r="W172" i="23" s="1"/>
  <c r="V173" i="23"/>
  <c r="W173" i="23" s="1"/>
  <c r="V175" i="23"/>
  <c r="W175" i="23" s="1"/>
  <c r="V99" i="23"/>
  <c r="W99" i="23" s="1"/>
  <c r="V105" i="23"/>
  <c r="W105" i="23" s="1"/>
  <c r="V114" i="23"/>
  <c r="W114" i="23" s="1"/>
  <c r="V124" i="23"/>
  <c r="W124" i="23" s="1"/>
  <c r="V134" i="23"/>
  <c r="W134" i="23" s="1"/>
  <c r="V135" i="23"/>
  <c r="W135" i="23" s="1"/>
  <c r="V142" i="23"/>
  <c r="W142" i="23" s="1"/>
  <c r="V144" i="23"/>
  <c r="W144" i="23" s="1"/>
  <c r="V146" i="23"/>
  <c r="W146" i="23" s="1"/>
  <c r="V150" i="23"/>
  <c r="W150" i="23" s="1"/>
  <c r="V155" i="23"/>
  <c r="W155" i="23" s="1"/>
  <c r="V158" i="23"/>
  <c r="W158" i="23" s="1"/>
  <c r="V163" i="23"/>
  <c r="W163" i="23" s="1"/>
  <c r="V166" i="23"/>
  <c r="W166" i="23" s="1"/>
  <c r="V171" i="23"/>
  <c r="W171" i="23" s="1"/>
  <c r="V174" i="23"/>
  <c r="W174" i="23" s="1"/>
  <c r="V178" i="23"/>
  <c r="W178" i="23" s="1"/>
  <c r="V179" i="23"/>
  <c r="W179" i="23" s="1"/>
  <c r="V180" i="23"/>
  <c r="W180" i="23" s="1"/>
  <c r="V181" i="23"/>
  <c r="W181" i="23" s="1"/>
  <c r="V183" i="23"/>
  <c r="W183" i="23" s="1"/>
  <c r="V187" i="23"/>
  <c r="W187" i="23" s="1"/>
  <c r="V192" i="23"/>
  <c r="W192" i="23" s="1"/>
  <c r="V193" i="23"/>
  <c r="W193" i="23" s="1"/>
  <c r="V194" i="23"/>
  <c r="W194" i="23" s="1"/>
  <c r="V196" i="23"/>
  <c r="W196" i="23" s="1"/>
  <c r="V197" i="23"/>
  <c r="W197" i="23" s="1"/>
  <c r="V198" i="23"/>
  <c r="W198" i="23" s="1"/>
  <c r="V199" i="23"/>
  <c r="W199" i="23" s="1"/>
  <c r="V205" i="23"/>
  <c r="W205" i="23" s="1"/>
  <c r="V206" i="23"/>
  <c r="W206" i="23" s="1"/>
  <c r="V209" i="23"/>
  <c r="W209" i="23" s="1"/>
  <c r="V210" i="23"/>
  <c r="W210" i="23" s="1"/>
  <c r="V212" i="23"/>
  <c r="W212" i="23" s="1"/>
  <c r="V97" i="23"/>
  <c r="W97" i="23" s="1"/>
  <c r="V107" i="23"/>
  <c r="W107" i="23" s="1"/>
  <c r="V122" i="23"/>
  <c r="W122" i="23" s="1"/>
  <c r="V125" i="23"/>
  <c r="W125" i="23" s="1"/>
  <c r="V127" i="23"/>
  <c r="W127" i="23" s="1"/>
  <c r="V130" i="23"/>
  <c r="W130" i="23" s="1"/>
  <c r="V159" i="23"/>
  <c r="W159" i="23" s="1"/>
  <c r="V162" i="23"/>
  <c r="W162" i="23" s="1"/>
  <c r="V176" i="23"/>
  <c r="W176" i="23" s="1"/>
  <c r="V182" i="23"/>
  <c r="W182" i="23" s="1"/>
  <c r="V184" i="23"/>
  <c r="W184" i="23" s="1"/>
  <c r="V189" i="23"/>
  <c r="W189" i="23" s="1"/>
  <c r="V190" i="23"/>
  <c r="W190" i="23" s="1"/>
  <c r="V200" i="23"/>
  <c r="W200" i="23" s="1"/>
  <c r="V214" i="23"/>
  <c r="W214" i="23" s="1"/>
  <c r="V215" i="23"/>
  <c r="W215" i="23" s="1"/>
  <c r="V217" i="23"/>
  <c r="W217" i="23" s="1"/>
  <c r="V220" i="23"/>
  <c r="W220" i="23" s="1"/>
  <c r="V222" i="23"/>
  <c r="W222" i="23" s="1"/>
  <c r="V224" i="23"/>
  <c r="W224" i="23" s="1"/>
  <c r="V226" i="23"/>
  <c r="W226" i="23" s="1"/>
  <c r="V227" i="23"/>
  <c r="W227" i="23" s="1"/>
  <c r="V228" i="23"/>
  <c r="W228" i="23" s="1"/>
  <c r="V229" i="23"/>
  <c r="W229" i="23" s="1"/>
  <c r="V231" i="23"/>
  <c r="W231" i="23" s="1"/>
  <c r="V232" i="23"/>
  <c r="W232" i="23" s="1"/>
  <c r="V233" i="23"/>
  <c r="W233" i="23" s="1"/>
  <c r="V235" i="23"/>
  <c r="W235" i="23" s="1"/>
  <c r="V236" i="23"/>
  <c r="W236" i="23" s="1"/>
  <c r="V237" i="23"/>
  <c r="W237" i="23" s="1"/>
  <c r="V240" i="23"/>
  <c r="W240" i="23" s="1"/>
  <c r="V241" i="23"/>
  <c r="W241" i="23" s="1"/>
  <c r="V242" i="23"/>
  <c r="W242" i="23" s="1"/>
  <c r="V243" i="23"/>
  <c r="W243" i="23" s="1"/>
  <c r="V247" i="23"/>
  <c r="W247" i="23" s="1"/>
  <c r="V252" i="23"/>
  <c r="W252" i="23" s="1"/>
  <c r="V253" i="23"/>
  <c r="W253" i="23" s="1"/>
  <c r="V254" i="23"/>
  <c r="W254" i="23" s="1"/>
  <c r="V255" i="23"/>
  <c r="W255" i="23" s="1"/>
  <c r="V257" i="23"/>
  <c r="W257" i="23" s="1"/>
  <c r="V258" i="23"/>
  <c r="W258" i="23" s="1"/>
  <c r="V259" i="23"/>
  <c r="W259" i="23" s="1"/>
  <c r="V261" i="23"/>
  <c r="W261" i="23" s="1"/>
  <c r="V262" i="23"/>
  <c r="W262" i="23" s="1"/>
  <c r="V264" i="23"/>
  <c r="W264" i="23" s="1"/>
  <c r="V265" i="23"/>
  <c r="W265" i="23" s="1"/>
  <c r="V267" i="23"/>
  <c r="W267" i="23" s="1"/>
  <c r="V271" i="23"/>
  <c r="W271" i="23" s="1"/>
  <c r="V272" i="23"/>
  <c r="W272" i="23" s="1"/>
  <c r="V273" i="23"/>
  <c r="W273" i="23" s="1"/>
  <c r="V274" i="23"/>
  <c r="W274" i="23" s="1"/>
  <c r="V276" i="23"/>
  <c r="W276" i="23" s="1"/>
  <c r="V277" i="23"/>
  <c r="W277" i="23" s="1"/>
  <c r="V279" i="23"/>
  <c r="W279" i="23" s="1"/>
  <c r="V283" i="23"/>
  <c r="W283" i="23" s="1"/>
  <c r="V284" i="23"/>
  <c r="W284" i="23" s="1"/>
  <c r="V285" i="23"/>
  <c r="W285" i="23" s="1"/>
  <c r="V286" i="23"/>
  <c r="W286" i="23" s="1"/>
  <c r="V288" i="23"/>
  <c r="W288" i="23" s="1"/>
  <c r="V289" i="23"/>
  <c r="W289" i="23" s="1"/>
  <c r="V290" i="23"/>
  <c r="W290" i="23" s="1"/>
  <c r="V295" i="23"/>
  <c r="W295" i="23" s="1"/>
  <c r="V299" i="23"/>
  <c r="W299" i="23" s="1"/>
  <c r="V303" i="23"/>
  <c r="W303" i="23" s="1"/>
  <c r="V304" i="23"/>
  <c r="W304" i="23" s="1"/>
  <c r="V305" i="23"/>
  <c r="W305" i="23" s="1"/>
  <c r="V307" i="23"/>
  <c r="W307" i="23" s="1"/>
  <c r="V308" i="23"/>
  <c r="W308" i="23" s="1"/>
  <c r="V309" i="23"/>
  <c r="W309" i="23" s="1"/>
  <c r="V311" i="23"/>
  <c r="W311" i="23" s="1"/>
  <c r="V312" i="23"/>
  <c r="W312" i="23" s="1"/>
  <c r="V313" i="23"/>
  <c r="W313" i="23" s="1"/>
  <c r="V315" i="23"/>
  <c r="W315" i="23" s="1"/>
  <c r="V94" i="23"/>
  <c r="W94" i="23" s="1"/>
  <c r="V138" i="23"/>
  <c r="W138" i="23" s="1"/>
  <c r="V143" i="23"/>
  <c r="W143" i="23" s="1"/>
  <c r="V145" i="23"/>
  <c r="W145" i="23" s="1"/>
  <c r="V147" i="23"/>
  <c r="W147" i="23" s="1"/>
  <c r="V151" i="23"/>
  <c r="W151" i="23" s="1"/>
  <c r="V154" i="23"/>
  <c r="W154" i="23" s="1"/>
  <c r="V167" i="23"/>
  <c r="W167" i="23" s="1"/>
  <c r="V170" i="23"/>
  <c r="W170" i="23" s="1"/>
  <c r="V177" i="23"/>
  <c r="W177" i="23" s="1"/>
  <c r="V185" i="23"/>
  <c r="W185" i="23" s="1"/>
  <c r="V186" i="23"/>
  <c r="W186" i="23" s="1"/>
  <c r="V188" i="23"/>
  <c r="W188" i="23" s="1"/>
  <c r="V191" i="23"/>
  <c r="W191" i="23" s="1"/>
  <c r="V195" i="23"/>
  <c r="W195" i="23" s="1"/>
  <c r="V201" i="23"/>
  <c r="W201" i="23" s="1"/>
  <c r="V202" i="23"/>
  <c r="W202" i="23" s="1"/>
  <c r="V203" i="23"/>
  <c r="W203" i="23" s="1"/>
  <c r="V204" i="23"/>
  <c r="W204" i="23" s="1"/>
  <c r="V207" i="23"/>
  <c r="W207" i="23" s="1"/>
  <c r="V208" i="23"/>
  <c r="W208" i="23" s="1"/>
  <c r="V211" i="23"/>
  <c r="W211" i="23" s="1"/>
  <c r="V213" i="23"/>
  <c r="W213" i="23" s="1"/>
  <c r="V216" i="23"/>
  <c r="W216" i="23" s="1"/>
  <c r="V218" i="23"/>
  <c r="W218" i="23" s="1"/>
  <c r="V219" i="23"/>
  <c r="W219" i="23" s="1"/>
  <c r="V221" i="23"/>
  <c r="W221" i="23" s="1"/>
  <c r="V223" i="23"/>
  <c r="W223" i="23" s="1"/>
  <c r="V225" i="23"/>
  <c r="W225" i="23" s="1"/>
  <c r="V230" i="23"/>
  <c r="W230" i="23" s="1"/>
  <c r="V234" i="23"/>
  <c r="W234" i="23" s="1"/>
  <c r="V238" i="23"/>
  <c r="W238" i="23" s="1"/>
  <c r="V239" i="23"/>
  <c r="W239" i="23" s="1"/>
  <c r="V244" i="23"/>
  <c r="W244" i="23" s="1"/>
  <c r="V245" i="23"/>
  <c r="W245" i="23" s="1"/>
  <c r="V246" i="23"/>
  <c r="W246" i="23" s="1"/>
  <c r="V248" i="23"/>
  <c r="W248" i="23" s="1"/>
  <c r="V249" i="23"/>
  <c r="W249" i="23" s="1"/>
  <c r="V250" i="23"/>
  <c r="W250" i="23" s="1"/>
  <c r="V251" i="23"/>
  <c r="W251" i="23" s="1"/>
  <c r="V256" i="23"/>
  <c r="W256" i="23" s="1"/>
  <c r="V260" i="23"/>
  <c r="W260" i="23" s="1"/>
  <c r="V263" i="23"/>
  <c r="W263" i="23" s="1"/>
  <c r="V266" i="23"/>
  <c r="W266" i="23" s="1"/>
  <c r="V268" i="23"/>
  <c r="W268" i="23" s="1"/>
  <c r="V269" i="23"/>
  <c r="W269" i="23" s="1"/>
  <c r="V270" i="23"/>
  <c r="W270" i="23" s="1"/>
  <c r="V275" i="23"/>
  <c r="W275" i="23" s="1"/>
  <c r="V278" i="23"/>
  <c r="W278" i="23" s="1"/>
  <c r="V280" i="23"/>
  <c r="W280" i="23" s="1"/>
  <c r="V281" i="23"/>
  <c r="W281" i="23" s="1"/>
  <c r="V282" i="23"/>
  <c r="W282" i="23" s="1"/>
  <c r="V287" i="23"/>
  <c r="W287" i="23" s="1"/>
  <c r="V291" i="23"/>
  <c r="W291" i="23" s="1"/>
  <c r="V292" i="23"/>
  <c r="W292" i="23" s="1"/>
  <c r="V293" i="23"/>
  <c r="W293" i="23" s="1"/>
  <c r="V294" i="23"/>
  <c r="W294" i="23" s="1"/>
  <c r="V296" i="23"/>
  <c r="W296" i="23" s="1"/>
  <c r="V297" i="23"/>
  <c r="W297" i="23" s="1"/>
  <c r="V298" i="23"/>
  <c r="W298" i="23" s="1"/>
  <c r="V300" i="23"/>
  <c r="W300" i="23" s="1"/>
  <c r="V301" i="23"/>
  <c r="W301" i="23" s="1"/>
  <c r="V302" i="23"/>
  <c r="W302" i="23" s="1"/>
  <c r="V306" i="23"/>
  <c r="W306" i="23" s="1"/>
  <c r="V310" i="23"/>
  <c r="W310" i="23" s="1"/>
  <c r="V314" i="23"/>
  <c r="W314" i="23" s="1"/>
  <c r="V316" i="23"/>
  <c r="W316" i="23" s="1"/>
  <c r="V318" i="23"/>
  <c r="W318" i="23" s="1"/>
  <c r="V319" i="23"/>
  <c r="W319" i="23" s="1"/>
  <c r="V321" i="23"/>
  <c r="W321" i="23" s="1"/>
  <c r="V322" i="23"/>
  <c r="W322" i="23" s="1"/>
  <c r="V23" i="23"/>
  <c r="W23" i="23" s="1"/>
  <c r="V317" i="23"/>
  <c r="W317" i="23" s="1"/>
  <c r="V320" i="23"/>
  <c r="W320" i="23" s="1"/>
  <c r="Z24" i="23"/>
  <c r="AA24" i="23" s="1"/>
  <c r="Z27" i="23"/>
  <c r="AA27" i="23" s="1"/>
  <c r="Z28" i="23"/>
  <c r="AA28" i="23" s="1"/>
  <c r="Z30" i="23"/>
  <c r="AA30" i="23" s="1"/>
  <c r="Z29" i="23"/>
  <c r="AA29" i="23" s="1"/>
  <c r="Z31" i="23"/>
  <c r="AA31" i="23" s="1"/>
  <c r="Z32" i="23"/>
  <c r="AA32" i="23" s="1"/>
  <c r="Z34" i="23"/>
  <c r="AA34" i="23" s="1"/>
  <c r="Z35" i="23"/>
  <c r="AA35" i="23" s="1"/>
  <c r="Z40" i="23"/>
  <c r="AA40" i="23" s="1"/>
  <c r="Z41" i="23"/>
  <c r="AA41" i="23" s="1"/>
  <c r="Z25" i="23"/>
  <c r="AA25" i="23" s="1"/>
  <c r="Z26" i="23"/>
  <c r="AA26" i="23" s="1"/>
  <c r="Z33" i="23"/>
  <c r="AA33" i="23" s="1"/>
  <c r="Z37" i="23"/>
  <c r="AA37" i="23" s="1"/>
  <c r="Z38" i="23"/>
  <c r="AA38" i="23" s="1"/>
  <c r="Z39" i="23"/>
  <c r="AA39" i="23" s="1"/>
  <c r="Z43" i="23"/>
  <c r="AA43" i="23" s="1"/>
  <c r="Z45" i="23"/>
  <c r="AA45" i="23" s="1"/>
  <c r="Z47" i="23"/>
  <c r="AA47" i="23" s="1"/>
  <c r="Z49" i="23"/>
  <c r="AA49" i="23" s="1"/>
  <c r="Z52" i="23"/>
  <c r="AA52" i="23" s="1"/>
  <c r="Z53" i="23"/>
  <c r="AA53" i="23" s="1"/>
  <c r="Z56" i="23"/>
  <c r="AA56" i="23" s="1"/>
  <c r="Z58" i="23"/>
  <c r="AA58" i="23" s="1"/>
  <c r="Z60" i="23"/>
  <c r="AA60" i="23" s="1"/>
  <c r="Z62" i="23"/>
  <c r="AA62" i="23" s="1"/>
  <c r="Z63" i="23"/>
  <c r="AA63" i="23" s="1"/>
  <c r="Z65" i="23"/>
  <c r="AA65" i="23" s="1"/>
  <c r="Z67" i="23"/>
  <c r="AA67" i="23" s="1"/>
  <c r="Z36" i="23"/>
  <c r="AA36" i="23" s="1"/>
  <c r="Z46" i="23"/>
  <c r="AA46" i="23" s="1"/>
  <c r="Z48" i="23"/>
  <c r="AA48" i="23" s="1"/>
  <c r="Z51" i="23"/>
  <c r="AA51" i="23" s="1"/>
  <c r="Z54" i="23"/>
  <c r="AA54" i="23" s="1"/>
  <c r="Z44" i="23"/>
  <c r="AA44" i="23" s="1"/>
  <c r="Z66" i="23"/>
  <c r="AA66" i="23" s="1"/>
  <c r="Z68" i="23"/>
  <c r="AA68" i="23" s="1"/>
  <c r="Z69" i="23"/>
  <c r="AA69" i="23" s="1"/>
  <c r="Z71" i="23"/>
  <c r="AA71" i="23" s="1"/>
  <c r="Z74" i="23"/>
  <c r="AA74" i="23" s="1"/>
  <c r="Z76" i="23"/>
  <c r="AA76" i="23" s="1"/>
  <c r="Z77" i="23"/>
  <c r="AA77" i="23" s="1"/>
  <c r="Z78" i="23"/>
  <c r="AA78" i="23" s="1"/>
  <c r="Z79" i="23"/>
  <c r="AA79" i="23" s="1"/>
  <c r="Z80" i="23"/>
  <c r="AA80" i="23" s="1"/>
  <c r="Z81" i="23"/>
  <c r="AA81" i="23" s="1"/>
  <c r="Z84" i="23"/>
  <c r="AA84" i="23" s="1"/>
  <c r="Z85" i="23"/>
  <c r="AA85" i="23" s="1"/>
  <c r="Z87" i="23"/>
  <c r="AA87" i="23" s="1"/>
  <c r="Z90" i="23"/>
  <c r="AA90" i="23" s="1"/>
  <c r="Z92" i="23"/>
  <c r="AA92" i="23" s="1"/>
  <c r="Z94" i="23"/>
  <c r="AA94" i="23" s="1"/>
  <c r="Z95" i="23"/>
  <c r="AA95" i="23" s="1"/>
  <c r="Z97" i="23"/>
  <c r="AA97" i="23" s="1"/>
  <c r="Z99" i="23"/>
  <c r="AA99" i="23" s="1"/>
  <c r="Z101" i="23"/>
  <c r="AA101" i="23" s="1"/>
  <c r="Z103" i="23"/>
  <c r="AA103" i="23" s="1"/>
  <c r="Z105" i="23"/>
  <c r="AA105" i="23" s="1"/>
  <c r="Z107" i="23"/>
  <c r="AA107" i="23" s="1"/>
  <c r="Z109" i="23"/>
  <c r="AA109" i="23" s="1"/>
  <c r="Z110" i="23"/>
  <c r="AA110" i="23" s="1"/>
  <c r="Z111" i="23"/>
  <c r="AA111" i="23" s="1"/>
  <c r="Z112" i="23"/>
  <c r="AA112" i="23" s="1"/>
  <c r="Z113" i="23"/>
  <c r="AA113" i="23" s="1"/>
  <c r="Z115" i="23"/>
  <c r="AA115" i="23" s="1"/>
  <c r="Z116" i="23"/>
  <c r="AA116" i="23" s="1"/>
  <c r="Z117" i="23"/>
  <c r="AA117" i="23" s="1"/>
  <c r="Z120" i="23"/>
  <c r="AA120" i="23" s="1"/>
  <c r="Z121" i="23"/>
  <c r="AA121" i="23" s="1"/>
  <c r="Z42" i="23"/>
  <c r="AA42" i="23" s="1"/>
  <c r="Z50" i="23"/>
  <c r="AA50" i="23" s="1"/>
  <c r="Z55" i="23"/>
  <c r="AA55" i="23" s="1"/>
  <c r="Z57" i="23"/>
  <c r="AA57" i="23" s="1"/>
  <c r="Z59" i="23"/>
  <c r="AA59" i="23" s="1"/>
  <c r="Z61" i="23"/>
  <c r="AA61" i="23" s="1"/>
  <c r="Z64" i="23"/>
  <c r="AA64" i="23" s="1"/>
  <c r="Z70" i="23"/>
  <c r="AA70" i="23" s="1"/>
  <c r="Z72" i="23"/>
  <c r="AA72" i="23" s="1"/>
  <c r="Z73" i="23"/>
  <c r="AA73" i="23" s="1"/>
  <c r="Z75" i="23"/>
  <c r="AA75" i="23" s="1"/>
  <c r="Z82" i="23"/>
  <c r="AA82" i="23" s="1"/>
  <c r="Z83" i="23"/>
  <c r="AA83" i="23" s="1"/>
  <c r="Z86" i="23"/>
  <c r="AA86" i="23" s="1"/>
  <c r="Z88" i="23"/>
  <c r="AA88" i="23" s="1"/>
  <c r="Z89" i="23"/>
  <c r="AA89" i="23" s="1"/>
  <c r="Z91" i="23"/>
  <c r="AA91" i="23" s="1"/>
  <c r="Z93" i="23"/>
  <c r="AA93" i="23" s="1"/>
  <c r="Z100" i="23"/>
  <c r="AA100" i="23" s="1"/>
  <c r="Z102" i="23"/>
  <c r="AA102" i="23" s="1"/>
  <c r="Z108" i="23"/>
  <c r="AA108" i="23" s="1"/>
  <c r="Z114" i="23"/>
  <c r="AA114" i="23" s="1"/>
  <c r="Z119" i="23"/>
  <c r="AA119" i="23" s="1"/>
  <c r="Z122" i="23"/>
  <c r="AA122" i="23" s="1"/>
  <c r="Z126" i="23"/>
  <c r="AA126" i="23" s="1"/>
  <c r="Z128" i="23"/>
  <c r="AA128" i="23" s="1"/>
  <c r="Z129" i="23"/>
  <c r="AA129" i="23" s="1"/>
  <c r="Z131" i="23"/>
  <c r="AA131" i="23" s="1"/>
  <c r="Z132" i="23"/>
  <c r="AA132" i="23" s="1"/>
  <c r="Z133" i="23"/>
  <c r="AA133" i="23" s="1"/>
  <c r="Z136" i="23"/>
  <c r="AA136" i="23" s="1"/>
  <c r="Z137" i="23"/>
  <c r="AA137" i="23" s="1"/>
  <c r="Z139" i="23"/>
  <c r="AA139" i="23" s="1"/>
  <c r="Z140" i="23"/>
  <c r="AA140" i="23" s="1"/>
  <c r="Z141" i="23"/>
  <c r="AA141" i="23" s="1"/>
  <c r="Z148" i="23"/>
  <c r="AA148" i="23" s="1"/>
  <c r="Z152" i="23"/>
  <c r="AA152" i="23" s="1"/>
  <c r="Z153" i="23"/>
  <c r="AA153" i="23" s="1"/>
  <c r="Z156" i="23"/>
  <c r="AA156" i="23" s="1"/>
  <c r="Z157" i="23"/>
  <c r="AA157" i="23" s="1"/>
  <c r="Z160" i="23"/>
  <c r="AA160" i="23" s="1"/>
  <c r="Z161" i="23"/>
  <c r="AA161" i="23" s="1"/>
  <c r="Z164" i="23"/>
  <c r="AA164" i="23" s="1"/>
  <c r="Z165" i="23"/>
  <c r="AA165" i="23" s="1"/>
  <c r="Z168" i="23"/>
  <c r="AA168" i="23" s="1"/>
  <c r="Z169" i="23"/>
  <c r="AA169" i="23" s="1"/>
  <c r="Z172" i="23"/>
  <c r="AA172" i="23" s="1"/>
  <c r="Z173" i="23"/>
  <c r="AA173" i="23" s="1"/>
  <c r="Z175" i="23"/>
  <c r="AA175" i="23" s="1"/>
  <c r="Z104" i="23"/>
  <c r="AA104" i="23" s="1"/>
  <c r="Z106" i="23"/>
  <c r="AA106" i="23" s="1"/>
  <c r="Z130" i="23"/>
  <c r="AA130" i="23" s="1"/>
  <c r="Z135" i="23"/>
  <c r="AA135" i="23" s="1"/>
  <c r="Z138" i="23"/>
  <c r="AA138" i="23" s="1"/>
  <c r="Z154" i="23"/>
  <c r="AA154" i="23" s="1"/>
  <c r="Z155" i="23"/>
  <c r="AA155" i="23" s="1"/>
  <c r="Z162" i="23"/>
  <c r="AA162" i="23" s="1"/>
  <c r="Z163" i="23"/>
  <c r="AA163" i="23" s="1"/>
  <c r="Z170" i="23"/>
  <c r="AA170" i="23" s="1"/>
  <c r="Z171" i="23"/>
  <c r="AA171" i="23" s="1"/>
  <c r="Z178" i="23"/>
  <c r="AA178" i="23" s="1"/>
  <c r="Z179" i="23"/>
  <c r="AA179" i="23" s="1"/>
  <c r="Z180" i="23"/>
  <c r="AA180" i="23" s="1"/>
  <c r="Z181" i="23"/>
  <c r="AA181" i="23" s="1"/>
  <c r="Z185" i="23"/>
  <c r="AA185" i="23" s="1"/>
  <c r="Z189" i="23"/>
  <c r="AA189" i="23" s="1"/>
  <c r="Z191" i="23"/>
  <c r="AA191" i="23" s="1"/>
  <c r="Z192" i="23"/>
  <c r="AA192" i="23" s="1"/>
  <c r="Z194" i="23"/>
  <c r="AA194" i="23" s="1"/>
  <c r="Z195" i="23"/>
  <c r="AA195" i="23" s="1"/>
  <c r="Z196" i="23"/>
  <c r="AA196" i="23" s="1"/>
  <c r="Z198" i="23"/>
  <c r="AA198" i="23" s="1"/>
  <c r="Z201" i="23"/>
  <c r="AA201" i="23" s="1"/>
  <c r="Z203" i="23"/>
  <c r="AA203" i="23" s="1"/>
  <c r="Z204" i="23"/>
  <c r="AA204" i="23" s="1"/>
  <c r="Z206" i="23"/>
  <c r="AA206" i="23" s="1"/>
  <c r="Z207" i="23"/>
  <c r="AA207" i="23" s="1"/>
  <c r="Z208" i="23"/>
  <c r="AA208" i="23" s="1"/>
  <c r="Z210" i="23"/>
  <c r="AA210" i="23" s="1"/>
  <c r="Z96" i="23"/>
  <c r="AA96" i="23" s="1"/>
  <c r="Z118" i="23"/>
  <c r="AA118" i="23" s="1"/>
  <c r="Z142" i="23"/>
  <c r="AA142" i="23" s="1"/>
  <c r="Z143" i="23"/>
  <c r="AA143" i="23" s="1"/>
  <c r="Z144" i="23"/>
  <c r="AA144" i="23" s="1"/>
  <c r="Z145" i="23"/>
  <c r="AA145" i="23" s="1"/>
  <c r="Z146" i="23"/>
  <c r="AA146" i="23" s="1"/>
  <c r="Z147" i="23"/>
  <c r="AA147" i="23" s="1"/>
  <c r="Z150" i="23"/>
  <c r="AA150" i="23" s="1"/>
  <c r="Z151" i="23"/>
  <c r="AA151" i="23" s="1"/>
  <c r="Z166" i="23"/>
  <c r="AA166" i="23" s="1"/>
  <c r="Z167" i="23"/>
  <c r="AA167" i="23" s="1"/>
  <c r="Z183" i="23"/>
  <c r="AA183" i="23" s="1"/>
  <c r="Z186" i="23"/>
  <c r="AA186" i="23" s="1"/>
  <c r="Z188" i="23"/>
  <c r="AA188" i="23" s="1"/>
  <c r="Z199" i="23"/>
  <c r="AA199" i="23" s="1"/>
  <c r="Z202" i="23"/>
  <c r="AA202" i="23" s="1"/>
  <c r="Z212" i="23"/>
  <c r="AA212" i="23" s="1"/>
  <c r="Z213" i="23"/>
  <c r="AA213" i="23" s="1"/>
  <c r="Z216" i="23"/>
  <c r="AA216" i="23" s="1"/>
  <c r="Z218" i="23"/>
  <c r="AA218" i="23" s="1"/>
  <c r="Z219" i="23"/>
  <c r="AA219" i="23" s="1"/>
  <c r="Z221" i="23"/>
  <c r="AA221" i="23" s="1"/>
  <c r="Z223" i="23"/>
  <c r="AA223" i="23" s="1"/>
  <c r="Z224" i="23"/>
  <c r="AA224" i="23" s="1"/>
  <c r="Z225" i="23"/>
  <c r="AA225" i="23" s="1"/>
  <c r="Z226" i="23"/>
  <c r="AA226" i="23" s="1"/>
  <c r="Z227" i="23"/>
  <c r="AA227" i="23" s="1"/>
  <c r="Z230" i="23"/>
  <c r="AA230" i="23" s="1"/>
  <c r="Z232" i="23"/>
  <c r="AA232" i="23" s="1"/>
  <c r="Z234" i="23"/>
  <c r="AA234" i="23" s="1"/>
  <c r="Z236" i="23"/>
  <c r="AA236" i="23" s="1"/>
  <c r="Z239" i="23"/>
  <c r="AA239" i="23" s="1"/>
  <c r="Z242" i="23"/>
  <c r="AA242" i="23" s="1"/>
  <c r="Z244" i="23"/>
  <c r="AA244" i="23" s="1"/>
  <c r="Z245" i="23"/>
  <c r="AA245" i="23" s="1"/>
  <c r="Z246" i="23"/>
  <c r="AA246" i="23" s="1"/>
  <c r="Z248" i="23"/>
  <c r="AA248" i="23" s="1"/>
  <c r="Z249" i="23"/>
  <c r="AA249" i="23" s="1"/>
  <c r="Z250" i="23"/>
  <c r="AA250" i="23" s="1"/>
  <c r="Z251" i="23"/>
  <c r="AA251" i="23" s="1"/>
  <c r="Z254" i="23"/>
  <c r="AA254" i="23" s="1"/>
  <c r="Z256" i="23"/>
  <c r="AA256" i="23" s="1"/>
  <c r="Z258" i="23"/>
  <c r="AA258" i="23" s="1"/>
  <c r="Z260" i="23"/>
  <c r="AA260" i="23" s="1"/>
  <c r="Z263" i="23"/>
  <c r="AA263" i="23" s="1"/>
  <c r="Z266" i="23"/>
  <c r="AA266" i="23" s="1"/>
  <c r="Z268" i="23"/>
  <c r="AA268" i="23" s="1"/>
  <c r="Z269" i="23"/>
  <c r="AA269" i="23" s="1"/>
  <c r="Z270" i="23"/>
  <c r="AA270" i="23" s="1"/>
  <c r="Z275" i="23"/>
  <c r="AA275" i="23" s="1"/>
  <c r="Z278" i="23"/>
  <c r="AA278" i="23" s="1"/>
  <c r="Z280" i="23"/>
  <c r="AA280" i="23" s="1"/>
  <c r="Z282" i="23"/>
  <c r="AA282" i="23" s="1"/>
  <c r="Z285" i="23"/>
  <c r="AA285" i="23" s="1"/>
  <c r="Z287" i="23"/>
  <c r="AA287" i="23" s="1"/>
  <c r="Z289" i="23"/>
  <c r="AA289" i="23" s="1"/>
  <c r="Z291" i="23"/>
  <c r="AA291" i="23" s="1"/>
  <c r="Z292" i="23"/>
  <c r="AA292" i="23" s="1"/>
  <c r="Z294" i="23"/>
  <c r="AA294" i="23" s="1"/>
  <c r="Z295" i="23"/>
  <c r="AA295" i="23" s="1"/>
  <c r="Z296" i="23"/>
  <c r="AA296" i="23" s="1"/>
  <c r="Z298" i="23"/>
  <c r="AA298" i="23" s="1"/>
  <c r="Z300" i="23"/>
  <c r="AA300" i="23" s="1"/>
  <c r="Z302" i="23"/>
  <c r="AA302" i="23" s="1"/>
  <c r="Z306" i="23"/>
  <c r="AA306" i="23" s="1"/>
  <c r="Z310" i="23"/>
  <c r="AA310" i="23" s="1"/>
  <c r="Z314" i="23"/>
  <c r="AA314" i="23" s="1"/>
  <c r="Z98" i="23"/>
  <c r="AA98" i="23" s="1"/>
  <c r="Z123" i="23"/>
  <c r="AA123" i="23" s="1"/>
  <c r="Z124" i="23"/>
  <c r="AA124" i="23" s="1"/>
  <c r="Z125" i="23"/>
  <c r="AA125" i="23" s="1"/>
  <c r="Z127" i="23"/>
  <c r="AA127" i="23" s="1"/>
  <c r="Z134" i="23"/>
  <c r="AA134" i="23" s="1"/>
  <c r="Z149" i="23"/>
  <c r="AA149" i="23" s="1"/>
  <c r="Z158" i="23"/>
  <c r="AA158" i="23" s="1"/>
  <c r="Z159" i="23"/>
  <c r="AA159" i="23" s="1"/>
  <c r="Z174" i="23"/>
  <c r="AA174" i="23" s="1"/>
  <c r="Z176" i="23"/>
  <c r="AA176" i="23" s="1"/>
  <c r="Z177" i="23"/>
  <c r="AA177" i="23" s="1"/>
  <c r="Z182" i="23"/>
  <c r="AA182" i="23" s="1"/>
  <c r="Z184" i="23"/>
  <c r="AA184" i="23" s="1"/>
  <c r="Z187" i="23"/>
  <c r="AA187" i="23" s="1"/>
  <c r="Z190" i="23"/>
  <c r="AA190" i="23" s="1"/>
  <c r="Z193" i="23"/>
  <c r="AA193" i="23" s="1"/>
  <c r="Z197" i="23"/>
  <c r="AA197" i="23" s="1"/>
  <c r="Z200" i="23"/>
  <c r="AA200" i="23" s="1"/>
  <c r="Z205" i="23"/>
  <c r="AA205" i="23" s="1"/>
  <c r="Z209" i="23"/>
  <c r="AA209" i="23" s="1"/>
  <c r="Z211" i="23"/>
  <c r="AA211" i="23" s="1"/>
  <c r="Z214" i="23"/>
  <c r="AA214" i="23" s="1"/>
  <c r="Z215" i="23"/>
  <c r="AA215" i="23" s="1"/>
  <c r="Z217" i="23"/>
  <c r="AA217" i="23" s="1"/>
  <c r="Z220" i="23"/>
  <c r="AA220" i="23" s="1"/>
  <c r="Z222" i="23"/>
  <c r="AA222" i="23" s="1"/>
  <c r="Z228" i="23"/>
  <c r="AA228" i="23" s="1"/>
  <c r="Z229" i="23"/>
  <c r="AA229" i="23" s="1"/>
  <c r="Z231" i="23"/>
  <c r="AA231" i="23" s="1"/>
  <c r="Z233" i="23"/>
  <c r="AA233" i="23" s="1"/>
  <c r="Z235" i="23"/>
  <c r="AA235" i="23" s="1"/>
  <c r="Z237" i="23"/>
  <c r="AA237" i="23" s="1"/>
  <c r="Z238" i="23"/>
  <c r="AA238" i="23" s="1"/>
  <c r="Z240" i="23"/>
  <c r="AA240" i="23" s="1"/>
  <c r="Z241" i="23"/>
  <c r="AA241" i="23" s="1"/>
  <c r="Z243" i="23"/>
  <c r="AA243" i="23" s="1"/>
  <c r="Z247" i="23"/>
  <c r="AA247" i="23" s="1"/>
  <c r="Z252" i="23"/>
  <c r="AA252" i="23" s="1"/>
  <c r="Z253" i="23"/>
  <c r="AA253" i="23" s="1"/>
  <c r="Z255" i="23"/>
  <c r="AA255" i="23" s="1"/>
  <c r="Z257" i="23"/>
  <c r="AA257" i="23" s="1"/>
  <c r="Z259" i="23"/>
  <c r="AA259" i="23" s="1"/>
  <c r="Z261" i="23"/>
  <c r="AA261" i="23" s="1"/>
  <c r="Z262" i="23"/>
  <c r="AA262" i="23" s="1"/>
  <c r="Z264" i="23"/>
  <c r="AA264" i="23" s="1"/>
  <c r="Z265" i="23"/>
  <c r="AA265" i="23" s="1"/>
  <c r="Z267" i="23"/>
  <c r="AA267" i="23" s="1"/>
  <c r="Z271" i="23"/>
  <c r="AA271" i="23" s="1"/>
  <c r="Z272" i="23"/>
  <c r="AA272" i="23" s="1"/>
  <c r="Z273" i="23"/>
  <c r="AA273" i="23" s="1"/>
  <c r="Z274" i="23"/>
  <c r="AA274" i="23" s="1"/>
  <c r="Z276" i="23"/>
  <c r="AA276" i="23" s="1"/>
  <c r="Z277" i="23"/>
  <c r="AA277" i="23" s="1"/>
  <c r="Z279" i="23"/>
  <c r="AA279" i="23" s="1"/>
  <c r="Z281" i="23"/>
  <c r="AA281" i="23" s="1"/>
  <c r="Z283" i="23"/>
  <c r="AA283" i="23" s="1"/>
  <c r="Z284" i="23"/>
  <c r="AA284" i="23" s="1"/>
  <c r="Z286" i="23"/>
  <c r="AA286" i="23" s="1"/>
  <c r="Z288" i="23"/>
  <c r="AA288" i="23" s="1"/>
  <c r="Z290" i="23"/>
  <c r="AA290" i="23" s="1"/>
  <c r="Z293" i="23"/>
  <c r="AA293" i="23" s="1"/>
  <c r="Z297" i="23"/>
  <c r="AA297" i="23" s="1"/>
  <c r="Z299" i="23"/>
  <c r="AA299" i="23" s="1"/>
  <c r="Z301" i="23"/>
  <c r="AA301" i="23" s="1"/>
  <c r="Z303" i="23"/>
  <c r="AA303" i="23" s="1"/>
  <c r="Z304" i="23"/>
  <c r="AA304" i="23" s="1"/>
  <c r="Z305" i="23"/>
  <c r="AA305" i="23" s="1"/>
  <c r="Z307" i="23"/>
  <c r="AA307" i="23" s="1"/>
  <c r="Z308" i="23"/>
  <c r="AA308" i="23" s="1"/>
  <c r="Z309" i="23"/>
  <c r="AA309" i="23" s="1"/>
  <c r="Z311" i="23"/>
  <c r="AA311" i="23" s="1"/>
  <c r="Z312" i="23"/>
  <c r="AA312" i="23" s="1"/>
  <c r="Z313" i="23"/>
  <c r="AA313" i="23" s="1"/>
  <c r="Z315" i="23"/>
  <c r="AA315" i="23" s="1"/>
  <c r="Z317" i="23"/>
  <c r="AA317" i="23" s="1"/>
  <c r="Z319" i="23"/>
  <c r="AA319" i="23" s="1"/>
  <c r="Z320" i="23"/>
  <c r="AA320" i="23" s="1"/>
  <c r="Z321" i="23"/>
  <c r="AA321" i="23" s="1"/>
  <c r="Z23" i="23"/>
  <c r="AA23" i="23" s="1"/>
  <c r="Z316" i="23"/>
  <c r="AA316" i="23" s="1"/>
  <c r="Z322" i="23"/>
  <c r="AA322" i="23" s="1"/>
  <c r="Z318" i="23"/>
  <c r="AA318" i="23" s="1"/>
  <c r="AD26" i="23"/>
  <c r="AE26" i="23" s="1"/>
  <c r="AD27" i="23"/>
  <c r="AE27" i="23" s="1"/>
  <c r="AD24" i="23"/>
  <c r="AE24" i="23" s="1"/>
  <c r="AD29" i="23"/>
  <c r="AE29" i="23" s="1"/>
  <c r="AD31" i="23"/>
  <c r="AE31" i="23" s="1"/>
  <c r="AD34" i="23"/>
  <c r="AE34" i="23" s="1"/>
  <c r="AD35" i="23"/>
  <c r="AE35" i="23" s="1"/>
  <c r="AD36" i="23"/>
  <c r="AE36" i="23" s="1"/>
  <c r="AD41" i="23"/>
  <c r="AE41" i="23" s="1"/>
  <c r="AD33" i="23"/>
  <c r="AE33" i="23" s="1"/>
  <c r="AD37" i="23"/>
  <c r="AE37" i="23" s="1"/>
  <c r="AD38" i="23"/>
  <c r="AE38" i="23" s="1"/>
  <c r="AD42" i="23"/>
  <c r="AE42" i="23" s="1"/>
  <c r="AD43" i="23"/>
  <c r="AE43" i="23" s="1"/>
  <c r="AD44" i="23"/>
  <c r="AE44" i="23" s="1"/>
  <c r="AD45" i="23"/>
  <c r="AE45" i="23" s="1"/>
  <c r="AD46" i="23"/>
  <c r="AE46" i="23" s="1"/>
  <c r="AD47" i="23"/>
  <c r="AE47" i="23" s="1"/>
  <c r="AD48" i="23"/>
  <c r="AE48" i="23" s="1"/>
  <c r="AD49" i="23"/>
  <c r="AE49" i="23" s="1"/>
  <c r="AD50" i="23"/>
  <c r="AE50" i="23" s="1"/>
  <c r="AD53" i="23"/>
  <c r="AE53" i="23" s="1"/>
  <c r="AD54" i="23"/>
  <c r="AE54" i="23" s="1"/>
  <c r="AD63" i="23"/>
  <c r="AE63" i="23" s="1"/>
  <c r="AD64" i="23"/>
  <c r="AE64" i="23" s="1"/>
  <c r="AD65" i="23"/>
  <c r="AE65" i="23" s="1"/>
  <c r="AD66" i="23"/>
  <c r="AE66" i="23" s="1"/>
  <c r="AD67" i="23"/>
  <c r="AE67" i="23" s="1"/>
  <c r="AD30" i="23"/>
  <c r="AE30" i="23" s="1"/>
  <c r="AD39" i="23"/>
  <c r="AE39" i="23" s="1"/>
  <c r="AD51" i="23"/>
  <c r="AE51" i="23" s="1"/>
  <c r="AD52" i="23"/>
  <c r="AE52" i="23" s="1"/>
  <c r="AD40" i="23"/>
  <c r="AE40" i="23" s="1"/>
  <c r="AD55" i="23"/>
  <c r="AE55" i="23" s="1"/>
  <c r="AD56" i="23"/>
  <c r="AE56" i="23" s="1"/>
  <c r="AD57" i="23"/>
  <c r="AE57" i="23" s="1"/>
  <c r="AD59" i="23"/>
  <c r="AE59" i="23" s="1"/>
  <c r="AD60" i="23"/>
  <c r="AE60" i="23" s="1"/>
  <c r="AD61" i="23"/>
  <c r="AE61" i="23" s="1"/>
  <c r="AD69" i="23"/>
  <c r="AE69" i="23" s="1"/>
  <c r="AD70" i="23"/>
  <c r="AE70" i="23" s="1"/>
  <c r="AD71" i="23"/>
  <c r="AE71" i="23" s="1"/>
  <c r="AD72" i="23"/>
  <c r="AE72" i="23" s="1"/>
  <c r="AD77" i="23"/>
  <c r="AE77" i="23" s="1"/>
  <c r="AD78" i="23"/>
  <c r="AE78" i="23" s="1"/>
  <c r="AD79" i="23"/>
  <c r="AE79" i="23" s="1"/>
  <c r="AD80" i="23"/>
  <c r="AE80" i="23" s="1"/>
  <c r="AD81" i="23"/>
  <c r="AE81" i="23" s="1"/>
  <c r="AD84" i="23"/>
  <c r="AE84" i="23" s="1"/>
  <c r="AD85" i="23"/>
  <c r="AE85" i="23" s="1"/>
  <c r="AD87" i="23"/>
  <c r="AE87" i="23" s="1"/>
  <c r="AD90" i="23"/>
  <c r="AE90" i="23" s="1"/>
  <c r="AD92" i="23"/>
  <c r="AE92" i="23" s="1"/>
  <c r="AD94" i="23"/>
  <c r="AE94" i="23" s="1"/>
  <c r="AD96" i="23"/>
  <c r="AE96" i="23" s="1"/>
  <c r="AD98" i="23"/>
  <c r="AE98" i="23" s="1"/>
  <c r="AD100" i="23"/>
  <c r="AE100" i="23" s="1"/>
  <c r="AD102" i="23"/>
  <c r="AE102" i="23" s="1"/>
  <c r="AD104" i="23"/>
  <c r="AE104" i="23" s="1"/>
  <c r="AD106" i="23"/>
  <c r="AE106" i="23" s="1"/>
  <c r="AD108" i="23"/>
  <c r="AE108" i="23" s="1"/>
  <c r="AD112" i="23"/>
  <c r="AE112" i="23" s="1"/>
  <c r="AD113" i="23"/>
  <c r="AE113" i="23" s="1"/>
  <c r="AD115" i="23"/>
  <c r="AE115" i="23" s="1"/>
  <c r="AD116" i="23"/>
  <c r="AE116" i="23" s="1"/>
  <c r="AD117" i="23"/>
  <c r="AE117" i="23" s="1"/>
  <c r="AD120" i="23"/>
  <c r="AE120" i="23" s="1"/>
  <c r="AD121" i="23"/>
  <c r="AE121" i="23" s="1"/>
  <c r="AD25" i="23"/>
  <c r="AE25" i="23" s="1"/>
  <c r="AD28" i="23"/>
  <c r="AE28" i="23" s="1"/>
  <c r="AD32" i="23"/>
  <c r="AE32" i="23" s="1"/>
  <c r="AD58" i="23"/>
  <c r="AE58" i="23" s="1"/>
  <c r="AD62" i="23"/>
  <c r="AE62" i="23" s="1"/>
  <c r="AD68" i="23"/>
  <c r="AE68" i="23" s="1"/>
  <c r="AD73" i="23"/>
  <c r="AE73" i="23" s="1"/>
  <c r="AD74" i="23"/>
  <c r="AE74" i="23" s="1"/>
  <c r="AD75" i="23"/>
  <c r="AE75" i="23" s="1"/>
  <c r="AD76" i="23"/>
  <c r="AE76" i="23" s="1"/>
  <c r="AD82" i="23"/>
  <c r="AE82" i="23" s="1"/>
  <c r="AD83" i="23"/>
  <c r="AE83" i="23" s="1"/>
  <c r="AD86" i="23"/>
  <c r="AE86" i="23" s="1"/>
  <c r="AD88" i="23"/>
  <c r="AE88" i="23" s="1"/>
  <c r="AD89" i="23"/>
  <c r="AE89" i="23" s="1"/>
  <c r="AD91" i="23"/>
  <c r="AE91" i="23" s="1"/>
  <c r="AD93" i="23"/>
  <c r="AE93" i="23" s="1"/>
  <c r="AD97" i="23"/>
  <c r="AE97" i="23" s="1"/>
  <c r="AD99" i="23"/>
  <c r="AE99" i="23" s="1"/>
  <c r="AD105" i="23"/>
  <c r="AE105" i="23" s="1"/>
  <c r="AD107" i="23"/>
  <c r="AE107" i="23" s="1"/>
  <c r="AD111" i="23"/>
  <c r="AE111" i="23" s="1"/>
  <c r="AD118" i="23"/>
  <c r="AE118" i="23" s="1"/>
  <c r="AD119" i="23"/>
  <c r="AE119" i="23" s="1"/>
  <c r="AD126" i="23"/>
  <c r="AE126" i="23" s="1"/>
  <c r="AD128" i="23"/>
  <c r="AE128" i="23" s="1"/>
  <c r="AD129" i="23"/>
  <c r="AE129" i="23" s="1"/>
  <c r="AD131" i="23"/>
  <c r="AE131" i="23" s="1"/>
  <c r="AD132" i="23"/>
  <c r="AE132" i="23" s="1"/>
  <c r="AD133" i="23"/>
  <c r="AE133" i="23" s="1"/>
  <c r="AD136" i="23"/>
  <c r="AE136" i="23" s="1"/>
  <c r="AD137" i="23"/>
  <c r="AE137" i="23" s="1"/>
  <c r="AD139" i="23"/>
  <c r="AE139" i="23" s="1"/>
  <c r="AD140" i="23"/>
  <c r="AE140" i="23" s="1"/>
  <c r="AD141" i="23"/>
  <c r="AE141" i="23" s="1"/>
  <c r="AD149" i="23"/>
  <c r="AE149" i="23" s="1"/>
  <c r="AD152" i="23"/>
  <c r="AE152" i="23" s="1"/>
  <c r="AD153" i="23"/>
  <c r="AE153" i="23" s="1"/>
  <c r="AD156" i="23"/>
  <c r="AE156" i="23" s="1"/>
  <c r="AD157" i="23"/>
  <c r="AE157" i="23" s="1"/>
  <c r="AD160" i="23"/>
  <c r="AE160" i="23" s="1"/>
  <c r="AD161" i="23"/>
  <c r="AE161" i="23" s="1"/>
  <c r="AD164" i="23"/>
  <c r="AE164" i="23" s="1"/>
  <c r="AD165" i="23"/>
  <c r="AE165" i="23" s="1"/>
  <c r="AD168" i="23"/>
  <c r="AE168" i="23" s="1"/>
  <c r="AD169" i="23"/>
  <c r="AE169" i="23" s="1"/>
  <c r="AD172" i="23"/>
  <c r="AE172" i="23" s="1"/>
  <c r="AD173" i="23"/>
  <c r="AE173" i="23" s="1"/>
  <c r="AD103" i="23"/>
  <c r="AE103" i="23" s="1"/>
  <c r="AD109" i="23"/>
  <c r="AE109" i="23" s="1"/>
  <c r="AD122" i="23"/>
  <c r="AE122" i="23" s="1"/>
  <c r="AD124" i="23"/>
  <c r="AE124" i="23" s="1"/>
  <c r="AD134" i="23"/>
  <c r="AE134" i="23" s="1"/>
  <c r="AD135" i="23"/>
  <c r="AE135" i="23" s="1"/>
  <c r="AD142" i="23"/>
  <c r="AE142" i="23" s="1"/>
  <c r="AD144" i="23"/>
  <c r="AE144" i="23" s="1"/>
  <c r="AD146" i="23"/>
  <c r="AE146" i="23" s="1"/>
  <c r="AD150" i="23"/>
  <c r="AE150" i="23" s="1"/>
  <c r="AD155" i="23"/>
  <c r="AE155" i="23" s="1"/>
  <c r="AD158" i="23"/>
  <c r="AE158" i="23" s="1"/>
  <c r="AD163" i="23"/>
  <c r="AE163" i="23" s="1"/>
  <c r="AD166" i="23"/>
  <c r="AE166" i="23" s="1"/>
  <c r="AD171" i="23"/>
  <c r="AE171" i="23" s="1"/>
  <c r="AD174" i="23"/>
  <c r="AE174" i="23" s="1"/>
  <c r="AD178" i="23"/>
  <c r="AE178" i="23" s="1"/>
  <c r="AD179" i="23"/>
  <c r="AE179" i="23" s="1"/>
  <c r="AD180" i="23"/>
  <c r="AE180" i="23" s="1"/>
  <c r="AD181" i="23"/>
  <c r="AE181" i="23" s="1"/>
  <c r="AD183" i="23"/>
  <c r="AE183" i="23" s="1"/>
  <c r="AD187" i="23"/>
  <c r="AE187" i="23" s="1"/>
  <c r="AD192" i="23"/>
  <c r="AE192" i="23" s="1"/>
  <c r="AD193" i="23"/>
  <c r="AE193" i="23" s="1"/>
  <c r="AD194" i="23"/>
  <c r="AE194" i="23" s="1"/>
  <c r="AD196" i="23"/>
  <c r="AE196" i="23" s="1"/>
  <c r="AD197" i="23"/>
  <c r="AE197" i="23" s="1"/>
  <c r="AD198" i="23"/>
  <c r="AE198" i="23" s="1"/>
  <c r="AD199" i="23"/>
  <c r="AE199" i="23" s="1"/>
  <c r="AD204" i="23"/>
  <c r="AE204" i="23" s="1"/>
  <c r="AD205" i="23"/>
  <c r="AE205" i="23" s="1"/>
  <c r="AD206" i="23"/>
  <c r="AE206" i="23" s="1"/>
  <c r="AD208" i="23"/>
  <c r="AE208" i="23" s="1"/>
  <c r="AD209" i="23"/>
  <c r="AE209" i="23" s="1"/>
  <c r="AD210" i="23"/>
  <c r="AE210" i="23" s="1"/>
  <c r="AD95" i="23"/>
  <c r="AE95" i="23" s="1"/>
  <c r="AD110" i="23"/>
  <c r="AE110" i="23" s="1"/>
  <c r="AD114" i="23"/>
  <c r="AE114" i="23" s="1"/>
  <c r="AD123" i="23"/>
  <c r="AE123" i="23" s="1"/>
  <c r="AD125" i="23"/>
  <c r="AE125" i="23" s="1"/>
  <c r="AD127" i="23"/>
  <c r="AE127" i="23" s="1"/>
  <c r="AD138" i="23"/>
  <c r="AE138" i="23" s="1"/>
  <c r="AD154" i="23"/>
  <c r="AE154" i="23" s="1"/>
  <c r="AD159" i="23"/>
  <c r="AE159" i="23" s="1"/>
  <c r="AD170" i="23"/>
  <c r="AE170" i="23" s="1"/>
  <c r="AD176" i="23"/>
  <c r="AE176" i="23" s="1"/>
  <c r="AD182" i="23"/>
  <c r="AE182" i="23" s="1"/>
  <c r="AD184" i="23"/>
  <c r="AE184" i="23" s="1"/>
  <c r="AD185" i="23"/>
  <c r="AE185" i="23" s="1"/>
  <c r="AD190" i="23"/>
  <c r="AE190" i="23" s="1"/>
  <c r="AD191" i="23"/>
  <c r="AE191" i="23" s="1"/>
  <c r="AD195" i="23"/>
  <c r="AE195" i="23" s="1"/>
  <c r="AD200" i="23"/>
  <c r="AE200" i="23" s="1"/>
  <c r="AD201" i="23"/>
  <c r="AE201" i="23" s="1"/>
  <c r="AD203" i="23"/>
  <c r="AE203" i="23" s="1"/>
  <c r="AD207" i="23"/>
  <c r="AE207" i="23" s="1"/>
  <c r="AD214" i="23"/>
  <c r="AE214" i="23" s="1"/>
  <c r="AD215" i="23"/>
  <c r="AE215" i="23" s="1"/>
  <c r="AD217" i="23"/>
  <c r="AE217" i="23" s="1"/>
  <c r="AD220" i="23"/>
  <c r="AE220" i="23" s="1"/>
  <c r="AD222" i="23"/>
  <c r="AE222" i="23" s="1"/>
  <c r="AD224" i="23"/>
  <c r="AE224" i="23" s="1"/>
  <c r="AD227" i="23"/>
  <c r="AE227" i="23" s="1"/>
  <c r="AD228" i="23"/>
  <c r="AE228" i="23" s="1"/>
  <c r="AD229" i="23"/>
  <c r="AE229" i="23" s="1"/>
  <c r="AD231" i="23"/>
  <c r="AE231" i="23" s="1"/>
  <c r="AD232" i="23"/>
  <c r="AE232" i="23" s="1"/>
  <c r="AD233" i="23"/>
  <c r="AE233" i="23" s="1"/>
  <c r="AD235" i="23"/>
  <c r="AE235" i="23" s="1"/>
  <c r="AD236" i="23"/>
  <c r="AE236" i="23" s="1"/>
  <c r="AD237" i="23"/>
  <c r="AE237" i="23" s="1"/>
  <c r="AD240" i="23"/>
  <c r="AE240" i="23" s="1"/>
  <c r="AD241" i="23"/>
  <c r="AE241" i="23" s="1"/>
  <c r="AD242" i="23"/>
  <c r="AE242" i="23" s="1"/>
  <c r="AD243" i="23"/>
  <c r="AE243" i="23" s="1"/>
  <c r="AD246" i="23"/>
  <c r="AE246" i="23" s="1"/>
  <c r="AD247" i="23"/>
  <c r="AE247" i="23" s="1"/>
  <c r="AD252" i="23"/>
  <c r="AE252" i="23" s="1"/>
  <c r="AD253" i="23"/>
  <c r="AE253" i="23" s="1"/>
  <c r="AD254" i="23"/>
  <c r="AE254" i="23" s="1"/>
  <c r="AD255" i="23"/>
  <c r="AE255" i="23" s="1"/>
  <c r="AD257" i="23"/>
  <c r="AE257" i="23" s="1"/>
  <c r="AD258" i="23"/>
  <c r="AE258" i="23" s="1"/>
  <c r="AD259" i="23"/>
  <c r="AE259" i="23" s="1"/>
  <c r="AD261" i="23"/>
  <c r="AE261" i="23" s="1"/>
  <c r="AD264" i="23"/>
  <c r="AE264" i="23" s="1"/>
  <c r="AD265" i="23"/>
  <c r="AE265" i="23" s="1"/>
  <c r="AD267" i="23"/>
  <c r="AE267" i="23" s="1"/>
  <c r="AD271" i="23"/>
  <c r="AE271" i="23" s="1"/>
  <c r="AD272" i="23"/>
  <c r="AE272" i="23" s="1"/>
  <c r="AD273" i="23"/>
  <c r="AE273" i="23" s="1"/>
  <c r="AD274" i="23"/>
  <c r="AE274" i="23" s="1"/>
  <c r="AD276" i="23"/>
  <c r="AE276" i="23" s="1"/>
  <c r="AD279" i="23"/>
  <c r="AE279" i="23" s="1"/>
  <c r="AD284" i="23"/>
  <c r="AE284" i="23" s="1"/>
  <c r="AD285" i="23"/>
  <c r="AE285" i="23" s="1"/>
  <c r="AD286" i="23"/>
  <c r="AE286" i="23" s="1"/>
  <c r="AD288" i="23"/>
  <c r="AE288" i="23" s="1"/>
  <c r="AD289" i="23"/>
  <c r="AE289" i="23" s="1"/>
  <c r="AD290" i="23"/>
  <c r="AE290" i="23" s="1"/>
  <c r="AD291" i="23"/>
  <c r="AE291" i="23" s="1"/>
  <c r="AD295" i="23"/>
  <c r="AE295" i="23" s="1"/>
  <c r="AD299" i="23"/>
  <c r="AE299" i="23" s="1"/>
  <c r="AD303" i="23"/>
  <c r="AE303" i="23" s="1"/>
  <c r="AD304" i="23"/>
  <c r="AE304" i="23" s="1"/>
  <c r="AD307" i="23"/>
  <c r="AE307" i="23" s="1"/>
  <c r="AD308" i="23"/>
  <c r="AE308" i="23" s="1"/>
  <c r="AD311" i="23"/>
  <c r="AE311" i="23" s="1"/>
  <c r="AD312" i="23"/>
  <c r="AE312" i="23" s="1"/>
  <c r="AD101" i="23"/>
  <c r="AE101" i="23" s="1"/>
  <c r="AD130" i="23"/>
  <c r="AE130" i="23" s="1"/>
  <c r="AD143" i="23"/>
  <c r="AE143" i="23" s="1"/>
  <c r="AD145" i="23"/>
  <c r="AE145" i="23" s="1"/>
  <c r="AD147" i="23"/>
  <c r="AE147" i="23" s="1"/>
  <c r="AD148" i="23"/>
  <c r="AE148" i="23" s="1"/>
  <c r="AD151" i="23"/>
  <c r="AE151" i="23" s="1"/>
  <c r="AD162" i="23"/>
  <c r="AE162" i="23" s="1"/>
  <c r="AD167" i="23"/>
  <c r="AE167" i="23" s="1"/>
  <c r="AD175" i="23"/>
  <c r="AE175" i="23" s="1"/>
  <c r="AD177" i="23"/>
  <c r="AE177" i="23" s="1"/>
  <c r="AD186" i="23"/>
  <c r="AE186" i="23" s="1"/>
  <c r="AD188" i="23"/>
  <c r="AE188" i="23" s="1"/>
  <c r="AD189" i="23"/>
  <c r="AE189" i="23" s="1"/>
  <c r="AD202" i="23"/>
  <c r="AE202" i="23" s="1"/>
  <c r="AD211" i="23"/>
  <c r="AE211" i="23" s="1"/>
  <c r="AD212" i="23"/>
  <c r="AE212" i="23" s="1"/>
  <c r="AD213" i="23"/>
  <c r="AE213" i="23" s="1"/>
  <c r="AD216" i="23"/>
  <c r="AE216" i="23" s="1"/>
  <c r="AD218" i="23"/>
  <c r="AE218" i="23" s="1"/>
  <c r="AD219" i="23"/>
  <c r="AE219" i="23" s="1"/>
  <c r="AD221" i="23"/>
  <c r="AE221" i="23" s="1"/>
  <c r="AD223" i="23"/>
  <c r="AE223" i="23" s="1"/>
  <c r="AD225" i="23"/>
  <c r="AE225" i="23" s="1"/>
  <c r="AD226" i="23"/>
  <c r="AE226" i="23" s="1"/>
  <c r="AD230" i="23"/>
  <c r="AE230" i="23" s="1"/>
  <c r="AD234" i="23"/>
  <c r="AE234" i="23" s="1"/>
  <c r="AD238" i="23"/>
  <c r="AE238" i="23" s="1"/>
  <c r="AD239" i="23"/>
  <c r="AE239" i="23" s="1"/>
  <c r="AD244" i="23"/>
  <c r="AE244" i="23" s="1"/>
  <c r="AD245" i="23"/>
  <c r="AE245" i="23" s="1"/>
  <c r="AD248" i="23"/>
  <c r="AE248" i="23" s="1"/>
  <c r="AD249" i="23"/>
  <c r="AE249" i="23" s="1"/>
  <c r="AD250" i="23"/>
  <c r="AE250" i="23" s="1"/>
  <c r="AD251" i="23"/>
  <c r="AE251" i="23" s="1"/>
  <c r="AD256" i="23"/>
  <c r="AE256" i="23" s="1"/>
  <c r="AD260" i="23"/>
  <c r="AE260" i="23" s="1"/>
  <c r="AD262" i="23"/>
  <c r="AE262" i="23" s="1"/>
  <c r="AD263" i="23"/>
  <c r="AE263" i="23" s="1"/>
  <c r="AD266" i="23"/>
  <c r="AE266" i="23" s="1"/>
  <c r="AD268" i="23"/>
  <c r="AE268" i="23" s="1"/>
  <c r="AD269" i="23"/>
  <c r="AE269" i="23" s="1"/>
  <c r="AD270" i="23"/>
  <c r="AE270" i="23" s="1"/>
  <c r="AD275" i="23"/>
  <c r="AE275" i="23" s="1"/>
  <c r="AD277" i="23"/>
  <c r="AE277" i="23" s="1"/>
  <c r="AD278" i="23"/>
  <c r="AE278" i="23" s="1"/>
  <c r="AD280" i="23"/>
  <c r="AE280" i="23" s="1"/>
  <c r="AD281" i="23"/>
  <c r="AE281" i="23" s="1"/>
  <c r="AD282" i="23"/>
  <c r="AE282" i="23" s="1"/>
  <c r="AD283" i="23"/>
  <c r="AE283" i="23" s="1"/>
  <c r="AD287" i="23"/>
  <c r="AE287" i="23" s="1"/>
  <c r="AD292" i="23"/>
  <c r="AE292" i="23" s="1"/>
  <c r="AD293" i="23"/>
  <c r="AE293" i="23" s="1"/>
  <c r="AD294" i="23"/>
  <c r="AE294" i="23" s="1"/>
  <c r="AD296" i="23"/>
  <c r="AE296" i="23" s="1"/>
  <c r="AD297" i="23"/>
  <c r="AE297" i="23" s="1"/>
  <c r="AD298" i="23"/>
  <c r="AE298" i="23" s="1"/>
  <c r="AD300" i="23"/>
  <c r="AE300" i="23" s="1"/>
  <c r="AD301" i="23"/>
  <c r="AE301" i="23" s="1"/>
  <c r="AD302" i="23"/>
  <c r="AE302" i="23" s="1"/>
  <c r="AD305" i="23"/>
  <c r="AE305" i="23" s="1"/>
  <c r="AD306" i="23"/>
  <c r="AE306" i="23" s="1"/>
  <c r="AD309" i="23"/>
  <c r="AE309" i="23" s="1"/>
  <c r="AD310" i="23"/>
  <c r="AE310" i="23" s="1"/>
  <c r="AD313" i="23"/>
  <c r="AE313" i="23" s="1"/>
  <c r="AD314" i="23"/>
  <c r="AE314" i="23" s="1"/>
  <c r="AD316" i="23"/>
  <c r="AE316" i="23" s="1"/>
  <c r="AD318" i="23"/>
  <c r="AE318" i="23" s="1"/>
  <c r="AD319" i="23"/>
  <c r="AE319" i="23" s="1"/>
  <c r="AD322" i="23"/>
  <c r="AE322" i="23" s="1"/>
  <c r="AD23" i="23"/>
  <c r="AE23" i="23" s="1"/>
  <c r="AD315" i="23"/>
  <c r="AE315" i="23" s="1"/>
  <c r="AD317" i="23"/>
  <c r="AE317" i="23" s="1"/>
  <c r="AD320" i="23"/>
  <c r="AE320" i="23" s="1"/>
  <c r="AD321" i="23"/>
  <c r="AE321" i="23" s="1"/>
  <c r="C9" i="23"/>
  <c r="C4" i="23"/>
  <c r="AN25" i="62" l="1"/>
  <c r="AN23" i="62"/>
  <c r="AO24" i="62" s="1"/>
  <c r="AD50" i="62"/>
  <c r="AE51" i="62" s="1"/>
  <c r="AD52" i="62"/>
  <c r="AD44" i="62"/>
  <c r="AE45" i="62" s="1"/>
  <c r="AD46" i="62"/>
  <c r="AD40" i="62"/>
  <c r="AD38" i="62"/>
  <c r="AE39" i="62" s="1"/>
  <c r="AD37" i="62"/>
  <c r="AD35" i="62"/>
  <c r="AE36" i="62" s="1"/>
  <c r="AD26" i="62"/>
  <c r="AE27" i="62" s="1"/>
  <c r="AD28" i="62"/>
  <c r="AD56" i="62"/>
  <c r="AE57" i="62" s="1"/>
  <c r="AD58" i="62"/>
  <c r="AE29" i="62"/>
  <c r="AF30" i="62" s="1"/>
  <c r="AE31" i="62"/>
  <c r="AD32" i="62"/>
  <c r="AE33" i="62" s="1"/>
  <c r="AD34" i="62"/>
  <c r="AD61" i="62"/>
  <c r="AD59" i="62"/>
  <c r="AE60" i="62" s="1"/>
  <c r="AD53" i="62"/>
  <c r="AE54" i="62" s="1"/>
  <c r="AD55" i="62"/>
  <c r="AD47" i="62"/>
  <c r="AE48" i="62" s="1"/>
  <c r="AD49" i="62"/>
  <c r="AD41" i="62"/>
  <c r="AE42" i="62" s="1"/>
  <c r="AD43" i="62"/>
  <c r="AP17" i="55"/>
  <c r="AS18" i="55" s="1"/>
  <c r="AP18" i="55"/>
  <c r="AZ15" i="55"/>
  <c r="AP19" i="55"/>
  <c r="BG15" i="55"/>
  <c r="AS19" i="55"/>
  <c r="AA3" i="47"/>
  <c r="AA3" i="45"/>
  <c r="AA3" i="43"/>
  <c r="AA3" i="48"/>
  <c r="AA3" i="46"/>
  <c r="AA3" i="44"/>
  <c r="AG89" i="55"/>
  <c r="AR60" i="55"/>
  <c r="AR59" i="55"/>
  <c r="CK18" i="62"/>
  <c r="AE41" i="5"/>
  <c r="J20" i="23"/>
  <c r="AC20" i="23"/>
  <c r="H15" i="23" s="1"/>
  <c r="L20" i="23"/>
  <c r="H7" i="23" s="1"/>
  <c r="AG20" i="23"/>
  <c r="H17" i="23" s="1"/>
  <c r="AE20" i="23"/>
  <c r="H16" i="23" s="1"/>
  <c r="W20" i="23"/>
  <c r="C6" i="23"/>
  <c r="Y20" i="23"/>
  <c r="H13" i="23" s="1"/>
  <c r="U20" i="23"/>
  <c r="R20" i="23"/>
  <c r="H10" i="23" s="1"/>
  <c r="S23" i="23"/>
  <c r="C17" i="23"/>
  <c r="C16" i="23"/>
  <c r="C15" i="23"/>
  <c r="C13" i="23"/>
  <c r="C12" i="23"/>
  <c r="C11" i="23"/>
  <c r="C10" i="23"/>
  <c r="O23" i="23"/>
  <c r="P23" i="23" s="1"/>
  <c r="N20" i="23"/>
  <c r="C8" i="23"/>
  <c r="C7" i="23"/>
  <c r="F20" i="23"/>
  <c r="G23" i="23"/>
  <c r="H23" i="23" s="1"/>
  <c r="C14" i="23"/>
  <c r="AA20" i="23"/>
  <c r="AE61" i="62" l="1"/>
  <c r="AE59" i="62"/>
  <c r="AF60" i="62" s="1"/>
  <c r="AE32" i="62"/>
  <c r="AF33" i="62" s="1"/>
  <c r="AE34" i="62"/>
  <c r="AF29" i="62"/>
  <c r="AG30" i="62" s="1"/>
  <c r="AF31" i="62"/>
  <c r="AE52" i="62"/>
  <c r="AE50" i="62"/>
  <c r="AF51" i="62" s="1"/>
  <c r="AE55" i="62"/>
  <c r="AE53" i="62"/>
  <c r="AF54" i="62" s="1"/>
  <c r="AE37" i="62"/>
  <c r="AE35" i="62"/>
  <c r="AF36" i="62" s="1"/>
  <c r="AE56" i="62"/>
  <c r="AF57" i="62" s="1"/>
  <c r="AE58" i="62"/>
  <c r="AE38" i="62"/>
  <c r="AF39" i="62" s="1"/>
  <c r="AE40" i="62"/>
  <c r="AE44" i="62"/>
  <c r="AF45" i="62" s="1"/>
  <c r="AE46" i="62"/>
  <c r="AE41" i="62"/>
  <c r="AF42" i="62" s="1"/>
  <c r="AE43" i="62"/>
  <c r="AO23" i="62"/>
  <c r="AP24" i="62" s="1"/>
  <c r="AO25" i="62"/>
  <c r="AE47" i="62"/>
  <c r="AF48" i="62" s="1"/>
  <c r="AE49" i="62"/>
  <c r="AE28" i="62"/>
  <c r="AE26" i="62"/>
  <c r="AF27" i="62" s="1"/>
  <c r="M95" i="55"/>
  <c r="M97" i="55" s="1"/>
  <c r="AZ63" i="55"/>
  <c r="BG63" i="55"/>
  <c r="Q95" i="55"/>
  <c r="U95" i="55"/>
  <c r="CL18" i="62"/>
  <c r="F22" i="24"/>
  <c r="F24" i="24"/>
  <c r="F20" i="24"/>
  <c r="G20" i="24" s="1"/>
  <c r="H33" i="25" s="1"/>
  <c r="F25" i="24"/>
  <c r="F21" i="24"/>
  <c r="F23" i="24"/>
  <c r="AE47" i="5"/>
  <c r="AE46" i="5"/>
  <c r="AE45" i="5"/>
  <c r="AE44" i="5"/>
  <c r="AE43" i="5"/>
  <c r="AE42" i="5"/>
  <c r="H11" i="23"/>
  <c r="H6" i="23"/>
  <c r="D19" i="24"/>
  <c r="I19" i="24"/>
  <c r="J19" i="24"/>
  <c r="F19" i="24"/>
  <c r="G19" i="24" s="1"/>
  <c r="H19" i="24"/>
  <c r="H12" i="23"/>
  <c r="H8" i="23"/>
  <c r="H4" i="23"/>
  <c r="H14" i="23"/>
  <c r="AF41" i="62" l="1"/>
  <c r="AG42" i="62" s="1"/>
  <c r="AF43" i="62"/>
  <c r="AF50" i="62"/>
  <c r="AG51" i="62" s="1"/>
  <c r="AF52" i="62"/>
  <c r="AF46" i="62"/>
  <c r="AF44" i="62"/>
  <c r="AG45" i="62" s="1"/>
  <c r="AG31" i="62"/>
  <c r="AG29" i="62"/>
  <c r="AH30" i="62" s="1"/>
  <c r="AF38" i="62"/>
  <c r="AG39" i="62" s="1"/>
  <c r="AF40" i="62"/>
  <c r="AF34" i="62"/>
  <c r="AF32" i="62"/>
  <c r="AG33" i="62" s="1"/>
  <c r="AF37" i="62"/>
  <c r="AF35" i="62"/>
  <c r="AG36" i="62" s="1"/>
  <c r="AF53" i="62"/>
  <c r="AG54" i="62" s="1"/>
  <c r="AF55" i="62"/>
  <c r="AP25" i="62"/>
  <c r="AP23" i="62"/>
  <c r="AQ24" i="62" s="1"/>
  <c r="AF56" i="62"/>
  <c r="AG57" i="62" s="1"/>
  <c r="AF58" i="62"/>
  <c r="AF28" i="62"/>
  <c r="AF26" i="62"/>
  <c r="AG27" i="62" s="1"/>
  <c r="AF61" i="62"/>
  <c r="AF59" i="62"/>
  <c r="AG60" i="62" s="1"/>
  <c r="AF47" i="62"/>
  <c r="AG48" i="62" s="1"/>
  <c r="AF49" i="62"/>
  <c r="CM18" i="62"/>
  <c r="I20" i="24"/>
  <c r="D20" i="24"/>
  <c r="J20" i="24"/>
  <c r="H20" i="24"/>
  <c r="H31" i="25"/>
  <c r="K19" i="24"/>
  <c r="AI2" i="4"/>
  <c r="AD22" i="4"/>
  <c r="AG61" i="62" l="1"/>
  <c r="AG59" i="62"/>
  <c r="AH60" i="62" s="1"/>
  <c r="AG38" i="62"/>
  <c r="AH39" i="62" s="1"/>
  <c r="AG40" i="62"/>
  <c r="AQ23" i="62"/>
  <c r="AR24" i="62" s="1"/>
  <c r="AQ25" i="62"/>
  <c r="AG46" i="62"/>
  <c r="AG44" i="62"/>
  <c r="AH45" i="62" s="1"/>
  <c r="AG55" i="62"/>
  <c r="AG53" i="62"/>
  <c r="AH54" i="62" s="1"/>
  <c r="AG50" i="62"/>
  <c r="AH51" i="62" s="1"/>
  <c r="AG52" i="62"/>
  <c r="AG26" i="62"/>
  <c r="AH27" i="62" s="1"/>
  <c r="AG28" i="62"/>
  <c r="AG56" i="62"/>
  <c r="AH57" i="62" s="1"/>
  <c r="AG58" i="62"/>
  <c r="AH29" i="62"/>
  <c r="AI30" i="62" s="1"/>
  <c r="AH31" i="62"/>
  <c r="AG47" i="62"/>
  <c r="AH48" i="62" s="1"/>
  <c r="AG49" i="62"/>
  <c r="AG41" i="62"/>
  <c r="AH42" i="62" s="1"/>
  <c r="AG43" i="62"/>
  <c r="AG32" i="62"/>
  <c r="AH33" i="62" s="1"/>
  <c r="AG34" i="62"/>
  <c r="AG35" i="62"/>
  <c r="AH36" i="62" s="1"/>
  <c r="AG37" i="62"/>
  <c r="CN18" i="62"/>
  <c r="D31" i="25"/>
  <c r="S19" i="2" s="1"/>
  <c r="M10" i="6"/>
  <c r="AH44" i="62" l="1"/>
  <c r="AI45" i="62" s="1"/>
  <c r="AH46" i="62"/>
  <c r="AI31" i="62"/>
  <c r="AI29" i="62"/>
  <c r="AJ30" i="62" s="1"/>
  <c r="AR23" i="62"/>
  <c r="AS24" i="62" s="1"/>
  <c r="AR25" i="62"/>
  <c r="AH56" i="62"/>
  <c r="AI57" i="62" s="1"/>
  <c r="AH58" i="62"/>
  <c r="AH38" i="62"/>
  <c r="AI39" i="62" s="1"/>
  <c r="AH40" i="62"/>
  <c r="AH53" i="62"/>
  <c r="AI54" i="62" s="1"/>
  <c r="AH55" i="62"/>
  <c r="AH49" i="62"/>
  <c r="AH47" i="62"/>
  <c r="AI48" i="62" s="1"/>
  <c r="AH35" i="62"/>
  <c r="AI36" i="62" s="1"/>
  <c r="AH37" i="62"/>
  <c r="AH28" i="62"/>
  <c r="AH26" i="62"/>
  <c r="AI27" i="62" s="1"/>
  <c r="AH32" i="62"/>
  <c r="AI33" i="62" s="1"/>
  <c r="AH34" i="62"/>
  <c r="AH50" i="62"/>
  <c r="AI51" i="62" s="1"/>
  <c r="AH52" i="62"/>
  <c r="AH41" i="62"/>
  <c r="AI42" i="62" s="1"/>
  <c r="AH43" i="62"/>
  <c r="AH59" i="62"/>
  <c r="AI60" i="62" s="1"/>
  <c r="AH61" i="62"/>
  <c r="CO18" i="62"/>
  <c r="AE19" i="2"/>
  <c r="F31" i="25"/>
  <c r="G31" i="25" s="1"/>
  <c r="I31" i="25" s="1"/>
  <c r="B14" i="4"/>
  <c r="AS23" i="62" l="1"/>
  <c r="AT24" i="62" s="1"/>
  <c r="AS25" i="62"/>
  <c r="AI41" i="62"/>
  <c r="AJ42" i="62" s="1"/>
  <c r="AI43" i="62"/>
  <c r="AI53" i="62"/>
  <c r="AJ54" i="62" s="1"/>
  <c r="AI55" i="62"/>
  <c r="AI26" i="62"/>
  <c r="AJ27" i="62" s="1"/>
  <c r="AI28" i="62"/>
  <c r="AI52" i="62"/>
  <c r="AI50" i="62"/>
  <c r="AJ51" i="62" s="1"/>
  <c r="AI38" i="62"/>
  <c r="AJ39" i="62" s="1"/>
  <c r="AI40" i="62"/>
  <c r="AI56" i="62"/>
  <c r="AJ57" i="62" s="1"/>
  <c r="AI58" i="62"/>
  <c r="AI35" i="62"/>
  <c r="AJ36" i="62" s="1"/>
  <c r="AI37" i="62"/>
  <c r="AJ29" i="62"/>
  <c r="AK30" i="62" s="1"/>
  <c r="AJ31" i="62"/>
  <c r="AI34" i="62"/>
  <c r="AI32" i="62"/>
  <c r="AJ33" i="62" s="1"/>
  <c r="AI59" i="62"/>
  <c r="AJ60" i="62" s="1"/>
  <c r="AI61" i="62"/>
  <c r="AI44" i="62"/>
  <c r="AJ45" i="62" s="1"/>
  <c r="AI46" i="62"/>
  <c r="AI49" i="62"/>
  <c r="AI47" i="62"/>
  <c r="AJ48" i="62" s="1"/>
  <c r="CP18" i="62"/>
  <c r="J31" i="25"/>
  <c r="K31" i="25" s="1"/>
  <c r="O32" i="25" s="1"/>
  <c r="AN52" i="1"/>
  <c r="Z8" i="1"/>
  <c r="Z6" i="1"/>
  <c r="Z36" i="1"/>
  <c r="Z34" i="1"/>
  <c r="Z33" i="1"/>
  <c r="C21" i="1"/>
  <c r="C20" i="1"/>
  <c r="AJ59" i="62" l="1"/>
  <c r="AK60" i="62" s="1"/>
  <c r="AJ61" i="62"/>
  <c r="AK31" i="62"/>
  <c r="AK29" i="62"/>
  <c r="AL30" i="62" s="1"/>
  <c r="AJ55" i="62"/>
  <c r="AJ53" i="62"/>
  <c r="AK54" i="62" s="1"/>
  <c r="AJ52" i="62"/>
  <c r="AJ50" i="62"/>
  <c r="AK51" i="62" s="1"/>
  <c r="AJ34" i="62"/>
  <c r="AJ32" i="62"/>
  <c r="AK33" i="62" s="1"/>
  <c r="AJ35" i="62"/>
  <c r="AK36" i="62" s="1"/>
  <c r="AJ37" i="62"/>
  <c r="AJ41" i="62"/>
  <c r="AK42" i="62" s="1"/>
  <c r="AJ43" i="62"/>
  <c r="AJ26" i="62"/>
  <c r="AK27" i="62" s="1"/>
  <c r="AJ28" i="62"/>
  <c r="AJ38" i="62"/>
  <c r="AK39" i="62" s="1"/>
  <c r="AJ40" i="62"/>
  <c r="AJ56" i="62"/>
  <c r="AK57" i="62" s="1"/>
  <c r="AJ58" i="62"/>
  <c r="AT23" i="62"/>
  <c r="AU24" i="62" s="1"/>
  <c r="AT25" i="62"/>
  <c r="AJ44" i="62"/>
  <c r="AK45" i="62" s="1"/>
  <c r="AJ46" i="62"/>
  <c r="AJ47" i="62"/>
  <c r="AK48" i="62" s="1"/>
  <c r="AJ49" i="62"/>
  <c r="CQ18" i="62"/>
  <c r="AJ18" i="5"/>
  <c r="AG2" i="4"/>
  <c r="AC15" i="4"/>
  <c r="AH2" i="4" s="1"/>
  <c r="AD15" i="4"/>
  <c r="O33" i="4"/>
  <c r="O34" i="4"/>
  <c r="O35" i="4"/>
  <c r="O36" i="4"/>
  <c r="O37" i="4"/>
  <c r="O38" i="4"/>
  <c r="O39" i="4"/>
  <c r="O40" i="4"/>
  <c r="O41" i="4"/>
  <c r="O42" i="4"/>
  <c r="O43" i="4"/>
  <c r="O44" i="4"/>
  <c r="O45" i="4"/>
  <c r="O46" i="4"/>
  <c r="O47" i="4"/>
  <c r="O48" i="4"/>
  <c r="O49" i="4"/>
  <c r="O50" i="4"/>
  <c r="O51" i="4"/>
  <c r="O52" i="4"/>
  <c r="O53" i="4"/>
  <c r="O54" i="4"/>
  <c r="O55" i="4"/>
  <c r="O56" i="4"/>
  <c r="O57" i="4"/>
  <c r="O58" i="4"/>
  <c r="O59" i="4"/>
  <c r="O60" i="4"/>
  <c r="O61" i="4"/>
  <c r="O62" i="4"/>
  <c r="O63" i="4"/>
  <c r="O64" i="4"/>
  <c r="O65" i="4"/>
  <c r="O66" i="4"/>
  <c r="O67" i="4"/>
  <c r="O68" i="4"/>
  <c r="O69" i="4"/>
  <c r="O70" i="4"/>
  <c r="O71" i="4"/>
  <c r="O72" i="4"/>
  <c r="O73" i="4"/>
  <c r="O74" i="4"/>
  <c r="AE54" i="5"/>
  <c r="P48" i="5"/>
  <c r="P17" i="5"/>
  <c r="O17" i="5"/>
  <c r="L46" i="50" s="1"/>
  <c r="W17" i="52" s="1"/>
  <c r="AE16" i="5"/>
  <c r="P15" i="5"/>
  <c r="O15" i="5"/>
  <c r="P14" i="5"/>
  <c r="O14" i="5"/>
  <c r="AE13" i="5"/>
  <c r="P11" i="5"/>
  <c r="O11" i="5"/>
  <c r="C18" i="50" s="1"/>
  <c r="O9" i="5"/>
  <c r="O8" i="5"/>
  <c r="AE8" i="5" s="1"/>
  <c r="O7" i="5"/>
  <c r="O6" i="5"/>
  <c r="P6" i="5" s="1"/>
  <c r="AM5" i="5"/>
  <c r="AM4" i="5"/>
  <c r="AM3" i="5"/>
  <c r="H31" i="4"/>
  <c r="I31" i="4" s="1"/>
  <c r="H32" i="4"/>
  <c r="I32" i="4" s="1"/>
  <c r="H33" i="4"/>
  <c r="I33" i="4" s="1"/>
  <c r="H34" i="4"/>
  <c r="I34" i="4" s="1"/>
  <c r="H35" i="4"/>
  <c r="I35" i="4" s="1"/>
  <c r="H36" i="4"/>
  <c r="I36" i="4" s="1"/>
  <c r="H37" i="4"/>
  <c r="I37" i="4" s="1"/>
  <c r="H38" i="4"/>
  <c r="I38" i="4" s="1"/>
  <c r="H39" i="4"/>
  <c r="I39" i="4" s="1"/>
  <c r="H40" i="4"/>
  <c r="I40" i="4" s="1"/>
  <c r="H41" i="4"/>
  <c r="I41" i="4" s="1"/>
  <c r="H42" i="4"/>
  <c r="I42" i="4" s="1"/>
  <c r="H43" i="4"/>
  <c r="I43" i="4" s="1"/>
  <c r="H44" i="4"/>
  <c r="I44" i="4" s="1"/>
  <c r="H45" i="4"/>
  <c r="I45" i="4" s="1"/>
  <c r="H46" i="4"/>
  <c r="I46" i="4" s="1"/>
  <c r="H47" i="4"/>
  <c r="I47" i="4" s="1"/>
  <c r="H48" i="4"/>
  <c r="I48" i="4" s="1"/>
  <c r="H49" i="4"/>
  <c r="I49" i="4" s="1"/>
  <c r="H50" i="4"/>
  <c r="I50" i="4" s="1"/>
  <c r="H51" i="4"/>
  <c r="I51" i="4" s="1"/>
  <c r="H52" i="4"/>
  <c r="I52" i="4" s="1"/>
  <c r="H53" i="4"/>
  <c r="I53" i="4" s="1"/>
  <c r="H54" i="4"/>
  <c r="I54" i="4" s="1"/>
  <c r="H55" i="4"/>
  <c r="I55" i="4" s="1"/>
  <c r="H56" i="4"/>
  <c r="I56" i="4" s="1"/>
  <c r="H57" i="4"/>
  <c r="I57" i="4" s="1"/>
  <c r="H58" i="4"/>
  <c r="I58" i="4" s="1"/>
  <c r="H59" i="4"/>
  <c r="I59" i="4" s="1"/>
  <c r="H60" i="4"/>
  <c r="I60" i="4" s="1"/>
  <c r="H61" i="4"/>
  <c r="I61" i="4" s="1"/>
  <c r="H62" i="4"/>
  <c r="I62" i="4" s="1"/>
  <c r="H63" i="4"/>
  <c r="I63" i="4" s="1"/>
  <c r="H64" i="4"/>
  <c r="I64" i="4" s="1"/>
  <c r="H65" i="4"/>
  <c r="I65" i="4" s="1"/>
  <c r="H66" i="4"/>
  <c r="I66" i="4" s="1"/>
  <c r="H67" i="4"/>
  <c r="I67" i="4" s="1"/>
  <c r="H68" i="4"/>
  <c r="I68" i="4" s="1"/>
  <c r="H69" i="4"/>
  <c r="I69" i="4" s="1"/>
  <c r="H70" i="4"/>
  <c r="I70" i="4" s="1"/>
  <c r="H71" i="4"/>
  <c r="I71" i="4" s="1"/>
  <c r="H72" i="4"/>
  <c r="I72" i="4" s="1"/>
  <c r="H73" i="4"/>
  <c r="I73" i="4" s="1"/>
  <c r="H74" i="4"/>
  <c r="I74" i="4" s="1"/>
  <c r="H30" i="4"/>
  <c r="I30" i="4" s="1"/>
  <c r="N30" i="4" s="1"/>
  <c r="N74" i="4"/>
  <c r="N73" i="4"/>
  <c r="N72" i="4"/>
  <c r="N71" i="4"/>
  <c r="N70" i="4"/>
  <c r="N69" i="4"/>
  <c r="N68" i="4"/>
  <c r="N67" i="4"/>
  <c r="N66" i="4"/>
  <c r="N65" i="4"/>
  <c r="N64" i="4"/>
  <c r="N63" i="4"/>
  <c r="N62" i="4"/>
  <c r="N61" i="4"/>
  <c r="N60" i="4"/>
  <c r="N59" i="4"/>
  <c r="N58" i="4"/>
  <c r="N57" i="4"/>
  <c r="N56" i="4"/>
  <c r="N55" i="4"/>
  <c r="N54" i="4"/>
  <c r="N53" i="4"/>
  <c r="N52" i="4"/>
  <c r="N51" i="4"/>
  <c r="N50" i="4"/>
  <c r="N49" i="4"/>
  <c r="N48" i="4"/>
  <c r="N47" i="4"/>
  <c r="N46" i="4"/>
  <c r="N45" i="4"/>
  <c r="N44" i="4"/>
  <c r="N43" i="4"/>
  <c r="N42" i="4"/>
  <c r="N41" i="4"/>
  <c r="N40" i="4"/>
  <c r="N39" i="4"/>
  <c r="N38" i="4"/>
  <c r="N37" i="4"/>
  <c r="N36" i="4"/>
  <c r="N35" i="4"/>
  <c r="N34" i="4"/>
  <c r="N33" i="4"/>
  <c r="N31" i="4"/>
  <c r="Y27" i="2"/>
  <c r="AK17" i="2"/>
  <c r="AK52" i="62" l="1"/>
  <c r="AK50" i="62"/>
  <c r="AL51" i="62" s="1"/>
  <c r="AK53" i="62"/>
  <c r="AL54" i="62" s="1"/>
  <c r="AK55" i="62"/>
  <c r="AK44" i="62"/>
  <c r="AL45" i="62" s="1"/>
  <c r="AK46" i="62"/>
  <c r="AK32" i="62"/>
  <c r="AL33" i="62" s="1"/>
  <c r="AK34" i="62"/>
  <c r="AK58" i="62"/>
  <c r="AK56" i="62"/>
  <c r="AL57" i="62" s="1"/>
  <c r="AK37" i="62"/>
  <c r="AK35" i="62"/>
  <c r="AL36" i="62" s="1"/>
  <c r="AK40" i="62"/>
  <c r="AK38" i="62"/>
  <c r="AL39" i="62" s="1"/>
  <c r="AL29" i="62"/>
  <c r="AM30" i="62" s="1"/>
  <c r="AL31" i="62"/>
  <c r="AU23" i="62"/>
  <c r="AV24" i="62" s="1"/>
  <c r="AU25" i="62"/>
  <c r="AK26" i="62"/>
  <c r="AL27" i="62" s="1"/>
  <c r="AK28" i="62"/>
  <c r="AK49" i="62"/>
  <c r="AK47" i="62"/>
  <c r="AL48" i="62" s="1"/>
  <c r="AK43" i="62"/>
  <c r="AK41" i="62"/>
  <c r="AL42" i="62" s="1"/>
  <c r="AK59" i="62"/>
  <c r="AL60" i="62" s="1"/>
  <c r="AK61" i="62"/>
  <c r="AE15" i="5"/>
  <c r="L44" i="50"/>
  <c r="W13" i="52" s="1"/>
  <c r="AE7" i="5"/>
  <c r="L10" i="50"/>
  <c r="AE14" i="5"/>
  <c r="L43" i="50"/>
  <c r="P9" i="5"/>
  <c r="L8" i="50"/>
  <c r="CR18" i="62"/>
  <c r="H3" i="4"/>
  <c r="O31" i="4"/>
  <c r="AE17" i="5"/>
  <c r="AE11" i="5"/>
  <c r="AE48" i="5"/>
  <c r="N32" i="4"/>
  <c r="AJ2" i="4"/>
  <c r="AC3" i="4" s="1"/>
  <c r="AK27" i="2"/>
  <c r="P3" i="5"/>
  <c r="P7" i="5"/>
  <c r="O32" i="4"/>
  <c r="AD26" i="4"/>
  <c r="O3" i="5"/>
  <c r="AE6" i="5"/>
  <c r="AE9" i="5"/>
  <c r="P8" i="5"/>
  <c r="J3" i="4" l="1"/>
  <c r="AL56" i="62"/>
  <c r="AM57" i="62" s="1"/>
  <c r="AL58" i="62"/>
  <c r="AL28" i="62"/>
  <c r="AL26" i="62"/>
  <c r="AM27" i="62" s="1"/>
  <c r="AL34" i="62"/>
  <c r="AL32" i="62"/>
  <c r="AM33" i="62" s="1"/>
  <c r="AV25" i="62"/>
  <c r="AV23" i="62"/>
  <c r="AW24" i="62" s="1"/>
  <c r="AL46" i="62"/>
  <c r="AL44" i="62"/>
  <c r="AM45" i="62" s="1"/>
  <c r="AM29" i="62"/>
  <c r="AN30" i="62" s="1"/>
  <c r="AM31" i="62"/>
  <c r="AL55" i="62"/>
  <c r="AL53" i="62"/>
  <c r="AM54" i="62" s="1"/>
  <c r="AL35" i="62"/>
  <c r="AM36" i="62" s="1"/>
  <c r="AL37" i="62"/>
  <c r="AL49" i="62"/>
  <c r="AL47" i="62"/>
  <c r="AM48" i="62" s="1"/>
  <c r="AL43" i="62"/>
  <c r="AL41" i="62"/>
  <c r="AM42" i="62" s="1"/>
  <c r="AL61" i="62"/>
  <c r="AL59" i="62"/>
  <c r="AM60" i="62" s="1"/>
  <c r="AL40" i="62"/>
  <c r="AL38" i="62"/>
  <c r="AM39" i="62" s="1"/>
  <c r="AL52" i="62"/>
  <c r="AL50" i="62"/>
  <c r="AM51" i="62" s="1"/>
  <c r="Z11" i="53"/>
  <c r="L9" i="50"/>
  <c r="F9" i="51"/>
  <c r="E41" i="53"/>
  <c r="S11" i="52"/>
  <c r="S9" i="52"/>
  <c r="F6" i="51"/>
  <c r="CS18" i="62"/>
  <c r="AE10" i="5"/>
  <c r="AA11" i="53"/>
  <c r="C25" i="23"/>
  <c r="D25" i="23" s="1"/>
  <c r="C27" i="23"/>
  <c r="D27" i="23" s="1"/>
  <c r="C28" i="23"/>
  <c r="D28" i="23" s="1"/>
  <c r="C29" i="23"/>
  <c r="D29" i="23" s="1"/>
  <c r="C30" i="23"/>
  <c r="D30" i="23" s="1"/>
  <c r="C31" i="23"/>
  <c r="D31" i="23" s="1"/>
  <c r="C32" i="23"/>
  <c r="D32" i="23" s="1"/>
  <c r="C33" i="23"/>
  <c r="D33" i="23" s="1"/>
  <c r="C35" i="23"/>
  <c r="D35" i="23" s="1"/>
  <c r="C36" i="23"/>
  <c r="D36" i="23" s="1"/>
  <c r="C37" i="23"/>
  <c r="D37" i="23" s="1"/>
  <c r="C42" i="23"/>
  <c r="D42" i="23" s="1"/>
  <c r="C26" i="23"/>
  <c r="D26" i="23" s="1"/>
  <c r="C34" i="23"/>
  <c r="D34" i="23" s="1"/>
  <c r="C38" i="23"/>
  <c r="D38" i="23" s="1"/>
  <c r="C41" i="23"/>
  <c r="D41" i="23" s="1"/>
  <c r="C24" i="23"/>
  <c r="D24" i="23" s="1"/>
  <c r="C40" i="23"/>
  <c r="D40" i="23" s="1"/>
  <c r="C44" i="23"/>
  <c r="D44" i="23" s="1"/>
  <c r="C46" i="23"/>
  <c r="D46" i="23" s="1"/>
  <c r="C48" i="23"/>
  <c r="D48" i="23" s="1"/>
  <c r="C50" i="23"/>
  <c r="D50" i="23" s="1"/>
  <c r="C53" i="23"/>
  <c r="D53" i="23" s="1"/>
  <c r="C54" i="23"/>
  <c r="D54" i="23" s="1"/>
  <c r="C57" i="23"/>
  <c r="D57" i="23" s="1"/>
  <c r="C59" i="23"/>
  <c r="D59" i="23" s="1"/>
  <c r="C61" i="23"/>
  <c r="D61" i="23" s="1"/>
  <c r="C63" i="23"/>
  <c r="D63" i="23" s="1"/>
  <c r="C64" i="23"/>
  <c r="D64" i="23" s="1"/>
  <c r="C66" i="23"/>
  <c r="D66" i="23" s="1"/>
  <c r="C67" i="23"/>
  <c r="D67" i="23" s="1"/>
  <c r="C39" i="23"/>
  <c r="D39" i="23" s="1"/>
  <c r="C43" i="23"/>
  <c r="D43" i="23" s="1"/>
  <c r="C45" i="23"/>
  <c r="D45" i="23" s="1"/>
  <c r="C51" i="23"/>
  <c r="D51" i="23" s="1"/>
  <c r="C52" i="23"/>
  <c r="D52" i="23" s="1"/>
  <c r="C65" i="23"/>
  <c r="D65" i="23" s="1"/>
  <c r="C49" i="23"/>
  <c r="D49" i="23" s="1"/>
  <c r="C55" i="23"/>
  <c r="D55" i="23" s="1"/>
  <c r="C69" i="23"/>
  <c r="D69" i="23" s="1"/>
  <c r="C70" i="23"/>
  <c r="D70" i="23" s="1"/>
  <c r="C71" i="23"/>
  <c r="D71" i="23" s="1"/>
  <c r="C72" i="23"/>
  <c r="D72" i="23" s="1"/>
  <c r="C77" i="23"/>
  <c r="D77" i="23" s="1"/>
  <c r="C78" i="23"/>
  <c r="D78" i="23" s="1"/>
  <c r="C79" i="23"/>
  <c r="D79" i="23" s="1"/>
  <c r="C80" i="23"/>
  <c r="D80" i="23" s="1"/>
  <c r="C81" i="23"/>
  <c r="D81" i="23" s="1"/>
  <c r="C82" i="23"/>
  <c r="D82" i="23" s="1"/>
  <c r="C85" i="23"/>
  <c r="D85" i="23" s="1"/>
  <c r="C86" i="23"/>
  <c r="D86" i="23" s="1"/>
  <c r="C88" i="23"/>
  <c r="D88" i="23" s="1"/>
  <c r="C91" i="23"/>
  <c r="D91" i="23" s="1"/>
  <c r="C93" i="23"/>
  <c r="D93" i="23" s="1"/>
  <c r="C95" i="23"/>
  <c r="D95" i="23" s="1"/>
  <c r="C96" i="23"/>
  <c r="D96" i="23" s="1"/>
  <c r="C98" i="23"/>
  <c r="D98" i="23" s="1"/>
  <c r="C100" i="23"/>
  <c r="D100" i="23" s="1"/>
  <c r="C102" i="23"/>
  <c r="D102" i="23" s="1"/>
  <c r="C104" i="23"/>
  <c r="D104" i="23" s="1"/>
  <c r="C106" i="23"/>
  <c r="D106" i="23" s="1"/>
  <c r="C108" i="23"/>
  <c r="D108" i="23" s="1"/>
  <c r="C110" i="23"/>
  <c r="D110" i="23" s="1"/>
  <c r="C111" i="23"/>
  <c r="D111" i="23" s="1"/>
  <c r="C113" i="23"/>
  <c r="D113" i="23" s="1"/>
  <c r="C114" i="23"/>
  <c r="D114" i="23" s="1"/>
  <c r="C116" i="23"/>
  <c r="D116" i="23" s="1"/>
  <c r="C117" i="23"/>
  <c r="D117" i="23" s="1"/>
  <c r="C118" i="23"/>
  <c r="D118" i="23" s="1"/>
  <c r="C121" i="23"/>
  <c r="D121" i="23" s="1"/>
  <c r="C122" i="23"/>
  <c r="D122" i="23" s="1"/>
  <c r="C47" i="23"/>
  <c r="D47" i="23" s="1"/>
  <c r="C56" i="23"/>
  <c r="D56" i="23" s="1"/>
  <c r="C58" i="23"/>
  <c r="D58" i="23" s="1"/>
  <c r="C60" i="23"/>
  <c r="D60" i="23" s="1"/>
  <c r="C62" i="23"/>
  <c r="D62" i="23" s="1"/>
  <c r="C68" i="23"/>
  <c r="D68" i="23" s="1"/>
  <c r="C73" i="23"/>
  <c r="D73" i="23" s="1"/>
  <c r="C74" i="23"/>
  <c r="D74" i="23" s="1"/>
  <c r="C75" i="23"/>
  <c r="D75" i="23" s="1"/>
  <c r="C76" i="23"/>
  <c r="D76" i="23" s="1"/>
  <c r="C83" i="23"/>
  <c r="D83" i="23" s="1"/>
  <c r="C84" i="23"/>
  <c r="D84" i="23" s="1"/>
  <c r="C87" i="23"/>
  <c r="D87" i="23" s="1"/>
  <c r="C89" i="23"/>
  <c r="D89" i="23" s="1"/>
  <c r="C90" i="23"/>
  <c r="D90" i="23" s="1"/>
  <c r="C92" i="23"/>
  <c r="D92" i="23" s="1"/>
  <c r="C94" i="23"/>
  <c r="D94" i="23" s="1"/>
  <c r="C97" i="23"/>
  <c r="D97" i="23" s="1"/>
  <c r="C99" i="23"/>
  <c r="D99" i="23" s="1"/>
  <c r="C105" i="23"/>
  <c r="D105" i="23" s="1"/>
  <c r="C107" i="23"/>
  <c r="D107" i="23" s="1"/>
  <c r="C115" i="23"/>
  <c r="D115" i="23" s="1"/>
  <c r="C120" i="23"/>
  <c r="D120" i="23" s="1"/>
  <c r="C123" i="23"/>
  <c r="D123" i="23" s="1"/>
  <c r="C127" i="23"/>
  <c r="D127" i="23" s="1"/>
  <c r="C129" i="23"/>
  <c r="D129" i="23" s="1"/>
  <c r="C130" i="23"/>
  <c r="D130" i="23" s="1"/>
  <c r="C132" i="23"/>
  <c r="D132" i="23" s="1"/>
  <c r="C133" i="23"/>
  <c r="D133" i="23" s="1"/>
  <c r="C134" i="23"/>
  <c r="D134" i="23" s="1"/>
  <c r="C137" i="23"/>
  <c r="D137" i="23" s="1"/>
  <c r="C138" i="23"/>
  <c r="D138" i="23" s="1"/>
  <c r="C140" i="23"/>
  <c r="D140" i="23" s="1"/>
  <c r="C141" i="23"/>
  <c r="D141" i="23" s="1"/>
  <c r="C142" i="23"/>
  <c r="D142" i="23" s="1"/>
  <c r="C153" i="23"/>
  <c r="D153" i="23" s="1"/>
  <c r="C154" i="23"/>
  <c r="D154" i="23" s="1"/>
  <c r="C157" i="23"/>
  <c r="D157" i="23" s="1"/>
  <c r="C158" i="23"/>
  <c r="D158" i="23" s="1"/>
  <c r="C161" i="23"/>
  <c r="D161" i="23" s="1"/>
  <c r="C162" i="23"/>
  <c r="D162" i="23" s="1"/>
  <c r="C165" i="23"/>
  <c r="D165" i="23" s="1"/>
  <c r="C166" i="23"/>
  <c r="D166" i="23" s="1"/>
  <c r="C169" i="23"/>
  <c r="D169" i="23" s="1"/>
  <c r="C170" i="23"/>
  <c r="D170" i="23" s="1"/>
  <c r="C173" i="23"/>
  <c r="D173" i="23" s="1"/>
  <c r="C174" i="23"/>
  <c r="D174" i="23" s="1"/>
  <c r="C109" i="23"/>
  <c r="D109" i="23" s="1"/>
  <c r="C119" i="23"/>
  <c r="D119" i="23" s="1"/>
  <c r="C131" i="23"/>
  <c r="D131" i="23" s="1"/>
  <c r="C136" i="23"/>
  <c r="D136" i="23" s="1"/>
  <c r="C139" i="23"/>
  <c r="D139" i="23" s="1"/>
  <c r="C149" i="23"/>
  <c r="D149" i="23" s="1"/>
  <c r="C150" i="23"/>
  <c r="D150" i="23" s="1"/>
  <c r="C155" i="23"/>
  <c r="D155" i="23" s="1"/>
  <c r="C156" i="23"/>
  <c r="D156" i="23" s="1"/>
  <c r="C163" i="23"/>
  <c r="D163" i="23" s="1"/>
  <c r="C164" i="23"/>
  <c r="D164" i="23" s="1"/>
  <c r="C171" i="23"/>
  <c r="D171" i="23" s="1"/>
  <c r="C172" i="23"/>
  <c r="D172" i="23" s="1"/>
  <c r="C179" i="23"/>
  <c r="D179" i="23" s="1"/>
  <c r="C180" i="23"/>
  <c r="D180" i="23" s="1"/>
  <c r="C181" i="23"/>
  <c r="D181" i="23" s="1"/>
  <c r="C182" i="23"/>
  <c r="D182" i="23" s="1"/>
  <c r="C186" i="23"/>
  <c r="D186" i="23" s="1"/>
  <c r="C190" i="23"/>
  <c r="D190" i="23" s="1"/>
  <c r="C192" i="23"/>
  <c r="D192" i="23" s="1"/>
  <c r="C193" i="23"/>
  <c r="D193" i="23" s="1"/>
  <c r="C195" i="23"/>
  <c r="D195" i="23" s="1"/>
  <c r="C196" i="23"/>
  <c r="D196" i="23" s="1"/>
  <c r="C197" i="23"/>
  <c r="D197" i="23" s="1"/>
  <c r="C199" i="23"/>
  <c r="D199" i="23" s="1"/>
  <c r="C202" i="23"/>
  <c r="D202" i="23" s="1"/>
  <c r="C204" i="23"/>
  <c r="D204" i="23" s="1"/>
  <c r="C205" i="23"/>
  <c r="D205" i="23" s="1"/>
  <c r="C208" i="23"/>
  <c r="D208" i="23" s="1"/>
  <c r="C209" i="23"/>
  <c r="D209" i="23" s="1"/>
  <c r="C213" i="23"/>
  <c r="D213" i="23" s="1"/>
  <c r="C103" i="23"/>
  <c r="D103" i="23" s="1"/>
  <c r="C125" i="23"/>
  <c r="D125" i="23" s="1"/>
  <c r="C135" i="23"/>
  <c r="D135" i="23" s="1"/>
  <c r="C144" i="23"/>
  <c r="D144" i="23" s="1"/>
  <c r="C146" i="23"/>
  <c r="D146" i="23" s="1"/>
  <c r="C148" i="23"/>
  <c r="D148" i="23" s="1"/>
  <c r="C152" i="23"/>
  <c r="D152" i="23" s="1"/>
  <c r="C159" i="23"/>
  <c r="D159" i="23" s="1"/>
  <c r="C168" i="23"/>
  <c r="D168" i="23" s="1"/>
  <c r="C175" i="23"/>
  <c r="D175" i="23" s="1"/>
  <c r="C187" i="23"/>
  <c r="D187" i="23" s="1"/>
  <c r="C188" i="23"/>
  <c r="D188" i="23" s="1"/>
  <c r="C189" i="23"/>
  <c r="D189" i="23" s="1"/>
  <c r="C194" i="23"/>
  <c r="D194" i="23" s="1"/>
  <c r="C198" i="23"/>
  <c r="D198" i="23" s="1"/>
  <c r="C203" i="23"/>
  <c r="D203" i="23" s="1"/>
  <c r="C206" i="23"/>
  <c r="D206" i="23" s="1"/>
  <c r="C207" i="23"/>
  <c r="D207" i="23" s="1"/>
  <c r="C210" i="23"/>
  <c r="D210" i="23" s="1"/>
  <c r="C211" i="23"/>
  <c r="D211" i="23" s="1"/>
  <c r="C214" i="23"/>
  <c r="D214" i="23" s="1"/>
  <c r="C217" i="23"/>
  <c r="D217" i="23" s="1"/>
  <c r="C219" i="23"/>
  <c r="D219" i="23" s="1"/>
  <c r="C220" i="23"/>
  <c r="D220" i="23" s="1"/>
  <c r="C222" i="23"/>
  <c r="D222" i="23" s="1"/>
  <c r="C224" i="23"/>
  <c r="D224" i="23" s="1"/>
  <c r="C226" i="23"/>
  <c r="D226" i="23" s="1"/>
  <c r="C227" i="23"/>
  <c r="D227" i="23" s="1"/>
  <c r="C228" i="23"/>
  <c r="D228" i="23" s="1"/>
  <c r="C231" i="23"/>
  <c r="D231" i="23" s="1"/>
  <c r="C235" i="23"/>
  <c r="D235" i="23" s="1"/>
  <c r="C240" i="23"/>
  <c r="D240" i="23" s="1"/>
  <c r="C243" i="23"/>
  <c r="D243" i="23" s="1"/>
  <c r="C245" i="23"/>
  <c r="D245" i="23" s="1"/>
  <c r="C246" i="23"/>
  <c r="D246" i="23" s="1"/>
  <c r="C247" i="23"/>
  <c r="D247" i="23" s="1"/>
  <c r="C249" i="23"/>
  <c r="D249" i="23" s="1"/>
  <c r="C250" i="23"/>
  <c r="D250" i="23" s="1"/>
  <c r="C252" i="23"/>
  <c r="D252" i="23" s="1"/>
  <c r="C255" i="23"/>
  <c r="D255" i="23" s="1"/>
  <c r="C259" i="23"/>
  <c r="D259" i="23" s="1"/>
  <c r="C261" i="23"/>
  <c r="D261" i="23" s="1"/>
  <c r="C263" i="23"/>
  <c r="D263" i="23" s="1"/>
  <c r="C264" i="23"/>
  <c r="D264" i="23" s="1"/>
  <c r="C267" i="23"/>
  <c r="D267" i="23" s="1"/>
  <c r="C269" i="23"/>
  <c r="D269" i="23" s="1"/>
  <c r="C271" i="23"/>
  <c r="D271" i="23" s="1"/>
  <c r="C274" i="23"/>
  <c r="D274" i="23" s="1"/>
  <c r="C279" i="23"/>
  <c r="D279" i="23" s="1"/>
  <c r="C280" i="23"/>
  <c r="D280" i="23" s="1"/>
  <c r="C281" i="23"/>
  <c r="D281" i="23" s="1"/>
  <c r="C283" i="23"/>
  <c r="D283" i="23" s="1"/>
  <c r="C286" i="23"/>
  <c r="D286" i="23" s="1"/>
  <c r="C290" i="23"/>
  <c r="D290" i="23" s="1"/>
  <c r="C292" i="23"/>
  <c r="D292" i="23" s="1"/>
  <c r="C293" i="23"/>
  <c r="D293" i="23" s="1"/>
  <c r="C295" i="23"/>
  <c r="D295" i="23" s="1"/>
  <c r="C296" i="23"/>
  <c r="D296" i="23" s="1"/>
  <c r="C297" i="23"/>
  <c r="D297" i="23" s="1"/>
  <c r="C299" i="23"/>
  <c r="D299" i="23" s="1"/>
  <c r="C300" i="23"/>
  <c r="D300" i="23" s="1"/>
  <c r="C301" i="23"/>
  <c r="D301" i="23" s="1"/>
  <c r="C303" i="23"/>
  <c r="D303" i="23" s="1"/>
  <c r="C307" i="23"/>
  <c r="D307" i="23" s="1"/>
  <c r="C311" i="23"/>
  <c r="D311" i="23" s="1"/>
  <c r="C315" i="23"/>
  <c r="D315" i="23" s="1"/>
  <c r="C316" i="23"/>
  <c r="D316" i="23" s="1"/>
  <c r="C317" i="23"/>
  <c r="D317" i="23" s="1"/>
  <c r="C101" i="23"/>
  <c r="D101" i="23" s="1"/>
  <c r="C112" i="23"/>
  <c r="D112" i="23" s="1"/>
  <c r="C124" i="23"/>
  <c r="D124" i="23" s="1"/>
  <c r="C126" i="23"/>
  <c r="D126" i="23" s="1"/>
  <c r="C128" i="23"/>
  <c r="D128" i="23" s="1"/>
  <c r="C143" i="23"/>
  <c r="D143" i="23" s="1"/>
  <c r="C145" i="23"/>
  <c r="D145" i="23" s="1"/>
  <c r="C147" i="23"/>
  <c r="D147" i="23" s="1"/>
  <c r="C151" i="23"/>
  <c r="D151" i="23" s="1"/>
  <c r="C160" i="23"/>
  <c r="D160" i="23" s="1"/>
  <c r="C167" i="23"/>
  <c r="D167" i="23" s="1"/>
  <c r="C176" i="23"/>
  <c r="D176" i="23" s="1"/>
  <c r="C177" i="23"/>
  <c r="D177" i="23" s="1"/>
  <c r="C178" i="23"/>
  <c r="D178" i="23" s="1"/>
  <c r="C183" i="23"/>
  <c r="D183" i="23" s="1"/>
  <c r="C184" i="23"/>
  <c r="D184" i="23" s="1"/>
  <c r="C185" i="23"/>
  <c r="D185" i="23" s="1"/>
  <c r="C191" i="23"/>
  <c r="D191" i="23" s="1"/>
  <c r="C200" i="23"/>
  <c r="D200" i="23" s="1"/>
  <c r="C201" i="23"/>
  <c r="D201" i="23" s="1"/>
  <c r="C212" i="23"/>
  <c r="D212" i="23" s="1"/>
  <c r="C215" i="23"/>
  <c r="D215" i="23" s="1"/>
  <c r="C216" i="23"/>
  <c r="D216" i="23" s="1"/>
  <c r="C218" i="23"/>
  <c r="D218" i="23" s="1"/>
  <c r="C221" i="23"/>
  <c r="D221" i="23" s="1"/>
  <c r="C223" i="23"/>
  <c r="D223" i="23" s="1"/>
  <c r="C225" i="23"/>
  <c r="D225" i="23" s="1"/>
  <c r="C229" i="23"/>
  <c r="D229" i="23" s="1"/>
  <c r="C230" i="23"/>
  <c r="D230" i="23" s="1"/>
  <c r="C232" i="23"/>
  <c r="D232" i="23" s="1"/>
  <c r="C233" i="23"/>
  <c r="D233" i="23" s="1"/>
  <c r="C234" i="23"/>
  <c r="D234" i="23" s="1"/>
  <c r="C236" i="23"/>
  <c r="D236" i="23" s="1"/>
  <c r="C237" i="23"/>
  <c r="D237" i="23" s="1"/>
  <c r="C238" i="23"/>
  <c r="D238" i="23" s="1"/>
  <c r="C239" i="23"/>
  <c r="D239" i="23" s="1"/>
  <c r="C241" i="23"/>
  <c r="D241" i="23" s="1"/>
  <c r="C242" i="23"/>
  <c r="D242" i="23" s="1"/>
  <c r="C244" i="23"/>
  <c r="D244" i="23" s="1"/>
  <c r="C248" i="23"/>
  <c r="D248" i="23" s="1"/>
  <c r="C251" i="23"/>
  <c r="D251" i="23" s="1"/>
  <c r="C253" i="23"/>
  <c r="D253" i="23" s="1"/>
  <c r="C254" i="23"/>
  <c r="D254" i="23" s="1"/>
  <c r="C256" i="23"/>
  <c r="D256" i="23" s="1"/>
  <c r="C257" i="23"/>
  <c r="D257" i="23" s="1"/>
  <c r="C258" i="23"/>
  <c r="D258" i="23" s="1"/>
  <c r="C260" i="23"/>
  <c r="D260" i="23" s="1"/>
  <c r="C262" i="23"/>
  <c r="D262" i="23" s="1"/>
  <c r="C265" i="23"/>
  <c r="D265" i="23" s="1"/>
  <c r="C266" i="23"/>
  <c r="D266" i="23" s="1"/>
  <c r="C268" i="23"/>
  <c r="D268" i="23" s="1"/>
  <c r="C270" i="23"/>
  <c r="D270" i="23" s="1"/>
  <c r="C272" i="23"/>
  <c r="D272" i="23" s="1"/>
  <c r="C273" i="23"/>
  <c r="D273" i="23" s="1"/>
  <c r="C275" i="23"/>
  <c r="D275" i="23" s="1"/>
  <c r="C276" i="23"/>
  <c r="D276" i="23" s="1"/>
  <c r="C277" i="23"/>
  <c r="D277" i="23" s="1"/>
  <c r="C278" i="23"/>
  <c r="D278" i="23" s="1"/>
  <c r="C282" i="23"/>
  <c r="D282" i="23" s="1"/>
  <c r="C284" i="23"/>
  <c r="D284" i="23" s="1"/>
  <c r="C285" i="23"/>
  <c r="D285" i="23" s="1"/>
  <c r="C287" i="23"/>
  <c r="D287" i="23" s="1"/>
  <c r="C288" i="23"/>
  <c r="D288" i="23" s="1"/>
  <c r="C289" i="23"/>
  <c r="D289" i="23" s="1"/>
  <c r="C291" i="23"/>
  <c r="D291" i="23" s="1"/>
  <c r="C294" i="23"/>
  <c r="D294" i="23" s="1"/>
  <c r="C298" i="23"/>
  <c r="D298" i="23" s="1"/>
  <c r="C302" i="23"/>
  <c r="D302" i="23" s="1"/>
  <c r="C304" i="23"/>
  <c r="D304" i="23" s="1"/>
  <c r="C305" i="23"/>
  <c r="D305" i="23" s="1"/>
  <c r="C306" i="23"/>
  <c r="D306" i="23" s="1"/>
  <c r="C308" i="23"/>
  <c r="D308" i="23" s="1"/>
  <c r="C309" i="23"/>
  <c r="D309" i="23" s="1"/>
  <c r="C310" i="23"/>
  <c r="D310" i="23" s="1"/>
  <c r="C312" i="23"/>
  <c r="D312" i="23" s="1"/>
  <c r="C313" i="23"/>
  <c r="D313" i="23" s="1"/>
  <c r="C314" i="23"/>
  <c r="D314" i="23" s="1"/>
  <c r="C318" i="23"/>
  <c r="D318" i="23" s="1"/>
  <c r="C320" i="23"/>
  <c r="D320" i="23" s="1"/>
  <c r="C321" i="23"/>
  <c r="D321" i="23" s="1"/>
  <c r="C322" i="23"/>
  <c r="D322" i="23" s="1"/>
  <c r="C23" i="23"/>
  <c r="D23" i="23" s="1"/>
  <c r="C319" i="23"/>
  <c r="D319" i="23" s="1"/>
  <c r="P10" i="5"/>
  <c r="AD3" i="4"/>
  <c r="C3" i="23"/>
  <c r="O10" i="5"/>
  <c r="AE3" i="5"/>
  <c r="AM49" i="62" l="1"/>
  <c r="AM47" i="62"/>
  <c r="AN48" i="62" s="1"/>
  <c r="AM32" i="62"/>
  <c r="AN33" i="62" s="1"/>
  <c r="AM34" i="62"/>
  <c r="AM61" i="62"/>
  <c r="AM59" i="62"/>
  <c r="AN60" i="62" s="1"/>
  <c r="AM35" i="62"/>
  <c r="AN36" i="62" s="1"/>
  <c r="AM37" i="62"/>
  <c r="AN31" i="62"/>
  <c r="AN29" i="62"/>
  <c r="AO30" i="62" s="1"/>
  <c r="AM40" i="62"/>
  <c r="AM38" i="62"/>
  <c r="AN39" i="62" s="1"/>
  <c r="AW25" i="62"/>
  <c r="AW23" i="62"/>
  <c r="AX24" i="62" s="1"/>
  <c r="AM28" i="62"/>
  <c r="AM26" i="62"/>
  <c r="AN27" i="62" s="1"/>
  <c r="AM56" i="62"/>
  <c r="AN57" i="62" s="1"/>
  <c r="AM58" i="62"/>
  <c r="AM46" i="62"/>
  <c r="AM44" i="62"/>
  <c r="AN45" i="62" s="1"/>
  <c r="AM41" i="62"/>
  <c r="AN42" i="62" s="1"/>
  <c r="AM43" i="62"/>
  <c r="AM52" i="62"/>
  <c r="AM50" i="62"/>
  <c r="AN51" i="62" s="1"/>
  <c r="AM55" i="62"/>
  <c r="AM53" i="62"/>
  <c r="AN54" i="62" s="1"/>
  <c r="C17" i="50"/>
  <c r="F10" i="51" s="1"/>
  <c r="CT18" i="62"/>
  <c r="D20" i="23"/>
  <c r="E39" i="53"/>
  <c r="F8" i="51"/>
  <c r="S7" i="52"/>
  <c r="AN35" i="62" l="1"/>
  <c r="AO36" i="62" s="1"/>
  <c r="AN37" i="62"/>
  <c r="AN46" i="62"/>
  <c r="AN44" i="62"/>
  <c r="AO45" i="62" s="1"/>
  <c r="AN58" i="62"/>
  <c r="AN56" i="62"/>
  <c r="AO57" i="62" s="1"/>
  <c r="AN61" i="62"/>
  <c r="AN59" i="62"/>
  <c r="AO60" i="62" s="1"/>
  <c r="AN34" i="62"/>
  <c r="AN32" i="62"/>
  <c r="AO33" i="62" s="1"/>
  <c r="AN50" i="62"/>
  <c r="AO51" i="62" s="1"/>
  <c r="AN52" i="62"/>
  <c r="AN41" i="62"/>
  <c r="AO42" i="62" s="1"/>
  <c r="AN43" i="62"/>
  <c r="AN26" i="62"/>
  <c r="AO27" i="62" s="1"/>
  <c r="AN28" i="62"/>
  <c r="AN38" i="62"/>
  <c r="AO39" i="62" s="1"/>
  <c r="AN40" i="62"/>
  <c r="AO29" i="62"/>
  <c r="AP30" i="62" s="1"/>
  <c r="AO31" i="62"/>
  <c r="AN55" i="62"/>
  <c r="AN53" i="62"/>
  <c r="AO54" i="62" s="1"/>
  <c r="AX25" i="62"/>
  <c r="AX23" i="62"/>
  <c r="AY24" i="62" s="1"/>
  <c r="AN49" i="62"/>
  <c r="AN47" i="62"/>
  <c r="AO48" i="62" s="1"/>
  <c r="CV18" i="62"/>
  <c r="H3" i="23"/>
  <c r="AO49" i="62" l="1"/>
  <c r="AO47" i="62"/>
  <c r="AP48" i="62" s="1"/>
  <c r="AO32" i="62"/>
  <c r="AP33" i="62" s="1"/>
  <c r="AO34" i="62"/>
  <c r="AP31" i="62"/>
  <c r="AP29" i="62"/>
  <c r="AQ30" i="62" s="1"/>
  <c r="AO61" i="62"/>
  <c r="AO59" i="62"/>
  <c r="AP60" i="62" s="1"/>
  <c r="AO40" i="62"/>
  <c r="AO38" i="62"/>
  <c r="AP39" i="62" s="1"/>
  <c r="AO26" i="62"/>
  <c r="AP27" i="62" s="1"/>
  <c r="AO28" i="62"/>
  <c r="AO46" i="62"/>
  <c r="AO44" i="62"/>
  <c r="AP45" i="62" s="1"/>
  <c r="AO52" i="62"/>
  <c r="AO50" i="62"/>
  <c r="AP51" i="62" s="1"/>
  <c r="AY23" i="62"/>
  <c r="AZ24" i="62" s="1"/>
  <c r="AY25" i="62"/>
  <c r="AO55" i="62"/>
  <c r="AO53" i="62"/>
  <c r="AP54" i="62" s="1"/>
  <c r="AO58" i="62"/>
  <c r="AO56" i="62"/>
  <c r="AP57" i="62" s="1"/>
  <c r="AO41" i="62"/>
  <c r="AP42" i="62" s="1"/>
  <c r="AO43" i="62"/>
  <c r="AO37" i="62"/>
  <c r="AO35" i="62"/>
  <c r="AP36" i="62" s="1"/>
  <c r="CW18" i="62"/>
  <c r="CX18" i="62"/>
  <c r="AQ29" i="62" l="1"/>
  <c r="AR30" i="62" s="1"/>
  <c r="AQ31" i="62"/>
  <c r="AP61" i="62"/>
  <c r="AP59" i="62"/>
  <c r="AQ60" i="62" s="1"/>
  <c r="AP32" i="62"/>
  <c r="AQ33" i="62" s="1"/>
  <c r="AP34" i="62"/>
  <c r="AP41" i="62"/>
  <c r="AQ42" i="62" s="1"/>
  <c r="AP43" i="62"/>
  <c r="AP26" i="62"/>
  <c r="AQ27" i="62" s="1"/>
  <c r="AP28" i="62"/>
  <c r="AP53" i="62"/>
  <c r="AQ54" i="62" s="1"/>
  <c r="AP55" i="62"/>
  <c r="AZ25" i="62"/>
  <c r="AZ23" i="62"/>
  <c r="BA24" i="62" s="1"/>
  <c r="AP50" i="62"/>
  <c r="AQ51" i="62" s="1"/>
  <c r="AP52" i="62"/>
  <c r="AP38" i="62"/>
  <c r="AQ39" i="62" s="1"/>
  <c r="AP40" i="62"/>
  <c r="AP56" i="62"/>
  <c r="AQ57" i="62" s="1"/>
  <c r="AP58" i="62"/>
  <c r="AP37" i="62"/>
  <c r="AP35" i="62"/>
  <c r="AQ36" i="62" s="1"/>
  <c r="AP44" i="62"/>
  <c r="AQ45" i="62" s="1"/>
  <c r="AP46" i="62"/>
  <c r="AP49" i="62"/>
  <c r="AP47" i="62"/>
  <c r="AQ48" i="62" s="1"/>
  <c r="CY18" i="62"/>
  <c r="AQ58" i="62" l="1"/>
  <c r="AQ56" i="62"/>
  <c r="AR57" i="62" s="1"/>
  <c r="AQ46" i="62"/>
  <c r="AQ44" i="62"/>
  <c r="AR45" i="62" s="1"/>
  <c r="AQ38" i="62"/>
  <c r="AR39" i="62" s="1"/>
  <c r="AQ40" i="62"/>
  <c r="AQ52" i="62"/>
  <c r="AQ50" i="62"/>
  <c r="AR51" i="62" s="1"/>
  <c r="AQ34" i="62"/>
  <c r="AQ32" i="62"/>
  <c r="AR33" i="62" s="1"/>
  <c r="AQ61" i="62"/>
  <c r="AQ59" i="62"/>
  <c r="AR60" i="62" s="1"/>
  <c r="AQ26" i="62"/>
  <c r="AR27" i="62" s="1"/>
  <c r="AQ28" i="62"/>
  <c r="AQ37" i="62"/>
  <c r="AQ35" i="62"/>
  <c r="AR36" i="62" s="1"/>
  <c r="AQ41" i="62"/>
  <c r="AR42" i="62" s="1"/>
  <c r="AQ43" i="62"/>
  <c r="AR31" i="62"/>
  <c r="AR29" i="62"/>
  <c r="AS30" i="62" s="1"/>
  <c r="AQ55" i="62"/>
  <c r="AQ53" i="62"/>
  <c r="AR54" i="62" s="1"/>
  <c r="AQ49" i="62"/>
  <c r="AQ47" i="62"/>
  <c r="AR48" i="62" s="1"/>
  <c r="BA25" i="62"/>
  <c r="BA23" i="62"/>
  <c r="BB24" i="62" s="1"/>
  <c r="DA18" i="62"/>
  <c r="DB18" i="62"/>
  <c r="AR34" i="62" l="1"/>
  <c r="AR32" i="62"/>
  <c r="AS33" i="62" s="1"/>
  <c r="AR41" i="62"/>
  <c r="AS42" i="62" s="1"/>
  <c r="AR43" i="62"/>
  <c r="AR49" i="62"/>
  <c r="AR47" i="62"/>
  <c r="AS48" i="62" s="1"/>
  <c r="AR59" i="62"/>
  <c r="AS60" i="62" s="1"/>
  <c r="AR61" i="62"/>
  <c r="AR37" i="62"/>
  <c r="AR35" i="62"/>
  <c r="AS36" i="62" s="1"/>
  <c r="AR46" i="62"/>
  <c r="AR44" i="62"/>
  <c r="AS45" i="62" s="1"/>
  <c r="AR55" i="62"/>
  <c r="AR53" i="62"/>
  <c r="AS54" i="62" s="1"/>
  <c r="AS29" i="62"/>
  <c r="AT30" i="62" s="1"/>
  <c r="AS31" i="62"/>
  <c r="AR40" i="62"/>
  <c r="AR38" i="62"/>
  <c r="AS39" i="62" s="1"/>
  <c r="AR26" i="62"/>
  <c r="AS27" i="62" s="1"/>
  <c r="AR28" i="62"/>
  <c r="AR50" i="62"/>
  <c r="AS51" i="62" s="1"/>
  <c r="AR52" i="62"/>
  <c r="BB25" i="62"/>
  <c r="BB23" i="62"/>
  <c r="BC24" i="62" s="1"/>
  <c r="AR56" i="62"/>
  <c r="AS57" i="62" s="1"/>
  <c r="AR58" i="62"/>
  <c r="DD18" i="62"/>
  <c r="DC18" i="62"/>
  <c r="AI75" i="54"/>
  <c r="AZ4" i="54"/>
  <c r="AS40" i="62" l="1"/>
  <c r="AS38" i="62"/>
  <c r="AT39" i="62" s="1"/>
  <c r="AS47" i="62"/>
  <c r="AT48" i="62" s="1"/>
  <c r="AS49" i="62"/>
  <c r="AT29" i="62"/>
  <c r="AU30" i="62" s="1"/>
  <c r="AT31" i="62"/>
  <c r="AS41" i="62"/>
  <c r="AT42" i="62" s="1"/>
  <c r="AS43" i="62"/>
  <c r="AS44" i="62"/>
  <c r="AT45" i="62" s="1"/>
  <c r="AS46" i="62"/>
  <c r="AS50" i="62"/>
  <c r="AT51" i="62" s="1"/>
  <c r="AS52" i="62"/>
  <c r="AS37" i="62"/>
  <c r="AS35" i="62"/>
  <c r="AT36" i="62" s="1"/>
  <c r="AS26" i="62"/>
  <c r="AT27" i="62" s="1"/>
  <c r="AS28" i="62"/>
  <c r="AS59" i="62"/>
  <c r="AT60" i="62" s="1"/>
  <c r="AS61" i="62"/>
  <c r="BC25" i="62"/>
  <c r="BC23" i="62"/>
  <c r="BD24" i="62" s="1"/>
  <c r="AS58" i="62"/>
  <c r="AS56" i="62"/>
  <c r="AT57" i="62" s="1"/>
  <c r="AS55" i="62"/>
  <c r="AS53" i="62"/>
  <c r="AT54" i="62" s="1"/>
  <c r="AS34" i="62"/>
  <c r="AS32" i="62"/>
  <c r="AT33" i="62" s="1"/>
  <c r="DE18" i="62"/>
  <c r="DH18" i="62"/>
  <c r="DF18" i="62"/>
  <c r="B66" i="54"/>
  <c r="K20" i="24"/>
  <c r="AT61" i="62" l="1"/>
  <c r="AT59" i="62"/>
  <c r="AU60" i="62" s="1"/>
  <c r="AU29" i="62"/>
  <c r="AV30" i="62" s="1"/>
  <c r="AU31" i="62"/>
  <c r="BD25" i="62"/>
  <c r="BD23" i="62"/>
  <c r="BE24" i="62" s="1"/>
  <c r="AT26" i="62"/>
  <c r="AU27" i="62" s="1"/>
  <c r="AT28" i="62"/>
  <c r="AT47" i="62"/>
  <c r="AU48" i="62" s="1"/>
  <c r="AT49" i="62"/>
  <c r="AT58" i="62"/>
  <c r="AT56" i="62"/>
  <c r="AU57" i="62" s="1"/>
  <c r="AT52" i="62"/>
  <c r="AT50" i="62"/>
  <c r="AU51" i="62" s="1"/>
  <c r="AT53" i="62"/>
  <c r="AU54" i="62" s="1"/>
  <c r="AT55" i="62"/>
  <c r="AT44" i="62"/>
  <c r="AU45" i="62" s="1"/>
  <c r="AT46" i="62"/>
  <c r="AT43" i="62"/>
  <c r="AT41" i="62"/>
  <c r="AU42" i="62" s="1"/>
  <c r="AT32" i="62"/>
  <c r="AU33" i="62" s="1"/>
  <c r="AT34" i="62"/>
  <c r="AT37" i="62"/>
  <c r="AT35" i="62"/>
  <c r="AU36" i="62" s="1"/>
  <c r="AT38" i="62"/>
  <c r="AU39" i="62" s="1"/>
  <c r="AT40" i="62"/>
  <c r="DI18" i="62"/>
  <c r="DG18" i="62"/>
  <c r="D33" i="25"/>
  <c r="S20" i="2" s="1"/>
  <c r="AU26" i="62" l="1"/>
  <c r="AV27" i="62" s="1"/>
  <c r="AU28" i="62"/>
  <c r="AU41" i="62"/>
  <c r="AV42" i="62" s="1"/>
  <c r="AU43" i="62"/>
  <c r="BE23" i="62"/>
  <c r="BF24" i="62" s="1"/>
  <c r="BE25" i="62"/>
  <c r="AU44" i="62"/>
  <c r="AV45" i="62" s="1"/>
  <c r="AU46" i="62"/>
  <c r="AU55" i="62"/>
  <c r="AU53" i="62"/>
  <c r="AV54" i="62" s="1"/>
  <c r="AV29" i="62"/>
  <c r="AW30" i="62" s="1"/>
  <c r="AV31" i="62"/>
  <c r="AU56" i="62"/>
  <c r="AV57" i="62" s="1"/>
  <c r="AU58" i="62"/>
  <c r="AU35" i="62"/>
  <c r="AV36" i="62" s="1"/>
  <c r="AU37" i="62"/>
  <c r="AU47" i="62"/>
  <c r="AV48" i="62" s="1"/>
  <c r="AU49" i="62"/>
  <c r="AU40" i="62"/>
  <c r="AU38" i="62"/>
  <c r="AV39" i="62" s="1"/>
  <c r="AU34" i="62"/>
  <c r="AU32" i="62"/>
  <c r="AV33" i="62" s="1"/>
  <c r="AU52" i="62"/>
  <c r="AU50" i="62"/>
  <c r="AV51" i="62" s="1"/>
  <c r="AU59" i="62"/>
  <c r="AV60" i="62" s="1"/>
  <c r="AU61" i="62"/>
  <c r="AE20" i="2"/>
  <c r="F33" i="25"/>
  <c r="G33" i="25" s="1"/>
  <c r="I33" i="25" s="1"/>
  <c r="G21" i="24"/>
  <c r="H21" i="24"/>
  <c r="J21" i="24"/>
  <c r="I21" i="24"/>
  <c r="D21" i="24"/>
  <c r="AV34" i="62" l="1"/>
  <c r="AV32" i="62"/>
  <c r="AW33" i="62" s="1"/>
  <c r="AV55" i="62"/>
  <c r="AV53" i="62"/>
  <c r="AW54" i="62" s="1"/>
  <c r="AV44" i="62"/>
  <c r="AW45" i="62" s="1"/>
  <c r="AV46" i="62"/>
  <c r="AV47" i="62"/>
  <c r="AW48" i="62" s="1"/>
  <c r="AV49" i="62"/>
  <c r="BF23" i="62"/>
  <c r="BG24" i="62" s="1"/>
  <c r="BF25" i="62"/>
  <c r="AW31" i="62"/>
  <c r="AW29" i="62"/>
  <c r="AX30" i="62" s="1"/>
  <c r="AV52" i="62"/>
  <c r="AV50" i="62"/>
  <c r="AW51" i="62" s="1"/>
  <c r="AV40" i="62"/>
  <c r="AV38" i="62"/>
  <c r="AW39" i="62" s="1"/>
  <c r="AV37" i="62"/>
  <c r="AV35" i="62"/>
  <c r="AW36" i="62" s="1"/>
  <c r="AV41" i="62"/>
  <c r="AW42" i="62" s="1"/>
  <c r="AV43" i="62"/>
  <c r="AV59" i="62"/>
  <c r="AW60" i="62" s="1"/>
  <c r="AV61" i="62"/>
  <c r="AV58" i="62"/>
  <c r="AV56" i="62"/>
  <c r="AW57" i="62" s="1"/>
  <c r="AV26" i="62"/>
  <c r="AW27" i="62" s="1"/>
  <c r="AV28" i="62"/>
  <c r="J33" i="25"/>
  <c r="H35" i="25"/>
  <c r="K21" i="24"/>
  <c r="D35" i="25" s="1"/>
  <c r="S21" i="2" s="1"/>
  <c r="AW49" i="62" l="1"/>
  <c r="AW47" i="62"/>
  <c r="AX48" i="62" s="1"/>
  <c r="AW56" i="62"/>
  <c r="AX57" i="62" s="1"/>
  <c r="AW58" i="62"/>
  <c r="AW59" i="62"/>
  <c r="AX60" i="62" s="1"/>
  <c r="AW61" i="62"/>
  <c r="BG23" i="62"/>
  <c r="BH24" i="62" s="1"/>
  <c r="BG25" i="62"/>
  <c r="AW35" i="62"/>
  <c r="AX36" i="62" s="1"/>
  <c r="AW37" i="62"/>
  <c r="AW46" i="62"/>
  <c r="AW44" i="62"/>
  <c r="AX45" i="62" s="1"/>
  <c r="AW38" i="62"/>
  <c r="AX39" i="62" s="1"/>
  <c r="AW40" i="62"/>
  <c r="AW55" i="62"/>
  <c r="AW53" i="62"/>
  <c r="AX54" i="62" s="1"/>
  <c r="AW43" i="62"/>
  <c r="AW41" i="62"/>
  <c r="AX42" i="62" s="1"/>
  <c r="AX29" i="62"/>
  <c r="AY30" i="62" s="1"/>
  <c r="AX31" i="62"/>
  <c r="AW28" i="62"/>
  <c r="AW26" i="62"/>
  <c r="AX27" i="62" s="1"/>
  <c r="AW50" i="62"/>
  <c r="AX51" i="62" s="1"/>
  <c r="AW52" i="62"/>
  <c r="AW32" i="62"/>
  <c r="AX33" i="62" s="1"/>
  <c r="AW34" i="62"/>
  <c r="AE21" i="2"/>
  <c r="K33" i="25"/>
  <c r="O34" i="25" s="1"/>
  <c r="F35" i="25"/>
  <c r="AX52" i="62" l="1"/>
  <c r="AX50" i="62"/>
  <c r="AY51" i="62" s="1"/>
  <c r="AX59" i="62"/>
  <c r="AY60" i="62" s="1"/>
  <c r="AX61" i="62"/>
  <c r="AX43" i="62"/>
  <c r="AX41" i="62"/>
  <c r="AY42" i="62" s="1"/>
  <c r="AX44" i="62"/>
  <c r="AY45" i="62" s="1"/>
  <c r="AX46" i="62"/>
  <c r="AX56" i="62"/>
  <c r="AY57" i="62" s="1"/>
  <c r="AX58" i="62"/>
  <c r="BH23" i="62"/>
  <c r="BI24" i="62" s="1"/>
  <c r="BH25" i="62"/>
  <c r="AX55" i="62"/>
  <c r="AX53" i="62"/>
  <c r="AY54" i="62" s="1"/>
  <c r="AX37" i="62"/>
  <c r="AX35" i="62"/>
  <c r="AY36" i="62" s="1"/>
  <c r="AX28" i="62"/>
  <c r="AX26" i="62"/>
  <c r="AY27" i="62" s="1"/>
  <c r="AY31" i="62"/>
  <c r="AY29" i="62"/>
  <c r="AZ30" i="62" s="1"/>
  <c r="AX34" i="62"/>
  <c r="AX32" i="62"/>
  <c r="AY33" i="62" s="1"/>
  <c r="AX40" i="62"/>
  <c r="AX38" i="62"/>
  <c r="AY39" i="62" s="1"/>
  <c r="AX49" i="62"/>
  <c r="AX47" i="62"/>
  <c r="AY48" i="62" s="1"/>
  <c r="G35" i="25"/>
  <c r="I35" i="25" s="1"/>
  <c r="J22" i="24"/>
  <c r="H22" i="24"/>
  <c r="D22" i="24"/>
  <c r="G23" i="24"/>
  <c r="H39" i="25" s="1"/>
  <c r="J24" i="24"/>
  <c r="H24" i="24"/>
  <c r="D24" i="24"/>
  <c r="D23" i="24"/>
  <c r="J23" i="24"/>
  <c r="H23" i="24"/>
  <c r="G22" i="24"/>
  <c r="G25" i="24"/>
  <c r="H43" i="25" s="1"/>
  <c r="I23" i="24"/>
  <c r="D25" i="24"/>
  <c r="H25" i="24"/>
  <c r="I25" i="24"/>
  <c r="J25" i="24"/>
  <c r="I24" i="24"/>
  <c r="G24" i="24"/>
  <c r="H41" i="25" s="1"/>
  <c r="I22" i="24"/>
  <c r="AY38" i="62" l="1"/>
  <c r="AZ39" i="62" s="1"/>
  <c r="AY40" i="62"/>
  <c r="AZ31" i="62"/>
  <c r="AZ29" i="62"/>
  <c r="BA30" i="62" s="1"/>
  <c r="AY28" i="62"/>
  <c r="AY26" i="62"/>
  <c r="AZ27" i="62" s="1"/>
  <c r="AY43" i="62"/>
  <c r="AY41" i="62"/>
  <c r="AZ42" i="62" s="1"/>
  <c r="AY59" i="62"/>
  <c r="AZ60" i="62" s="1"/>
  <c r="AY61" i="62"/>
  <c r="BI25" i="62"/>
  <c r="BI23" i="62"/>
  <c r="BJ24" i="62" s="1"/>
  <c r="AY44" i="62"/>
  <c r="AZ45" i="62" s="1"/>
  <c r="AY46" i="62"/>
  <c r="AY35" i="62"/>
  <c r="AZ36" i="62" s="1"/>
  <c r="AY37" i="62"/>
  <c r="AY56" i="62"/>
  <c r="AZ57" i="62" s="1"/>
  <c r="AY58" i="62"/>
  <c r="AY34" i="62"/>
  <c r="AY32" i="62"/>
  <c r="AZ33" i="62" s="1"/>
  <c r="AY49" i="62"/>
  <c r="AY47" i="62"/>
  <c r="AZ48" i="62" s="1"/>
  <c r="AY53" i="62"/>
  <c r="AZ54" i="62" s="1"/>
  <c r="AY55" i="62"/>
  <c r="AY52" i="62"/>
  <c r="AY50" i="62"/>
  <c r="AZ51" i="62" s="1"/>
  <c r="G26" i="24"/>
  <c r="J35" i="25"/>
  <c r="K24" i="24"/>
  <c r="D41" i="25" s="1"/>
  <c r="K25" i="24"/>
  <c r="D43" i="25" s="1"/>
  <c r="H37" i="25"/>
  <c r="H45" i="25" s="1"/>
  <c r="K23" i="24"/>
  <c r="D39" i="25" s="1"/>
  <c r="K22" i="24"/>
  <c r="BJ25" i="62" l="1"/>
  <c r="BJ23" i="62"/>
  <c r="BK24" i="62" s="1"/>
  <c r="AZ49" i="62"/>
  <c r="AZ47" i="62"/>
  <c r="BA48" i="62" s="1"/>
  <c r="AZ28" i="62"/>
  <c r="AZ26" i="62"/>
  <c r="BA27" i="62" s="1"/>
  <c r="AZ59" i="62"/>
  <c r="BA60" i="62" s="1"/>
  <c r="AZ61" i="62"/>
  <c r="AZ43" i="62"/>
  <c r="AZ41" i="62"/>
  <c r="BA42" i="62" s="1"/>
  <c r="AZ55" i="62"/>
  <c r="AZ53" i="62"/>
  <c r="BA54" i="62" s="1"/>
  <c r="AZ37" i="62"/>
  <c r="AZ35" i="62"/>
  <c r="BA36" i="62" s="1"/>
  <c r="BA31" i="62"/>
  <c r="BA29" i="62"/>
  <c r="BB30" i="62" s="1"/>
  <c r="AZ34" i="62"/>
  <c r="AZ32" i="62"/>
  <c r="BA33" i="62" s="1"/>
  <c r="AZ58" i="62"/>
  <c r="AZ56" i="62"/>
  <c r="BA57" i="62" s="1"/>
  <c r="AZ46" i="62"/>
  <c r="AZ44" i="62"/>
  <c r="BA45" i="62" s="1"/>
  <c r="AZ38" i="62"/>
  <c r="BA39" i="62" s="1"/>
  <c r="AZ40" i="62"/>
  <c r="AZ50" i="62"/>
  <c r="BA51" i="62" s="1"/>
  <c r="AZ52" i="62"/>
  <c r="F43" i="25"/>
  <c r="G43" i="25" s="1"/>
  <c r="I43" i="25" s="1"/>
  <c r="J43" i="25" s="1"/>
  <c r="K43" i="25" s="1"/>
  <c r="O44" i="25" s="1"/>
  <c r="S25" i="2"/>
  <c r="AE25" i="2" s="1"/>
  <c r="F41" i="25"/>
  <c r="G41" i="25" s="1"/>
  <c r="I41" i="25" s="1"/>
  <c r="J41" i="25" s="1"/>
  <c r="K41" i="25" s="1"/>
  <c r="O42" i="25" s="1"/>
  <c r="S24" i="2"/>
  <c r="AE24" i="2" s="1"/>
  <c r="F39" i="25"/>
  <c r="G39" i="25" s="1"/>
  <c r="I39" i="25" s="1"/>
  <c r="J39" i="25" s="1"/>
  <c r="K39" i="25" s="1"/>
  <c r="O40" i="25" s="1"/>
  <c r="S23" i="2"/>
  <c r="AE23" i="2" s="1"/>
  <c r="K35" i="25"/>
  <c r="O36" i="25" s="1"/>
  <c r="D37" i="25"/>
  <c r="S22" i="2" s="1"/>
  <c r="K26" i="24"/>
  <c r="BA28" i="62" l="1"/>
  <c r="BA26" i="62"/>
  <c r="BB27" i="62" s="1"/>
  <c r="BA43" i="62"/>
  <c r="BA41" i="62"/>
  <c r="BB42" i="62" s="1"/>
  <c r="BA32" i="62"/>
  <c r="BB33" i="62" s="1"/>
  <c r="BA34" i="62"/>
  <c r="BB31" i="62"/>
  <c r="BB29" i="62"/>
  <c r="BC30" i="62" s="1"/>
  <c r="BA49" i="62"/>
  <c r="BA47" i="62"/>
  <c r="BB48" i="62" s="1"/>
  <c r="BA46" i="62"/>
  <c r="BA44" i="62"/>
  <c r="BB45" i="62" s="1"/>
  <c r="BA59" i="62"/>
  <c r="BB60" i="62" s="1"/>
  <c r="BA61" i="62"/>
  <c r="BA58" i="62"/>
  <c r="BA56" i="62"/>
  <c r="BB57" i="62" s="1"/>
  <c r="BA38" i="62"/>
  <c r="BB39" i="62" s="1"/>
  <c r="BA40" i="62"/>
  <c r="BA55" i="62"/>
  <c r="BA53" i="62"/>
  <c r="BB54" i="62" s="1"/>
  <c r="BA50" i="62"/>
  <c r="BB51" i="62" s="1"/>
  <c r="BA52" i="62"/>
  <c r="BA37" i="62"/>
  <c r="BA35" i="62"/>
  <c r="BB36" i="62" s="1"/>
  <c r="BK23" i="62"/>
  <c r="BL24" i="62" s="1"/>
  <c r="BK25" i="62"/>
  <c r="AE22" i="2"/>
  <c r="AE26" i="2" s="1"/>
  <c r="S26" i="2"/>
  <c r="F37" i="25"/>
  <c r="G37" i="25" s="1"/>
  <c r="D45" i="25"/>
  <c r="BB35" i="62" l="1"/>
  <c r="BC36" i="62" s="1"/>
  <c r="BB37" i="62"/>
  <c r="BB44" i="62"/>
  <c r="BC45" i="62" s="1"/>
  <c r="BB46" i="62"/>
  <c r="BB50" i="62"/>
  <c r="BC51" i="62" s="1"/>
  <c r="BB52" i="62"/>
  <c r="BB53" i="62"/>
  <c r="BC54" i="62" s="1"/>
  <c r="BB55" i="62"/>
  <c r="BB38" i="62"/>
  <c r="BC39" i="62" s="1"/>
  <c r="BB40" i="62"/>
  <c r="BB56" i="62"/>
  <c r="BC57" i="62" s="1"/>
  <c r="BB58" i="62"/>
  <c r="BB41" i="62"/>
  <c r="BC42" i="62" s="1"/>
  <c r="BB43" i="62"/>
  <c r="BC29" i="62"/>
  <c r="BD30" i="62" s="1"/>
  <c r="BC31" i="62"/>
  <c r="BB34" i="62"/>
  <c r="BB32" i="62"/>
  <c r="BC33" i="62" s="1"/>
  <c r="BL25" i="62"/>
  <c r="BL23" i="62"/>
  <c r="BM24" i="62" s="1"/>
  <c r="BB59" i="62"/>
  <c r="BC60" i="62" s="1"/>
  <c r="BB61" i="62"/>
  <c r="BB49" i="62"/>
  <c r="BB47" i="62"/>
  <c r="BC48" i="62" s="1"/>
  <c r="BB26" i="62"/>
  <c r="BC27" i="62" s="1"/>
  <c r="BB28" i="62"/>
  <c r="G45" i="25"/>
  <c r="I37" i="25"/>
  <c r="F45" i="25"/>
  <c r="BC58" i="62" l="1"/>
  <c r="BC56" i="62"/>
  <c r="BD57" i="62" s="1"/>
  <c r="BC59" i="62"/>
  <c r="BD60" i="62" s="1"/>
  <c r="BC61" i="62"/>
  <c r="BC38" i="62"/>
  <c r="BD39" i="62" s="1"/>
  <c r="BC40" i="62"/>
  <c r="BC55" i="62"/>
  <c r="BC53" i="62"/>
  <c r="BD54" i="62" s="1"/>
  <c r="BC52" i="62"/>
  <c r="BC50" i="62"/>
  <c r="BD51" i="62" s="1"/>
  <c r="BC32" i="62"/>
  <c r="BD33" i="62" s="1"/>
  <c r="BC34" i="62"/>
  <c r="BD31" i="62"/>
  <c r="BD29" i="62"/>
  <c r="BE30" i="62" s="1"/>
  <c r="BC46" i="62"/>
  <c r="BC44" i="62"/>
  <c r="BD45" i="62" s="1"/>
  <c r="BC47" i="62"/>
  <c r="BD48" i="62" s="1"/>
  <c r="BC49" i="62"/>
  <c r="BM25" i="62"/>
  <c r="BM23" i="62"/>
  <c r="BN24" i="62" s="1"/>
  <c r="BC28" i="62"/>
  <c r="BC26" i="62"/>
  <c r="BD27" i="62" s="1"/>
  <c r="BC41" i="62"/>
  <c r="BD42" i="62" s="1"/>
  <c r="BC43" i="62"/>
  <c r="BC37" i="62"/>
  <c r="BC35" i="62"/>
  <c r="BD36" i="62" s="1"/>
  <c r="J37" i="25"/>
  <c r="I45" i="25"/>
  <c r="C5" i="23"/>
  <c r="BD26" i="62" l="1"/>
  <c r="BE27" i="62" s="1"/>
  <c r="BD28" i="62"/>
  <c r="BD50" i="62"/>
  <c r="BE51" i="62" s="1"/>
  <c r="BD52" i="62"/>
  <c r="BN25" i="62"/>
  <c r="BN23" i="62"/>
  <c r="BO24" i="62" s="1"/>
  <c r="BD53" i="62"/>
  <c r="BE54" i="62" s="1"/>
  <c r="BD55" i="62"/>
  <c r="BD49" i="62"/>
  <c r="BD47" i="62"/>
  <c r="BE48" i="62" s="1"/>
  <c r="BD40" i="62"/>
  <c r="BD38" i="62"/>
  <c r="BE39" i="62" s="1"/>
  <c r="BD59" i="62"/>
  <c r="BE60" i="62" s="1"/>
  <c r="BD61" i="62"/>
  <c r="BD41" i="62"/>
  <c r="BE42" i="62" s="1"/>
  <c r="BD43" i="62"/>
  <c r="BD46" i="62"/>
  <c r="BD44" i="62"/>
  <c r="BE45" i="62" s="1"/>
  <c r="BD32" i="62"/>
  <c r="BE33" i="62" s="1"/>
  <c r="BD34" i="62"/>
  <c r="BD35" i="62"/>
  <c r="BE36" i="62" s="1"/>
  <c r="BD37" i="62"/>
  <c r="BE31" i="62"/>
  <c r="BE29" i="62"/>
  <c r="BF30" i="62" s="1"/>
  <c r="BD58" i="62"/>
  <c r="BD56" i="62"/>
  <c r="BE57" i="62" s="1"/>
  <c r="K37" i="25"/>
  <c r="J45" i="25"/>
  <c r="BE37" i="62" l="1"/>
  <c r="BE35" i="62"/>
  <c r="BF36" i="62" s="1"/>
  <c r="BE38" i="62"/>
  <c r="BF39" i="62" s="1"/>
  <c r="BE40" i="62"/>
  <c r="BE44" i="62"/>
  <c r="BF45" i="62" s="1"/>
  <c r="BE46" i="62"/>
  <c r="BO23" i="62"/>
  <c r="BP24" i="62" s="1"/>
  <c r="BO25" i="62"/>
  <c r="BE49" i="62"/>
  <c r="BE47" i="62"/>
  <c r="BF48" i="62" s="1"/>
  <c r="BE34" i="62"/>
  <c r="BE32" i="62"/>
  <c r="BF33" i="62" s="1"/>
  <c r="BE41" i="62"/>
  <c r="BF42" i="62" s="1"/>
  <c r="BE43" i="62"/>
  <c r="BE50" i="62"/>
  <c r="BF51" i="62" s="1"/>
  <c r="BE52" i="62"/>
  <c r="BE53" i="62"/>
  <c r="BF54" i="62" s="1"/>
  <c r="BE55" i="62"/>
  <c r="BE59" i="62"/>
  <c r="BF60" i="62" s="1"/>
  <c r="BE61" i="62"/>
  <c r="BE26" i="62"/>
  <c r="BF27" i="62" s="1"/>
  <c r="BE28" i="62"/>
  <c r="BF31" i="62"/>
  <c r="BF29" i="62"/>
  <c r="BG30" i="62" s="1"/>
  <c r="BE56" i="62"/>
  <c r="BF57" i="62" s="1"/>
  <c r="BE58" i="62"/>
  <c r="K45" i="25"/>
  <c r="O38" i="25"/>
  <c r="O46" i="25" s="1"/>
  <c r="BG31" i="62" l="1"/>
  <c r="BG29" i="62"/>
  <c r="BH30" i="62" s="1"/>
  <c r="BF53" i="62"/>
  <c r="BG54" i="62" s="1"/>
  <c r="BF55" i="62"/>
  <c r="BF44" i="62"/>
  <c r="BG45" i="62" s="1"/>
  <c r="BF46" i="62"/>
  <c r="BF61" i="62"/>
  <c r="BF59" i="62"/>
  <c r="BG60" i="62" s="1"/>
  <c r="BF50" i="62"/>
  <c r="BG51" i="62" s="1"/>
  <c r="BF52" i="62"/>
  <c r="BF38" i="62"/>
  <c r="BG39" i="62" s="1"/>
  <c r="BF40" i="62"/>
  <c r="BF34" i="62"/>
  <c r="BF32" i="62"/>
  <c r="BG33" i="62" s="1"/>
  <c r="BF26" i="62"/>
  <c r="BG27" i="62" s="1"/>
  <c r="BF28" i="62"/>
  <c r="BF49" i="62"/>
  <c r="BF47" i="62"/>
  <c r="BG48" i="62" s="1"/>
  <c r="BP25" i="62"/>
  <c r="BP23" i="62"/>
  <c r="BQ24" i="62" s="1"/>
  <c r="BF56" i="62"/>
  <c r="BG57" i="62" s="1"/>
  <c r="BF58" i="62"/>
  <c r="BF41" i="62"/>
  <c r="BG42" i="62" s="1"/>
  <c r="BF43" i="62"/>
  <c r="BF35" i="62"/>
  <c r="BG36" i="62" s="1"/>
  <c r="BF37" i="62"/>
  <c r="BG41" i="62" l="1"/>
  <c r="BH42" i="62" s="1"/>
  <c r="BG43" i="62"/>
  <c r="BG56" i="62"/>
  <c r="BH57" i="62" s="1"/>
  <c r="BG58" i="62"/>
  <c r="BG44" i="62"/>
  <c r="BH45" i="62" s="1"/>
  <c r="BG46" i="62"/>
  <c r="BQ23" i="62"/>
  <c r="BR24" i="62" s="1"/>
  <c r="BQ25" i="62"/>
  <c r="BG59" i="62"/>
  <c r="BH60" i="62" s="1"/>
  <c r="BG61" i="62"/>
  <c r="BG49" i="62"/>
  <c r="BG47" i="62"/>
  <c r="BH48" i="62" s="1"/>
  <c r="BG26" i="62"/>
  <c r="BH27" i="62" s="1"/>
  <c r="BG28" i="62"/>
  <c r="BG55" i="62"/>
  <c r="BG53" i="62"/>
  <c r="BH54" i="62" s="1"/>
  <c r="BG40" i="62"/>
  <c r="BG38" i="62"/>
  <c r="BH39" i="62" s="1"/>
  <c r="BG52" i="62"/>
  <c r="BG50" i="62"/>
  <c r="BH51" i="62" s="1"/>
  <c r="BG37" i="62"/>
  <c r="BG35" i="62"/>
  <c r="BH36" i="62" s="1"/>
  <c r="BG32" i="62"/>
  <c r="BH33" i="62" s="1"/>
  <c r="BG34" i="62"/>
  <c r="BH29" i="62"/>
  <c r="BI30" i="62" s="1"/>
  <c r="BH31" i="62"/>
  <c r="BH44" i="62" l="1"/>
  <c r="BI45" i="62" s="1"/>
  <c r="BH46" i="62"/>
  <c r="BH34" i="62"/>
  <c r="BH32" i="62"/>
  <c r="BI33" i="62" s="1"/>
  <c r="BH47" i="62"/>
  <c r="BI48" i="62" s="1"/>
  <c r="BH49" i="62"/>
  <c r="BR23" i="62"/>
  <c r="BS24" i="62" s="1"/>
  <c r="BR25" i="62"/>
  <c r="BH56" i="62"/>
  <c r="BI57" i="62" s="1"/>
  <c r="BH58" i="62"/>
  <c r="BH59" i="62"/>
  <c r="BI60" i="62" s="1"/>
  <c r="BH61" i="62"/>
  <c r="BH35" i="62"/>
  <c r="BI36" i="62" s="1"/>
  <c r="BH37" i="62"/>
  <c r="BH50" i="62"/>
  <c r="BI51" i="62" s="1"/>
  <c r="BH52" i="62"/>
  <c r="BH40" i="62"/>
  <c r="BH38" i="62"/>
  <c r="BI39" i="62" s="1"/>
  <c r="BH53" i="62"/>
  <c r="BI54" i="62" s="1"/>
  <c r="BH55" i="62"/>
  <c r="BI29" i="62"/>
  <c r="BJ30" i="62" s="1"/>
  <c r="BI31" i="62"/>
  <c r="BH26" i="62"/>
  <c r="BI27" i="62" s="1"/>
  <c r="BH28" i="62"/>
  <c r="BH41" i="62"/>
  <c r="BI42" i="62" s="1"/>
  <c r="BH43" i="62"/>
  <c r="BJ31" i="62" l="1"/>
  <c r="BJ29" i="62"/>
  <c r="BK30" i="62" s="1"/>
  <c r="BI56" i="62"/>
  <c r="BJ57" i="62" s="1"/>
  <c r="BI58" i="62"/>
  <c r="BI55" i="62"/>
  <c r="BI53" i="62"/>
  <c r="BJ54" i="62" s="1"/>
  <c r="BI47" i="62"/>
  <c r="BJ48" i="62" s="1"/>
  <c r="BI49" i="62"/>
  <c r="BS23" i="62"/>
  <c r="BT24" i="62" s="1"/>
  <c r="BS25" i="62"/>
  <c r="BI26" i="62"/>
  <c r="BJ27" i="62" s="1"/>
  <c r="BI28" i="62"/>
  <c r="BI32" i="62"/>
  <c r="BJ33" i="62" s="1"/>
  <c r="BI34" i="62"/>
  <c r="BI61" i="62"/>
  <c r="BI59" i="62"/>
  <c r="BJ60" i="62" s="1"/>
  <c r="BI40" i="62"/>
  <c r="BI38" i="62"/>
  <c r="BJ39" i="62" s="1"/>
  <c r="BI52" i="62"/>
  <c r="BI50" i="62"/>
  <c r="BJ51" i="62" s="1"/>
  <c r="BI41" i="62"/>
  <c r="BJ42" i="62" s="1"/>
  <c r="BI43" i="62"/>
  <c r="BI37" i="62"/>
  <c r="BI35" i="62"/>
  <c r="BJ36" i="62" s="1"/>
  <c r="BI44" i="62"/>
  <c r="BJ45" i="62" s="1"/>
  <c r="BI46" i="62"/>
  <c r="BJ35" i="62" l="1"/>
  <c r="BK36" i="62" s="1"/>
  <c r="BJ37" i="62"/>
  <c r="BJ43" i="62"/>
  <c r="BJ41" i="62"/>
  <c r="BK42" i="62" s="1"/>
  <c r="BJ40" i="62"/>
  <c r="BJ38" i="62"/>
  <c r="BK39" i="62" s="1"/>
  <c r="BJ55" i="62"/>
  <c r="BJ53" i="62"/>
  <c r="BK54" i="62" s="1"/>
  <c r="BJ28" i="62"/>
  <c r="BJ26" i="62"/>
  <c r="BK27" i="62" s="1"/>
  <c r="BJ50" i="62"/>
  <c r="BK51" i="62" s="1"/>
  <c r="BJ52" i="62"/>
  <c r="BJ56" i="62"/>
  <c r="BK57" i="62" s="1"/>
  <c r="BJ58" i="62"/>
  <c r="BJ47" i="62"/>
  <c r="BK48" i="62" s="1"/>
  <c r="BJ49" i="62"/>
  <c r="BJ59" i="62"/>
  <c r="BK60" i="62" s="1"/>
  <c r="BJ61" i="62"/>
  <c r="BT23" i="62"/>
  <c r="BU24" i="62" s="1"/>
  <c r="BT25" i="62"/>
  <c r="BJ46" i="62"/>
  <c r="BJ44" i="62"/>
  <c r="BK45" i="62" s="1"/>
  <c r="BJ34" i="62"/>
  <c r="BJ32" i="62"/>
  <c r="BK33" i="62" s="1"/>
  <c r="BK31" i="62"/>
  <c r="BK29" i="62"/>
  <c r="BL30" i="62" s="1"/>
  <c r="BK52" i="62" l="1"/>
  <c r="BK50" i="62"/>
  <c r="BL51" i="62" s="1"/>
  <c r="BK34" i="62"/>
  <c r="BK32" i="62"/>
  <c r="BL33" i="62" s="1"/>
  <c r="BK59" i="62"/>
  <c r="BL60" i="62" s="1"/>
  <c r="BK61" i="62"/>
  <c r="BK46" i="62"/>
  <c r="BK44" i="62"/>
  <c r="BL45" i="62" s="1"/>
  <c r="BK26" i="62"/>
  <c r="BL27" i="62" s="1"/>
  <c r="BK28" i="62"/>
  <c r="BU25" i="62"/>
  <c r="BU23" i="62"/>
  <c r="BV24" i="62" s="1"/>
  <c r="BK55" i="62"/>
  <c r="BK53" i="62"/>
  <c r="BL54" i="62" s="1"/>
  <c r="BK40" i="62"/>
  <c r="BK38" i="62"/>
  <c r="BL39" i="62" s="1"/>
  <c r="BK47" i="62"/>
  <c r="BL48" i="62" s="1"/>
  <c r="BK49" i="62"/>
  <c r="BK43" i="62"/>
  <c r="BK41" i="62"/>
  <c r="BL42" i="62" s="1"/>
  <c r="BK58" i="62"/>
  <c r="BK56" i="62"/>
  <c r="BL57" i="62" s="1"/>
  <c r="BK35" i="62"/>
  <c r="BL36" i="62" s="1"/>
  <c r="BK37" i="62"/>
  <c r="BL29" i="62"/>
  <c r="BM30" i="62" s="1"/>
  <c r="BL31" i="62"/>
  <c r="BL41" i="62" l="1"/>
  <c r="BM42" i="62" s="1"/>
  <c r="BL43" i="62"/>
  <c r="BL44" i="62"/>
  <c r="BM45" i="62" s="1"/>
  <c r="BL46" i="62"/>
  <c r="BL47" i="62"/>
  <c r="BM48" i="62" s="1"/>
  <c r="BL49" i="62"/>
  <c r="BL59" i="62"/>
  <c r="BM60" i="62" s="1"/>
  <c r="BL61" i="62"/>
  <c r="BL58" i="62"/>
  <c r="BL56" i="62"/>
  <c r="BM57" i="62" s="1"/>
  <c r="BL35" i="62"/>
  <c r="BM36" i="62" s="1"/>
  <c r="BL37" i="62"/>
  <c r="BL40" i="62"/>
  <c r="BL38" i="62"/>
  <c r="BM39" i="62" s="1"/>
  <c r="BL34" i="62"/>
  <c r="BL32" i="62"/>
  <c r="BM33" i="62" s="1"/>
  <c r="BV25" i="62"/>
  <c r="BV23" i="62"/>
  <c r="BW24" i="62" s="1"/>
  <c r="BL26" i="62"/>
  <c r="BM27" i="62" s="1"/>
  <c r="BL28" i="62"/>
  <c r="BM31" i="62"/>
  <c r="BM29" i="62"/>
  <c r="BN30" i="62" s="1"/>
  <c r="BL55" i="62"/>
  <c r="BL53" i="62"/>
  <c r="BM54" i="62" s="1"/>
  <c r="BL52" i="62"/>
  <c r="BL50" i="62"/>
  <c r="BM51" i="62" s="1"/>
  <c r="BN29" i="62" l="1"/>
  <c r="BO30" i="62" s="1"/>
  <c r="BN31" i="62"/>
  <c r="BM56" i="62"/>
  <c r="BN57" i="62" s="1"/>
  <c r="BM58" i="62"/>
  <c r="BM28" i="62"/>
  <c r="BM26" i="62"/>
  <c r="BN27" i="62" s="1"/>
  <c r="BM61" i="62"/>
  <c r="BM59" i="62"/>
  <c r="BN60" i="62" s="1"/>
  <c r="BM49" i="62"/>
  <c r="BM47" i="62"/>
  <c r="BN48" i="62" s="1"/>
  <c r="BM35" i="62"/>
  <c r="BN36" i="62" s="1"/>
  <c r="BM37" i="62"/>
  <c r="BW25" i="62"/>
  <c r="BW23" i="62"/>
  <c r="BX24" i="62" s="1"/>
  <c r="BM53" i="62"/>
  <c r="BN54" i="62" s="1"/>
  <c r="BM55" i="62"/>
  <c r="BM46" i="62"/>
  <c r="BM44" i="62"/>
  <c r="BN45" i="62" s="1"/>
  <c r="BM32" i="62"/>
  <c r="BN33" i="62" s="1"/>
  <c r="BM34" i="62"/>
  <c r="BM41" i="62"/>
  <c r="BN42" i="62" s="1"/>
  <c r="BM43" i="62"/>
  <c r="BM52" i="62"/>
  <c r="BM50" i="62"/>
  <c r="BN51" i="62" s="1"/>
  <c r="BM38" i="62"/>
  <c r="BN39" i="62" s="1"/>
  <c r="BM40" i="62"/>
  <c r="BN37" i="62" l="1"/>
  <c r="BN35" i="62"/>
  <c r="BO36" i="62" s="1"/>
  <c r="BN46" i="62"/>
  <c r="BN44" i="62"/>
  <c r="BO45" i="62" s="1"/>
  <c r="BN28" i="62"/>
  <c r="BN26" i="62"/>
  <c r="BO27" i="62" s="1"/>
  <c r="BN61" i="62"/>
  <c r="BN59" i="62"/>
  <c r="BO60" i="62" s="1"/>
  <c r="BN53" i="62"/>
  <c r="BO54" i="62" s="1"/>
  <c r="BN55" i="62"/>
  <c r="BN58" i="62"/>
  <c r="BN56" i="62"/>
  <c r="BO57" i="62" s="1"/>
  <c r="BN52" i="62"/>
  <c r="BN50" i="62"/>
  <c r="BO51" i="62" s="1"/>
  <c r="BN41" i="62"/>
  <c r="BO42" i="62" s="1"/>
  <c r="BN43" i="62"/>
  <c r="BN47" i="62"/>
  <c r="BO48" i="62" s="1"/>
  <c r="BN49" i="62"/>
  <c r="BN34" i="62"/>
  <c r="BN32" i="62"/>
  <c r="BO33" i="62" s="1"/>
  <c r="BN38" i="62"/>
  <c r="BO39" i="62" s="1"/>
  <c r="BN40" i="62"/>
  <c r="BO29" i="62"/>
  <c r="BP30" i="62" s="1"/>
  <c r="BO31" i="62"/>
  <c r="BX25" i="62"/>
  <c r="BX23" i="62"/>
  <c r="BY24" i="62" s="1"/>
  <c r="BO34" i="62" l="1"/>
  <c r="BO32" i="62"/>
  <c r="BP33" i="62" s="1"/>
  <c r="BO49" i="62"/>
  <c r="BO47" i="62"/>
  <c r="BP48" i="62" s="1"/>
  <c r="BO56" i="62"/>
  <c r="BP57" i="62" s="1"/>
  <c r="BO58" i="62"/>
  <c r="BO61" i="62"/>
  <c r="BO59" i="62"/>
  <c r="BP60" i="62" s="1"/>
  <c r="BO28" i="62"/>
  <c r="BO26" i="62"/>
  <c r="BP27" i="62" s="1"/>
  <c r="BP31" i="62"/>
  <c r="BP29" i="62"/>
  <c r="BQ30" i="62" s="1"/>
  <c r="BO40" i="62"/>
  <c r="BO38" i="62"/>
  <c r="BP39" i="62" s="1"/>
  <c r="BO53" i="62"/>
  <c r="BP54" i="62" s="1"/>
  <c r="BO55" i="62"/>
  <c r="BO44" i="62"/>
  <c r="BP45" i="62" s="1"/>
  <c r="BO46" i="62"/>
  <c r="BO41" i="62"/>
  <c r="BP42" i="62" s="1"/>
  <c r="BO43" i="62"/>
  <c r="BY25" i="62"/>
  <c r="BY23" i="62"/>
  <c r="BZ24" i="62" s="1"/>
  <c r="BO52" i="62"/>
  <c r="BO50" i="62"/>
  <c r="BP51" i="62" s="1"/>
  <c r="BO37" i="62"/>
  <c r="BO35" i="62"/>
  <c r="BP36" i="62" s="1"/>
  <c r="BP59" i="62" l="1"/>
  <c r="BQ60" i="62" s="1"/>
  <c r="BP61" i="62"/>
  <c r="BP46" i="62"/>
  <c r="BP44" i="62"/>
  <c r="BQ45" i="62" s="1"/>
  <c r="BP58" i="62"/>
  <c r="BP56" i="62"/>
  <c r="BQ57" i="62" s="1"/>
  <c r="BZ25" i="62"/>
  <c r="BZ23" i="62"/>
  <c r="CA24" i="62" s="1"/>
  <c r="BP28" i="62"/>
  <c r="BP26" i="62"/>
  <c r="BQ27" i="62" s="1"/>
  <c r="BP55" i="62"/>
  <c r="BP53" i="62"/>
  <c r="BQ54" i="62" s="1"/>
  <c r="BP47" i="62"/>
  <c r="BQ48" i="62" s="1"/>
  <c r="BP49" i="62"/>
  <c r="BP50" i="62"/>
  <c r="BQ51" i="62" s="1"/>
  <c r="BP52" i="62"/>
  <c r="BQ29" i="62"/>
  <c r="BR30" i="62" s="1"/>
  <c r="BQ31" i="62"/>
  <c r="BP43" i="62"/>
  <c r="BP41" i="62"/>
  <c r="BQ42" i="62" s="1"/>
  <c r="BP37" i="62"/>
  <c r="BP35" i="62"/>
  <c r="BQ36" i="62" s="1"/>
  <c r="BP40" i="62"/>
  <c r="BP38" i="62"/>
  <c r="BQ39" i="62" s="1"/>
  <c r="BP32" i="62"/>
  <c r="BQ33" i="62" s="1"/>
  <c r="BP34" i="62"/>
  <c r="BQ53" i="62" l="1"/>
  <c r="BR54" i="62" s="1"/>
  <c r="BQ55" i="62"/>
  <c r="BQ56" i="62"/>
  <c r="BR57" i="62" s="1"/>
  <c r="BQ58" i="62"/>
  <c r="BQ40" i="62"/>
  <c r="BQ38" i="62"/>
  <c r="BR39" i="62" s="1"/>
  <c r="BQ44" i="62"/>
  <c r="BR45" i="62" s="1"/>
  <c r="BQ46" i="62"/>
  <c r="BQ35" i="62"/>
  <c r="BR36" i="62" s="1"/>
  <c r="BQ37" i="62"/>
  <c r="BQ26" i="62"/>
  <c r="BR27" i="62" s="1"/>
  <c r="BQ28" i="62"/>
  <c r="BQ41" i="62"/>
  <c r="BR42" i="62" s="1"/>
  <c r="BQ43" i="62"/>
  <c r="CA25" i="62"/>
  <c r="CA23" i="62"/>
  <c r="CB24" i="62" s="1"/>
  <c r="BR29" i="62"/>
  <c r="BS30" i="62" s="1"/>
  <c r="BR31" i="62"/>
  <c r="BQ52" i="62"/>
  <c r="BQ50" i="62"/>
  <c r="BR51" i="62" s="1"/>
  <c r="BQ32" i="62"/>
  <c r="BR33" i="62" s="1"/>
  <c r="BQ34" i="62"/>
  <c r="BQ47" i="62"/>
  <c r="BR48" i="62" s="1"/>
  <c r="BQ49" i="62"/>
  <c r="BQ61" i="62"/>
  <c r="BQ59" i="62"/>
  <c r="BR60" i="62" s="1"/>
  <c r="BS29" i="62" l="1"/>
  <c r="BT30" i="62" s="1"/>
  <c r="BS31" i="62"/>
  <c r="BR32" i="62"/>
  <c r="BS33" i="62" s="1"/>
  <c r="BR34" i="62"/>
  <c r="BR37" i="62"/>
  <c r="BR35" i="62"/>
  <c r="BS36" i="62" s="1"/>
  <c r="BR40" i="62"/>
  <c r="BR38" i="62"/>
  <c r="BS39" i="62" s="1"/>
  <c r="BR50" i="62"/>
  <c r="BS51" i="62" s="1"/>
  <c r="BR52" i="62"/>
  <c r="BR58" i="62"/>
  <c r="BR56" i="62"/>
  <c r="BS57" i="62" s="1"/>
  <c r="BR47" i="62"/>
  <c r="BS48" i="62" s="1"/>
  <c r="BR49" i="62"/>
  <c r="BR44" i="62"/>
  <c r="BS45" i="62" s="1"/>
  <c r="BR46" i="62"/>
  <c r="CB25" i="62"/>
  <c r="CB23" i="62"/>
  <c r="CC24" i="62" s="1"/>
  <c r="BR59" i="62"/>
  <c r="BS60" i="62" s="1"/>
  <c r="BR61" i="62"/>
  <c r="BR26" i="62"/>
  <c r="BS27" i="62" s="1"/>
  <c r="BR28" i="62"/>
  <c r="BR41" i="62"/>
  <c r="BS42" i="62" s="1"/>
  <c r="BR43" i="62"/>
  <c r="BR53" i="62"/>
  <c r="BS54" i="62" s="1"/>
  <c r="BR55" i="62"/>
  <c r="AQ84" i="55"/>
  <c r="AP84" i="55"/>
  <c r="M89" i="55"/>
  <c r="BS59" i="62" l="1"/>
  <c r="BT60" i="62" s="1"/>
  <c r="BS61" i="62"/>
  <c r="CC23" i="62"/>
  <c r="CD24" i="62" s="1"/>
  <c r="CC25" i="62"/>
  <c r="BS35" i="62"/>
  <c r="BT36" i="62" s="1"/>
  <c r="BS37" i="62"/>
  <c r="BS44" i="62"/>
  <c r="BT45" i="62" s="1"/>
  <c r="BS46" i="62"/>
  <c r="BS32" i="62"/>
  <c r="BT33" i="62" s="1"/>
  <c r="BS34" i="62"/>
  <c r="BS41" i="62"/>
  <c r="BT42" i="62" s="1"/>
  <c r="BS43" i="62"/>
  <c r="BS56" i="62"/>
  <c r="BT57" i="62" s="1"/>
  <c r="BS58" i="62"/>
  <c r="BS52" i="62"/>
  <c r="BS50" i="62"/>
  <c r="BT51" i="62" s="1"/>
  <c r="BS38" i="62"/>
  <c r="BT39" i="62" s="1"/>
  <c r="BS40" i="62"/>
  <c r="BS26" i="62"/>
  <c r="BT27" i="62" s="1"/>
  <c r="BS28" i="62"/>
  <c r="BS55" i="62"/>
  <c r="BS53" i="62"/>
  <c r="BT54" i="62" s="1"/>
  <c r="BS47" i="62"/>
  <c r="BT48" i="62" s="1"/>
  <c r="BS49" i="62"/>
  <c r="BT29" i="62"/>
  <c r="BU30" i="62" s="1"/>
  <c r="BT31" i="62"/>
  <c r="U18" i="24"/>
  <c r="P40" i="5" s="1"/>
  <c r="AC95" i="55"/>
  <c r="AC97" i="55" s="1"/>
  <c r="U97" i="55"/>
  <c r="AG95" i="55"/>
  <c r="Y95" i="55"/>
  <c r="Q97" i="55"/>
  <c r="O26" i="5"/>
  <c r="AE26" i="5" s="1"/>
  <c r="B14" i="55"/>
  <c r="AZ1" i="55"/>
  <c r="Y97" i="55"/>
  <c r="AG97" i="55"/>
  <c r="AK85" i="55"/>
  <c r="X109" i="55" s="1"/>
  <c r="AK86" i="55"/>
  <c r="AC109" i="55" s="1"/>
  <c r="AK84" i="55"/>
  <c r="BT41" i="62" l="1"/>
  <c r="BU42" i="62" s="1"/>
  <c r="BT43" i="62"/>
  <c r="BT40" i="62"/>
  <c r="BT38" i="62"/>
  <c r="BU39" i="62" s="1"/>
  <c r="BT37" i="62"/>
  <c r="BT35" i="62"/>
  <c r="BU36" i="62" s="1"/>
  <c r="BT47" i="62"/>
  <c r="BU48" i="62" s="1"/>
  <c r="BT49" i="62"/>
  <c r="CD23" i="62"/>
  <c r="CE24" i="62" s="1"/>
  <c r="CD25" i="62"/>
  <c r="BT32" i="62"/>
  <c r="BU33" i="62" s="1"/>
  <c r="BT34" i="62"/>
  <c r="BT55" i="62"/>
  <c r="BT53" i="62"/>
  <c r="BU54" i="62" s="1"/>
  <c r="BT26" i="62"/>
  <c r="BU27" i="62" s="1"/>
  <c r="BT28" i="62"/>
  <c r="BT44" i="62"/>
  <c r="BU45" i="62" s="1"/>
  <c r="BT46" i="62"/>
  <c r="BT50" i="62"/>
  <c r="BU51" i="62" s="1"/>
  <c r="BT52" i="62"/>
  <c r="BU31" i="62"/>
  <c r="BU29" i="62"/>
  <c r="BV30" i="62" s="1"/>
  <c r="BT56" i="62"/>
  <c r="BU57" i="62" s="1"/>
  <c r="BT58" i="62"/>
  <c r="BT61" i="62"/>
  <c r="BT59" i="62"/>
  <c r="BU60" i="62" s="1"/>
  <c r="C6" i="56"/>
  <c r="D6" i="56" s="1"/>
  <c r="C8" i="56" s="1"/>
  <c r="AE45" i="56" s="1"/>
  <c r="AQ94" i="55"/>
  <c r="R146" i="55"/>
  <c r="Z146" i="55" s="1"/>
  <c r="R134" i="55"/>
  <c r="Z134" i="55" s="1"/>
  <c r="R143" i="55"/>
  <c r="Z143" i="55" s="1"/>
  <c r="R128" i="55"/>
  <c r="Z128" i="55" s="1"/>
  <c r="AP94" i="55"/>
  <c r="AZ77" i="55" s="1"/>
  <c r="R26" i="5"/>
  <c r="AZ2" i="55"/>
  <c r="O27" i="5"/>
  <c r="AE27" i="5" s="1"/>
  <c r="B63" i="55"/>
  <c r="C6" i="58"/>
  <c r="D6" i="58" s="1"/>
  <c r="R116" i="55"/>
  <c r="Z116" i="55" s="1"/>
  <c r="R152" i="55"/>
  <c r="Z152" i="55" s="1"/>
  <c r="R140" i="55"/>
  <c r="Z140" i="55" s="1"/>
  <c r="R137" i="55"/>
  <c r="Z137" i="55" s="1"/>
  <c r="R122" i="55"/>
  <c r="Z122" i="55" s="1"/>
  <c r="AI108" i="55"/>
  <c r="R149" i="55"/>
  <c r="Z149" i="55" s="1"/>
  <c r="R119" i="55"/>
  <c r="Z119" i="55" s="1"/>
  <c r="R125" i="55"/>
  <c r="Z125" i="55" s="1"/>
  <c r="R131" i="55"/>
  <c r="Z131" i="55" s="1"/>
  <c r="BV31" i="62" l="1"/>
  <c r="BV29" i="62"/>
  <c r="BW30" i="62" s="1"/>
  <c r="BU49" i="62"/>
  <c r="BU47" i="62"/>
  <c r="BV48" i="62" s="1"/>
  <c r="BU46" i="62"/>
  <c r="BU44" i="62"/>
  <c r="BV45" i="62" s="1"/>
  <c r="BU37" i="62"/>
  <c r="BU35" i="62"/>
  <c r="BV36" i="62" s="1"/>
  <c r="BU28" i="62"/>
  <c r="BU26" i="62"/>
  <c r="BV27" i="62" s="1"/>
  <c r="BU34" i="62"/>
  <c r="BU32" i="62"/>
  <c r="BV33" i="62" s="1"/>
  <c r="CE23" i="62"/>
  <c r="CF24" i="62" s="1"/>
  <c r="CE25" i="62"/>
  <c r="BU40" i="62"/>
  <c r="BU38" i="62"/>
  <c r="BV39" i="62" s="1"/>
  <c r="BU52" i="62"/>
  <c r="BU50" i="62"/>
  <c r="BV51" i="62" s="1"/>
  <c r="BU43" i="62"/>
  <c r="BU41" i="62"/>
  <c r="BV42" i="62" s="1"/>
  <c r="BU58" i="62"/>
  <c r="BU56" i="62"/>
  <c r="BV57" i="62" s="1"/>
  <c r="BU59" i="62"/>
  <c r="BV60" i="62" s="1"/>
  <c r="BU61" i="62"/>
  <c r="BU53" i="62"/>
  <c r="BV54" i="62" s="1"/>
  <c r="BU55" i="62"/>
  <c r="M13" i="24"/>
  <c r="I36" i="5" s="1"/>
  <c r="BG77" i="55"/>
  <c r="E18" i="24"/>
  <c r="M18" i="24"/>
  <c r="I40" i="5" s="1"/>
  <c r="Q18" i="24"/>
  <c r="M40" i="5" s="1"/>
  <c r="O18" i="24"/>
  <c r="K40" i="5" s="1"/>
  <c r="R27" i="5"/>
  <c r="AK89" i="55"/>
  <c r="C7" i="58" s="1"/>
  <c r="D7" i="58" s="1"/>
  <c r="C8" i="58" s="1"/>
  <c r="AI45" i="58" s="1"/>
  <c r="BV56" i="62" l="1"/>
  <c r="BW57" i="62" s="1"/>
  <c r="BV58" i="62"/>
  <c r="BV50" i="62"/>
  <c r="BW51" i="62" s="1"/>
  <c r="BV52" i="62"/>
  <c r="BV46" i="62"/>
  <c r="BV44" i="62"/>
  <c r="BW45" i="62" s="1"/>
  <c r="BV37" i="62"/>
  <c r="BV35" i="62"/>
  <c r="BW36" i="62" s="1"/>
  <c r="BV61" i="62"/>
  <c r="BV59" i="62"/>
  <c r="BW60" i="62" s="1"/>
  <c r="BV43" i="62"/>
  <c r="BV41" i="62"/>
  <c r="BW42" i="62" s="1"/>
  <c r="BV40" i="62"/>
  <c r="BV38" i="62"/>
  <c r="BW39" i="62" s="1"/>
  <c r="BV47" i="62"/>
  <c r="BW48" i="62" s="1"/>
  <c r="BV49" i="62"/>
  <c r="BV34" i="62"/>
  <c r="BV32" i="62"/>
  <c r="BW33" i="62" s="1"/>
  <c r="BV55" i="62"/>
  <c r="BV53" i="62"/>
  <c r="BW54" i="62" s="1"/>
  <c r="CF23" i="62"/>
  <c r="CG24" i="62" s="1"/>
  <c r="CF25" i="62"/>
  <c r="BV28" i="62"/>
  <c r="BV26" i="62"/>
  <c r="BW27" i="62" s="1"/>
  <c r="BW31" i="62"/>
  <c r="BW29" i="62"/>
  <c r="BX30" i="62" s="1"/>
  <c r="U11" i="24"/>
  <c r="P34" i="5" s="1"/>
  <c r="M15" i="24"/>
  <c r="I38" i="5" s="1"/>
  <c r="Q8" i="24"/>
  <c r="M31" i="5" s="1"/>
  <c r="Q10" i="24"/>
  <c r="M33" i="5" s="1"/>
  <c r="M10" i="24"/>
  <c r="I33" i="5" s="1"/>
  <c r="AD152" i="55"/>
  <c r="AF149" i="55"/>
  <c r="AF143" i="55"/>
  <c r="AD119" i="55"/>
  <c r="AD116" i="55"/>
  <c r="AF152" i="55"/>
  <c r="AF134" i="55"/>
  <c r="AD143" i="55"/>
  <c r="AD149" i="55"/>
  <c r="AD122" i="55"/>
  <c r="AF119" i="55"/>
  <c r="AF116" i="55"/>
  <c r="AF131" i="55"/>
  <c r="AD146" i="55"/>
  <c r="AD125" i="55"/>
  <c r="AF122" i="55"/>
  <c r="AF128" i="55"/>
  <c r="AD134" i="55"/>
  <c r="AD137" i="55"/>
  <c r="AD140" i="55"/>
  <c r="AF140" i="55"/>
  <c r="AF146" i="55"/>
  <c r="AD128" i="55"/>
  <c r="AF125" i="55"/>
  <c r="AD131" i="55"/>
  <c r="AF137" i="55"/>
  <c r="Q12" i="24"/>
  <c r="M35" i="5" s="1"/>
  <c r="AP118" i="56"/>
  <c r="AQ118" i="56" s="1"/>
  <c r="Q13" i="24"/>
  <c r="M36" i="5" s="1"/>
  <c r="U16" i="24"/>
  <c r="P39" i="5" s="1"/>
  <c r="E7" i="24"/>
  <c r="F7" i="24" s="1"/>
  <c r="G7" i="24" s="1"/>
  <c r="H7" i="25" s="1"/>
  <c r="E10" i="24"/>
  <c r="F10" i="24" s="1"/>
  <c r="G10" i="24" s="1"/>
  <c r="H13" i="25" s="1"/>
  <c r="E11" i="24"/>
  <c r="I11" i="24" s="1"/>
  <c r="O15" i="24"/>
  <c r="K38" i="5" s="1"/>
  <c r="E12" i="24"/>
  <c r="J12" i="24" s="1"/>
  <c r="Q11" i="24"/>
  <c r="M34" i="5" s="1"/>
  <c r="U15" i="24"/>
  <c r="P38" i="5" s="1"/>
  <c r="U7" i="24"/>
  <c r="P30" i="5" s="1"/>
  <c r="Q14" i="24"/>
  <c r="M37" i="5" s="1"/>
  <c r="U8" i="24"/>
  <c r="P31" i="5" s="1"/>
  <c r="Q15" i="24"/>
  <c r="M38" i="5" s="1"/>
  <c r="O14" i="24"/>
  <c r="K37" i="5" s="1"/>
  <c r="O28" i="5"/>
  <c r="R28" i="5" s="1"/>
  <c r="O16" i="24"/>
  <c r="K39" i="5" s="1"/>
  <c r="E13" i="24"/>
  <c r="F13" i="24" s="1"/>
  <c r="G13" i="24" s="1"/>
  <c r="H19" i="25" s="1"/>
  <c r="E14" i="24"/>
  <c r="J14" i="24" s="1"/>
  <c r="E15" i="24"/>
  <c r="I15" i="24" s="1"/>
  <c r="M11" i="24"/>
  <c r="I34" i="5" s="1"/>
  <c r="O7" i="24"/>
  <c r="K30" i="5" s="1"/>
  <c r="E16" i="24"/>
  <c r="J16" i="24" s="1"/>
  <c r="M16" i="24"/>
  <c r="I39" i="5" s="1"/>
  <c r="M12" i="24"/>
  <c r="I35" i="5" s="1"/>
  <c r="U12" i="24"/>
  <c r="P35" i="5" s="1"/>
  <c r="M7" i="24"/>
  <c r="I30" i="5" s="1"/>
  <c r="Q16" i="24"/>
  <c r="M39" i="5" s="1"/>
  <c r="U13" i="24"/>
  <c r="P36" i="5" s="1"/>
  <c r="O12" i="24"/>
  <c r="K35" i="5" s="1"/>
  <c r="M14" i="24"/>
  <c r="I37" i="5" s="1"/>
  <c r="O13" i="24"/>
  <c r="K36" i="5" s="1"/>
  <c r="B77" i="55"/>
  <c r="M8" i="24"/>
  <c r="I31" i="5" s="1"/>
  <c r="O10" i="24"/>
  <c r="K33" i="5" s="1"/>
  <c r="E8" i="24"/>
  <c r="G8" i="24" s="1"/>
  <c r="B111" i="55"/>
  <c r="O8" i="24"/>
  <c r="K31" i="5" s="1"/>
  <c r="U10" i="24"/>
  <c r="P33" i="5" s="1"/>
  <c r="T109" i="55"/>
  <c r="AZ3" i="55"/>
  <c r="U14" i="24"/>
  <c r="P37" i="5" s="1"/>
  <c r="Q7" i="24"/>
  <c r="M30" i="5" s="1"/>
  <c r="O11" i="24"/>
  <c r="K34" i="5" s="1"/>
  <c r="H12" i="24"/>
  <c r="I12" i="24"/>
  <c r="J15" i="24" l="1"/>
  <c r="J10" i="24"/>
  <c r="BW26" i="62"/>
  <c r="BX27" i="62" s="1"/>
  <c r="BW28" i="62"/>
  <c r="BW55" i="62"/>
  <c r="BW53" i="62"/>
  <c r="BX54" i="62" s="1"/>
  <c r="BW35" i="62"/>
  <c r="BX36" i="62" s="1"/>
  <c r="BW37" i="62"/>
  <c r="BW34" i="62"/>
  <c r="BW32" i="62"/>
  <c r="BX33" i="62" s="1"/>
  <c r="BW44" i="62"/>
  <c r="BX45" i="62" s="1"/>
  <c r="BW46" i="62"/>
  <c r="BW47" i="62"/>
  <c r="BX48" i="62" s="1"/>
  <c r="BW49" i="62"/>
  <c r="BW52" i="62"/>
  <c r="BW50" i="62"/>
  <c r="BX51" i="62" s="1"/>
  <c r="BW43" i="62"/>
  <c r="BW41" i="62"/>
  <c r="BX42" i="62" s="1"/>
  <c r="CG25" i="62"/>
  <c r="CG23" i="62"/>
  <c r="CH24" i="62" s="1"/>
  <c r="BW61" i="62"/>
  <c r="BW59" i="62"/>
  <c r="BX60" i="62" s="1"/>
  <c r="BW58" i="62"/>
  <c r="BW56" i="62"/>
  <c r="BX57" i="62" s="1"/>
  <c r="BX29" i="62"/>
  <c r="BY30" i="62" s="1"/>
  <c r="BX31" i="62"/>
  <c r="BW38" i="62"/>
  <c r="BX39" i="62" s="1"/>
  <c r="BW40" i="62"/>
  <c r="T11" i="24"/>
  <c r="O34" i="5" s="1"/>
  <c r="AF34" i="5" s="1"/>
  <c r="I13" i="24"/>
  <c r="T13" i="24"/>
  <c r="O36" i="5" s="1"/>
  <c r="AE36" i="5" s="1"/>
  <c r="T12" i="24"/>
  <c r="O35" i="5" s="1"/>
  <c r="AE35" i="5" s="1"/>
  <c r="D12" i="24"/>
  <c r="H13" i="24"/>
  <c r="D13" i="24"/>
  <c r="J13" i="24"/>
  <c r="K13" i="24" s="1"/>
  <c r="D19" i="25" s="1"/>
  <c r="F19" i="25" s="1"/>
  <c r="G19" i="25" s="1"/>
  <c r="I19" i="25" s="1"/>
  <c r="J19" i="25" s="1"/>
  <c r="K19" i="25" s="1"/>
  <c r="O20" i="25" s="1"/>
  <c r="AZ99" i="55"/>
  <c r="AT118" i="58" s="1"/>
  <c r="H15" i="24"/>
  <c r="T10" i="24"/>
  <c r="O33" i="5" s="1"/>
  <c r="AE33" i="5" s="1"/>
  <c r="D16" i="24"/>
  <c r="AR118" i="56"/>
  <c r="I16" i="24"/>
  <c r="K16" i="24" s="1"/>
  <c r="D25" i="25" s="1"/>
  <c r="S16" i="2" s="1"/>
  <c r="AE16" i="2" s="1"/>
  <c r="H16" i="24"/>
  <c r="P26" i="5"/>
  <c r="AL47" i="60" s="1"/>
  <c r="T50" i="60" s="1"/>
  <c r="D7" i="24"/>
  <c r="H7" i="24" s="1"/>
  <c r="T15" i="24"/>
  <c r="O38" i="5" s="1"/>
  <c r="AF38" i="5" s="1"/>
  <c r="AE28" i="5"/>
  <c r="I7" i="24"/>
  <c r="F12" i="24"/>
  <c r="G12" i="24" s="1"/>
  <c r="H17" i="25" s="1"/>
  <c r="D15" i="24"/>
  <c r="BG99" i="55"/>
  <c r="I14" i="24"/>
  <c r="K14" i="24" s="1"/>
  <c r="D21" i="25" s="1"/>
  <c r="F21" i="25" s="1"/>
  <c r="G21" i="25" s="1"/>
  <c r="H10" i="24"/>
  <c r="J11" i="24"/>
  <c r="K11" i="24" s="1"/>
  <c r="D15" i="25" s="1"/>
  <c r="D10" i="24"/>
  <c r="H11" i="24"/>
  <c r="D14" i="24"/>
  <c r="I10" i="24"/>
  <c r="K10" i="24" s="1"/>
  <c r="D13" i="25" s="1"/>
  <c r="F11" i="24"/>
  <c r="G11" i="24" s="1"/>
  <c r="H15" i="25" s="1"/>
  <c r="T16" i="24"/>
  <c r="O39" i="5" s="1"/>
  <c r="AF39" i="5" s="1"/>
  <c r="F16" i="24"/>
  <c r="G16" i="24" s="1"/>
  <c r="H25" i="25" s="1"/>
  <c r="H14" i="24"/>
  <c r="J7" i="24"/>
  <c r="D11" i="24"/>
  <c r="T14" i="24"/>
  <c r="O37" i="5" s="1"/>
  <c r="AF37" i="5" s="1"/>
  <c r="F15" i="24"/>
  <c r="G15" i="24" s="1"/>
  <c r="H23" i="25" s="1"/>
  <c r="J8" i="24"/>
  <c r="I8" i="24"/>
  <c r="K8" i="24" s="1"/>
  <c r="T7" i="24"/>
  <c r="O30" i="5" s="1"/>
  <c r="AF30" i="5" s="1"/>
  <c r="G14" i="24"/>
  <c r="F14" i="24" s="1"/>
  <c r="T8" i="24"/>
  <c r="O31" i="5" s="1"/>
  <c r="AF31" i="5" s="1"/>
  <c r="K15" i="24"/>
  <c r="D23" i="25" s="1"/>
  <c r="F23" i="25" s="1"/>
  <c r="G23" i="25" s="1"/>
  <c r="K12" i="24"/>
  <c r="D17" i="25" s="1"/>
  <c r="F17" i="25" s="1"/>
  <c r="G17" i="25" s="1"/>
  <c r="B3" i="56"/>
  <c r="N2" i="56"/>
  <c r="F8" i="24"/>
  <c r="H9" i="25"/>
  <c r="AE34" i="5" l="1"/>
  <c r="BX37" i="62"/>
  <c r="BX35" i="62"/>
  <c r="BY36" i="62" s="1"/>
  <c r="CH25" i="62"/>
  <c r="CH23" i="62"/>
  <c r="CI24" i="62" s="1"/>
  <c r="BY31" i="62"/>
  <c r="BY29" i="62"/>
  <c r="BZ30" i="62" s="1"/>
  <c r="BX34" i="62"/>
  <c r="BX32" i="62"/>
  <c r="BY33" i="62" s="1"/>
  <c r="BX43" i="62"/>
  <c r="BX41" i="62"/>
  <c r="BY42" i="62" s="1"/>
  <c r="BX55" i="62"/>
  <c r="BX53" i="62"/>
  <c r="BY54" i="62" s="1"/>
  <c r="BX47" i="62"/>
  <c r="BY48" i="62" s="1"/>
  <c r="BX49" i="62"/>
  <c r="BX59" i="62"/>
  <c r="BY60" i="62" s="1"/>
  <c r="BX61" i="62"/>
  <c r="BX40" i="62"/>
  <c r="BX38" i="62"/>
  <c r="BY39" i="62" s="1"/>
  <c r="BX26" i="62"/>
  <c r="BY27" i="62" s="1"/>
  <c r="BX28" i="62"/>
  <c r="BX44" i="62"/>
  <c r="BY45" i="62" s="1"/>
  <c r="BX46" i="62"/>
  <c r="BX58" i="62"/>
  <c r="BX56" i="62"/>
  <c r="BY57" i="62" s="1"/>
  <c r="BX52" i="62"/>
  <c r="BX50" i="62"/>
  <c r="BY51" i="62" s="1"/>
  <c r="AF35" i="5"/>
  <c r="AF33" i="5"/>
  <c r="K7" i="24"/>
  <c r="D7" i="25" s="1"/>
  <c r="S7" i="2" s="1"/>
  <c r="AE7" i="2" s="1"/>
  <c r="AF36" i="5"/>
  <c r="O29" i="5"/>
  <c r="P29" i="5" s="1"/>
  <c r="AE38" i="5"/>
  <c r="H21" i="25"/>
  <c r="I21" i="25" s="1"/>
  <c r="J21" i="25" s="1"/>
  <c r="K21" i="25" s="1"/>
  <c r="O22" i="25" s="1"/>
  <c r="AZ4" i="55"/>
  <c r="I17" i="25"/>
  <c r="J17" i="25" s="1"/>
  <c r="K17" i="25" s="1"/>
  <c r="O18" i="25" s="1"/>
  <c r="AE37" i="5"/>
  <c r="B99" i="55"/>
  <c r="AE39" i="5"/>
  <c r="AE31" i="5"/>
  <c r="U9" i="24"/>
  <c r="P32" i="5" s="1"/>
  <c r="I23" i="25"/>
  <c r="J23" i="25" s="1"/>
  <c r="K23" i="25" s="1"/>
  <c r="O24" i="25" s="1"/>
  <c r="S14" i="2"/>
  <c r="AE14" i="2" s="1"/>
  <c r="S15" i="2"/>
  <c r="AE15" i="2" s="1"/>
  <c r="AE30" i="5"/>
  <c r="S12" i="2"/>
  <c r="AE12" i="2" s="1"/>
  <c r="F7" i="25"/>
  <c r="G7" i="25" s="1"/>
  <c r="I7" i="25" s="1"/>
  <c r="J7" i="25" s="1"/>
  <c r="K7" i="25" s="1"/>
  <c r="O8" i="25" s="1"/>
  <c r="F25" i="25"/>
  <c r="G25" i="25" s="1"/>
  <c r="I25" i="25" s="1"/>
  <c r="J25" i="25" s="1"/>
  <c r="K25" i="25" s="1"/>
  <c r="O26" i="25" s="1"/>
  <c r="S13" i="2"/>
  <c r="AE13" i="2" s="1"/>
  <c r="F13" i="25"/>
  <c r="G13" i="25" s="1"/>
  <c r="I13" i="25" s="1"/>
  <c r="J13" i="25" s="1"/>
  <c r="K13" i="25" s="1"/>
  <c r="O14" i="25" s="1"/>
  <c r="S10" i="2"/>
  <c r="AE10" i="2" s="1"/>
  <c r="F15" i="25"/>
  <c r="G15" i="25" s="1"/>
  <c r="I15" i="25" s="1"/>
  <c r="J15" i="25" s="1"/>
  <c r="K15" i="25" s="1"/>
  <c r="O16" i="25" s="1"/>
  <c r="S11" i="2"/>
  <c r="AE11" i="2" s="1"/>
  <c r="D8" i="24"/>
  <c r="H8" i="24" s="1"/>
  <c r="D9" i="25"/>
  <c r="BY38" i="62" l="1"/>
  <c r="BZ39" i="62" s="1"/>
  <c r="BY40" i="62"/>
  <c r="BZ29" i="62"/>
  <c r="CA30" i="62" s="1"/>
  <c r="BZ31" i="62"/>
  <c r="BY59" i="62"/>
  <c r="BZ60" i="62" s="1"/>
  <c r="BY61" i="62"/>
  <c r="BY34" i="62"/>
  <c r="BY32" i="62"/>
  <c r="BZ33" i="62" s="1"/>
  <c r="CI25" i="62"/>
  <c r="CI23" i="62"/>
  <c r="CJ24" i="62" s="1"/>
  <c r="BY53" i="62"/>
  <c r="BZ54" i="62" s="1"/>
  <c r="BY55" i="62"/>
  <c r="BY43" i="62"/>
  <c r="BY41" i="62"/>
  <c r="BZ42" i="62" s="1"/>
  <c r="BY49" i="62"/>
  <c r="BY47" i="62"/>
  <c r="BZ48" i="62" s="1"/>
  <c r="BY56" i="62"/>
  <c r="BZ57" i="62" s="1"/>
  <c r="BY58" i="62"/>
  <c r="BY46" i="62"/>
  <c r="BY44" i="62"/>
  <c r="BZ45" i="62" s="1"/>
  <c r="BY28" i="62"/>
  <c r="BY26" i="62"/>
  <c r="BZ27" i="62" s="1"/>
  <c r="BY50" i="62"/>
  <c r="BZ51" i="62" s="1"/>
  <c r="BY52" i="62"/>
  <c r="BY37" i="62"/>
  <c r="BY35" i="62"/>
  <c r="BZ36" i="62" s="1"/>
  <c r="AE29" i="5"/>
  <c r="F9" i="25"/>
  <c r="G9" i="25" s="1"/>
  <c r="I9" i="25" s="1"/>
  <c r="J9" i="25" s="1"/>
  <c r="K9" i="25" s="1"/>
  <c r="O10" i="25" s="1"/>
  <c r="S8" i="2"/>
  <c r="AE8" i="2" s="1"/>
  <c r="AV118" i="58"/>
  <c r="AU118" i="58"/>
  <c r="R2" i="58" s="1"/>
  <c r="BZ50" i="62" l="1"/>
  <c r="CA51" i="62" s="1"/>
  <c r="BZ52" i="62"/>
  <c r="BZ55" i="62"/>
  <c r="BZ53" i="62"/>
  <c r="CA54" i="62" s="1"/>
  <c r="BZ46" i="62"/>
  <c r="BZ44" i="62"/>
  <c r="CA45" i="62" s="1"/>
  <c r="BZ34" i="62"/>
  <c r="BZ32" i="62"/>
  <c r="CA33" i="62" s="1"/>
  <c r="BZ56" i="62"/>
  <c r="CA57" i="62" s="1"/>
  <c r="BZ58" i="62"/>
  <c r="BZ61" i="62"/>
  <c r="BZ59" i="62"/>
  <c r="CA60" i="62" s="1"/>
  <c r="CJ25" i="62"/>
  <c r="CJ23" i="62"/>
  <c r="CK24" i="62" s="1"/>
  <c r="CA29" i="62"/>
  <c r="CB30" i="62" s="1"/>
  <c r="CA31" i="62"/>
  <c r="BZ47" i="62"/>
  <c r="CA48" i="62" s="1"/>
  <c r="BZ49" i="62"/>
  <c r="BZ40" i="62"/>
  <c r="BZ38" i="62"/>
  <c r="CA39" i="62" s="1"/>
  <c r="BZ28" i="62"/>
  <c r="BZ26" i="62"/>
  <c r="CA27" i="62" s="1"/>
  <c r="BZ37" i="62"/>
  <c r="BZ35" i="62"/>
  <c r="CA36" i="62" s="1"/>
  <c r="BZ43" i="62"/>
  <c r="BZ41" i="62"/>
  <c r="CA42" i="62" s="1"/>
  <c r="Q9" i="24"/>
  <c r="M32" i="5" s="1"/>
  <c r="O9" i="24"/>
  <c r="K32" i="5" s="1"/>
  <c r="E9" i="24"/>
  <c r="M9" i="24"/>
  <c r="CA37" i="62" l="1"/>
  <c r="CA35" i="62"/>
  <c r="CB36" i="62" s="1"/>
  <c r="CA61" i="62"/>
  <c r="CA59" i="62"/>
  <c r="CB60" i="62" s="1"/>
  <c r="CA58" i="62"/>
  <c r="CA56" i="62"/>
  <c r="CB57" i="62" s="1"/>
  <c r="CA28" i="62"/>
  <c r="CA26" i="62"/>
  <c r="CB27" i="62" s="1"/>
  <c r="CA38" i="62"/>
  <c r="CB39" i="62" s="1"/>
  <c r="CA40" i="62"/>
  <c r="CA46" i="62"/>
  <c r="CA44" i="62"/>
  <c r="CB45" i="62" s="1"/>
  <c r="CA49" i="62"/>
  <c r="CA47" i="62"/>
  <c r="CB48" i="62" s="1"/>
  <c r="CB31" i="62"/>
  <c r="CB29" i="62"/>
  <c r="CC30" i="62" s="1"/>
  <c r="CA53" i="62"/>
  <c r="CB54" i="62" s="1"/>
  <c r="CA55" i="62"/>
  <c r="CA50" i="62"/>
  <c r="CB51" i="62" s="1"/>
  <c r="CA52" i="62"/>
  <c r="CA34" i="62"/>
  <c r="CA32" i="62"/>
  <c r="CB33" i="62" s="1"/>
  <c r="CA43" i="62"/>
  <c r="CA41" i="62"/>
  <c r="CB42" i="62" s="1"/>
  <c r="CK25" i="62"/>
  <c r="CK23" i="62"/>
  <c r="CL24" i="62" s="1"/>
  <c r="T9" i="24"/>
  <c r="O32" i="5" s="1"/>
  <c r="I32" i="5"/>
  <c r="F18" i="24"/>
  <c r="G18" i="24" s="1"/>
  <c r="H29" i="25" s="1"/>
  <c r="H18" i="24"/>
  <c r="J18" i="24"/>
  <c r="D18" i="24"/>
  <c r="I18" i="24"/>
  <c r="J9" i="24"/>
  <c r="H9" i="24"/>
  <c r="F9" i="24"/>
  <c r="G9" i="24" s="1"/>
  <c r="I9" i="24"/>
  <c r="D9" i="24"/>
  <c r="CB53" i="62" l="1"/>
  <c r="CC54" i="62" s="1"/>
  <c r="CB55" i="62"/>
  <c r="CB52" i="62"/>
  <c r="CB50" i="62"/>
  <c r="CC51" i="62" s="1"/>
  <c r="CB28" i="62"/>
  <c r="CB26" i="62"/>
  <c r="CC27" i="62" s="1"/>
  <c r="CB58" i="62"/>
  <c r="CB56" i="62"/>
  <c r="CC57" i="62" s="1"/>
  <c r="CC31" i="62"/>
  <c r="CC29" i="62"/>
  <c r="CD30" i="62" s="1"/>
  <c r="CB59" i="62"/>
  <c r="CC60" i="62" s="1"/>
  <c r="CB61" i="62"/>
  <c r="CB43" i="62"/>
  <c r="CB41" i="62"/>
  <c r="CC42" i="62" s="1"/>
  <c r="CB40" i="62"/>
  <c r="CB38" i="62"/>
  <c r="CC39" i="62" s="1"/>
  <c r="CB46" i="62"/>
  <c r="CB44" i="62"/>
  <c r="CC45" i="62" s="1"/>
  <c r="CB32" i="62"/>
  <c r="CC33" i="62" s="1"/>
  <c r="CB34" i="62"/>
  <c r="CL25" i="62"/>
  <c r="CL23" i="62"/>
  <c r="CM24" i="62" s="1"/>
  <c r="CB49" i="62"/>
  <c r="CB47" i="62"/>
  <c r="CC48" i="62" s="1"/>
  <c r="CB35" i="62"/>
  <c r="CC36" i="62" s="1"/>
  <c r="CB37" i="62"/>
  <c r="AF32" i="5"/>
  <c r="AE32" i="5"/>
  <c r="K18" i="24"/>
  <c r="D29" i="25" s="1"/>
  <c r="S18" i="2" s="1"/>
  <c r="AE18" i="2" s="1"/>
  <c r="K9" i="24"/>
  <c r="D11" i="25" s="1"/>
  <c r="G17" i="24"/>
  <c r="G27" i="24" s="1"/>
  <c r="H11" i="25"/>
  <c r="H27" i="25" s="1"/>
  <c r="H47" i="25" s="1"/>
  <c r="CM25" i="62" l="1"/>
  <c r="CM23" i="62"/>
  <c r="CN24" i="62" s="1"/>
  <c r="CD31" i="62"/>
  <c r="CD29" i="62"/>
  <c r="CE30" i="62" s="1"/>
  <c r="CC32" i="62"/>
  <c r="CD33" i="62" s="1"/>
  <c r="CC34" i="62"/>
  <c r="CC46" i="62"/>
  <c r="CC44" i="62"/>
  <c r="CD45" i="62" s="1"/>
  <c r="CC28" i="62"/>
  <c r="CC26" i="62"/>
  <c r="CD27" i="62" s="1"/>
  <c r="CC56" i="62"/>
  <c r="CD57" i="62" s="1"/>
  <c r="CC58" i="62"/>
  <c r="CC38" i="62"/>
  <c r="CD39" i="62" s="1"/>
  <c r="CC40" i="62"/>
  <c r="CC50" i="62"/>
  <c r="CD51" i="62" s="1"/>
  <c r="CC52" i="62"/>
  <c r="CC61" i="62"/>
  <c r="CC59" i="62"/>
  <c r="CD60" i="62" s="1"/>
  <c r="CC55" i="62"/>
  <c r="CC53" i="62"/>
  <c r="CD54" i="62" s="1"/>
  <c r="CC49" i="62"/>
  <c r="CC47" i="62"/>
  <c r="CD48" i="62" s="1"/>
  <c r="CC35" i="62"/>
  <c r="CD36" i="62" s="1"/>
  <c r="CC37" i="62"/>
  <c r="CC41" i="62"/>
  <c r="CD42" i="62" s="1"/>
  <c r="CC43" i="62"/>
  <c r="F29" i="25"/>
  <c r="G29" i="25" s="1"/>
  <c r="I29" i="25" s="1"/>
  <c r="J29" i="25" s="1"/>
  <c r="K29" i="25" s="1"/>
  <c r="K17" i="24"/>
  <c r="K27" i="24" s="1"/>
  <c r="D27" i="25"/>
  <c r="D47" i="25" s="1"/>
  <c r="F11" i="25"/>
  <c r="S9" i="2"/>
  <c r="CD37" i="62" l="1"/>
  <c r="CD35" i="62"/>
  <c r="CE36" i="62" s="1"/>
  <c r="CD26" i="62"/>
  <c r="CE27" i="62" s="1"/>
  <c r="CD28" i="62"/>
  <c r="CD44" i="62"/>
  <c r="CE45" i="62" s="1"/>
  <c r="CD46" i="62"/>
  <c r="CD32" i="62"/>
  <c r="CE33" i="62" s="1"/>
  <c r="CD34" i="62"/>
  <c r="CD58" i="62"/>
  <c r="CD56" i="62"/>
  <c r="CE57" i="62" s="1"/>
  <c r="CD55" i="62"/>
  <c r="CD53" i="62"/>
  <c r="CE54" i="62" s="1"/>
  <c r="CD61" i="62"/>
  <c r="CD59" i="62"/>
  <c r="CE60" i="62" s="1"/>
  <c r="CD50" i="62"/>
  <c r="CE51" i="62" s="1"/>
  <c r="CD52" i="62"/>
  <c r="CE31" i="62"/>
  <c r="CE29" i="62"/>
  <c r="CF30" i="62" s="1"/>
  <c r="CD47" i="62"/>
  <c r="CE48" i="62" s="1"/>
  <c r="CD49" i="62"/>
  <c r="CD41" i="62"/>
  <c r="CE42" i="62" s="1"/>
  <c r="CD43" i="62"/>
  <c r="CD38" i="62"/>
  <c r="CE39" i="62" s="1"/>
  <c r="CD40" i="62"/>
  <c r="CN25" i="62"/>
  <c r="CN23" i="62"/>
  <c r="CO24" i="62" s="1"/>
  <c r="F27" i="25"/>
  <c r="F47" i="25" s="1"/>
  <c r="G11" i="25"/>
  <c r="S17" i="2"/>
  <c r="S27" i="2" s="1"/>
  <c r="AE9" i="2"/>
  <c r="AE17" i="2" s="1"/>
  <c r="AE27" i="2" s="1"/>
  <c r="C24" i="1" s="1"/>
  <c r="CE44" i="62" l="1"/>
  <c r="CF45" i="62" s="1"/>
  <c r="CE46" i="62"/>
  <c r="CE34" i="62"/>
  <c r="CE32" i="62"/>
  <c r="CF33" i="62" s="1"/>
  <c r="CE53" i="62"/>
  <c r="CF54" i="62" s="1"/>
  <c r="CE55" i="62"/>
  <c r="CE58" i="62"/>
  <c r="CE56" i="62"/>
  <c r="CF57" i="62" s="1"/>
  <c r="CF31" i="62"/>
  <c r="CF29" i="62"/>
  <c r="CG30" i="62" s="1"/>
  <c r="CE50" i="62"/>
  <c r="CF51" i="62" s="1"/>
  <c r="CE52" i="62"/>
  <c r="CE26" i="62"/>
  <c r="CF27" i="62" s="1"/>
  <c r="CE28" i="62"/>
  <c r="CE40" i="62"/>
  <c r="CE38" i="62"/>
  <c r="CF39" i="62" s="1"/>
  <c r="CE41" i="62"/>
  <c r="CF42" i="62" s="1"/>
  <c r="CE43" i="62"/>
  <c r="CE49" i="62"/>
  <c r="CE47" i="62"/>
  <c r="CF48" i="62" s="1"/>
  <c r="CO23" i="62"/>
  <c r="CP24" i="62" s="1"/>
  <c r="CO25" i="62"/>
  <c r="CE61" i="62"/>
  <c r="CE59" i="62"/>
  <c r="CF60" i="62" s="1"/>
  <c r="CE37" i="62"/>
  <c r="CE35" i="62"/>
  <c r="CF36" i="62" s="1"/>
  <c r="I11" i="25"/>
  <c r="G27" i="25"/>
  <c r="G47" i="25" s="1"/>
  <c r="CF59" i="62" l="1"/>
  <c r="CG60" i="62" s="1"/>
  <c r="CF61" i="62"/>
  <c r="CF47" i="62"/>
  <c r="CG48" i="62" s="1"/>
  <c r="CF49" i="62"/>
  <c r="CF56" i="62"/>
  <c r="CG57" i="62" s="1"/>
  <c r="CF58" i="62"/>
  <c r="CF41" i="62"/>
  <c r="CG42" i="62" s="1"/>
  <c r="CF43" i="62"/>
  <c r="CF53" i="62"/>
  <c r="CG54" i="62" s="1"/>
  <c r="CF55" i="62"/>
  <c r="CG31" i="62"/>
  <c r="CG29" i="62"/>
  <c r="CH30" i="62" s="1"/>
  <c r="CF50" i="62"/>
  <c r="CG51" i="62" s="1"/>
  <c r="CF52" i="62"/>
  <c r="CF38" i="62"/>
  <c r="CG39" i="62" s="1"/>
  <c r="CF40" i="62"/>
  <c r="CF32" i="62"/>
  <c r="CG33" i="62" s="1"/>
  <c r="CF34" i="62"/>
  <c r="CP23" i="62"/>
  <c r="CQ24" i="62" s="1"/>
  <c r="CP25" i="62"/>
  <c r="CF26" i="62"/>
  <c r="CG27" i="62" s="1"/>
  <c r="CF28" i="62"/>
  <c r="CF44" i="62"/>
  <c r="CG45" i="62" s="1"/>
  <c r="CF46" i="62"/>
  <c r="CF35" i="62"/>
  <c r="CG36" i="62" s="1"/>
  <c r="CF37" i="62"/>
  <c r="I27" i="25"/>
  <c r="I47" i="25" s="1"/>
  <c r="J11" i="25"/>
  <c r="CG34" i="62" l="1"/>
  <c r="CG32" i="62"/>
  <c r="CH33" i="62" s="1"/>
  <c r="CG58" i="62"/>
  <c r="CG56" i="62"/>
  <c r="CH57" i="62" s="1"/>
  <c r="CH29" i="62"/>
  <c r="CI30" i="62" s="1"/>
  <c r="CH31" i="62"/>
  <c r="CG53" i="62"/>
  <c r="CH54" i="62" s="1"/>
  <c r="CG55" i="62"/>
  <c r="CG43" i="62"/>
  <c r="CG41" i="62"/>
  <c r="CH42" i="62" s="1"/>
  <c r="CG40" i="62"/>
  <c r="CG38" i="62"/>
  <c r="CH39" i="62" s="1"/>
  <c r="CG49" i="62"/>
  <c r="CG47" i="62"/>
  <c r="CH48" i="62" s="1"/>
  <c r="CG28" i="62"/>
  <c r="CG26" i="62"/>
  <c r="CH27" i="62" s="1"/>
  <c r="CG46" i="62"/>
  <c r="CG44" i="62"/>
  <c r="CH45" i="62" s="1"/>
  <c r="CQ23" i="62"/>
  <c r="CR24" i="62" s="1"/>
  <c r="CQ25" i="62"/>
  <c r="CG37" i="62"/>
  <c r="CG35" i="62"/>
  <c r="CH36" i="62" s="1"/>
  <c r="CG52" i="62"/>
  <c r="CG50" i="62"/>
  <c r="CH51" i="62" s="1"/>
  <c r="CG59" i="62"/>
  <c r="CH60" i="62" s="1"/>
  <c r="CG61" i="62"/>
  <c r="K11" i="25"/>
  <c r="O12" i="25" s="1"/>
  <c r="J27" i="25"/>
  <c r="J47" i="25" s="1"/>
  <c r="CI29" i="62" l="1"/>
  <c r="CJ30" i="62" s="1"/>
  <c r="CI31" i="62"/>
  <c r="CH50" i="62"/>
  <c r="CI51" i="62" s="1"/>
  <c r="CH52" i="62"/>
  <c r="CH37" i="62"/>
  <c r="CH35" i="62"/>
  <c r="CI36" i="62" s="1"/>
  <c r="CR23" i="62"/>
  <c r="CS24" i="62" s="1"/>
  <c r="CR25" i="62"/>
  <c r="CH44" i="62"/>
  <c r="CI45" i="62" s="1"/>
  <c r="CH46" i="62"/>
  <c r="CH26" i="62"/>
  <c r="CI27" i="62" s="1"/>
  <c r="CH28" i="62"/>
  <c r="CH58" i="62"/>
  <c r="CH56" i="62"/>
  <c r="CI57" i="62" s="1"/>
  <c r="CH40" i="62"/>
  <c r="CH38" i="62"/>
  <c r="CI39" i="62" s="1"/>
  <c r="CH43" i="62"/>
  <c r="CH41" i="62"/>
  <c r="CI42" i="62" s="1"/>
  <c r="CH53" i="62"/>
  <c r="CI54" i="62" s="1"/>
  <c r="CH55" i="62"/>
  <c r="CH59" i="62"/>
  <c r="CI60" i="62" s="1"/>
  <c r="CH61" i="62"/>
  <c r="CH49" i="62"/>
  <c r="CH47" i="62"/>
  <c r="CI48" i="62" s="1"/>
  <c r="CH34" i="62"/>
  <c r="CH32" i="62"/>
  <c r="CI33" i="62" s="1"/>
  <c r="K27" i="25"/>
  <c r="K47" i="25" s="1"/>
  <c r="O48" i="25" s="1"/>
  <c r="O28" i="25"/>
  <c r="CI43" i="62" l="1"/>
  <c r="CI41" i="62"/>
  <c r="CJ42" i="62" s="1"/>
  <c r="CI35" i="62"/>
  <c r="CJ36" i="62" s="1"/>
  <c r="CI37" i="62"/>
  <c r="CI59" i="62"/>
  <c r="CJ60" i="62" s="1"/>
  <c r="CI61" i="62"/>
  <c r="CI52" i="62"/>
  <c r="CI50" i="62"/>
  <c r="CJ51" i="62" s="1"/>
  <c r="CI40" i="62"/>
  <c r="CI38" i="62"/>
  <c r="CJ39" i="62" s="1"/>
  <c r="CS25" i="62"/>
  <c r="CS23" i="62"/>
  <c r="CT24" i="62" s="1"/>
  <c r="CJ31" i="62"/>
  <c r="CJ29" i="62"/>
  <c r="CK30" i="62" s="1"/>
  <c r="CI26" i="62"/>
  <c r="CJ27" i="62" s="1"/>
  <c r="CI28" i="62"/>
  <c r="CI47" i="62"/>
  <c r="CJ48" i="62" s="1"/>
  <c r="CI49" i="62"/>
  <c r="CI44" i="62"/>
  <c r="CJ45" i="62" s="1"/>
  <c r="CI46" i="62"/>
  <c r="CI55" i="62"/>
  <c r="CI53" i="62"/>
  <c r="CJ54" i="62" s="1"/>
  <c r="CI32" i="62"/>
  <c r="CJ33" i="62" s="1"/>
  <c r="CI34" i="62"/>
  <c r="CI58" i="62"/>
  <c r="CI56" i="62"/>
  <c r="CJ57" i="62" s="1"/>
  <c r="CJ34" i="62" l="1"/>
  <c r="CJ32" i="62"/>
  <c r="CK33" i="62" s="1"/>
  <c r="CJ52" i="62"/>
  <c r="CJ50" i="62"/>
  <c r="CK51" i="62" s="1"/>
  <c r="CJ49" i="62"/>
  <c r="CJ47" i="62"/>
  <c r="CK48" i="62" s="1"/>
  <c r="CJ59" i="62"/>
  <c r="CK60" i="62" s="1"/>
  <c r="CJ61" i="62"/>
  <c r="CT25" i="62"/>
  <c r="CT23" i="62"/>
  <c r="CU24" i="62" s="1"/>
  <c r="CJ53" i="62"/>
  <c r="CK54" i="62" s="1"/>
  <c r="CJ55" i="62"/>
  <c r="CJ40" i="62"/>
  <c r="CJ38" i="62"/>
  <c r="CK39" i="62" s="1"/>
  <c r="CJ46" i="62"/>
  <c r="CJ44" i="62"/>
  <c r="CK45" i="62" s="1"/>
  <c r="CJ28" i="62"/>
  <c r="CJ26" i="62"/>
  <c r="CK27" i="62" s="1"/>
  <c r="CJ35" i="62"/>
  <c r="CK36" i="62" s="1"/>
  <c r="CJ37" i="62"/>
  <c r="CJ58" i="62"/>
  <c r="CJ56" i="62"/>
  <c r="CK57" i="62" s="1"/>
  <c r="CK29" i="62"/>
  <c r="CL30" i="62" s="1"/>
  <c r="CK31" i="62"/>
  <c r="CJ43" i="62"/>
  <c r="CJ41" i="62"/>
  <c r="CK42" i="62" s="1"/>
  <c r="CL31" i="62" l="1"/>
  <c r="CL29" i="62"/>
  <c r="CM30" i="62" s="1"/>
  <c r="CK55" i="62"/>
  <c r="CK53" i="62"/>
  <c r="CL54" i="62" s="1"/>
  <c r="CK58" i="62"/>
  <c r="CK56" i="62"/>
  <c r="CL57" i="62" s="1"/>
  <c r="CK35" i="62"/>
  <c r="CL36" i="62" s="1"/>
  <c r="CK37" i="62"/>
  <c r="CK28" i="62"/>
  <c r="CK26" i="62"/>
  <c r="CL27" i="62" s="1"/>
  <c r="CK47" i="62"/>
  <c r="CL48" i="62" s="1"/>
  <c r="CK49" i="62"/>
  <c r="CK46" i="62"/>
  <c r="CK44" i="62"/>
  <c r="CL45" i="62" s="1"/>
  <c r="CK50" i="62"/>
  <c r="CL51" i="62" s="1"/>
  <c r="CK52" i="62"/>
  <c r="CU25" i="62"/>
  <c r="CU23" i="62"/>
  <c r="CV24" i="62" s="1"/>
  <c r="CK59" i="62"/>
  <c r="CL60" i="62" s="1"/>
  <c r="CK61" i="62"/>
  <c r="CK43" i="62"/>
  <c r="CK41" i="62"/>
  <c r="CL42" i="62" s="1"/>
  <c r="CK40" i="62"/>
  <c r="CK38" i="62"/>
  <c r="CL39" i="62" s="1"/>
  <c r="CK32" i="62"/>
  <c r="CL33" i="62" s="1"/>
  <c r="CK34" i="62"/>
  <c r="CL40" i="62" l="1"/>
  <c r="CL38" i="62"/>
  <c r="CM39" i="62" s="1"/>
  <c r="CL43" i="62"/>
  <c r="CL41" i="62"/>
  <c r="CM42" i="62" s="1"/>
  <c r="CL59" i="62"/>
  <c r="CM60" i="62" s="1"/>
  <c r="CL61" i="62"/>
  <c r="CV25" i="62"/>
  <c r="CV23" i="62"/>
  <c r="CW24" i="62" s="1"/>
  <c r="CL56" i="62"/>
  <c r="CM57" i="62" s="1"/>
  <c r="CL58" i="62"/>
  <c r="CL28" i="62"/>
  <c r="CL26" i="62"/>
  <c r="CM27" i="62" s="1"/>
  <c r="CL37" i="62"/>
  <c r="CL35" i="62"/>
  <c r="CM36" i="62" s="1"/>
  <c r="CL50" i="62"/>
  <c r="CM51" i="62" s="1"/>
  <c r="CL52" i="62"/>
  <c r="CL49" i="62"/>
  <c r="CL47" i="62"/>
  <c r="CM48" i="62" s="1"/>
  <c r="CL55" i="62"/>
  <c r="CL53" i="62"/>
  <c r="CM54" i="62" s="1"/>
  <c r="CL34" i="62"/>
  <c r="CL32" i="62"/>
  <c r="CM33" i="62" s="1"/>
  <c r="CL46" i="62"/>
  <c r="CL44" i="62"/>
  <c r="CM45" i="62" s="1"/>
  <c r="CM29" i="62"/>
  <c r="CN30" i="62" s="1"/>
  <c r="CM31" i="62"/>
  <c r="CW25" i="62" l="1"/>
  <c r="CW23" i="62"/>
  <c r="CX24" i="62" s="1"/>
  <c r="CM61" i="62"/>
  <c r="CM59" i="62"/>
  <c r="CN60" i="62" s="1"/>
  <c r="CM53" i="62"/>
  <c r="CN54" i="62" s="1"/>
  <c r="CM55" i="62"/>
  <c r="CM47" i="62"/>
  <c r="CN48" i="62" s="1"/>
  <c r="CM49" i="62"/>
  <c r="CM52" i="62"/>
  <c r="CM50" i="62"/>
  <c r="CN51" i="62" s="1"/>
  <c r="CM41" i="62"/>
  <c r="CN42" i="62" s="1"/>
  <c r="CM43" i="62"/>
  <c r="CM46" i="62"/>
  <c r="CM44" i="62"/>
  <c r="CN45" i="62" s="1"/>
  <c r="CM26" i="62"/>
  <c r="CN27" i="62" s="1"/>
  <c r="CM28" i="62"/>
  <c r="CM56" i="62"/>
  <c r="CN57" i="62" s="1"/>
  <c r="CM58" i="62"/>
  <c r="CN31" i="62"/>
  <c r="CN29" i="62"/>
  <c r="CO30" i="62" s="1"/>
  <c r="CM32" i="62"/>
  <c r="CN33" i="62" s="1"/>
  <c r="CM34" i="62"/>
  <c r="CM35" i="62"/>
  <c r="CN36" i="62" s="1"/>
  <c r="CM37" i="62"/>
  <c r="CM40" i="62"/>
  <c r="CM38" i="62"/>
  <c r="CN39" i="62" s="1"/>
  <c r="CN35" i="62" l="1"/>
  <c r="CO36" i="62" s="1"/>
  <c r="CN37" i="62"/>
  <c r="CN41" i="62"/>
  <c r="CO42" i="62" s="1"/>
  <c r="CN43" i="62"/>
  <c r="CN34" i="62"/>
  <c r="CN32" i="62"/>
  <c r="CO33" i="62" s="1"/>
  <c r="CN52" i="62"/>
  <c r="CN50" i="62"/>
  <c r="CO51" i="62" s="1"/>
  <c r="CN56" i="62"/>
  <c r="CO57" i="62" s="1"/>
  <c r="CN58" i="62"/>
  <c r="CN53" i="62"/>
  <c r="CO54" i="62" s="1"/>
  <c r="CN55" i="62"/>
  <c r="CO29" i="62"/>
  <c r="CP30" i="62" s="1"/>
  <c r="CO31" i="62"/>
  <c r="CN26" i="62"/>
  <c r="CO27" i="62" s="1"/>
  <c r="CN28" i="62"/>
  <c r="CN49" i="62"/>
  <c r="CN47" i="62"/>
  <c r="CO48" i="62" s="1"/>
  <c r="CN61" i="62"/>
  <c r="CN59" i="62"/>
  <c r="CO60" i="62" s="1"/>
  <c r="CN40" i="62"/>
  <c r="CN38" i="62"/>
  <c r="CO39" i="62" s="1"/>
  <c r="CN46" i="62"/>
  <c r="CN44" i="62"/>
  <c r="CO45" i="62" s="1"/>
  <c r="CX25" i="62"/>
  <c r="CX23" i="62"/>
  <c r="CY24" i="62" s="1"/>
  <c r="CO38" i="62" l="1"/>
  <c r="CP39" i="62" s="1"/>
  <c r="CO40" i="62"/>
  <c r="CO44" i="62"/>
  <c r="CP45" i="62" s="1"/>
  <c r="CO46" i="62"/>
  <c r="CO56" i="62"/>
  <c r="CP57" i="62" s="1"/>
  <c r="CO58" i="62"/>
  <c r="CO59" i="62"/>
  <c r="CP60" i="62" s="1"/>
  <c r="CO61" i="62"/>
  <c r="CO52" i="62"/>
  <c r="CO50" i="62"/>
  <c r="CP51" i="62" s="1"/>
  <c r="CO47" i="62"/>
  <c r="CP48" i="62" s="1"/>
  <c r="CO49" i="62"/>
  <c r="CO32" i="62"/>
  <c r="CP33" i="62" s="1"/>
  <c r="CO34" i="62"/>
  <c r="CO53" i="62"/>
  <c r="CP54" i="62" s="1"/>
  <c r="CO55" i="62"/>
  <c r="CO26" i="62"/>
  <c r="CP27" i="62" s="1"/>
  <c r="CO28" i="62"/>
  <c r="CO41" i="62"/>
  <c r="CP42" i="62" s="1"/>
  <c r="CO43" i="62"/>
  <c r="CP31" i="62"/>
  <c r="CP29" i="62"/>
  <c r="CQ30" i="62" s="1"/>
  <c r="CO35" i="62"/>
  <c r="CP36" i="62" s="1"/>
  <c r="CO37" i="62"/>
  <c r="CY25" i="62"/>
  <c r="CY23" i="62"/>
  <c r="CZ24" i="62" s="1"/>
  <c r="CQ29" i="62" l="1"/>
  <c r="CR30" i="62" s="1"/>
  <c r="CQ31" i="62"/>
  <c r="CP61" i="62"/>
  <c r="CP59" i="62"/>
  <c r="CQ60" i="62" s="1"/>
  <c r="CP26" i="62"/>
  <c r="CQ27" i="62" s="1"/>
  <c r="CP28" i="62"/>
  <c r="CP56" i="62"/>
  <c r="CQ57" i="62" s="1"/>
  <c r="CP58" i="62"/>
  <c r="CP43" i="62"/>
  <c r="CP41" i="62"/>
  <c r="CQ42" i="62" s="1"/>
  <c r="CP53" i="62"/>
  <c r="CQ54" i="62" s="1"/>
  <c r="CP55" i="62"/>
  <c r="CP44" i="62"/>
  <c r="CQ45" i="62" s="1"/>
  <c r="CP46" i="62"/>
  <c r="CP50" i="62"/>
  <c r="CQ51" i="62" s="1"/>
  <c r="CP52" i="62"/>
  <c r="CP37" i="62"/>
  <c r="CP35" i="62"/>
  <c r="CQ36" i="62" s="1"/>
  <c r="CP49" i="62"/>
  <c r="CP47" i="62"/>
  <c r="CQ48" i="62" s="1"/>
  <c r="CP32" i="62"/>
  <c r="CQ33" i="62" s="1"/>
  <c r="CP34" i="62"/>
  <c r="CP38" i="62"/>
  <c r="CQ39" i="62" s="1"/>
  <c r="CP40" i="62"/>
  <c r="CZ25" i="62"/>
  <c r="CZ23" i="62"/>
  <c r="DA24" i="62" s="1"/>
  <c r="DA23" i="62" l="1"/>
  <c r="DB24" i="62" s="1"/>
  <c r="DA25" i="62"/>
  <c r="CQ53" i="62"/>
  <c r="CR54" i="62" s="1"/>
  <c r="CQ55" i="62"/>
  <c r="CQ28" i="62"/>
  <c r="CQ26" i="62"/>
  <c r="CR27" i="62" s="1"/>
  <c r="CQ56" i="62"/>
  <c r="CR57" i="62" s="1"/>
  <c r="CQ58" i="62"/>
  <c r="CQ37" i="62"/>
  <c r="CQ35" i="62"/>
  <c r="CR36" i="62" s="1"/>
  <c r="CQ50" i="62"/>
  <c r="CR51" i="62" s="1"/>
  <c r="CQ52" i="62"/>
  <c r="CQ34" i="62"/>
  <c r="CQ32" i="62"/>
  <c r="CR33" i="62" s="1"/>
  <c r="CQ41" i="62"/>
  <c r="CR42" i="62" s="1"/>
  <c r="CQ43" i="62"/>
  <c r="CQ59" i="62"/>
  <c r="CR60" i="62" s="1"/>
  <c r="CQ61" i="62"/>
  <c r="CQ38" i="62"/>
  <c r="CR39" i="62" s="1"/>
  <c r="CQ40" i="62"/>
  <c r="CQ47" i="62"/>
  <c r="CR48" i="62" s="1"/>
  <c r="CQ49" i="62"/>
  <c r="CQ44" i="62"/>
  <c r="CR45" i="62" s="1"/>
  <c r="CQ46" i="62"/>
  <c r="CR29" i="62"/>
  <c r="CS30" i="62" s="1"/>
  <c r="CR31" i="62"/>
  <c r="CR35" i="62" l="1"/>
  <c r="CS36" i="62" s="1"/>
  <c r="CR37" i="62"/>
  <c r="CR56" i="62"/>
  <c r="CS57" i="62" s="1"/>
  <c r="CR58" i="62"/>
  <c r="CR28" i="62"/>
  <c r="CR26" i="62"/>
  <c r="CS27" i="62" s="1"/>
  <c r="CR47" i="62"/>
  <c r="CS48" i="62" s="1"/>
  <c r="CR49" i="62"/>
  <c r="CR61" i="62"/>
  <c r="CR59" i="62"/>
  <c r="CS60" i="62" s="1"/>
  <c r="CR41" i="62"/>
  <c r="CS42" i="62" s="1"/>
  <c r="CR43" i="62"/>
  <c r="CR53" i="62"/>
  <c r="CS54" i="62" s="1"/>
  <c r="CR55" i="62"/>
  <c r="CR50" i="62"/>
  <c r="CS51" i="62" s="1"/>
  <c r="CR52" i="62"/>
  <c r="CR40" i="62"/>
  <c r="CR38" i="62"/>
  <c r="CS39" i="62" s="1"/>
  <c r="CS29" i="62"/>
  <c r="CT30" i="62" s="1"/>
  <c r="CS31" i="62"/>
  <c r="DB23" i="62"/>
  <c r="DC24" i="62" s="1"/>
  <c r="DB25" i="62"/>
  <c r="CR46" i="62"/>
  <c r="CR44" i="62"/>
  <c r="CS45" i="62" s="1"/>
  <c r="CR32" i="62"/>
  <c r="CS33" i="62" s="1"/>
  <c r="CR34" i="62"/>
  <c r="CS40" i="62" l="1"/>
  <c r="CS38" i="62"/>
  <c r="CT39" i="62" s="1"/>
  <c r="CS26" i="62"/>
  <c r="CT27" i="62" s="1"/>
  <c r="CS28" i="62"/>
  <c r="CS43" i="62"/>
  <c r="CS41" i="62"/>
  <c r="CT42" i="62" s="1"/>
  <c r="CS44" i="62"/>
  <c r="CT45" i="62" s="1"/>
  <c r="CS46" i="62"/>
  <c r="CS61" i="62"/>
  <c r="CS59" i="62"/>
  <c r="CT60" i="62" s="1"/>
  <c r="CS52" i="62"/>
  <c r="CS50" i="62"/>
  <c r="CT51" i="62" s="1"/>
  <c r="CS56" i="62"/>
  <c r="CT57" i="62" s="1"/>
  <c r="CS58" i="62"/>
  <c r="DC23" i="62"/>
  <c r="DD24" i="62" s="1"/>
  <c r="DC25" i="62"/>
  <c r="CT31" i="62"/>
  <c r="CT29" i="62"/>
  <c r="CU30" i="62" s="1"/>
  <c r="CS47" i="62"/>
  <c r="CT48" i="62" s="1"/>
  <c r="CS49" i="62"/>
  <c r="CS34" i="62"/>
  <c r="CS32" i="62"/>
  <c r="CT33" i="62" s="1"/>
  <c r="CS55" i="62"/>
  <c r="CS53" i="62"/>
  <c r="CT54" i="62" s="1"/>
  <c r="CS35" i="62"/>
  <c r="CT36" i="62" s="1"/>
  <c r="CS37" i="62"/>
  <c r="CT52" i="62" l="1"/>
  <c r="CT50" i="62"/>
  <c r="CU51" i="62" s="1"/>
  <c r="CU29" i="62"/>
  <c r="CV30" i="62" s="1"/>
  <c r="CU31" i="62"/>
  <c r="CT43" i="62"/>
  <c r="CT41" i="62"/>
  <c r="CU42" i="62" s="1"/>
  <c r="CT61" i="62"/>
  <c r="CT59" i="62"/>
  <c r="CU60" i="62" s="1"/>
  <c r="DD23" i="62"/>
  <c r="DE24" i="62" s="1"/>
  <c r="DD25" i="62"/>
  <c r="CT26" i="62"/>
  <c r="CU27" i="62" s="1"/>
  <c r="CT28" i="62"/>
  <c r="CT53" i="62"/>
  <c r="CU54" i="62" s="1"/>
  <c r="CT55" i="62"/>
  <c r="CT34" i="62"/>
  <c r="CT32" i="62"/>
  <c r="CU33" i="62" s="1"/>
  <c r="CT44" i="62"/>
  <c r="CU45" i="62" s="1"/>
  <c r="CT46" i="62"/>
  <c r="CT35" i="62"/>
  <c r="CU36" i="62" s="1"/>
  <c r="CT37" i="62"/>
  <c r="CT56" i="62"/>
  <c r="CU57" i="62" s="1"/>
  <c r="CT58" i="62"/>
  <c r="CT47" i="62"/>
  <c r="CU48" i="62" s="1"/>
  <c r="CT49" i="62"/>
  <c r="CT40" i="62"/>
  <c r="CT38" i="62"/>
  <c r="CU39" i="62" s="1"/>
  <c r="CU43" i="62" l="1"/>
  <c r="CU41" i="62"/>
  <c r="CV42" i="62" s="1"/>
  <c r="CU35" i="62"/>
  <c r="CV36" i="62" s="1"/>
  <c r="CU37" i="62"/>
  <c r="CU59" i="62"/>
  <c r="CV60" i="62" s="1"/>
  <c r="CU61" i="62"/>
  <c r="CU44" i="62"/>
  <c r="CV45" i="62" s="1"/>
  <c r="CU46" i="62"/>
  <c r="CV31" i="62"/>
  <c r="CV29" i="62"/>
  <c r="CW30" i="62" s="1"/>
  <c r="CU49" i="62"/>
  <c r="CU47" i="62"/>
  <c r="CV48" i="62" s="1"/>
  <c r="CU26" i="62"/>
  <c r="CV27" i="62" s="1"/>
  <c r="CU28" i="62"/>
  <c r="CU58" i="62"/>
  <c r="CU56" i="62"/>
  <c r="CV57" i="62" s="1"/>
  <c r="DE25" i="62"/>
  <c r="DE23" i="62"/>
  <c r="DF24" i="62" s="1"/>
  <c r="CU53" i="62"/>
  <c r="CV54" i="62" s="1"/>
  <c r="CU55" i="62"/>
  <c r="CU34" i="62"/>
  <c r="CU32" i="62"/>
  <c r="CV33" i="62" s="1"/>
  <c r="CU40" i="62"/>
  <c r="CU38" i="62"/>
  <c r="CV39" i="62" s="1"/>
  <c r="CU52" i="62"/>
  <c r="CU50" i="62"/>
  <c r="CV51" i="62" s="1"/>
  <c r="CV34" i="62" l="1"/>
  <c r="CV32" i="62"/>
  <c r="CW33" i="62" s="1"/>
  <c r="CV46" i="62"/>
  <c r="CV44" i="62"/>
  <c r="CW45" i="62" s="1"/>
  <c r="CV61" i="62"/>
  <c r="CV59" i="62"/>
  <c r="CW60" i="62" s="1"/>
  <c r="CV49" i="62"/>
  <c r="CV47" i="62"/>
  <c r="CW48" i="62" s="1"/>
  <c r="DF23" i="62"/>
  <c r="DG24" i="62" s="1"/>
  <c r="DF25" i="62"/>
  <c r="CV37" i="62"/>
  <c r="CV35" i="62"/>
  <c r="CW36" i="62" s="1"/>
  <c r="CW29" i="62"/>
  <c r="CX30" i="62" s="1"/>
  <c r="CW31" i="62"/>
  <c r="CV55" i="62"/>
  <c r="CV53" i="62"/>
  <c r="CW54" i="62" s="1"/>
  <c r="CV58" i="62"/>
  <c r="CV56" i="62"/>
  <c r="CW57" i="62" s="1"/>
  <c r="CV38" i="62"/>
  <c r="CW39" i="62" s="1"/>
  <c r="CV40" i="62"/>
  <c r="CV28" i="62"/>
  <c r="CV26" i="62"/>
  <c r="CW27" i="62" s="1"/>
  <c r="CV52" i="62"/>
  <c r="CV50" i="62"/>
  <c r="CW51" i="62" s="1"/>
  <c r="CV43" i="62"/>
  <c r="CV41" i="62"/>
  <c r="CW42" i="62" s="1"/>
  <c r="CW49" i="62" l="1"/>
  <c r="CW47" i="62"/>
  <c r="CX48" i="62" s="1"/>
  <c r="CW28" i="62"/>
  <c r="CW26" i="62"/>
  <c r="CX27" i="62" s="1"/>
  <c r="CW40" i="62"/>
  <c r="CW38" i="62"/>
  <c r="CX39" i="62" s="1"/>
  <c r="CW56" i="62"/>
  <c r="CX57" i="62" s="1"/>
  <c r="CW58" i="62"/>
  <c r="CW59" i="62"/>
  <c r="CX60" i="62" s="1"/>
  <c r="CW61" i="62"/>
  <c r="CW53" i="62"/>
  <c r="CX54" i="62" s="1"/>
  <c r="CW55" i="62"/>
  <c r="CW46" i="62"/>
  <c r="CW44" i="62"/>
  <c r="CX45" i="62" s="1"/>
  <c r="CX31" i="62"/>
  <c r="CX29" i="62"/>
  <c r="CY30" i="62" s="1"/>
  <c r="CW50" i="62"/>
  <c r="CX51" i="62" s="1"/>
  <c r="CW52" i="62"/>
  <c r="CW37" i="62"/>
  <c r="CW35" i="62"/>
  <c r="CX36" i="62" s="1"/>
  <c r="DG25" i="62"/>
  <c r="DG23" i="62"/>
  <c r="DH24" i="62" s="1"/>
  <c r="CW43" i="62"/>
  <c r="CW41" i="62"/>
  <c r="CX42" i="62" s="1"/>
  <c r="CW32" i="62"/>
  <c r="CX33" i="62" s="1"/>
  <c r="CW34" i="62"/>
  <c r="CX53" i="62" l="1"/>
  <c r="CY54" i="62" s="1"/>
  <c r="CX55" i="62"/>
  <c r="CX52" i="62"/>
  <c r="CX50" i="62"/>
  <c r="CY51" i="62" s="1"/>
  <c r="CX37" i="62"/>
  <c r="CX35" i="62"/>
  <c r="CY36" i="62" s="1"/>
  <c r="CX40" i="62"/>
  <c r="CX38" i="62"/>
  <c r="CY39" i="62" s="1"/>
  <c r="CX43" i="62"/>
  <c r="CX41" i="62"/>
  <c r="CY42" i="62" s="1"/>
  <c r="CY29" i="62"/>
  <c r="CZ30" i="62" s="1"/>
  <c r="CY31" i="62"/>
  <c r="CX28" i="62"/>
  <c r="CX26" i="62"/>
  <c r="CY27" i="62" s="1"/>
  <c r="CX61" i="62"/>
  <c r="CX59" i="62"/>
  <c r="CY60" i="62" s="1"/>
  <c r="DH25" i="62"/>
  <c r="DH23" i="62"/>
  <c r="DI24" i="62" s="1"/>
  <c r="CX56" i="62"/>
  <c r="CY57" i="62" s="1"/>
  <c r="CX58" i="62"/>
  <c r="CX32" i="62"/>
  <c r="CY33" i="62" s="1"/>
  <c r="CX34" i="62"/>
  <c r="CX46" i="62"/>
  <c r="CX44" i="62"/>
  <c r="CY45" i="62" s="1"/>
  <c r="CX49" i="62"/>
  <c r="CX47" i="62"/>
  <c r="CY48" i="62" s="1"/>
  <c r="CZ31" i="62" l="1"/>
  <c r="CZ29" i="62"/>
  <c r="DA30" i="62" s="1"/>
  <c r="DI25" i="62"/>
  <c r="DI23" i="62"/>
  <c r="DJ24" i="62" s="1"/>
  <c r="CY35" i="62"/>
  <c r="CZ36" i="62" s="1"/>
  <c r="CY37" i="62"/>
  <c r="CY34" i="62"/>
  <c r="CY32" i="62"/>
  <c r="CZ33" i="62" s="1"/>
  <c r="CY43" i="62"/>
  <c r="CY41" i="62"/>
  <c r="CZ42" i="62" s="1"/>
  <c r="CY38" i="62"/>
  <c r="CZ39" i="62" s="1"/>
  <c r="CY40" i="62"/>
  <c r="CY56" i="62"/>
  <c r="CZ57" i="62" s="1"/>
  <c r="CY58" i="62"/>
  <c r="CY61" i="62"/>
  <c r="CY59" i="62"/>
  <c r="CZ60" i="62" s="1"/>
  <c r="CY50" i="62"/>
  <c r="CZ51" i="62" s="1"/>
  <c r="CY52" i="62"/>
  <c r="CY46" i="62"/>
  <c r="CY44" i="62"/>
  <c r="CZ45" i="62" s="1"/>
  <c r="CY53" i="62"/>
  <c r="CZ54" i="62" s="1"/>
  <c r="CY55" i="62"/>
  <c r="CY47" i="62"/>
  <c r="CZ48" i="62" s="1"/>
  <c r="CY49" i="62"/>
  <c r="CY28" i="62"/>
  <c r="CY26" i="62"/>
  <c r="CZ27" i="62" s="1"/>
  <c r="CZ55" i="62" l="1"/>
  <c r="CZ53" i="62"/>
  <c r="DA54" i="62" s="1"/>
  <c r="CZ46" i="62"/>
  <c r="CZ44" i="62"/>
  <c r="DA45" i="62" s="1"/>
  <c r="CZ34" i="62"/>
  <c r="CZ32" i="62"/>
  <c r="DA33" i="62" s="1"/>
  <c r="CZ52" i="62"/>
  <c r="CZ50" i="62"/>
  <c r="DA51" i="62" s="1"/>
  <c r="CZ35" i="62"/>
  <c r="DA36" i="62" s="1"/>
  <c r="CZ37" i="62"/>
  <c r="CZ41" i="62"/>
  <c r="DA42" i="62" s="1"/>
  <c r="CZ43" i="62"/>
  <c r="CZ61" i="62"/>
  <c r="CZ59" i="62"/>
  <c r="DA60" i="62" s="1"/>
  <c r="DJ25" i="62"/>
  <c r="DJ23" i="62"/>
  <c r="DK24" i="62" s="1"/>
  <c r="CZ38" i="62"/>
  <c r="DA39" i="62" s="1"/>
  <c r="CZ40" i="62"/>
  <c r="CZ47" i="62"/>
  <c r="DA48" i="62" s="1"/>
  <c r="CZ49" i="62"/>
  <c r="CZ56" i="62"/>
  <c r="DA57" i="62" s="1"/>
  <c r="CZ58" i="62"/>
  <c r="CZ28" i="62"/>
  <c r="CZ26" i="62"/>
  <c r="DA27" i="62" s="1"/>
  <c r="DA29" i="62"/>
  <c r="DB30" i="62" s="1"/>
  <c r="DA31" i="62"/>
  <c r="DA26" i="62" l="1"/>
  <c r="DB27" i="62" s="1"/>
  <c r="DA28" i="62"/>
  <c r="DA40" i="62"/>
  <c r="DA38" i="62"/>
  <c r="DB39" i="62" s="1"/>
  <c r="DA47" i="62"/>
  <c r="DB48" i="62" s="1"/>
  <c r="DA49" i="62"/>
  <c r="DA50" i="62"/>
  <c r="DB51" i="62" s="1"/>
  <c r="DA52" i="62"/>
  <c r="DA32" i="62"/>
  <c r="DB33" i="62" s="1"/>
  <c r="DA34" i="62"/>
  <c r="DK25" i="62"/>
  <c r="DK23" i="62"/>
  <c r="DL24" i="62" s="1"/>
  <c r="DA44" i="62"/>
  <c r="DB45" i="62" s="1"/>
  <c r="DA46" i="62"/>
  <c r="DA35" i="62"/>
  <c r="DB36" i="62" s="1"/>
  <c r="DA37" i="62"/>
  <c r="DB31" i="62"/>
  <c r="DB29" i="62"/>
  <c r="DC30" i="62" s="1"/>
  <c r="DA41" i="62"/>
  <c r="DB42" i="62" s="1"/>
  <c r="DA43" i="62"/>
  <c r="DA56" i="62"/>
  <c r="DB57" i="62" s="1"/>
  <c r="DA58" i="62"/>
  <c r="DA61" i="62"/>
  <c r="DA59" i="62"/>
  <c r="DB60" i="62" s="1"/>
  <c r="DA53" i="62"/>
  <c r="DB54" i="62" s="1"/>
  <c r="DA55" i="62"/>
  <c r="DB59" i="62" l="1"/>
  <c r="DC60" i="62" s="1"/>
  <c r="DB61" i="62"/>
  <c r="DB56" i="62"/>
  <c r="DC57" i="62" s="1"/>
  <c r="DB58" i="62"/>
  <c r="DB34" i="62"/>
  <c r="DB32" i="62"/>
  <c r="DC33" i="62" s="1"/>
  <c r="DB49" i="62"/>
  <c r="DB47" i="62"/>
  <c r="DC48" i="62" s="1"/>
  <c r="DB41" i="62"/>
  <c r="DC42" i="62" s="1"/>
  <c r="DB43" i="62"/>
  <c r="DB50" i="62"/>
  <c r="DC51" i="62" s="1"/>
  <c r="DB52" i="62"/>
  <c r="DB38" i="62"/>
  <c r="DC39" i="62" s="1"/>
  <c r="DB40" i="62"/>
  <c r="DL23" i="62"/>
  <c r="DM24" i="62" s="1"/>
  <c r="DL25" i="62"/>
  <c r="DC31" i="62"/>
  <c r="DC29" i="62"/>
  <c r="DD30" i="62" s="1"/>
  <c r="DB37" i="62"/>
  <c r="DB35" i="62"/>
  <c r="DC36" i="62" s="1"/>
  <c r="DB53" i="62"/>
  <c r="DC54" i="62" s="1"/>
  <c r="DB55" i="62"/>
  <c r="DB44" i="62"/>
  <c r="DC45" i="62" s="1"/>
  <c r="DB46" i="62"/>
  <c r="DB26" i="62"/>
  <c r="DC27" i="62" s="1"/>
  <c r="DB28" i="62"/>
  <c r="DC41" i="62" l="1"/>
  <c r="DD42" i="62" s="1"/>
  <c r="DC43" i="62"/>
  <c r="DD29" i="62"/>
  <c r="DE30" i="62" s="1"/>
  <c r="DD31" i="62"/>
  <c r="DC34" i="62"/>
  <c r="DC32" i="62"/>
  <c r="DD33" i="62" s="1"/>
  <c r="DC44" i="62"/>
  <c r="DD45" i="62" s="1"/>
  <c r="DC46" i="62"/>
  <c r="DC55" i="62"/>
  <c r="DC53" i="62"/>
  <c r="DD54" i="62" s="1"/>
  <c r="DC37" i="62"/>
  <c r="DC35" i="62"/>
  <c r="DD36" i="62" s="1"/>
  <c r="DC49" i="62"/>
  <c r="DC47" i="62"/>
  <c r="DD48" i="62" s="1"/>
  <c r="DM23" i="62"/>
  <c r="DN24" i="62" s="1"/>
  <c r="DM25" i="62"/>
  <c r="DC56" i="62"/>
  <c r="DD57" i="62" s="1"/>
  <c r="DC58" i="62"/>
  <c r="DC52" i="62"/>
  <c r="DC50" i="62"/>
  <c r="DD51" i="62" s="1"/>
  <c r="DC26" i="62"/>
  <c r="DD27" i="62" s="1"/>
  <c r="DC28" i="62"/>
  <c r="DC38" i="62"/>
  <c r="DD39" i="62" s="1"/>
  <c r="DC40" i="62"/>
  <c r="DC61" i="62"/>
  <c r="DC59" i="62"/>
  <c r="DD60" i="62" s="1"/>
  <c r="DD53" i="62" l="1"/>
  <c r="DE54" i="62" s="1"/>
  <c r="DD55" i="62"/>
  <c r="DD46" i="62"/>
  <c r="DD44" i="62"/>
  <c r="DE45" i="62" s="1"/>
  <c r="DD50" i="62"/>
  <c r="DE51" i="62" s="1"/>
  <c r="DD52" i="62"/>
  <c r="DD38" i="62"/>
  <c r="DE39" i="62" s="1"/>
  <c r="DD40" i="62"/>
  <c r="DD35" i="62"/>
  <c r="DE36" i="62" s="1"/>
  <c r="DD37" i="62"/>
  <c r="DD28" i="62"/>
  <c r="DD26" i="62"/>
  <c r="DE27" i="62" s="1"/>
  <c r="DD32" i="62"/>
  <c r="DE33" i="62" s="1"/>
  <c r="DD34" i="62"/>
  <c r="DD56" i="62"/>
  <c r="DE57" i="62" s="1"/>
  <c r="DD58" i="62"/>
  <c r="DN23" i="62"/>
  <c r="DO24" i="62" s="1"/>
  <c r="DN25" i="62"/>
  <c r="DE31" i="62"/>
  <c r="DE29" i="62"/>
  <c r="DF30" i="62" s="1"/>
  <c r="DD43" i="62"/>
  <c r="DD41" i="62"/>
  <c r="DE42" i="62" s="1"/>
  <c r="DD59" i="62"/>
  <c r="DE60" i="62" s="1"/>
  <c r="DD61" i="62"/>
  <c r="DD47" i="62"/>
  <c r="DE48" i="62" s="1"/>
  <c r="DD49" i="62"/>
  <c r="DE28" i="62" l="1"/>
  <c r="DE26" i="62"/>
  <c r="DF27" i="62" s="1"/>
  <c r="DE43" i="62"/>
  <c r="DE41" i="62"/>
  <c r="DF42" i="62" s="1"/>
  <c r="DO23" i="62"/>
  <c r="DP24" i="62" s="1"/>
  <c r="DO25" i="62"/>
  <c r="DE52" i="62"/>
  <c r="DE50" i="62"/>
  <c r="DF51" i="62" s="1"/>
  <c r="DE59" i="62"/>
  <c r="DF60" i="62" s="1"/>
  <c r="DE61" i="62"/>
  <c r="DE40" i="62"/>
  <c r="DE38" i="62"/>
  <c r="DF39" i="62" s="1"/>
  <c r="DE37" i="62"/>
  <c r="DE35" i="62"/>
  <c r="DF36" i="62" s="1"/>
  <c r="DF31" i="62"/>
  <c r="DF29" i="62"/>
  <c r="DG30" i="62" s="1"/>
  <c r="DE46" i="62"/>
  <c r="DE44" i="62"/>
  <c r="DF45" i="62" s="1"/>
  <c r="DE58" i="62"/>
  <c r="DE56" i="62"/>
  <c r="DF57" i="62" s="1"/>
  <c r="DE49" i="62"/>
  <c r="DE47" i="62"/>
  <c r="DF48" i="62" s="1"/>
  <c r="DE34" i="62"/>
  <c r="DE32" i="62"/>
  <c r="DF33" i="62" s="1"/>
  <c r="DE55" i="62"/>
  <c r="DE53" i="62"/>
  <c r="DF54" i="62" s="1"/>
  <c r="DF40" i="62" l="1"/>
  <c r="DF38" i="62"/>
  <c r="DG39" i="62" s="1"/>
  <c r="DF61" i="62"/>
  <c r="DF59" i="62"/>
  <c r="DG60" i="62" s="1"/>
  <c r="DP23" i="62"/>
  <c r="DQ24" i="62" s="1"/>
  <c r="DP25" i="62"/>
  <c r="DF50" i="62"/>
  <c r="DG51" i="62" s="1"/>
  <c r="DF52" i="62"/>
  <c r="DF44" i="62"/>
  <c r="DG45" i="62" s="1"/>
  <c r="DF46" i="62"/>
  <c r="DF34" i="62"/>
  <c r="DF32" i="62"/>
  <c r="DG33" i="62" s="1"/>
  <c r="DF49" i="62"/>
  <c r="DF47" i="62"/>
  <c r="DG48" i="62" s="1"/>
  <c r="DG31" i="62"/>
  <c r="DG29" i="62"/>
  <c r="DH30" i="62" s="1"/>
  <c r="DF41" i="62"/>
  <c r="DG42" i="62" s="1"/>
  <c r="DF43" i="62"/>
  <c r="DF56" i="62"/>
  <c r="DG57" i="62" s="1"/>
  <c r="DF58" i="62"/>
  <c r="DF55" i="62"/>
  <c r="DF53" i="62"/>
  <c r="DG54" i="62" s="1"/>
  <c r="DF37" i="62"/>
  <c r="DF35" i="62"/>
  <c r="DG36" i="62" s="1"/>
  <c r="DF26" i="62"/>
  <c r="DG27" i="62" s="1"/>
  <c r="DF28" i="62"/>
  <c r="DG34" i="62" l="1"/>
  <c r="DG32" i="62"/>
  <c r="DH33" i="62" s="1"/>
  <c r="DG53" i="62"/>
  <c r="DH54" i="62" s="1"/>
  <c r="DG55" i="62"/>
  <c r="DG58" i="62"/>
  <c r="DG56" i="62"/>
  <c r="DH57" i="62" s="1"/>
  <c r="DG43" i="62"/>
  <c r="DG41" i="62"/>
  <c r="DH42" i="62" s="1"/>
  <c r="DQ25" i="62"/>
  <c r="DQ23" i="62"/>
  <c r="DR24" i="62" s="1"/>
  <c r="DG37" i="62"/>
  <c r="DG35" i="62"/>
  <c r="DH36" i="62" s="1"/>
  <c r="DH31" i="62"/>
  <c r="DH29" i="62"/>
  <c r="DI30" i="62" s="1"/>
  <c r="DG59" i="62"/>
  <c r="DH60" i="62" s="1"/>
  <c r="DG61" i="62"/>
  <c r="DG44" i="62"/>
  <c r="DH45" i="62" s="1"/>
  <c r="DG46" i="62"/>
  <c r="DG52" i="62"/>
  <c r="DG50" i="62"/>
  <c r="DH51" i="62" s="1"/>
  <c r="DG26" i="62"/>
  <c r="DH27" i="62" s="1"/>
  <c r="DG28" i="62"/>
  <c r="DG49" i="62"/>
  <c r="DG47" i="62"/>
  <c r="DH48" i="62" s="1"/>
  <c r="DG40" i="62"/>
  <c r="DG38" i="62"/>
  <c r="DH39" i="62" s="1"/>
  <c r="DH35" i="62" l="1"/>
  <c r="DI36" i="62" s="1"/>
  <c r="DH37" i="62"/>
  <c r="DR25" i="62"/>
  <c r="DR23" i="62"/>
  <c r="DS24" i="62" s="1"/>
  <c r="DH58" i="62"/>
  <c r="DH56" i="62"/>
  <c r="DI57" i="62" s="1"/>
  <c r="DH52" i="62"/>
  <c r="DH50" i="62"/>
  <c r="DI51" i="62" s="1"/>
  <c r="DH43" i="62"/>
  <c r="DH41" i="62"/>
  <c r="DI42" i="62" s="1"/>
  <c r="DH46" i="62"/>
  <c r="DH44" i="62"/>
  <c r="DI45" i="62" s="1"/>
  <c r="DH59" i="62"/>
  <c r="DI60" i="62" s="1"/>
  <c r="DH61" i="62"/>
  <c r="DH53" i="62"/>
  <c r="DI54" i="62" s="1"/>
  <c r="DH55" i="62"/>
  <c r="DH47" i="62"/>
  <c r="DI48" i="62" s="1"/>
  <c r="DH49" i="62"/>
  <c r="DH28" i="62"/>
  <c r="DH26" i="62"/>
  <c r="DI27" i="62" s="1"/>
  <c r="DH38" i="62"/>
  <c r="DI39" i="62" s="1"/>
  <c r="DH40" i="62"/>
  <c r="DI31" i="62"/>
  <c r="DI29" i="62"/>
  <c r="DJ30" i="62" s="1"/>
  <c r="DH32" i="62"/>
  <c r="DI33" i="62" s="1"/>
  <c r="DH34" i="62"/>
  <c r="DI46" i="62" l="1"/>
  <c r="DI44" i="62"/>
  <c r="DJ45" i="62" s="1"/>
  <c r="DI38" i="62"/>
  <c r="DJ39" i="62" s="1"/>
  <c r="DI40" i="62"/>
  <c r="DI43" i="62"/>
  <c r="DI41" i="62"/>
  <c r="DJ42" i="62" s="1"/>
  <c r="DI56" i="62"/>
  <c r="DJ57" i="62" s="1"/>
  <c r="DI58" i="62"/>
  <c r="DI50" i="62"/>
  <c r="DJ51" i="62" s="1"/>
  <c r="DI52" i="62"/>
  <c r="DJ31" i="62"/>
  <c r="DJ29" i="62"/>
  <c r="DK30" i="62" s="1"/>
  <c r="DS25" i="62"/>
  <c r="DS23" i="62"/>
  <c r="DT24" i="62" s="1"/>
  <c r="DI28" i="62"/>
  <c r="DI26" i="62"/>
  <c r="DJ27" i="62" s="1"/>
  <c r="DI49" i="62"/>
  <c r="DI47" i="62"/>
  <c r="DJ48" i="62" s="1"/>
  <c r="DI53" i="62"/>
  <c r="DJ54" i="62" s="1"/>
  <c r="DI55" i="62"/>
  <c r="DI34" i="62"/>
  <c r="DI32" i="62"/>
  <c r="DJ33" i="62" s="1"/>
  <c r="DI61" i="62"/>
  <c r="DI59" i="62"/>
  <c r="DJ60" i="62" s="1"/>
  <c r="DI35" i="62"/>
  <c r="DJ36" i="62" s="1"/>
  <c r="DI37" i="62"/>
  <c r="DJ58" i="62" l="1"/>
  <c r="DJ56" i="62"/>
  <c r="DK57" i="62" s="1"/>
  <c r="DJ49" i="62"/>
  <c r="DJ47" i="62"/>
  <c r="DK48" i="62" s="1"/>
  <c r="DJ41" i="62"/>
  <c r="DK42" i="62" s="1"/>
  <c r="DJ43" i="62"/>
  <c r="DK29" i="62"/>
  <c r="DL30" i="62" s="1"/>
  <c r="DK31" i="62"/>
  <c r="DJ38" i="62"/>
  <c r="DK39" i="62" s="1"/>
  <c r="DJ40" i="62"/>
  <c r="DJ50" i="62"/>
  <c r="DK51" i="62" s="1"/>
  <c r="DJ52" i="62"/>
  <c r="DJ28" i="62"/>
  <c r="DJ26" i="62"/>
  <c r="DK27" i="62" s="1"/>
  <c r="DJ55" i="62"/>
  <c r="DJ53" i="62"/>
  <c r="DK54" i="62" s="1"/>
  <c r="DJ37" i="62"/>
  <c r="DJ35" i="62"/>
  <c r="DK36" i="62" s="1"/>
  <c r="DJ61" i="62"/>
  <c r="DJ59" i="62"/>
  <c r="DK60" i="62" s="1"/>
  <c r="DJ32" i="62"/>
  <c r="DK33" i="62" s="1"/>
  <c r="DJ34" i="62"/>
  <c r="DT25" i="62"/>
  <c r="DT23" i="62"/>
  <c r="DU24" i="62" s="1"/>
  <c r="DJ46" i="62"/>
  <c r="DJ44" i="62"/>
  <c r="DK45" i="62" s="1"/>
  <c r="DK41" i="62" l="1"/>
  <c r="DL42" i="62" s="1"/>
  <c r="DK43" i="62"/>
  <c r="DK40" i="62"/>
  <c r="DK38" i="62"/>
  <c r="DL39" i="62" s="1"/>
  <c r="DK52" i="62"/>
  <c r="DK50" i="62"/>
  <c r="DL51" i="62" s="1"/>
  <c r="DL29" i="62"/>
  <c r="DM30" i="62" s="1"/>
  <c r="DL31" i="62"/>
  <c r="DK37" i="62"/>
  <c r="DK35" i="62"/>
  <c r="DL36" i="62" s="1"/>
  <c r="DK61" i="62"/>
  <c r="DK59" i="62"/>
  <c r="DL60" i="62" s="1"/>
  <c r="DK53" i="62"/>
  <c r="DL54" i="62" s="1"/>
  <c r="DK55" i="62"/>
  <c r="DK49" i="62"/>
  <c r="DK47" i="62"/>
  <c r="DL48" i="62" s="1"/>
  <c r="DU25" i="62"/>
  <c r="DU23" i="62"/>
  <c r="DV24" i="62" s="1"/>
  <c r="DK34" i="62"/>
  <c r="DK32" i="62"/>
  <c r="DL33" i="62" s="1"/>
  <c r="DK44" i="62"/>
  <c r="DL45" i="62" s="1"/>
  <c r="DK46" i="62"/>
  <c r="DK26" i="62"/>
  <c r="DL27" i="62" s="1"/>
  <c r="DK28" i="62"/>
  <c r="DK56" i="62"/>
  <c r="DL57" i="62" s="1"/>
  <c r="DK58" i="62"/>
  <c r="DV23" i="62" l="1"/>
  <c r="DW24" i="62" s="1"/>
  <c r="DV25" i="62"/>
  <c r="DL52" i="62"/>
  <c r="DL50" i="62"/>
  <c r="DM51" i="62" s="1"/>
  <c r="DL59" i="62"/>
  <c r="DM60" i="62" s="1"/>
  <c r="DL61" i="62"/>
  <c r="DL44" i="62"/>
  <c r="DM45" i="62" s="1"/>
  <c r="DL46" i="62"/>
  <c r="DL37" i="62"/>
  <c r="DL35" i="62"/>
  <c r="DM36" i="62" s="1"/>
  <c r="DM31" i="62"/>
  <c r="DM29" i="62"/>
  <c r="DN30" i="62" s="1"/>
  <c r="DL34" i="62"/>
  <c r="DL32" i="62"/>
  <c r="DM33" i="62" s="1"/>
  <c r="DL47" i="62"/>
  <c r="DM48" i="62" s="1"/>
  <c r="DL49" i="62"/>
  <c r="DL38" i="62"/>
  <c r="DM39" i="62" s="1"/>
  <c r="DL40" i="62"/>
  <c r="DL26" i="62"/>
  <c r="DM27" i="62" s="1"/>
  <c r="DL28" i="62"/>
  <c r="DL56" i="62"/>
  <c r="DM57" i="62" s="1"/>
  <c r="DL58" i="62"/>
  <c r="DL53" i="62"/>
  <c r="DM54" i="62" s="1"/>
  <c r="DL55" i="62"/>
  <c r="DL41" i="62"/>
  <c r="DM42" i="62" s="1"/>
  <c r="DL43" i="62"/>
  <c r="DM38" i="62" l="1"/>
  <c r="DN39" i="62" s="1"/>
  <c r="DM40" i="62"/>
  <c r="DM59" i="62"/>
  <c r="DN60" i="62" s="1"/>
  <c r="DM61" i="62"/>
  <c r="DM53" i="62"/>
  <c r="DN54" i="62" s="1"/>
  <c r="DM55" i="62"/>
  <c r="DN29" i="62"/>
  <c r="DO30" i="62" s="1"/>
  <c r="DN31" i="62"/>
  <c r="DM58" i="62"/>
  <c r="DM56" i="62"/>
  <c r="DN57" i="62" s="1"/>
  <c r="DM35" i="62"/>
  <c r="DN36" i="62" s="1"/>
  <c r="DM37" i="62"/>
  <c r="DM26" i="62"/>
  <c r="DN27" i="62" s="1"/>
  <c r="DM28" i="62"/>
  <c r="DM49" i="62"/>
  <c r="DM47" i="62"/>
  <c r="DN48" i="62" s="1"/>
  <c r="DM50" i="62"/>
  <c r="DN51" i="62" s="1"/>
  <c r="DM52" i="62"/>
  <c r="DM44" i="62"/>
  <c r="DN45" i="62" s="1"/>
  <c r="DM46" i="62"/>
  <c r="DM41" i="62"/>
  <c r="DN42" i="62" s="1"/>
  <c r="DM43" i="62"/>
  <c r="DW25" i="62"/>
  <c r="DW23" i="62"/>
  <c r="DX24" i="62" s="1"/>
  <c r="DM34" i="62"/>
  <c r="DM32" i="62"/>
  <c r="DN33" i="62" s="1"/>
  <c r="DX25" i="62" l="1"/>
  <c r="DX23" i="62"/>
  <c r="DY24" i="62" s="1"/>
  <c r="DN50" i="62"/>
  <c r="DO51" i="62" s="1"/>
  <c r="DN52" i="62"/>
  <c r="DN53" i="62"/>
  <c r="DO54" i="62" s="1"/>
  <c r="DN55" i="62"/>
  <c r="DN61" i="62"/>
  <c r="DN59" i="62"/>
  <c r="DO60" i="62" s="1"/>
  <c r="DN56" i="62"/>
  <c r="DO57" i="62" s="1"/>
  <c r="DN58" i="62"/>
  <c r="DO31" i="62"/>
  <c r="DO29" i="62"/>
  <c r="DP30" i="62" s="1"/>
  <c r="DN47" i="62"/>
  <c r="DO48" i="62" s="1"/>
  <c r="DN49" i="62"/>
  <c r="DN44" i="62"/>
  <c r="DO45" i="62" s="1"/>
  <c r="DN46" i="62"/>
  <c r="DN26" i="62"/>
  <c r="DO27" i="62" s="1"/>
  <c r="DN28" i="62"/>
  <c r="DN38" i="62"/>
  <c r="DO39" i="62" s="1"/>
  <c r="DN40" i="62"/>
  <c r="DN35" i="62"/>
  <c r="DO36" i="62" s="1"/>
  <c r="DN37" i="62"/>
  <c r="DN41" i="62"/>
  <c r="DO42" i="62" s="1"/>
  <c r="DN43" i="62"/>
  <c r="DN34" i="62"/>
  <c r="DN32" i="62"/>
  <c r="DO33" i="62" s="1"/>
  <c r="DO41" i="62" l="1"/>
  <c r="DP42" i="62" s="1"/>
  <c r="DO43" i="62"/>
  <c r="DP29" i="62"/>
  <c r="DQ30" i="62" s="1"/>
  <c r="DP31" i="62"/>
  <c r="DO58" i="62"/>
  <c r="DO56" i="62"/>
  <c r="DP57" i="62" s="1"/>
  <c r="DO59" i="62"/>
  <c r="DP60" i="62" s="1"/>
  <c r="DO61" i="62"/>
  <c r="DO26" i="62"/>
  <c r="DP27" i="62" s="1"/>
  <c r="DO28" i="62"/>
  <c r="DO53" i="62"/>
  <c r="DP54" i="62" s="1"/>
  <c r="DO55" i="62"/>
  <c r="DO44" i="62"/>
  <c r="DP45" i="62" s="1"/>
  <c r="DO46" i="62"/>
  <c r="DO52" i="62"/>
  <c r="DO50" i="62"/>
  <c r="DP51" i="62" s="1"/>
  <c r="DO37" i="62"/>
  <c r="DO35" i="62"/>
  <c r="DP36" i="62" s="1"/>
  <c r="DO49" i="62"/>
  <c r="DO47" i="62"/>
  <c r="DP48" i="62" s="1"/>
  <c r="DO38" i="62"/>
  <c r="DP39" i="62" s="1"/>
  <c r="DO40" i="62"/>
  <c r="DO32" i="62"/>
  <c r="DP33" i="62" s="1"/>
  <c r="DO34" i="62"/>
  <c r="DY23" i="62"/>
  <c r="DZ24" i="62" s="1"/>
  <c r="DY25" i="62"/>
  <c r="DP53" i="62" l="1"/>
  <c r="DQ54" i="62" s="1"/>
  <c r="DP55" i="62"/>
  <c r="DP47" i="62"/>
  <c r="DQ48" i="62" s="1"/>
  <c r="DP49" i="62"/>
  <c r="DP26" i="62"/>
  <c r="DQ27" i="62" s="1"/>
  <c r="DP28" i="62"/>
  <c r="DP35" i="62"/>
  <c r="DQ36" i="62" s="1"/>
  <c r="DP37" i="62"/>
  <c r="DP58" i="62"/>
  <c r="DP56" i="62"/>
  <c r="DQ57" i="62" s="1"/>
  <c r="DP32" i="62"/>
  <c r="DQ33" i="62" s="1"/>
  <c r="DP34" i="62"/>
  <c r="DP61" i="62"/>
  <c r="DP59" i="62"/>
  <c r="DQ60" i="62" s="1"/>
  <c r="DQ31" i="62"/>
  <c r="DQ29" i="62"/>
  <c r="DR30" i="62" s="1"/>
  <c r="DP38" i="62"/>
  <c r="DQ39" i="62" s="1"/>
  <c r="DP40" i="62"/>
  <c r="DP50" i="62"/>
  <c r="DQ51" i="62" s="1"/>
  <c r="DP52" i="62"/>
  <c r="DZ23" i="62"/>
  <c r="EA24" i="62" s="1"/>
  <c r="DZ25" i="62"/>
  <c r="DP44" i="62"/>
  <c r="DQ45" i="62" s="1"/>
  <c r="DP46" i="62"/>
  <c r="DP41" i="62"/>
  <c r="DQ42" i="62" s="1"/>
  <c r="DP43" i="62"/>
  <c r="DQ52" i="62" l="1"/>
  <c r="DQ50" i="62"/>
  <c r="DR51" i="62" s="1"/>
  <c r="DQ40" i="62"/>
  <c r="DQ38" i="62"/>
  <c r="DR39" i="62" s="1"/>
  <c r="DQ26" i="62"/>
  <c r="DR27" i="62" s="1"/>
  <c r="DQ28" i="62"/>
  <c r="EA23" i="62"/>
  <c r="EB24" i="62" s="1"/>
  <c r="EA25" i="62"/>
  <c r="DQ56" i="62"/>
  <c r="DR57" i="62" s="1"/>
  <c r="DQ58" i="62"/>
  <c r="DQ49" i="62"/>
  <c r="DQ47" i="62"/>
  <c r="DR48" i="62" s="1"/>
  <c r="DQ44" i="62"/>
  <c r="DR45" i="62" s="1"/>
  <c r="DQ46" i="62"/>
  <c r="DQ32" i="62"/>
  <c r="DR33" i="62" s="1"/>
  <c r="DQ34" i="62"/>
  <c r="DR31" i="62"/>
  <c r="DR29" i="62"/>
  <c r="DS30" i="62" s="1"/>
  <c r="DQ35" i="62"/>
  <c r="DR36" i="62" s="1"/>
  <c r="DQ37" i="62"/>
  <c r="DQ43" i="62"/>
  <c r="DQ41" i="62"/>
  <c r="DR42" i="62" s="1"/>
  <c r="DQ53" i="62"/>
  <c r="DR54" i="62" s="1"/>
  <c r="DQ55" i="62"/>
  <c r="DQ59" i="62"/>
  <c r="DR60" i="62" s="1"/>
  <c r="DQ61" i="62"/>
  <c r="DR55" i="62" l="1"/>
  <c r="DR53" i="62"/>
  <c r="DS54" i="62" s="1"/>
  <c r="DR47" i="62"/>
  <c r="DS48" i="62" s="1"/>
  <c r="DR49" i="62"/>
  <c r="DR58" i="62"/>
  <c r="DR56" i="62"/>
  <c r="DS57" i="62" s="1"/>
  <c r="DR26" i="62"/>
  <c r="DS27" i="62" s="1"/>
  <c r="DR28" i="62"/>
  <c r="DS29" i="62"/>
  <c r="DS31" i="62"/>
  <c r="DR43" i="62"/>
  <c r="DR41" i="62"/>
  <c r="DS42" i="62" s="1"/>
  <c r="DR35" i="62"/>
  <c r="DS36" i="62" s="1"/>
  <c r="DR37" i="62"/>
  <c r="EB23" i="62"/>
  <c r="EC24" i="62" s="1"/>
  <c r="EB25" i="62"/>
  <c r="DR34" i="62"/>
  <c r="DR32" i="62"/>
  <c r="DS33" i="62" s="1"/>
  <c r="DR40" i="62"/>
  <c r="DR38" i="62"/>
  <c r="DS39" i="62" s="1"/>
  <c r="DR61" i="62"/>
  <c r="DR59" i="62"/>
  <c r="DS60" i="62" s="1"/>
  <c r="DR46" i="62"/>
  <c r="DR44" i="62"/>
  <c r="DS45" i="62" s="1"/>
  <c r="DR52" i="62"/>
  <c r="DR50" i="62"/>
  <c r="DS51" i="62" s="1"/>
  <c r="DS3" i="62"/>
  <c r="DS38" i="62" l="1"/>
  <c r="DS40" i="62"/>
  <c r="DT30" i="62"/>
  <c r="DS5" i="62"/>
  <c r="DS34" i="62"/>
  <c r="DS32" i="62"/>
  <c r="DS58" i="62"/>
  <c r="DS56" i="62"/>
  <c r="DS43" i="62"/>
  <c r="DS41" i="62"/>
  <c r="DT31" i="62"/>
  <c r="DT29" i="62"/>
  <c r="DS28" i="62"/>
  <c r="DS26" i="62"/>
  <c r="EC25" i="62"/>
  <c r="EC23" i="62"/>
  <c r="ED24" i="62" s="1"/>
  <c r="DS49" i="62"/>
  <c r="DS47" i="62"/>
  <c r="DS37" i="62"/>
  <c r="DS35" i="62"/>
  <c r="DS44" i="62"/>
  <c r="DS46" i="62"/>
  <c r="DS59" i="62"/>
  <c r="DS61" i="62"/>
  <c r="DS50" i="62"/>
  <c r="DS52" i="62"/>
  <c r="DS55" i="62"/>
  <c r="DS53" i="62"/>
  <c r="DT3" i="62"/>
  <c r="DT59" i="62" l="1"/>
  <c r="DT61" i="62"/>
  <c r="DT46" i="62"/>
  <c r="DT44" i="62"/>
  <c r="DT36" i="62"/>
  <c r="DS7" i="62"/>
  <c r="DT56" i="62"/>
  <c r="DT58" i="62"/>
  <c r="DT48" i="62"/>
  <c r="DS11" i="62"/>
  <c r="DT33" i="62"/>
  <c r="DS6" i="62"/>
  <c r="DT60" i="62"/>
  <c r="DS15" i="62"/>
  <c r="DT43" i="62"/>
  <c r="DT41" i="62"/>
  <c r="DT35" i="62"/>
  <c r="DT37" i="62"/>
  <c r="DT49" i="62"/>
  <c r="DT47" i="62"/>
  <c r="DT34" i="62"/>
  <c r="DT32" i="62"/>
  <c r="DU31" i="62"/>
  <c r="DU29" i="62"/>
  <c r="DT45" i="62"/>
  <c r="DS10" i="62"/>
  <c r="DT53" i="62"/>
  <c r="DT55" i="62"/>
  <c r="DT52" i="62"/>
  <c r="DT50" i="62"/>
  <c r="DT27" i="62"/>
  <c r="DS4" i="62"/>
  <c r="DT40" i="62"/>
  <c r="DT38" i="62"/>
  <c r="DU30" i="62"/>
  <c r="DT5" i="62"/>
  <c r="DT42" i="62"/>
  <c r="DS9" i="62"/>
  <c r="DT57" i="62"/>
  <c r="DS14" i="62"/>
  <c r="DT54" i="62"/>
  <c r="DS13" i="62"/>
  <c r="ED25" i="62"/>
  <c r="ED23" i="62"/>
  <c r="EE24" i="62" s="1"/>
  <c r="DT51" i="62"/>
  <c r="DS12" i="62"/>
  <c r="DT28" i="62"/>
  <c r="DT26" i="62"/>
  <c r="DT39" i="62"/>
  <c r="DS8" i="62"/>
  <c r="DU3" i="62"/>
  <c r="DU56" i="62" l="1"/>
  <c r="DU58" i="62"/>
  <c r="EE25" i="62"/>
  <c r="EE23" i="62"/>
  <c r="EF24" i="62" s="1"/>
  <c r="DU49" i="62"/>
  <c r="DU47" i="62"/>
  <c r="DU57" i="62"/>
  <c r="DT14" i="62"/>
  <c r="DU51" i="62"/>
  <c r="DT12" i="62"/>
  <c r="DU35" i="62"/>
  <c r="DU37" i="62"/>
  <c r="DU48" i="62"/>
  <c r="DT11" i="62"/>
  <c r="DU33" i="62"/>
  <c r="DT6" i="62"/>
  <c r="DU50" i="62"/>
  <c r="DU52" i="62"/>
  <c r="DU55" i="62"/>
  <c r="DU53" i="62"/>
  <c r="DU42" i="62"/>
  <c r="DT9" i="62"/>
  <c r="DU45" i="62"/>
  <c r="DT10" i="62"/>
  <c r="DU34" i="62"/>
  <c r="DU32" i="62"/>
  <c r="DU43" i="62"/>
  <c r="DU41" i="62"/>
  <c r="DU46" i="62"/>
  <c r="DU44" i="62"/>
  <c r="DU27" i="62"/>
  <c r="DT4" i="62"/>
  <c r="DV30" i="62"/>
  <c r="DU5" i="62"/>
  <c r="DU28" i="62"/>
  <c r="DU26" i="62"/>
  <c r="DV31" i="62"/>
  <c r="DV29" i="62"/>
  <c r="DU39" i="62"/>
  <c r="DT8" i="62"/>
  <c r="DU40" i="62"/>
  <c r="DU38" i="62"/>
  <c r="DU36" i="62"/>
  <c r="DT7" i="62"/>
  <c r="DU54" i="62"/>
  <c r="DT13" i="62"/>
  <c r="DU61" i="62"/>
  <c r="DU59" i="62"/>
  <c r="DU60" i="62"/>
  <c r="DT15" i="62"/>
  <c r="DV3" i="62"/>
  <c r="DV39" i="62" l="1"/>
  <c r="DU8" i="62"/>
  <c r="DV45" i="62"/>
  <c r="DU10" i="62"/>
  <c r="DV52" i="62"/>
  <c r="DV50" i="62"/>
  <c r="DV48" i="62"/>
  <c r="DU11" i="62"/>
  <c r="DV55" i="62"/>
  <c r="DV53" i="62"/>
  <c r="DV40" i="62"/>
  <c r="DV38" i="62"/>
  <c r="DV46" i="62"/>
  <c r="DV44" i="62"/>
  <c r="DV51" i="62"/>
  <c r="DU12" i="62"/>
  <c r="DV49" i="62"/>
  <c r="DV47" i="62"/>
  <c r="DV27" i="62"/>
  <c r="DU4" i="62"/>
  <c r="DV59" i="62"/>
  <c r="DV61" i="62"/>
  <c r="DV54" i="62"/>
  <c r="DU13" i="62"/>
  <c r="DV42" i="62"/>
  <c r="DU9" i="62"/>
  <c r="DV60" i="62"/>
  <c r="DU15" i="62"/>
  <c r="EF25" i="62"/>
  <c r="EF23" i="62"/>
  <c r="EG24" i="62" s="1"/>
  <c r="DV41" i="62"/>
  <c r="DV43" i="62"/>
  <c r="DW30" i="62"/>
  <c r="DV5" i="62"/>
  <c r="DV33" i="62"/>
  <c r="DU6" i="62"/>
  <c r="DV56" i="62"/>
  <c r="DV58" i="62"/>
  <c r="DV37" i="62"/>
  <c r="DV35" i="62"/>
  <c r="DV28" i="62"/>
  <c r="DV26" i="62"/>
  <c r="DV36" i="62"/>
  <c r="DU7" i="62"/>
  <c r="DW31" i="62"/>
  <c r="DW29" i="62"/>
  <c r="DV32" i="62"/>
  <c r="DV34" i="62"/>
  <c r="DV57" i="62"/>
  <c r="DU14" i="62"/>
  <c r="DW3" i="62"/>
  <c r="DW57" i="62" l="1"/>
  <c r="DV14" i="62"/>
  <c r="DW39" i="62"/>
  <c r="DV8" i="62"/>
  <c r="DW38" i="62"/>
  <c r="DW40" i="62"/>
  <c r="DW42" i="62"/>
  <c r="DV9" i="62"/>
  <c r="DW48" i="62"/>
  <c r="DV11" i="62"/>
  <c r="DW51" i="62"/>
  <c r="DV12" i="62"/>
  <c r="DW61" i="62"/>
  <c r="DW59" i="62"/>
  <c r="DW53" i="62"/>
  <c r="DW55" i="62"/>
  <c r="DW47" i="62"/>
  <c r="DW49" i="62"/>
  <c r="DW52" i="62"/>
  <c r="DW50" i="62"/>
  <c r="DX30" i="62"/>
  <c r="DW5" i="62"/>
  <c r="DW54" i="62"/>
  <c r="DV13" i="62"/>
  <c r="DX31" i="62"/>
  <c r="DX29" i="62"/>
  <c r="DW41" i="62"/>
  <c r="DW43" i="62"/>
  <c r="DW27" i="62"/>
  <c r="DV4" i="62"/>
  <c r="DW28" i="62"/>
  <c r="DW26" i="62"/>
  <c r="EG25" i="62"/>
  <c r="EG23" i="62"/>
  <c r="EH24" i="62" s="1"/>
  <c r="DW36" i="62"/>
  <c r="DV7" i="62"/>
  <c r="DW32" i="62"/>
  <c r="DW34" i="62"/>
  <c r="DW33" i="62"/>
  <c r="DV6" i="62"/>
  <c r="DW60" i="62"/>
  <c r="DV15" i="62"/>
  <c r="DW35" i="62"/>
  <c r="DW37" i="62"/>
  <c r="DW56" i="62"/>
  <c r="DW58" i="62"/>
  <c r="DW45" i="62"/>
  <c r="DV10" i="62"/>
  <c r="DW44" i="62"/>
  <c r="DW46" i="62"/>
  <c r="DX3" i="62"/>
  <c r="DX49" i="62" l="1"/>
  <c r="DX47" i="62"/>
  <c r="DX38" i="62"/>
  <c r="DX40" i="62"/>
  <c r="EH23" i="62"/>
  <c r="EI24" i="62" s="1"/>
  <c r="EH25" i="62"/>
  <c r="DX27" i="62"/>
  <c r="DW4" i="62"/>
  <c r="DX48" i="62"/>
  <c r="DW11" i="62"/>
  <c r="DX39" i="62"/>
  <c r="DW8" i="62"/>
  <c r="DX41" i="62"/>
  <c r="DX43" i="62"/>
  <c r="DX53" i="62"/>
  <c r="DX55" i="62"/>
  <c r="DX58" i="62"/>
  <c r="DX56" i="62"/>
  <c r="DX57" i="62"/>
  <c r="DW14" i="62"/>
  <c r="DX35" i="62"/>
  <c r="DX37" i="62"/>
  <c r="DX51" i="62"/>
  <c r="DW12" i="62"/>
  <c r="DX36" i="62"/>
  <c r="DW7" i="62"/>
  <c r="DX28" i="62"/>
  <c r="DX26" i="62"/>
  <c r="DX52" i="62"/>
  <c r="DX50" i="62"/>
  <c r="DX42" i="62"/>
  <c r="DW9" i="62"/>
  <c r="DX54" i="62"/>
  <c r="DW13" i="62"/>
  <c r="DX44" i="62"/>
  <c r="DX46" i="62"/>
  <c r="DX32" i="62"/>
  <c r="DX34" i="62"/>
  <c r="DY30" i="62"/>
  <c r="DX5" i="62"/>
  <c r="DX60" i="62"/>
  <c r="DW15" i="62"/>
  <c r="DX45" i="62"/>
  <c r="DW10" i="62"/>
  <c r="DX33" i="62"/>
  <c r="DW6" i="62"/>
  <c r="DY29" i="62"/>
  <c r="DY31" i="62"/>
  <c r="DX59" i="62"/>
  <c r="DX61" i="62"/>
  <c r="DY3" i="62"/>
  <c r="DZ29" i="62" l="1"/>
  <c r="DZ31" i="62"/>
  <c r="DY51" i="62"/>
  <c r="DX12" i="62"/>
  <c r="DY57" i="62"/>
  <c r="DX14" i="62"/>
  <c r="EI25" i="62"/>
  <c r="EI23" i="62"/>
  <c r="EJ24" i="62" s="1"/>
  <c r="DY44" i="62"/>
  <c r="DY46" i="62"/>
  <c r="DY45" i="62"/>
  <c r="DX10" i="62"/>
  <c r="DY36" i="62"/>
  <c r="DX7" i="62"/>
  <c r="DY56" i="62"/>
  <c r="DY58" i="62"/>
  <c r="DY27" i="62"/>
  <c r="DX4" i="62"/>
  <c r="DY53" i="62"/>
  <c r="DY55" i="62"/>
  <c r="DY40" i="62"/>
  <c r="DY38" i="62"/>
  <c r="DZ30" i="62"/>
  <c r="DY5" i="62"/>
  <c r="DY26" i="62"/>
  <c r="DY28" i="62"/>
  <c r="DY54" i="62"/>
  <c r="DX13" i="62"/>
  <c r="DY39" i="62"/>
  <c r="DX8" i="62"/>
  <c r="DY37" i="62"/>
  <c r="DY35" i="62"/>
  <c r="DY50" i="62"/>
  <c r="DY52" i="62"/>
  <c r="DY61" i="62"/>
  <c r="DY59" i="62"/>
  <c r="DY34" i="62"/>
  <c r="DY32" i="62"/>
  <c r="DY41" i="62"/>
  <c r="DY43" i="62"/>
  <c r="DY48" i="62"/>
  <c r="DX11" i="62"/>
  <c r="DY60" i="62"/>
  <c r="DX15" i="62"/>
  <c r="DY33" i="62"/>
  <c r="DX6" i="62"/>
  <c r="DY42" i="62"/>
  <c r="DX9" i="62"/>
  <c r="DY49" i="62"/>
  <c r="DY47" i="62"/>
  <c r="DZ3" i="62"/>
  <c r="DZ60" i="62" l="1"/>
  <c r="DY15" i="62"/>
  <c r="DZ35" i="62"/>
  <c r="DZ37" i="62"/>
  <c r="DZ54" i="62"/>
  <c r="DY13" i="62"/>
  <c r="EJ23" i="62"/>
  <c r="EK24" i="62" s="1"/>
  <c r="EJ25" i="62"/>
  <c r="DZ50" i="62"/>
  <c r="DZ52" i="62"/>
  <c r="DZ38" i="62"/>
  <c r="DZ40" i="62"/>
  <c r="DZ39" i="62"/>
  <c r="DY8" i="62"/>
  <c r="DZ51" i="62"/>
  <c r="DY12" i="62"/>
  <c r="DZ36" i="62"/>
  <c r="DY7" i="62"/>
  <c r="DZ41" i="62"/>
  <c r="DZ43" i="62"/>
  <c r="DZ56" i="62"/>
  <c r="DZ58" i="62"/>
  <c r="DZ42" i="62"/>
  <c r="DY9" i="62"/>
  <c r="DZ59" i="62"/>
  <c r="DZ61" i="62"/>
  <c r="DZ44" i="62"/>
  <c r="DZ46" i="62"/>
  <c r="DZ55" i="62"/>
  <c r="DZ53" i="62"/>
  <c r="DZ57" i="62"/>
  <c r="DY14" i="62"/>
  <c r="DZ48" i="62"/>
  <c r="DY11" i="62"/>
  <c r="DZ33" i="62"/>
  <c r="DY6" i="62"/>
  <c r="DZ26" i="62"/>
  <c r="DZ28" i="62"/>
  <c r="EA29" i="62"/>
  <c r="EA31" i="62"/>
  <c r="DZ45" i="62"/>
  <c r="DY10" i="62"/>
  <c r="DZ47" i="62"/>
  <c r="DZ49" i="62"/>
  <c r="DZ32" i="62"/>
  <c r="DZ34" i="62"/>
  <c r="DZ27" i="62"/>
  <c r="DY4" i="62"/>
  <c r="EA30" i="62"/>
  <c r="DZ5" i="62"/>
  <c r="EA3" i="62"/>
  <c r="EA39" i="62" l="1"/>
  <c r="DZ8" i="62"/>
  <c r="EA32" i="62"/>
  <c r="EA34" i="62"/>
  <c r="EA33" i="62"/>
  <c r="DZ6" i="62"/>
  <c r="EA57" i="62"/>
  <c r="DZ14" i="62"/>
  <c r="EA41" i="62"/>
  <c r="EA43" i="62"/>
  <c r="EA54" i="62"/>
  <c r="DZ13" i="62"/>
  <c r="EA38" i="62"/>
  <c r="EA40" i="62"/>
  <c r="EA51" i="62"/>
  <c r="DZ12" i="62"/>
  <c r="EK23" i="62"/>
  <c r="EL24" i="62" s="1"/>
  <c r="EK25" i="62"/>
  <c r="EA48" i="62"/>
  <c r="DZ11" i="62"/>
  <c r="EA42" i="62"/>
  <c r="DZ9" i="62"/>
  <c r="EA55" i="62"/>
  <c r="EA53" i="62"/>
  <c r="EB31" i="62"/>
  <c r="EB29" i="62"/>
  <c r="EA44" i="62"/>
  <c r="EA46" i="62"/>
  <c r="EA35" i="62"/>
  <c r="EA37" i="62"/>
  <c r="EA56" i="62"/>
  <c r="EA58" i="62"/>
  <c r="EA36" i="62"/>
  <c r="DZ7" i="62"/>
  <c r="EA50" i="62"/>
  <c r="EA52" i="62"/>
  <c r="EA47" i="62"/>
  <c r="EA49" i="62"/>
  <c r="EB30" i="62"/>
  <c r="EA5" i="62"/>
  <c r="EA45" i="62"/>
  <c r="DZ10" i="62"/>
  <c r="EA26" i="62"/>
  <c r="EA28" i="62"/>
  <c r="EA59" i="62"/>
  <c r="EA61" i="62"/>
  <c r="EA27" i="62"/>
  <c r="DZ4" i="62"/>
  <c r="EA60" i="62"/>
  <c r="DZ15" i="62"/>
  <c r="EB3" i="62"/>
  <c r="EB58" i="62" l="1"/>
  <c r="EB56" i="62"/>
  <c r="EB57" i="62"/>
  <c r="EA14" i="62"/>
  <c r="EB37" i="62"/>
  <c r="EB35" i="62"/>
  <c r="EL23" i="62"/>
  <c r="EM24" i="62" s="1"/>
  <c r="EL25" i="62"/>
  <c r="EB54" i="62"/>
  <c r="EA13" i="62"/>
  <c r="EB36" i="62"/>
  <c r="EA7" i="62"/>
  <c r="EB60" i="62"/>
  <c r="EA15" i="62"/>
  <c r="EB42" i="62"/>
  <c r="EA9" i="62"/>
  <c r="EB28" i="62"/>
  <c r="EB26" i="62"/>
  <c r="EB27" i="62"/>
  <c r="EA4" i="62"/>
  <c r="EB46" i="62"/>
  <c r="EB44" i="62"/>
  <c r="EB32" i="62"/>
  <c r="EB34" i="62"/>
  <c r="EB33" i="62"/>
  <c r="EA6" i="62"/>
  <c r="EB51" i="62"/>
  <c r="EA12" i="62"/>
  <c r="EB41" i="62"/>
  <c r="EB43" i="62"/>
  <c r="EB45" i="62"/>
  <c r="EA10" i="62"/>
  <c r="EB49" i="62"/>
  <c r="EB47" i="62"/>
  <c r="EC30" i="62"/>
  <c r="EB5" i="62"/>
  <c r="EB38" i="62"/>
  <c r="EB40" i="62"/>
  <c r="EB52" i="62"/>
  <c r="EB50" i="62"/>
  <c r="EB53" i="62"/>
  <c r="EB55" i="62"/>
  <c r="EB61" i="62"/>
  <c r="EB59" i="62"/>
  <c r="EB48" i="62"/>
  <c r="EA11" i="62"/>
  <c r="EC29" i="62"/>
  <c r="EC31" i="62"/>
  <c r="EB39" i="62"/>
  <c r="EA8" i="62"/>
  <c r="EC3" i="62"/>
  <c r="EC33" i="62" l="1"/>
  <c r="EB6" i="62"/>
  <c r="EC48" i="62"/>
  <c r="EB11" i="62"/>
  <c r="EC53" i="62"/>
  <c r="EC55" i="62"/>
  <c r="EC43" i="62"/>
  <c r="EC41" i="62"/>
  <c r="EC27" i="62"/>
  <c r="EB4" i="62"/>
  <c r="EC36" i="62"/>
  <c r="EB7" i="62"/>
  <c r="ED31" i="62"/>
  <c r="ED29" i="62"/>
  <c r="EC46" i="62"/>
  <c r="EC44" i="62"/>
  <c r="EC60" i="62"/>
  <c r="EB15" i="62"/>
  <c r="EC59" i="62"/>
  <c r="EC61" i="62"/>
  <c r="EC54" i="62"/>
  <c r="EB13" i="62"/>
  <c r="EC28" i="62"/>
  <c r="EC26" i="62"/>
  <c r="EC37" i="62"/>
  <c r="EC35" i="62"/>
  <c r="EM23" i="62"/>
  <c r="EN24" i="62" s="1"/>
  <c r="EM25" i="62"/>
  <c r="EC42" i="62"/>
  <c r="EB9" i="62"/>
  <c r="EC51" i="62"/>
  <c r="EB12" i="62"/>
  <c r="EC45" i="62"/>
  <c r="EB10" i="62"/>
  <c r="EC47" i="62"/>
  <c r="EC49" i="62"/>
  <c r="EC52" i="62"/>
  <c r="EC50" i="62"/>
  <c r="EC34" i="62"/>
  <c r="EC32" i="62"/>
  <c r="EC38" i="62"/>
  <c r="EC40" i="62"/>
  <c r="EC57" i="62"/>
  <c r="EB14" i="62"/>
  <c r="ED30" i="62"/>
  <c r="EC5" i="62"/>
  <c r="EC39" i="62"/>
  <c r="EB8" i="62"/>
  <c r="EC58" i="62"/>
  <c r="EC56" i="62"/>
  <c r="ED3" i="62"/>
  <c r="ED60" i="62" l="1"/>
  <c r="EC15" i="62"/>
  <c r="ED41" i="62"/>
  <c r="ED43" i="62"/>
  <c r="ED40" i="62"/>
  <c r="ED38" i="62"/>
  <c r="ED55" i="62"/>
  <c r="ED53" i="62"/>
  <c r="ED54" i="62"/>
  <c r="EC13" i="62"/>
  <c r="ED49" i="62"/>
  <c r="ED47" i="62"/>
  <c r="ED33" i="62"/>
  <c r="EC6" i="62"/>
  <c r="EN25" i="62"/>
  <c r="EN23" i="62"/>
  <c r="EO24" i="62" s="1"/>
  <c r="ED45" i="62"/>
  <c r="EC10" i="62"/>
  <c r="ED61" i="62"/>
  <c r="ED59" i="62"/>
  <c r="ED42" i="62"/>
  <c r="EC9" i="62"/>
  <c r="ED39" i="62"/>
  <c r="EC8" i="62"/>
  <c r="ED32" i="62"/>
  <c r="ED34" i="62"/>
  <c r="ED28" i="62"/>
  <c r="ED26" i="62"/>
  <c r="ED46" i="62"/>
  <c r="ED44" i="62"/>
  <c r="ED57" i="62"/>
  <c r="EC14" i="62"/>
  <c r="ED51" i="62"/>
  <c r="EC12" i="62"/>
  <c r="ED36" i="62"/>
  <c r="EC7" i="62"/>
  <c r="EE30" i="62"/>
  <c r="ED5" i="62"/>
  <c r="ED27" i="62"/>
  <c r="EC4" i="62"/>
  <c r="ED48" i="62"/>
  <c r="EC11" i="62"/>
  <c r="ED56" i="62"/>
  <c r="ED58" i="62"/>
  <c r="ED52" i="62"/>
  <c r="ED50" i="62"/>
  <c r="ED37" i="62"/>
  <c r="ED35" i="62"/>
  <c r="EE31" i="62"/>
  <c r="EE29" i="62"/>
  <c r="EE3" i="62"/>
  <c r="EF29" i="62" l="1"/>
  <c r="EF31" i="62"/>
  <c r="EE48" i="62"/>
  <c r="ED11" i="62"/>
  <c r="EE59" i="62"/>
  <c r="EE61" i="62"/>
  <c r="EE53" i="62"/>
  <c r="EE55" i="62"/>
  <c r="EE45" i="62"/>
  <c r="ED10" i="62"/>
  <c r="EE39" i="62"/>
  <c r="ED8" i="62"/>
  <c r="EE52" i="62"/>
  <c r="EE50" i="62"/>
  <c r="EE40" i="62"/>
  <c r="EE38" i="62"/>
  <c r="EE36" i="62"/>
  <c r="ED7" i="62"/>
  <c r="EE37" i="62"/>
  <c r="EE35" i="62"/>
  <c r="EE54" i="62"/>
  <c r="ED13" i="62"/>
  <c r="EE43" i="62"/>
  <c r="EE41" i="62"/>
  <c r="EE47" i="62"/>
  <c r="EE49" i="62"/>
  <c r="EE51" i="62"/>
  <c r="ED12" i="62"/>
  <c r="EE56" i="62"/>
  <c r="EE58" i="62"/>
  <c r="EE60" i="62"/>
  <c r="ED15" i="62"/>
  <c r="EE57" i="62"/>
  <c r="ED14" i="62"/>
  <c r="EO25" i="62"/>
  <c r="EO23" i="62"/>
  <c r="EP24" i="62" s="1"/>
  <c r="EE42" i="62"/>
  <c r="ED9" i="62"/>
  <c r="EE44" i="62"/>
  <c r="EE46" i="62"/>
  <c r="EE27" i="62"/>
  <c r="ED4" i="62"/>
  <c r="EE26" i="62"/>
  <c r="EE28" i="62"/>
  <c r="EF30" i="62"/>
  <c r="EE5" i="62"/>
  <c r="EE34" i="62"/>
  <c r="EE32" i="62"/>
  <c r="EE33" i="62"/>
  <c r="ED6" i="62"/>
  <c r="EF3" i="62"/>
  <c r="EF32" i="62" l="1"/>
  <c r="EF34" i="62"/>
  <c r="EP25" i="62"/>
  <c r="EP23" i="62"/>
  <c r="EQ24" i="62" s="1"/>
  <c r="EF37" i="62"/>
  <c r="EF35" i="62"/>
  <c r="EF54" i="62"/>
  <c r="EE13" i="62"/>
  <c r="EF58" i="62"/>
  <c r="EF56" i="62"/>
  <c r="EF61" i="62"/>
  <c r="EF59" i="62"/>
  <c r="EF53" i="62"/>
  <c r="EF55" i="62"/>
  <c r="EF60" i="62"/>
  <c r="EE15" i="62"/>
  <c r="EF57" i="62"/>
  <c r="EE14" i="62"/>
  <c r="EF46" i="62"/>
  <c r="EF44" i="62"/>
  <c r="EF39" i="62"/>
  <c r="EE8" i="62"/>
  <c r="EF33" i="62"/>
  <c r="EE6" i="62"/>
  <c r="EF42" i="62"/>
  <c r="EE9" i="62"/>
  <c r="EF41" i="62"/>
  <c r="EF43" i="62"/>
  <c r="EF28" i="62"/>
  <c r="EF26" i="62"/>
  <c r="EF36" i="62"/>
  <c r="EE7" i="62"/>
  <c r="EF27" i="62"/>
  <c r="EE4" i="62"/>
  <c r="EF45" i="62"/>
  <c r="EE10" i="62"/>
  <c r="EF40" i="62"/>
  <c r="EF38" i="62"/>
  <c r="EF47" i="62"/>
  <c r="EF49" i="62"/>
  <c r="EF51" i="62"/>
  <c r="EE12" i="62"/>
  <c r="EG31" i="62"/>
  <c r="EG29" i="62"/>
  <c r="EF48" i="62"/>
  <c r="EE11" i="62"/>
  <c r="EF52" i="62"/>
  <c r="EF50" i="62"/>
  <c r="EG30" i="62"/>
  <c r="EF5" i="62"/>
  <c r="EG3" i="62"/>
  <c r="EG59" i="62" l="1"/>
  <c r="EG61" i="62"/>
  <c r="EG27" i="62"/>
  <c r="EF4" i="62"/>
  <c r="EG36" i="62"/>
  <c r="EF7" i="62"/>
  <c r="EG60" i="62"/>
  <c r="EF15" i="62"/>
  <c r="EG50" i="62"/>
  <c r="EG52" i="62"/>
  <c r="EH29" i="62"/>
  <c r="EH31" i="62"/>
  <c r="EG37" i="62"/>
  <c r="EG35" i="62"/>
  <c r="EG51" i="62"/>
  <c r="EF12" i="62"/>
  <c r="EG58" i="62"/>
  <c r="EG56" i="62"/>
  <c r="EH30" i="62"/>
  <c r="EG5" i="62"/>
  <c r="EG49" i="62"/>
  <c r="EG47" i="62"/>
  <c r="EG57" i="62"/>
  <c r="EF14" i="62"/>
  <c r="EQ25" i="62"/>
  <c r="EQ23" i="62"/>
  <c r="ER24" i="62" s="1"/>
  <c r="EG45" i="62"/>
  <c r="EF10" i="62"/>
  <c r="EG46" i="62"/>
  <c r="EG44" i="62"/>
  <c r="EG28" i="62"/>
  <c r="EG26" i="62"/>
  <c r="EG43" i="62"/>
  <c r="EG41" i="62"/>
  <c r="EG48" i="62"/>
  <c r="EF11" i="62"/>
  <c r="EG42" i="62"/>
  <c r="EF9" i="62"/>
  <c r="EG39" i="62"/>
  <c r="EF8" i="62"/>
  <c r="EG55" i="62"/>
  <c r="EG53" i="62"/>
  <c r="EG32" i="62"/>
  <c r="EG34" i="62"/>
  <c r="EG40" i="62"/>
  <c r="EG38" i="62"/>
  <c r="EG54" i="62"/>
  <c r="EF13" i="62"/>
  <c r="EG33" i="62"/>
  <c r="EF6" i="62"/>
  <c r="EH3" i="62"/>
  <c r="EI29" i="62" l="1"/>
  <c r="EI31" i="62"/>
  <c r="EI30" i="62"/>
  <c r="EH5" i="62"/>
  <c r="EH39" i="62"/>
  <c r="EG8" i="62"/>
  <c r="EH50" i="62"/>
  <c r="EH52" i="62"/>
  <c r="EH43" i="62"/>
  <c r="EH41" i="62"/>
  <c r="EH51" i="62"/>
  <c r="EG12" i="62"/>
  <c r="EH54" i="62"/>
  <c r="EG13" i="62"/>
  <c r="EH45" i="62"/>
  <c r="EG10" i="62"/>
  <c r="EH57" i="62"/>
  <c r="EG14" i="62"/>
  <c r="EH42" i="62"/>
  <c r="EG9" i="62"/>
  <c r="EH48" i="62"/>
  <c r="EG11" i="62"/>
  <c r="EH40" i="62"/>
  <c r="EH38" i="62"/>
  <c r="EH47" i="62"/>
  <c r="EH49" i="62"/>
  <c r="EH32" i="62"/>
  <c r="EH34" i="62"/>
  <c r="EH27" i="62"/>
  <c r="EG4" i="62"/>
  <c r="EH33" i="62"/>
  <c r="EG6" i="62"/>
  <c r="EH28" i="62"/>
  <c r="EH26" i="62"/>
  <c r="EH53" i="62"/>
  <c r="EH55" i="62"/>
  <c r="EH46" i="62"/>
  <c r="EH44" i="62"/>
  <c r="EH56" i="62"/>
  <c r="EH58" i="62"/>
  <c r="EH36" i="62"/>
  <c r="EG7" i="62"/>
  <c r="EH59" i="62"/>
  <c r="EH61" i="62"/>
  <c r="ER25" i="62"/>
  <c r="ER23" i="62"/>
  <c r="ES24" i="62" s="1"/>
  <c r="EH35" i="62"/>
  <c r="EH37" i="62"/>
  <c r="EH60" i="62"/>
  <c r="EG15" i="62"/>
  <c r="EI3" i="62"/>
  <c r="EI55" i="62" l="1"/>
  <c r="EI53" i="62"/>
  <c r="EI36" i="62"/>
  <c r="EH7" i="62"/>
  <c r="EI51" i="62"/>
  <c r="EH12" i="62"/>
  <c r="EI38" i="62"/>
  <c r="EI40" i="62"/>
  <c r="EI27" i="62"/>
  <c r="EH4" i="62"/>
  <c r="EI43" i="62"/>
  <c r="EI41" i="62"/>
  <c r="EI56" i="62"/>
  <c r="EI58" i="62"/>
  <c r="EI34" i="62"/>
  <c r="EI32" i="62"/>
  <c r="EI39" i="62"/>
  <c r="EH8" i="62"/>
  <c r="EI54" i="62"/>
  <c r="EH13" i="62"/>
  <c r="EI42" i="62"/>
  <c r="EH9" i="62"/>
  <c r="EI26" i="62"/>
  <c r="EI28" i="62"/>
  <c r="EI61" i="62"/>
  <c r="EI59" i="62"/>
  <c r="EI60" i="62"/>
  <c r="EH15" i="62"/>
  <c r="EI57" i="62"/>
  <c r="EH14" i="62"/>
  <c r="EI33" i="62"/>
  <c r="EH6" i="62"/>
  <c r="ES25" i="62"/>
  <c r="ES23" i="62"/>
  <c r="ET24" i="62" s="1"/>
  <c r="EI50" i="62"/>
  <c r="EI52" i="62"/>
  <c r="EI45" i="62"/>
  <c r="EH10" i="62"/>
  <c r="EI47" i="62"/>
  <c r="EI49" i="62"/>
  <c r="EJ31" i="62"/>
  <c r="EJ29" i="62"/>
  <c r="EI37" i="62"/>
  <c r="EI35" i="62"/>
  <c r="EI44" i="62"/>
  <c r="EI46" i="62"/>
  <c r="EI48" i="62"/>
  <c r="EH11" i="62"/>
  <c r="EJ30" i="62"/>
  <c r="EI5" i="62"/>
  <c r="EJ3" i="62"/>
  <c r="EJ50" i="62" l="1"/>
  <c r="EJ52" i="62"/>
  <c r="EJ28" i="62"/>
  <c r="EJ26" i="62"/>
  <c r="EJ51" i="62"/>
  <c r="EI12" i="62"/>
  <c r="EJ27" i="62"/>
  <c r="EI4" i="62"/>
  <c r="EJ44" i="62"/>
  <c r="EJ46" i="62"/>
  <c r="ET23" i="62"/>
  <c r="EU24" i="62" s="1"/>
  <c r="ET25" i="62"/>
  <c r="EJ39" i="62"/>
  <c r="EI8" i="62"/>
  <c r="EK30" i="62"/>
  <c r="EJ5" i="62"/>
  <c r="EJ42" i="62"/>
  <c r="EI9" i="62"/>
  <c r="EJ37" i="62"/>
  <c r="EJ35" i="62"/>
  <c r="EK29" i="62"/>
  <c r="EK31" i="62"/>
  <c r="EJ36" i="62"/>
  <c r="EI7" i="62"/>
  <c r="EJ49" i="62"/>
  <c r="EJ47" i="62"/>
  <c r="EJ33" i="62"/>
  <c r="EI6" i="62"/>
  <c r="EJ45" i="62"/>
  <c r="EI10" i="62"/>
  <c r="EJ40" i="62"/>
  <c r="EJ38" i="62"/>
  <c r="EJ43" i="62"/>
  <c r="EJ41" i="62"/>
  <c r="EJ48" i="62"/>
  <c r="EI11" i="62"/>
  <c r="EJ34" i="62"/>
  <c r="EJ32" i="62"/>
  <c r="EJ60" i="62"/>
  <c r="EI15" i="62"/>
  <c r="EJ56" i="62"/>
  <c r="EJ58" i="62"/>
  <c r="EJ54" i="62"/>
  <c r="EI13" i="62"/>
  <c r="EJ59" i="62"/>
  <c r="EJ61" i="62"/>
  <c r="EJ57" i="62"/>
  <c r="EI14" i="62"/>
  <c r="EJ55" i="62"/>
  <c r="EJ53" i="62"/>
  <c r="EK3" i="62"/>
  <c r="EK38" i="62" l="1"/>
  <c r="EK40" i="62"/>
  <c r="EK35" i="62"/>
  <c r="EK37" i="62"/>
  <c r="EK58" i="62"/>
  <c r="EK56" i="62"/>
  <c r="EK42" i="62"/>
  <c r="EJ9" i="62"/>
  <c r="EK27" i="62"/>
  <c r="EJ4" i="62"/>
  <c r="EU25" i="62"/>
  <c r="EU23" i="62"/>
  <c r="EV24" i="62" s="1"/>
  <c r="EK59" i="62"/>
  <c r="EK61" i="62"/>
  <c r="EL31" i="62"/>
  <c r="EL29" i="62"/>
  <c r="EK60" i="62"/>
  <c r="EJ15" i="62"/>
  <c r="EL30" i="62"/>
  <c r="EK5" i="62"/>
  <c r="EK39" i="62"/>
  <c r="EJ8" i="62"/>
  <c r="EK26" i="62"/>
  <c r="EK28" i="62"/>
  <c r="EK41" i="62"/>
  <c r="EK43" i="62"/>
  <c r="EK54" i="62"/>
  <c r="EJ13" i="62"/>
  <c r="EK33" i="62"/>
  <c r="EJ6" i="62"/>
  <c r="EK48" i="62"/>
  <c r="EJ11" i="62"/>
  <c r="EK50" i="62"/>
  <c r="EK52" i="62"/>
  <c r="EK44" i="62"/>
  <c r="EK46" i="62"/>
  <c r="EK45" i="62"/>
  <c r="EJ10" i="62"/>
  <c r="EK36" i="62"/>
  <c r="EJ7" i="62"/>
  <c r="EK57" i="62"/>
  <c r="EJ14" i="62"/>
  <c r="EK53" i="62"/>
  <c r="EK55" i="62"/>
  <c r="EK34" i="62"/>
  <c r="EK32" i="62"/>
  <c r="EK47" i="62"/>
  <c r="EK49" i="62"/>
  <c r="EK51" i="62"/>
  <c r="EJ12" i="62"/>
  <c r="EL3" i="62"/>
  <c r="EL49" i="62" l="1"/>
  <c r="EL47" i="62"/>
  <c r="EV23" i="62"/>
  <c r="EW24" i="62" s="1"/>
  <c r="EV25" i="62"/>
  <c r="EL33" i="62"/>
  <c r="EK6" i="62"/>
  <c r="EL32" i="62"/>
  <c r="EL34" i="62"/>
  <c r="EL57" i="62"/>
  <c r="EK14" i="62"/>
  <c r="EL28" i="62"/>
  <c r="EL26" i="62"/>
  <c r="EL27" i="62"/>
  <c r="EK4" i="62"/>
  <c r="EL58" i="62"/>
  <c r="EL56" i="62"/>
  <c r="EM30" i="62"/>
  <c r="EL5" i="62"/>
  <c r="EL35" i="62"/>
  <c r="EL37" i="62"/>
  <c r="EL45" i="62"/>
  <c r="EK10" i="62"/>
  <c r="EL52" i="62"/>
  <c r="EL50" i="62"/>
  <c r="EL51" i="62"/>
  <c r="EK12" i="62"/>
  <c r="EL53" i="62"/>
  <c r="EL55" i="62"/>
  <c r="EM31" i="62"/>
  <c r="EM29" i="62"/>
  <c r="EL36" i="62"/>
  <c r="EK7" i="62"/>
  <c r="EL46" i="62"/>
  <c r="EL44" i="62"/>
  <c r="EL54" i="62"/>
  <c r="EK13" i="62"/>
  <c r="EL43" i="62"/>
  <c r="EL41" i="62"/>
  <c r="EL59" i="62"/>
  <c r="EL61" i="62"/>
  <c r="EL40" i="62"/>
  <c r="EL38" i="62"/>
  <c r="EL48" i="62"/>
  <c r="EK11" i="62"/>
  <c r="EL42" i="62"/>
  <c r="EK9" i="62"/>
  <c r="EL60" i="62"/>
  <c r="EK15" i="62"/>
  <c r="EL39" i="62"/>
  <c r="EK8" i="62"/>
  <c r="EM3" i="62"/>
  <c r="EM46" i="62" l="1"/>
  <c r="EM44" i="62"/>
  <c r="EM36" i="62"/>
  <c r="EL7" i="62"/>
  <c r="EM33" i="62"/>
  <c r="EL6" i="62"/>
  <c r="EM39" i="62"/>
  <c r="EL8" i="62"/>
  <c r="EN30" i="62"/>
  <c r="EM5" i="62"/>
  <c r="EM51" i="62"/>
  <c r="EL12" i="62"/>
  <c r="EM27" i="62"/>
  <c r="EL4" i="62"/>
  <c r="EM50" i="62"/>
  <c r="EM52" i="62"/>
  <c r="EM32" i="62"/>
  <c r="EM34" i="62"/>
  <c r="EM28" i="62"/>
  <c r="EM26" i="62"/>
  <c r="EM61" i="62"/>
  <c r="EM59" i="62"/>
  <c r="EM55" i="62"/>
  <c r="EM53" i="62"/>
  <c r="EM57" i="62"/>
  <c r="EL14" i="62"/>
  <c r="EW23" i="62"/>
  <c r="EX24" i="62" s="1"/>
  <c r="EW25" i="62"/>
  <c r="EM35" i="62"/>
  <c r="EM37" i="62"/>
  <c r="EM45" i="62"/>
  <c r="EL10" i="62"/>
  <c r="EM38" i="62"/>
  <c r="EM40" i="62"/>
  <c r="EN29" i="62"/>
  <c r="EN31" i="62"/>
  <c r="EM60" i="62"/>
  <c r="EL15" i="62"/>
  <c r="EM54" i="62"/>
  <c r="EL13" i="62"/>
  <c r="EM56" i="62"/>
  <c r="EM58" i="62"/>
  <c r="EM42" i="62"/>
  <c r="EL9" i="62"/>
  <c r="EM48" i="62"/>
  <c r="EL11" i="62"/>
  <c r="EM41" i="62"/>
  <c r="EM43" i="62"/>
  <c r="EM49" i="62"/>
  <c r="EM47" i="62"/>
  <c r="EN3" i="62"/>
  <c r="EN53" i="62" l="1"/>
  <c r="EN55" i="62"/>
  <c r="EN40" i="62"/>
  <c r="EN38" i="62"/>
  <c r="EN60" i="62"/>
  <c r="EM15" i="62"/>
  <c r="EN26" i="62"/>
  <c r="EN28" i="62"/>
  <c r="EN56" i="62"/>
  <c r="EN58" i="62"/>
  <c r="EN41" i="62"/>
  <c r="EN43" i="62"/>
  <c r="EO31" i="62"/>
  <c r="EO29" i="62"/>
  <c r="EO30" i="62"/>
  <c r="EN5" i="62"/>
  <c r="EN39" i="62"/>
  <c r="EM8" i="62"/>
  <c r="EN61" i="62"/>
  <c r="EN59" i="62"/>
  <c r="EN37" i="62"/>
  <c r="EN35" i="62"/>
  <c r="EN32" i="62"/>
  <c r="EN34" i="62"/>
  <c r="EN57" i="62"/>
  <c r="EM14" i="62"/>
  <c r="EN36" i="62"/>
  <c r="EM7" i="62"/>
  <c r="EN33" i="62"/>
  <c r="EM6" i="62"/>
  <c r="EX23" i="62"/>
  <c r="EY24" i="62" s="1"/>
  <c r="EX25" i="62"/>
  <c r="EN50" i="62"/>
  <c r="EN52" i="62"/>
  <c r="EN42" i="62"/>
  <c r="EM9" i="62"/>
  <c r="EN54" i="62"/>
  <c r="EM13" i="62"/>
  <c r="EN27" i="62"/>
  <c r="EM4" i="62"/>
  <c r="EN51" i="62"/>
  <c r="EM12" i="62"/>
  <c r="EN48" i="62"/>
  <c r="EM11" i="62"/>
  <c r="EN45" i="62"/>
  <c r="EM10" i="62"/>
  <c r="EN47" i="62"/>
  <c r="EN49" i="62"/>
  <c r="EN44" i="62"/>
  <c r="EN46" i="62"/>
  <c r="EO3" i="62"/>
  <c r="EO43" i="62" l="1"/>
  <c r="EO41" i="62"/>
  <c r="EO33" i="62"/>
  <c r="EN6" i="62"/>
  <c r="EO56" i="62"/>
  <c r="EO58" i="62"/>
  <c r="EO57" i="62"/>
  <c r="EN14" i="62"/>
  <c r="EO60" i="62"/>
  <c r="EN15" i="62"/>
  <c r="EO27" i="62"/>
  <c r="EN4" i="62"/>
  <c r="EO34" i="62"/>
  <c r="EO32" i="62"/>
  <c r="EO42" i="62"/>
  <c r="EN9" i="62"/>
  <c r="EO39" i="62"/>
  <c r="EN8" i="62"/>
  <c r="EO51" i="62"/>
  <c r="EN12" i="62"/>
  <c r="EY23" i="62"/>
  <c r="EZ24" i="62" s="1"/>
  <c r="EY25" i="62"/>
  <c r="EO28" i="62"/>
  <c r="EO26" i="62"/>
  <c r="EO61" i="62"/>
  <c r="EO59" i="62"/>
  <c r="EO40" i="62"/>
  <c r="EO38" i="62"/>
  <c r="EO49" i="62"/>
  <c r="EO47" i="62"/>
  <c r="EO48" i="62"/>
  <c r="EN11" i="62"/>
  <c r="EO52" i="62"/>
  <c r="EO50" i="62"/>
  <c r="EO36" i="62"/>
  <c r="EN7" i="62"/>
  <c r="EO37" i="62"/>
  <c r="EO35" i="62"/>
  <c r="EO46" i="62"/>
  <c r="EO44" i="62"/>
  <c r="EP30" i="62"/>
  <c r="EO5" i="62"/>
  <c r="EO53" i="62"/>
  <c r="EO55" i="62"/>
  <c r="EO45" i="62"/>
  <c r="EN10" i="62"/>
  <c r="EP29" i="62"/>
  <c r="EP31" i="62"/>
  <c r="EO54" i="62"/>
  <c r="EN13" i="62"/>
  <c r="EP3" i="62"/>
  <c r="EP51" i="62" l="1"/>
  <c r="EO12" i="62"/>
  <c r="EP55" i="62"/>
  <c r="EP53" i="62"/>
  <c r="EP58" i="62"/>
  <c r="EP56" i="62"/>
  <c r="EP57" i="62"/>
  <c r="EO14" i="62"/>
  <c r="EP52" i="62"/>
  <c r="EP50" i="62"/>
  <c r="EP54" i="62"/>
  <c r="EO13" i="62"/>
  <c r="EP49" i="62"/>
  <c r="EP47" i="62"/>
  <c r="EP45" i="62"/>
  <c r="EO10" i="62"/>
  <c r="EP39" i="62"/>
  <c r="EO8" i="62"/>
  <c r="EP48" i="62"/>
  <c r="EO11" i="62"/>
  <c r="EP44" i="62"/>
  <c r="EP46" i="62"/>
  <c r="EP38" i="62"/>
  <c r="EP40" i="62"/>
  <c r="EQ31" i="62"/>
  <c r="EQ29" i="62"/>
  <c r="EQ30" i="62"/>
  <c r="EP5" i="62"/>
  <c r="EP26" i="62"/>
  <c r="EP28" i="62"/>
  <c r="EZ23" i="62"/>
  <c r="FA24" i="62" s="1"/>
  <c r="EZ25" i="62"/>
  <c r="EP36" i="62"/>
  <c r="EO7" i="62"/>
  <c r="EP60" i="62"/>
  <c r="EO15" i="62"/>
  <c r="EP33" i="62"/>
  <c r="EO6" i="62"/>
  <c r="EP42" i="62"/>
  <c r="EO9" i="62"/>
  <c r="EP27" i="62"/>
  <c r="EO4" i="62"/>
  <c r="EP37" i="62"/>
  <c r="EP35" i="62"/>
  <c r="EP61" i="62"/>
  <c r="EP59" i="62"/>
  <c r="EP34" i="62"/>
  <c r="EP32" i="62"/>
  <c r="EP43" i="62"/>
  <c r="EP41" i="62"/>
  <c r="EQ3" i="62"/>
  <c r="EQ39" i="62" l="1"/>
  <c r="EP8" i="62"/>
  <c r="EQ60" i="62"/>
  <c r="EP15" i="62"/>
  <c r="EQ26" i="62"/>
  <c r="EQ28" i="62"/>
  <c r="EQ56" i="62"/>
  <c r="EQ58" i="62"/>
  <c r="EQ40" i="62"/>
  <c r="EQ38" i="62"/>
  <c r="EQ34" i="62"/>
  <c r="EQ32" i="62"/>
  <c r="EQ59" i="62"/>
  <c r="EQ61" i="62"/>
  <c r="EQ45" i="62"/>
  <c r="EP10" i="62"/>
  <c r="EQ52" i="62"/>
  <c r="EQ50" i="62"/>
  <c r="EQ36" i="62"/>
  <c r="EP7" i="62"/>
  <c r="FA25" i="62"/>
  <c r="FA23" i="62"/>
  <c r="FB24" i="62" s="1"/>
  <c r="EQ37" i="62"/>
  <c r="EQ35" i="62"/>
  <c r="EQ57" i="62"/>
  <c r="EP14" i="62"/>
  <c r="EQ27" i="62"/>
  <c r="EP4" i="62"/>
  <c r="EQ54" i="62"/>
  <c r="EP13" i="62"/>
  <c r="EQ33" i="62"/>
  <c r="EP6" i="62"/>
  <c r="EQ55" i="62"/>
  <c r="EQ53" i="62"/>
  <c r="EQ42" i="62"/>
  <c r="EP9" i="62"/>
  <c r="ER30" i="62"/>
  <c r="EQ5" i="62"/>
  <c r="EQ48" i="62"/>
  <c r="EP11" i="62"/>
  <c r="EQ46" i="62"/>
  <c r="EQ44" i="62"/>
  <c r="EQ51" i="62"/>
  <c r="EP12" i="62"/>
  <c r="EQ43" i="62"/>
  <c r="EQ41" i="62"/>
  <c r="ER29" i="62"/>
  <c r="ER31" i="62"/>
  <c r="EQ49" i="62"/>
  <c r="EQ47" i="62"/>
  <c r="ER3" i="62"/>
  <c r="ER33" i="62" l="1"/>
  <c r="EQ6" i="62"/>
  <c r="ER40" i="62"/>
  <c r="ER38" i="62"/>
  <c r="ER42" i="62"/>
  <c r="EQ9" i="62"/>
  <c r="ER43" i="62"/>
  <c r="ER41" i="62"/>
  <c r="ER57" i="62"/>
  <c r="EQ14" i="62"/>
  <c r="ER45" i="62"/>
  <c r="EQ10" i="62"/>
  <c r="ER51" i="62"/>
  <c r="EQ12" i="62"/>
  <c r="ER28" i="62"/>
  <c r="ER26" i="62"/>
  <c r="ER36" i="62"/>
  <c r="EQ7" i="62"/>
  <c r="ER37" i="62"/>
  <c r="ER35" i="62"/>
  <c r="ER54" i="62"/>
  <c r="EQ13" i="62"/>
  <c r="ER55" i="62"/>
  <c r="ER53" i="62"/>
  <c r="ER56" i="62"/>
  <c r="ER58" i="62"/>
  <c r="ER46" i="62"/>
  <c r="ER44" i="62"/>
  <c r="ER52" i="62"/>
  <c r="ER50" i="62"/>
  <c r="ER27" i="62"/>
  <c r="EQ4" i="62"/>
  <c r="ES29" i="62"/>
  <c r="ES31" i="62"/>
  <c r="ES30" i="62"/>
  <c r="ER5" i="62"/>
  <c r="ER34" i="62"/>
  <c r="ER32" i="62"/>
  <c r="ER39" i="62"/>
  <c r="EQ8" i="62"/>
  <c r="FB25" i="62"/>
  <c r="FB23" i="62"/>
  <c r="FC24" i="62" s="1"/>
  <c r="ER48" i="62"/>
  <c r="EQ11" i="62"/>
  <c r="ER61" i="62"/>
  <c r="ER59" i="62"/>
  <c r="ER47" i="62"/>
  <c r="ER49" i="62"/>
  <c r="ER60" i="62"/>
  <c r="EQ15" i="62"/>
  <c r="ES3" i="62"/>
  <c r="ES54" i="62" l="1"/>
  <c r="ER13" i="62"/>
  <c r="ES55" i="62"/>
  <c r="ES53" i="62"/>
  <c r="ET31" i="62"/>
  <c r="ET29" i="62"/>
  <c r="ES35" i="62"/>
  <c r="ES37" i="62"/>
  <c r="ES43" i="62"/>
  <c r="ES41" i="62"/>
  <c r="ES51" i="62"/>
  <c r="ER12" i="62"/>
  <c r="ES45" i="62"/>
  <c r="ER10" i="62"/>
  <c r="ES27" i="62"/>
  <c r="ER4" i="62"/>
  <c r="ES39" i="62"/>
  <c r="ER8" i="62"/>
  <c r="ES36" i="62"/>
  <c r="ER7" i="62"/>
  <c r="ES50" i="62"/>
  <c r="ES52" i="62"/>
  <c r="ES40" i="62"/>
  <c r="ES38" i="62"/>
  <c r="ES60" i="62"/>
  <c r="ER15" i="62"/>
  <c r="ES61" i="62"/>
  <c r="ES59" i="62"/>
  <c r="ET30" i="62"/>
  <c r="ES5" i="62"/>
  <c r="ES42" i="62"/>
  <c r="ER9" i="62"/>
  <c r="FC25" i="62"/>
  <c r="FC23" i="62"/>
  <c r="FD24" i="62" s="1"/>
  <c r="ES46" i="62"/>
  <c r="ES44" i="62"/>
  <c r="ES28" i="62"/>
  <c r="ES26" i="62"/>
  <c r="ES33" i="62"/>
  <c r="ER6" i="62"/>
  <c r="ES56" i="62"/>
  <c r="ES58" i="62"/>
  <c r="ES49" i="62"/>
  <c r="ES47" i="62"/>
  <c r="ES48" i="62"/>
  <c r="ER11" i="62"/>
  <c r="ES34" i="62"/>
  <c r="ES32" i="62"/>
  <c r="ES57" i="62"/>
  <c r="ER14" i="62"/>
  <c r="ET3" i="62"/>
  <c r="ET33" i="62" l="1"/>
  <c r="ES6" i="62"/>
  <c r="ET36" i="62"/>
  <c r="ES7" i="62"/>
  <c r="ET56" i="62"/>
  <c r="ET58" i="62"/>
  <c r="EU30" i="62"/>
  <c r="ET5" i="62"/>
  <c r="ET39" i="62"/>
  <c r="ES8" i="62"/>
  <c r="ET32" i="62"/>
  <c r="ET34" i="62"/>
  <c r="ET38" i="62"/>
  <c r="ET40" i="62"/>
  <c r="ET52" i="62"/>
  <c r="ET50" i="62"/>
  <c r="ET48" i="62"/>
  <c r="ES11" i="62"/>
  <c r="ET42" i="62"/>
  <c r="ES9" i="62"/>
  <c r="ET43" i="62"/>
  <c r="ET41" i="62"/>
  <c r="EU31" i="62"/>
  <c r="EU29" i="62"/>
  <c r="ET60" i="62"/>
  <c r="ES15" i="62"/>
  <c r="ET54" i="62"/>
  <c r="ES13" i="62"/>
  <c r="ET46" i="62"/>
  <c r="ET44" i="62"/>
  <c r="FD25" i="62"/>
  <c r="FD23" i="62"/>
  <c r="FE24" i="62" s="1"/>
  <c r="ET59" i="62"/>
  <c r="ET61" i="62"/>
  <c r="ET53" i="62"/>
  <c r="ET55" i="62"/>
  <c r="ET28" i="62"/>
  <c r="ET26" i="62"/>
  <c r="ET45" i="62"/>
  <c r="ES10" i="62"/>
  <c r="ET51" i="62"/>
  <c r="ES12" i="62"/>
  <c r="ET35" i="62"/>
  <c r="ET37" i="62"/>
  <c r="ET49" i="62"/>
  <c r="ET47" i="62"/>
  <c r="ET57" i="62"/>
  <c r="ES14" i="62"/>
  <c r="ET27" i="62"/>
  <c r="ES4" i="62"/>
  <c r="EU3" i="62"/>
  <c r="EU55" i="62" l="1"/>
  <c r="EU53" i="62"/>
  <c r="EV30" i="62"/>
  <c r="EU5" i="62"/>
  <c r="EU54" i="62"/>
  <c r="ET13" i="62"/>
  <c r="EU48" i="62"/>
  <c r="ET11" i="62"/>
  <c r="EU42" i="62"/>
  <c r="ET9" i="62"/>
  <c r="EU43" i="62"/>
  <c r="EU41" i="62"/>
  <c r="EU45" i="62"/>
  <c r="ET10" i="62"/>
  <c r="EU56" i="62"/>
  <c r="EU58" i="62"/>
  <c r="EV29" i="62"/>
  <c r="EV31" i="62"/>
  <c r="EU61" i="62"/>
  <c r="EU59" i="62"/>
  <c r="EU49" i="62"/>
  <c r="EU47" i="62"/>
  <c r="EU60" i="62"/>
  <c r="ET15" i="62"/>
  <c r="EU35" i="62"/>
  <c r="EU37" i="62"/>
  <c r="EU36" i="62"/>
  <c r="ET7" i="62"/>
  <c r="FE25" i="62"/>
  <c r="FE23" i="62"/>
  <c r="FF24" i="62" s="1"/>
  <c r="EU57" i="62"/>
  <c r="ET14" i="62"/>
  <c r="EU32" i="62"/>
  <c r="EU34" i="62"/>
  <c r="EU33" i="62"/>
  <c r="ET6" i="62"/>
  <c r="EU44" i="62"/>
  <c r="EU46" i="62"/>
  <c r="EU51" i="62"/>
  <c r="ET12" i="62"/>
  <c r="EU52" i="62"/>
  <c r="EU50" i="62"/>
  <c r="EU27" i="62"/>
  <c r="ET4" i="62"/>
  <c r="EU38" i="62"/>
  <c r="EU40" i="62"/>
  <c r="EU26" i="62"/>
  <c r="EU28" i="62"/>
  <c r="EU39" i="62"/>
  <c r="ET8" i="62"/>
  <c r="EV3" i="62"/>
  <c r="EV26" i="62" l="1"/>
  <c r="EV28" i="62"/>
  <c r="EV42" i="62"/>
  <c r="EU9" i="62"/>
  <c r="EV27" i="62"/>
  <c r="EU4" i="62"/>
  <c r="EV60" i="62"/>
  <c r="EU15" i="62"/>
  <c r="EV48" i="62"/>
  <c r="EU11" i="62"/>
  <c r="EV39" i="62"/>
  <c r="EU8" i="62"/>
  <c r="EV33" i="62"/>
  <c r="EU6" i="62"/>
  <c r="EV59" i="62"/>
  <c r="EV61" i="62"/>
  <c r="EV41" i="62"/>
  <c r="EV43" i="62"/>
  <c r="EV32" i="62"/>
  <c r="EV34" i="62"/>
  <c r="EV49" i="62"/>
  <c r="EV47" i="62"/>
  <c r="EV38" i="62"/>
  <c r="EV40" i="62"/>
  <c r="EV51" i="62"/>
  <c r="EU12" i="62"/>
  <c r="EW29" i="62"/>
  <c r="EW31" i="62"/>
  <c r="EV50" i="62"/>
  <c r="EV52" i="62"/>
  <c r="FF25" i="62"/>
  <c r="FF23" i="62"/>
  <c r="FG24" i="62" s="1"/>
  <c r="EW30" i="62"/>
  <c r="EV5" i="62"/>
  <c r="EV56" i="62"/>
  <c r="EV58" i="62"/>
  <c r="EV57" i="62"/>
  <c r="EU14" i="62"/>
  <c r="EV44" i="62"/>
  <c r="EV46" i="62"/>
  <c r="EV35" i="62"/>
  <c r="EV37" i="62"/>
  <c r="EV54" i="62"/>
  <c r="EU13" i="62"/>
  <c r="EV45" i="62"/>
  <c r="EU10" i="62"/>
  <c r="EV36" i="62"/>
  <c r="EU7" i="62"/>
  <c r="EV53" i="62"/>
  <c r="EV55" i="62"/>
  <c r="EW3" i="62"/>
  <c r="EW39" i="62" l="1"/>
  <c r="EV8" i="62"/>
  <c r="EW47" i="62"/>
  <c r="EW49" i="62"/>
  <c r="FG25" i="62"/>
  <c r="FG23" i="62"/>
  <c r="FH24" i="62" s="1"/>
  <c r="EW33" i="62"/>
  <c r="EV6" i="62"/>
  <c r="EW37" i="62"/>
  <c r="EW35" i="62"/>
  <c r="EW50" i="62"/>
  <c r="EW52" i="62"/>
  <c r="EW41" i="62"/>
  <c r="EW43" i="62"/>
  <c r="EW42" i="62"/>
  <c r="EV9" i="62"/>
  <c r="EW56" i="62"/>
  <c r="EW58" i="62"/>
  <c r="EW57" i="62"/>
  <c r="EV14" i="62"/>
  <c r="EW32" i="62"/>
  <c r="EW34" i="62"/>
  <c r="EW36" i="62"/>
  <c r="EV7" i="62"/>
  <c r="EW51" i="62"/>
  <c r="EV12" i="62"/>
  <c r="EW46" i="62"/>
  <c r="EW44" i="62"/>
  <c r="EX29" i="62"/>
  <c r="EX31" i="62"/>
  <c r="EW59" i="62"/>
  <c r="EW61" i="62"/>
  <c r="EW38" i="62"/>
  <c r="EW40" i="62"/>
  <c r="EW45" i="62"/>
  <c r="EV10" i="62"/>
  <c r="EX30" i="62"/>
  <c r="EW5" i="62"/>
  <c r="EW60" i="62"/>
  <c r="EV15" i="62"/>
  <c r="EW55" i="62"/>
  <c r="EW53" i="62"/>
  <c r="EW28" i="62"/>
  <c r="EW26" i="62"/>
  <c r="EW48" i="62"/>
  <c r="EV11" i="62"/>
  <c r="EW54" i="62"/>
  <c r="EV13" i="62"/>
  <c r="EW27" i="62"/>
  <c r="EV4" i="62"/>
  <c r="EX3" i="62"/>
  <c r="EX50" i="62" l="1"/>
  <c r="EX52" i="62"/>
  <c r="EX39" i="62"/>
  <c r="EW8" i="62"/>
  <c r="EX33" i="62"/>
  <c r="EW6" i="62"/>
  <c r="EX37" i="62"/>
  <c r="EX35" i="62"/>
  <c r="EX27" i="62"/>
  <c r="EW4" i="62"/>
  <c r="EX59" i="62"/>
  <c r="EX61" i="62"/>
  <c r="EX36" i="62"/>
  <c r="EW7" i="62"/>
  <c r="EX38" i="62"/>
  <c r="EX40" i="62"/>
  <c r="EX32" i="62"/>
  <c r="EX34" i="62"/>
  <c r="EX26" i="62"/>
  <c r="EX28" i="62"/>
  <c r="EX60" i="62"/>
  <c r="EW15" i="62"/>
  <c r="EX54" i="62"/>
  <c r="EW13" i="62"/>
  <c r="EY31" i="62"/>
  <c r="EY29" i="62"/>
  <c r="EX53" i="62"/>
  <c r="EX55" i="62"/>
  <c r="EY30" i="62"/>
  <c r="EX5" i="62"/>
  <c r="EX57" i="62"/>
  <c r="EW14" i="62"/>
  <c r="FH23" i="62"/>
  <c r="FI24" i="62" s="1"/>
  <c r="FH25" i="62"/>
  <c r="EX56" i="62"/>
  <c r="EX58" i="62"/>
  <c r="EX45" i="62"/>
  <c r="EW10" i="62"/>
  <c r="EX47" i="62"/>
  <c r="EX49" i="62"/>
  <c r="EX51" i="62"/>
  <c r="EW12" i="62"/>
  <c r="EX44" i="62"/>
  <c r="EX46" i="62"/>
  <c r="EX48" i="62"/>
  <c r="EW11" i="62"/>
  <c r="EX41" i="62"/>
  <c r="EX43" i="62"/>
  <c r="EX42" i="62"/>
  <c r="EW9" i="62"/>
  <c r="EY3" i="62"/>
  <c r="EY44" i="62" l="1"/>
  <c r="EY46" i="62"/>
  <c r="EY26" i="62"/>
  <c r="EY28" i="62"/>
  <c r="EY36" i="62"/>
  <c r="EX7" i="62"/>
  <c r="EY45" i="62"/>
  <c r="EX10" i="62"/>
  <c r="EY27" i="62"/>
  <c r="EX4" i="62"/>
  <c r="EY35" i="62"/>
  <c r="EY37" i="62"/>
  <c r="EY34" i="62"/>
  <c r="EY32" i="62"/>
  <c r="EY56" i="62"/>
  <c r="EY58" i="62"/>
  <c r="EY41" i="62"/>
  <c r="EY43" i="62"/>
  <c r="EY42" i="62"/>
  <c r="EX9" i="62"/>
  <c r="EY60" i="62"/>
  <c r="EX15" i="62"/>
  <c r="EY33" i="62"/>
  <c r="EX6" i="62"/>
  <c r="EY49" i="62"/>
  <c r="EY47" i="62"/>
  <c r="EY53" i="62"/>
  <c r="EY55" i="62"/>
  <c r="EY38" i="62"/>
  <c r="EY40" i="62"/>
  <c r="EY54" i="62"/>
  <c r="EX13" i="62"/>
  <c r="EY39" i="62"/>
  <c r="EX8" i="62"/>
  <c r="EY59" i="62"/>
  <c r="EY61" i="62"/>
  <c r="EY57" i="62"/>
  <c r="EX14" i="62"/>
  <c r="FI23" i="62"/>
  <c r="FJ24" i="62" s="1"/>
  <c r="FI25" i="62"/>
  <c r="EY48" i="62"/>
  <c r="EX11" i="62"/>
  <c r="EZ30" i="62"/>
  <c r="EY5" i="62"/>
  <c r="EY50" i="62"/>
  <c r="EY52" i="62"/>
  <c r="EZ31" i="62"/>
  <c r="EZ29" i="62"/>
  <c r="EY51" i="62"/>
  <c r="EX12" i="62"/>
  <c r="EZ3" i="62"/>
  <c r="EZ60" i="62" l="1"/>
  <c r="EY15" i="62"/>
  <c r="EZ38" i="62"/>
  <c r="EZ40" i="62"/>
  <c r="EZ41" i="62"/>
  <c r="EZ43" i="62"/>
  <c r="FA30" i="62"/>
  <c r="EZ5" i="62"/>
  <c r="FA29" i="62"/>
  <c r="FA31" i="62"/>
  <c r="EZ52" i="62"/>
  <c r="EZ50" i="62"/>
  <c r="EZ51" i="62"/>
  <c r="EY12" i="62"/>
  <c r="EZ37" i="62"/>
  <c r="EZ35" i="62"/>
  <c r="EZ39" i="62"/>
  <c r="EY8" i="62"/>
  <c r="EZ42" i="62"/>
  <c r="EY9" i="62"/>
  <c r="FJ23" i="62"/>
  <c r="FK24" i="62" s="1"/>
  <c r="FJ25" i="62"/>
  <c r="EZ53" i="62"/>
  <c r="EZ55" i="62"/>
  <c r="EZ56" i="62"/>
  <c r="EZ58" i="62"/>
  <c r="EZ26" i="62"/>
  <c r="EZ28" i="62"/>
  <c r="EZ54" i="62"/>
  <c r="EY13" i="62"/>
  <c r="EZ27" i="62"/>
  <c r="EY4" i="62"/>
  <c r="EZ57" i="62"/>
  <c r="EY14" i="62"/>
  <c r="EZ48" i="62"/>
  <c r="EY11" i="62"/>
  <c r="EZ33" i="62"/>
  <c r="EY6" i="62"/>
  <c r="EZ44" i="62"/>
  <c r="EZ46" i="62"/>
  <c r="EZ61" i="62"/>
  <c r="EZ59" i="62"/>
  <c r="EZ36" i="62"/>
  <c r="EY7" i="62"/>
  <c r="EZ49" i="62"/>
  <c r="EZ47" i="62"/>
  <c r="EZ32" i="62"/>
  <c r="EZ34" i="62"/>
  <c r="EZ45" i="62"/>
  <c r="EY10" i="62"/>
  <c r="FA3" i="62"/>
  <c r="FA34" i="62" l="1"/>
  <c r="FA32" i="62"/>
  <c r="FA52" i="62"/>
  <c r="FA50" i="62"/>
  <c r="FA49" i="62"/>
  <c r="FA47" i="62"/>
  <c r="FB30" i="62"/>
  <c r="FA5" i="62"/>
  <c r="FA55" i="62"/>
  <c r="FA53" i="62"/>
  <c r="FA54" i="62"/>
  <c r="EZ13" i="62"/>
  <c r="FK23" i="62"/>
  <c r="FL24" i="62" s="1"/>
  <c r="FK25" i="62"/>
  <c r="FA60" i="62"/>
  <c r="EZ15" i="62"/>
  <c r="FA43" i="62"/>
  <c r="FA41" i="62"/>
  <c r="FA51" i="62"/>
  <c r="EZ12" i="62"/>
  <c r="FA33" i="62"/>
  <c r="EZ6" i="62"/>
  <c r="FA42" i="62"/>
  <c r="EZ9" i="62"/>
  <c r="FA59" i="62"/>
  <c r="FA61" i="62"/>
  <c r="FA44" i="62"/>
  <c r="FA46" i="62"/>
  <c r="FA26" i="62"/>
  <c r="FA28" i="62"/>
  <c r="FA36" i="62"/>
  <c r="EZ7" i="62"/>
  <c r="FA40" i="62"/>
  <c r="FA38" i="62"/>
  <c r="FA37" i="62"/>
  <c r="FA35" i="62"/>
  <c r="FA48" i="62"/>
  <c r="EZ11" i="62"/>
  <c r="FB29" i="62"/>
  <c r="FB31" i="62"/>
  <c r="FA45" i="62"/>
  <c r="EZ10" i="62"/>
  <c r="FA27" i="62"/>
  <c r="EZ4" i="62"/>
  <c r="FA39" i="62"/>
  <c r="EZ8" i="62"/>
  <c r="FA56" i="62"/>
  <c r="FA58" i="62"/>
  <c r="FA57" i="62"/>
  <c r="EZ14" i="62"/>
  <c r="FB3" i="62"/>
  <c r="FB56" i="62" l="1"/>
  <c r="FB58" i="62"/>
  <c r="FB35" i="62"/>
  <c r="FB37" i="62"/>
  <c r="FB39" i="62"/>
  <c r="FA8" i="62"/>
  <c r="FB55" i="62"/>
  <c r="FB53" i="62"/>
  <c r="FB36" i="62"/>
  <c r="FA7" i="62"/>
  <c r="FB28" i="62"/>
  <c r="FB26" i="62"/>
  <c r="FB42" i="62"/>
  <c r="FA9" i="62"/>
  <c r="FB48" i="62"/>
  <c r="FA11" i="62"/>
  <c r="FB27" i="62"/>
  <c r="FA4" i="62"/>
  <c r="FB41" i="62"/>
  <c r="FB43" i="62"/>
  <c r="FB47" i="62"/>
  <c r="FB49" i="62"/>
  <c r="FB54" i="62"/>
  <c r="FA13" i="62"/>
  <c r="FC29" i="62"/>
  <c r="FC31" i="62"/>
  <c r="FB46" i="62"/>
  <c r="FB44" i="62"/>
  <c r="FB51" i="62"/>
  <c r="FA12" i="62"/>
  <c r="FB57" i="62"/>
  <c r="FA14" i="62"/>
  <c r="FB40" i="62"/>
  <c r="FB38" i="62"/>
  <c r="FB52" i="62"/>
  <c r="FB50" i="62"/>
  <c r="FC30" i="62"/>
  <c r="FB5" i="62"/>
  <c r="FB45" i="62"/>
  <c r="FA10" i="62"/>
  <c r="FB59" i="62"/>
  <c r="FB61" i="62"/>
  <c r="FL23" i="62"/>
  <c r="FM24" i="62" s="1"/>
  <c r="FL25" i="62"/>
  <c r="FB33" i="62"/>
  <c r="FA6" i="62"/>
  <c r="FB60" i="62"/>
  <c r="FA15" i="62"/>
  <c r="FB34" i="62"/>
  <c r="FB32" i="62"/>
  <c r="FC3" i="62"/>
  <c r="FC34" i="62" l="1"/>
  <c r="FC32" i="62"/>
  <c r="FC27" i="62"/>
  <c r="FB4" i="62"/>
  <c r="FC26" i="62"/>
  <c r="FC28" i="62"/>
  <c r="FM25" i="62"/>
  <c r="FM23" i="62"/>
  <c r="FN24" i="62" s="1"/>
  <c r="FC43" i="62"/>
  <c r="FC41" i="62"/>
  <c r="FC54" i="62"/>
  <c r="FB13" i="62"/>
  <c r="FC40" i="62"/>
  <c r="FC38" i="62"/>
  <c r="FC42" i="62"/>
  <c r="FB9" i="62"/>
  <c r="FC55" i="62"/>
  <c r="FC53" i="62"/>
  <c r="FC59" i="62"/>
  <c r="FC61" i="62"/>
  <c r="FC49" i="62"/>
  <c r="FC47" i="62"/>
  <c r="FC60" i="62"/>
  <c r="FB15" i="62"/>
  <c r="FC45" i="62"/>
  <c r="FB10" i="62"/>
  <c r="FC35" i="62"/>
  <c r="FC37" i="62"/>
  <c r="FC46" i="62"/>
  <c r="FC44" i="62"/>
  <c r="FC36" i="62"/>
  <c r="FB7" i="62"/>
  <c r="FC51" i="62"/>
  <c r="FB12" i="62"/>
  <c r="FC52" i="62"/>
  <c r="FC50" i="62"/>
  <c r="FC39" i="62"/>
  <c r="FB8" i="62"/>
  <c r="FC48" i="62"/>
  <c r="FB11" i="62"/>
  <c r="FC33" i="62"/>
  <c r="FB6" i="62"/>
  <c r="FD31" i="62"/>
  <c r="FD29" i="62"/>
  <c r="FC56" i="62"/>
  <c r="FC58" i="62"/>
  <c r="FD30" i="62"/>
  <c r="FC5" i="62"/>
  <c r="FC57" i="62"/>
  <c r="FB14" i="62"/>
  <c r="FD3" i="62"/>
  <c r="FD49" i="62" l="1"/>
  <c r="FD47" i="62"/>
  <c r="FD51" i="62"/>
  <c r="FC12" i="62"/>
  <c r="FD52" i="62"/>
  <c r="FD50" i="62"/>
  <c r="FD56" i="62"/>
  <c r="FD58" i="62"/>
  <c r="FD57" i="62"/>
  <c r="FC14" i="62"/>
  <c r="FD60" i="62"/>
  <c r="FC15" i="62"/>
  <c r="FN25" i="62"/>
  <c r="FN23" i="62"/>
  <c r="FO24" i="62" s="1"/>
  <c r="FD42" i="62"/>
  <c r="FC9" i="62"/>
  <c r="FD59" i="62"/>
  <c r="FD61" i="62"/>
  <c r="FD54" i="62"/>
  <c r="FC13" i="62"/>
  <c r="FD28" i="62"/>
  <c r="FD26" i="62"/>
  <c r="FD48" i="62"/>
  <c r="FC11" i="62"/>
  <c r="FD43" i="62"/>
  <c r="FD41" i="62"/>
  <c r="FE30" i="62"/>
  <c r="FD5" i="62"/>
  <c r="FE31" i="62"/>
  <c r="FE29" i="62"/>
  <c r="FD45" i="62"/>
  <c r="FC10" i="62"/>
  <c r="FD46" i="62"/>
  <c r="FD44" i="62"/>
  <c r="FD53" i="62"/>
  <c r="FD55" i="62"/>
  <c r="FD27" i="62"/>
  <c r="FC4" i="62"/>
  <c r="FD35" i="62"/>
  <c r="FD37" i="62"/>
  <c r="FD36" i="62"/>
  <c r="FC7" i="62"/>
  <c r="FD39" i="62"/>
  <c r="FC8" i="62"/>
  <c r="FD33" i="62"/>
  <c r="FC6" i="62"/>
  <c r="FD40" i="62"/>
  <c r="FD38" i="62"/>
  <c r="FD32" i="62"/>
  <c r="FD34" i="62"/>
  <c r="FE3" i="62"/>
  <c r="FE58" i="62" l="1"/>
  <c r="FE56" i="62"/>
  <c r="FE27" i="62"/>
  <c r="FD4" i="62"/>
  <c r="FE26" i="62"/>
  <c r="FE28" i="62"/>
  <c r="FE57" i="62"/>
  <c r="FD14" i="62"/>
  <c r="FE39" i="62"/>
  <c r="FD8" i="62"/>
  <c r="FE40" i="62"/>
  <c r="FE38" i="62"/>
  <c r="FE61" i="62"/>
  <c r="FE59" i="62"/>
  <c r="FE51" i="62"/>
  <c r="FD12" i="62"/>
  <c r="FF30" i="62"/>
  <c r="FE5" i="62"/>
  <c r="FF29" i="62"/>
  <c r="FF31" i="62"/>
  <c r="FE60" i="62"/>
  <c r="FD15" i="62"/>
  <c r="FE50" i="62"/>
  <c r="FE52" i="62"/>
  <c r="FE53" i="62"/>
  <c r="FE55" i="62"/>
  <c r="FE54" i="62"/>
  <c r="FD13" i="62"/>
  <c r="FE45" i="62"/>
  <c r="FD10" i="62"/>
  <c r="FE44" i="62"/>
  <c r="FE46" i="62"/>
  <c r="FE37" i="62"/>
  <c r="FE35" i="62"/>
  <c r="FE34" i="62"/>
  <c r="FE32" i="62"/>
  <c r="FE42" i="62"/>
  <c r="FD9" i="62"/>
  <c r="FE48" i="62"/>
  <c r="FD11" i="62"/>
  <c r="FE36" i="62"/>
  <c r="FD7" i="62"/>
  <c r="FE33" i="62"/>
  <c r="FD6" i="62"/>
  <c r="FE43" i="62"/>
  <c r="FE41" i="62"/>
  <c r="FO25" i="62"/>
  <c r="FO23" i="62"/>
  <c r="FP24" i="62" s="1"/>
  <c r="FE49" i="62"/>
  <c r="FE47" i="62"/>
  <c r="FF3" i="62"/>
  <c r="FF40" i="62" l="1"/>
  <c r="FF38" i="62"/>
  <c r="FF43" i="62"/>
  <c r="FF41" i="62"/>
  <c r="FF35" i="62"/>
  <c r="FF37" i="62"/>
  <c r="FF44" i="62"/>
  <c r="FF46" i="62"/>
  <c r="FG31" i="62"/>
  <c r="FG29" i="62"/>
  <c r="FF51" i="62"/>
  <c r="FE12" i="62"/>
  <c r="FF34" i="62"/>
  <c r="FF32" i="62"/>
  <c r="FF42" i="62"/>
  <c r="FE9" i="62"/>
  <c r="FF45" i="62"/>
  <c r="FE10" i="62"/>
  <c r="FG30" i="62"/>
  <c r="FF5" i="62"/>
  <c r="FF26" i="62"/>
  <c r="FF28" i="62"/>
  <c r="FF50" i="62"/>
  <c r="FF52" i="62"/>
  <c r="FF36" i="62"/>
  <c r="FE7" i="62"/>
  <c r="FF27" i="62"/>
  <c r="FE4" i="62"/>
  <c r="FF33" i="62"/>
  <c r="FE6" i="62"/>
  <c r="FF39" i="62"/>
  <c r="FE8" i="62"/>
  <c r="FF47" i="62"/>
  <c r="FF49" i="62"/>
  <c r="FP25" i="62"/>
  <c r="FP23" i="62"/>
  <c r="FQ24" i="62" s="1"/>
  <c r="FF48" i="62"/>
  <c r="FE11" i="62"/>
  <c r="FF53" i="62"/>
  <c r="FF55" i="62"/>
  <c r="FF60" i="62"/>
  <c r="FE15" i="62"/>
  <c r="FF57" i="62"/>
  <c r="FE14" i="62"/>
  <c r="FF54" i="62"/>
  <c r="FE13" i="62"/>
  <c r="FF59" i="62"/>
  <c r="FF61" i="62"/>
  <c r="FF56" i="62"/>
  <c r="FF58" i="62"/>
  <c r="FG3" i="62"/>
  <c r="FG47" i="62" l="1"/>
  <c r="FG49" i="62"/>
  <c r="FH30" i="62"/>
  <c r="FG5" i="62"/>
  <c r="FG48" i="62"/>
  <c r="FF11" i="62"/>
  <c r="FG27" i="62"/>
  <c r="FF4" i="62"/>
  <c r="FH29" i="62"/>
  <c r="FH31" i="62"/>
  <c r="FG46" i="62"/>
  <c r="FG44" i="62"/>
  <c r="FG45" i="62"/>
  <c r="FF10" i="62"/>
  <c r="FG37" i="62"/>
  <c r="FG35" i="62"/>
  <c r="FG60" i="62"/>
  <c r="FF15" i="62"/>
  <c r="FG28" i="62"/>
  <c r="FG26" i="62"/>
  <c r="FG36" i="62"/>
  <c r="FF7" i="62"/>
  <c r="FG52" i="62"/>
  <c r="FG50" i="62"/>
  <c r="FG53" i="62"/>
  <c r="FG55" i="62"/>
  <c r="FG42" i="62"/>
  <c r="FF9" i="62"/>
  <c r="FG51" i="62"/>
  <c r="FF12" i="62"/>
  <c r="FG54" i="62"/>
  <c r="FF13" i="62"/>
  <c r="FG43" i="62"/>
  <c r="FG41" i="62"/>
  <c r="FG56" i="62"/>
  <c r="FG58" i="62"/>
  <c r="FG33" i="62"/>
  <c r="FF6" i="62"/>
  <c r="FG39" i="62"/>
  <c r="FF8" i="62"/>
  <c r="FG61" i="62"/>
  <c r="FG59" i="62"/>
  <c r="FQ25" i="62"/>
  <c r="FQ23" i="62"/>
  <c r="FR24" i="62" s="1"/>
  <c r="FG57" i="62"/>
  <c r="FF14" i="62"/>
  <c r="FG34" i="62"/>
  <c r="FG32" i="62"/>
  <c r="FG40" i="62"/>
  <c r="FG38" i="62"/>
  <c r="FH3" i="62"/>
  <c r="FH51" i="62" l="1"/>
  <c r="FG12" i="62"/>
  <c r="FH46" i="62"/>
  <c r="FH44" i="62"/>
  <c r="FH42" i="62"/>
  <c r="FG9" i="62"/>
  <c r="FH43" i="62"/>
  <c r="FH41" i="62"/>
  <c r="FI30" i="62"/>
  <c r="FH5" i="62"/>
  <c r="FH27" i="62"/>
  <c r="FG4" i="62"/>
  <c r="FH32" i="62"/>
  <c r="FH34" i="62"/>
  <c r="FR25" i="62"/>
  <c r="FR23" i="62"/>
  <c r="FS24" i="62" s="1"/>
  <c r="FH33" i="62"/>
  <c r="FG6" i="62"/>
  <c r="FH57" i="62"/>
  <c r="FG14" i="62"/>
  <c r="FH28" i="62"/>
  <c r="FH26" i="62"/>
  <c r="FH60" i="62"/>
  <c r="FG15" i="62"/>
  <c r="FH45" i="62"/>
  <c r="FG10" i="62"/>
  <c r="FH52" i="62"/>
  <c r="FH50" i="62"/>
  <c r="FI31" i="62"/>
  <c r="FI29" i="62"/>
  <c r="FH56" i="62"/>
  <c r="FH58" i="62"/>
  <c r="FH59" i="62"/>
  <c r="FH61" i="62"/>
  <c r="FH36" i="62"/>
  <c r="FG7" i="62"/>
  <c r="FH35" i="62"/>
  <c r="FH37" i="62"/>
  <c r="FH39" i="62"/>
  <c r="FG8" i="62"/>
  <c r="FH53" i="62"/>
  <c r="FH55" i="62"/>
  <c r="FH49" i="62"/>
  <c r="FH47" i="62"/>
  <c r="FH38" i="62"/>
  <c r="FH40" i="62"/>
  <c r="FH54" i="62"/>
  <c r="FG13" i="62"/>
  <c r="FH48" i="62"/>
  <c r="FG11" i="62"/>
  <c r="FI3" i="62"/>
  <c r="FI48" i="62" l="1"/>
  <c r="FH11" i="62"/>
  <c r="FI56" i="62"/>
  <c r="FI58" i="62"/>
  <c r="FI42" i="62"/>
  <c r="FH9" i="62"/>
  <c r="FI27" i="62"/>
  <c r="FH4" i="62"/>
  <c r="FI60" i="62"/>
  <c r="FH15" i="62"/>
  <c r="FI41" i="62"/>
  <c r="FI43" i="62"/>
  <c r="FI59" i="62"/>
  <c r="FI61" i="62"/>
  <c r="FI26" i="62"/>
  <c r="FI28" i="62"/>
  <c r="FI47" i="62"/>
  <c r="FI49" i="62"/>
  <c r="FI57" i="62"/>
  <c r="FH14" i="62"/>
  <c r="FI53" i="62"/>
  <c r="FI55" i="62"/>
  <c r="FJ30" i="62"/>
  <c r="FI5" i="62"/>
  <c r="FI54" i="62"/>
  <c r="FH13" i="62"/>
  <c r="FJ29" i="62"/>
  <c r="FJ31" i="62"/>
  <c r="FI45" i="62"/>
  <c r="FH10" i="62"/>
  <c r="FI51" i="62"/>
  <c r="FH12" i="62"/>
  <c r="FI44" i="62"/>
  <c r="FI46" i="62"/>
  <c r="FI38" i="62"/>
  <c r="FI40" i="62"/>
  <c r="FI39" i="62"/>
  <c r="FH8" i="62"/>
  <c r="FI50" i="62"/>
  <c r="FI52" i="62"/>
  <c r="FS25" i="62"/>
  <c r="FS23" i="62"/>
  <c r="FT24" i="62" s="1"/>
  <c r="FI35" i="62"/>
  <c r="FI37" i="62"/>
  <c r="FI32" i="62"/>
  <c r="FI34" i="62"/>
  <c r="FI36" i="62"/>
  <c r="FH7" i="62"/>
  <c r="FI33" i="62"/>
  <c r="FH6" i="62"/>
  <c r="FJ3" i="62"/>
  <c r="FJ42" i="62" l="1"/>
  <c r="FI9" i="62"/>
  <c r="FJ46" i="62"/>
  <c r="FJ44" i="62"/>
  <c r="FJ45" i="62"/>
  <c r="FI10" i="62"/>
  <c r="FJ35" i="62"/>
  <c r="FJ37" i="62"/>
  <c r="FJ53" i="62"/>
  <c r="FJ55" i="62"/>
  <c r="FJ33" i="62"/>
  <c r="FI6" i="62"/>
  <c r="FJ54" i="62"/>
  <c r="FI13" i="62"/>
  <c r="FJ36" i="62"/>
  <c r="FI7" i="62"/>
  <c r="FJ39" i="62"/>
  <c r="FI8" i="62"/>
  <c r="FJ47" i="62"/>
  <c r="FJ49" i="62"/>
  <c r="FJ52" i="62"/>
  <c r="FJ50" i="62"/>
  <c r="FK29" i="62"/>
  <c r="FK31" i="62"/>
  <c r="FJ28" i="62"/>
  <c r="FJ26" i="62"/>
  <c r="FJ56" i="62"/>
  <c r="FJ58" i="62"/>
  <c r="FJ41" i="62"/>
  <c r="FJ43" i="62"/>
  <c r="FJ27" i="62"/>
  <c r="FI4" i="62"/>
  <c r="FJ38" i="62"/>
  <c r="FJ40" i="62"/>
  <c r="FJ32" i="62"/>
  <c r="FJ34" i="62"/>
  <c r="FT25" i="62"/>
  <c r="FT23" i="62"/>
  <c r="FU24" i="62" s="1"/>
  <c r="FJ48" i="62"/>
  <c r="FI11" i="62"/>
  <c r="FJ51" i="62"/>
  <c r="FI12" i="62"/>
  <c r="FK30" i="62"/>
  <c r="FJ5" i="62"/>
  <c r="FJ57" i="62"/>
  <c r="FI14" i="62"/>
  <c r="FJ59" i="62"/>
  <c r="FJ61" i="62"/>
  <c r="FJ60" i="62"/>
  <c r="FI15" i="62"/>
  <c r="FK3" i="62"/>
  <c r="FU23" i="62" l="1"/>
  <c r="FV24" i="62" s="1"/>
  <c r="FU25" i="62"/>
  <c r="FK39" i="62"/>
  <c r="FJ8" i="62"/>
  <c r="FK50" i="62"/>
  <c r="FK52" i="62"/>
  <c r="FK54" i="62"/>
  <c r="FJ13" i="62"/>
  <c r="FK47" i="62"/>
  <c r="FK49" i="62"/>
  <c r="FK37" i="62"/>
  <c r="FK35" i="62"/>
  <c r="FK26" i="62"/>
  <c r="FK28" i="62"/>
  <c r="FK32" i="62"/>
  <c r="FK34" i="62"/>
  <c r="FK60" i="62"/>
  <c r="FJ15" i="62"/>
  <c r="FK53" i="62"/>
  <c r="FK55" i="62"/>
  <c r="FK48" i="62"/>
  <c r="FJ11" i="62"/>
  <c r="FK36" i="62"/>
  <c r="FJ7" i="62"/>
  <c r="FK41" i="62"/>
  <c r="FK43" i="62"/>
  <c r="FL31" i="62"/>
  <c r="FL29" i="62"/>
  <c r="FL30" i="62"/>
  <c r="FK5" i="62"/>
  <c r="FK51" i="62"/>
  <c r="FJ12" i="62"/>
  <c r="FK58" i="62"/>
  <c r="FK56" i="62"/>
  <c r="FK45" i="62"/>
  <c r="FJ10" i="62"/>
  <c r="FK59" i="62"/>
  <c r="FK61" i="62"/>
  <c r="FK33" i="62"/>
  <c r="FJ6" i="62"/>
  <c r="FK38" i="62"/>
  <c r="FK40" i="62"/>
  <c r="FK42" i="62"/>
  <c r="FJ9" i="62"/>
  <c r="FK57" i="62"/>
  <c r="FJ14" i="62"/>
  <c r="FK44" i="62"/>
  <c r="FK46" i="62"/>
  <c r="FK27" i="62"/>
  <c r="FJ4" i="62"/>
  <c r="FL3" i="62"/>
  <c r="FL44" i="62" l="1"/>
  <c r="FL46" i="62"/>
  <c r="FL35" i="62"/>
  <c r="FL37" i="62"/>
  <c r="FL48" i="62"/>
  <c r="FK11" i="62"/>
  <c r="FL53" i="62"/>
  <c r="FL55" i="62"/>
  <c r="FL54" i="62"/>
  <c r="FK13" i="62"/>
  <c r="FL38" i="62"/>
  <c r="FL40" i="62"/>
  <c r="FL50" i="62"/>
  <c r="FL52" i="62"/>
  <c r="FL47" i="62"/>
  <c r="FL49" i="62"/>
  <c r="FL56" i="62"/>
  <c r="FL58" i="62"/>
  <c r="FL51" i="62"/>
  <c r="FK12" i="62"/>
  <c r="FL36" i="62"/>
  <c r="FK7" i="62"/>
  <c r="FM30" i="62"/>
  <c r="FL5" i="62"/>
  <c r="FL32" i="62"/>
  <c r="FL34" i="62"/>
  <c r="FL39" i="62"/>
  <c r="FK8" i="62"/>
  <c r="FL57" i="62"/>
  <c r="FK14" i="62"/>
  <c r="FM31" i="62"/>
  <c r="FM29" i="62"/>
  <c r="FL33" i="62"/>
  <c r="FK6" i="62"/>
  <c r="FL59" i="62"/>
  <c r="FL61" i="62"/>
  <c r="FL41" i="62"/>
  <c r="FL43" i="62"/>
  <c r="FL26" i="62"/>
  <c r="FL28" i="62"/>
  <c r="FV23" i="62"/>
  <c r="FW24" i="62" s="1"/>
  <c r="FV25" i="62"/>
  <c r="FL45" i="62"/>
  <c r="FK10" i="62"/>
  <c r="FL60" i="62"/>
  <c r="FK15" i="62"/>
  <c r="FL42" i="62"/>
  <c r="FK9" i="62"/>
  <c r="FL27" i="62"/>
  <c r="FK4" i="62"/>
  <c r="FM3" i="62"/>
  <c r="FN30" i="62" l="1"/>
  <c r="FM5" i="62"/>
  <c r="FM55" i="62"/>
  <c r="FM53" i="62"/>
  <c r="FM60" i="62"/>
  <c r="FL15" i="62"/>
  <c r="FM39" i="62"/>
  <c r="FL8" i="62"/>
  <c r="FM54" i="62"/>
  <c r="FL13" i="62"/>
  <c r="FN31" i="62"/>
  <c r="FN29" i="62"/>
  <c r="FW25" i="62"/>
  <c r="FW23" i="62"/>
  <c r="FX24" i="62" s="1"/>
  <c r="FM56" i="62"/>
  <c r="FM58" i="62"/>
  <c r="FM40" i="62"/>
  <c r="FM38" i="62"/>
  <c r="FM57" i="62"/>
  <c r="FL14" i="62"/>
  <c r="FM28" i="62"/>
  <c r="FM26" i="62"/>
  <c r="FM49" i="62"/>
  <c r="FM47" i="62"/>
  <c r="FM35" i="62"/>
  <c r="FM37" i="62"/>
  <c r="FM48" i="62"/>
  <c r="FL11" i="62"/>
  <c r="FM36" i="62"/>
  <c r="FL7" i="62"/>
  <c r="FM27" i="62"/>
  <c r="FL4" i="62"/>
  <c r="FM43" i="62"/>
  <c r="FM41" i="62"/>
  <c r="FM34" i="62"/>
  <c r="FM32" i="62"/>
  <c r="FM50" i="62"/>
  <c r="FM52" i="62"/>
  <c r="FM46" i="62"/>
  <c r="FM44" i="62"/>
  <c r="FM59" i="62"/>
  <c r="FM61" i="62"/>
  <c r="FM42" i="62"/>
  <c r="FL9" i="62"/>
  <c r="FM33" i="62"/>
  <c r="FL6" i="62"/>
  <c r="FM51" i="62"/>
  <c r="FL12" i="62"/>
  <c r="FM45" i="62"/>
  <c r="FL10" i="62"/>
  <c r="FN3" i="62"/>
  <c r="FN28" i="62" l="1"/>
  <c r="FN26" i="62"/>
  <c r="FN34" i="62"/>
  <c r="FN32" i="62"/>
  <c r="FN27" i="62"/>
  <c r="FM4" i="62"/>
  <c r="FN59" i="62"/>
  <c r="FN61" i="62"/>
  <c r="FN39" i="62"/>
  <c r="FM8" i="62"/>
  <c r="FN60" i="62"/>
  <c r="FM15" i="62"/>
  <c r="FN47" i="62"/>
  <c r="FN49" i="62"/>
  <c r="FN40" i="62"/>
  <c r="FN38" i="62"/>
  <c r="FN45" i="62"/>
  <c r="FM10" i="62"/>
  <c r="FN56" i="62"/>
  <c r="FN58" i="62"/>
  <c r="FN54" i="62"/>
  <c r="FM13" i="62"/>
  <c r="FN48" i="62"/>
  <c r="FM11" i="62"/>
  <c r="FO29" i="62"/>
  <c r="FO31" i="62"/>
  <c r="FN44" i="62"/>
  <c r="FN46" i="62"/>
  <c r="FN57" i="62"/>
  <c r="FM14" i="62"/>
  <c r="FN55" i="62"/>
  <c r="FN53" i="62"/>
  <c r="FN33" i="62"/>
  <c r="FM6" i="62"/>
  <c r="FO30" i="62"/>
  <c r="FN5" i="62"/>
  <c r="FN42" i="62"/>
  <c r="FM9" i="62"/>
  <c r="FN43" i="62"/>
  <c r="FN41" i="62"/>
  <c r="FN50" i="62"/>
  <c r="FN52" i="62"/>
  <c r="FN37" i="62"/>
  <c r="FN35" i="62"/>
  <c r="FN51" i="62"/>
  <c r="FM12" i="62"/>
  <c r="FN36" i="62"/>
  <c r="FM7" i="62"/>
  <c r="FX25" i="62"/>
  <c r="FX23" i="62"/>
  <c r="FY24" i="62" s="1"/>
  <c r="FO3" i="62"/>
  <c r="FO54" i="62" l="1"/>
  <c r="FN13" i="62"/>
  <c r="FO56" i="62"/>
  <c r="FO58" i="62"/>
  <c r="FO59" i="62"/>
  <c r="FO61" i="62"/>
  <c r="FO55" i="62"/>
  <c r="FO53" i="62"/>
  <c r="FO57" i="62"/>
  <c r="FN14" i="62"/>
  <c r="FO60" i="62"/>
  <c r="FN15" i="62"/>
  <c r="FO36" i="62"/>
  <c r="FN7" i="62"/>
  <c r="FO35" i="62"/>
  <c r="FO37" i="62"/>
  <c r="FO50" i="62"/>
  <c r="FO52" i="62"/>
  <c r="FO51" i="62"/>
  <c r="FN12" i="62"/>
  <c r="FO42" i="62"/>
  <c r="FN9" i="62"/>
  <c r="FO44" i="62"/>
  <c r="FO46" i="62"/>
  <c r="FO39" i="62"/>
  <c r="FN8" i="62"/>
  <c r="FO33" i="62"/>
  <c r="FN6" i="62"/>
  <c r="FY25" i="62"/>
  <c r="FY23" i="62"/>
  <c r="FZ24" i="62" s="1"/>
  <c r="FO43" i="62"/>
  <c r="FO41" i="62"/>
  <c r="FO45" i="62"/>
  <c r="FN10" i="62"/>
  <c r="FO40" i="62"/>
  <c r="FO38" i="62"/>
  <c r="FO34" i="62"/>
  <c r="FO32" i="62"/>
  <c r="FP29" i="62"/>
  <c r="FP31" i="62"/>
  <c r="FO47" i="62"/>
  <c r="FO49" i="62"/>
  <c r="FO27" i="62"/>
  <c r="FN4" i="62"/>
  <c r="FP30" i="62"/>
  <c r="FO5" i="62"/>
  <c r="FO48" i="62"/>
  <c r="FN11" i="62"/>
  <c r="FO28" i="62"/>
  <c r="FO26" i="62"/>
  <c r="FP3" i="62"/>
  <c r="FP39" i="62" l="1"/>
  <c r="FO8" i="62"/>
  <c r="FP40" i="62"/>
  <c r="FP38" i="62"/>
  <c r="FP42" i="62"/>
  <c r="FO9" i="62"/>
  <c r="FP54" i="62"/>
  <c r="FO13" i="62"/>
  <c r="FP53" i="62"/>
  <c r="FP55" i="62"/>
  <c r="FP52" i="62"/>
  <c r="FP50" i="62"/>
  <c r="FP59" i="62"/>
  <c r="FP61" i="62"/>
  <c r="FP28" i="62"/>
  <c r="FP26" i="62"/>
  <c r="FP46" i="62"/>
  <c r="FP44" i="62"/>
  <c r="FP45" i="62"/>
  <c r="FO10" i="62"/>
  <c r="FP48" i="62"/>
  <c r="FO11" i="62"/>
  <c r="FZ25" i="62"/>
  <c r="FZ23" i="62"/>
  <c r="GA24" i="62" s="1"/>
  <c r="FP51" i="62"/>
  <c r="FO12" i="62"/>
  <c r="FP60" i="62"/>
  <c r="FO15" i="62"/>
  <c r="FP47" i="62"/>
  <c r="FP49" i="62"/>
  <c r="FP37" i="62"/>
  <c r="FP35" i="62"/>
  <c r="FP56" i="62"/>
  <c r="FP58" i="62"/>
  <c r="FP43" i="62"/>
  <c r="FP41" i="62"/>
  <c r="FQ31" i="62"/>
  <c r="FQ29" i="62"/>
  <c r="FQ30" i="62"/>
  <c r="FP5" i="62"/>
  <c r="FP36" i="62"/>
  <c r="FO7" i="62"/>
  <c r="FP57" i="62"/>
  <c r="FO14" i="62"/>
  <c r="FP27" i="62"/>
  <c r="FO4" i="62"/>
  <c r="FP33" i="62"/>
  <c r="FO6" i="62"/>
  <c r="FP32" i="62"/>
  <c r="FP34" i="62"/>
  <c r="FQ3" i="62"/>
  <c r="FQ54" i="62" l="1"/>
  <c r="FP13" i="62"/>
  <c r="FQ36" i="62"/>
  <c r="FP7" i="62"/>
  <c r="FQ37" i="62"/>
  <c r="FQ35" i="62"/>
  <c r="FQ47" i="62"/>
  <c r="FQ49" i="62"/>
  <c r="FQ45" i="62"/>
  <c r="FP10" i="62"/>
  <c r="FQ51" i="62"/>
  <c r="FP12" i="62"/>
  <c r="FQ53" i="62"/>
  <c r="FQ55" i="62"/>
  <c r="FQ48" i="62"/>
  <c r="FP11" i="62"/>
  <c r="FQ46" i="62"/>
  <c r="FQ44" i="62"/>
  <c r="FQ27" i="62"/>
  <c r="FP4" i="62"/>
  <c r="FQ39" i="62"/>
  <c r="FP8" i="62"/>
  <c r="FQ56" i="62"/>
  <c r="FQ58" i="62"/>
  <c r="FQ57" i="62"/>
  <c r="FP14" i="62"/>
  <c r="FQ28" i="62"/>
  <c r="FQ26" i="62"/>
  <c r="FQ40" i="62"/>
  <c r="FQ38" i="62"/>
  <c r="FQ42" i="62"/>
  <c r="FP9" i="62"/>
  <c r="FQ52" i="62"/>
  <c r="FQ50" i="62"/>
  <c r="FQ32" i="62"/>
  <c r="FQ34" i="62"/>
  <c r="FR30" i="62"/>
  <c r="FQ5" i="62"/>
  <c r="FQ59" i="62"/>
  <c r="FQ61" i="62"/>
  <c r="FQ43" i="62"/>
  <c r="FQ41" i="62"/>
  <c r="GA25" i="62"/>
  <c r="GA23" i="62"/>
  <c r="GB24" i="62" s="1"/>
  <c r="FQ33" i="62"/>
  <c r="FP6" i="62"/>
  <c r="FR31" i="62"/>
  <c r="FR29" i="62"/>
  <c r="FQ60" i="62"/>
  <c r="FP15" i="62"/>
  <c r="FR3" i="62"/>
  <c r="FR47" i="62" l="1"/>
  <c r="FR49" i="62"/>
  <c r="FR56" i="62"/>
  <c r="FR58" i="62"/>
  <c r="FR57" i="62"/>
  <c r="FQ14" i="62"/>
  <c r="FR52" i="62"/>
  <c r="FR50" i="62"/>
  <c r="FR48" i="62"/>
  <c r="FQ11" i="62"/>
  <c r="FR32" i="62"/>
  <c r="FR34" i="62"/>
  <c r="FR42" i="62"/>
  <c r="FQ9" i="62"/>
  <c r="FR39" i="62"/>
  <c r="FQ8" i="62"/>
  <c r="FR45" i="62"/>
  <c r="FQ10" i="62"/>
  <c r="FR36" i="62"/>
  <c r="FQ7" i="62"/>
  <c r="GB25" i="62"/>
  <c r="GB23" i="62"/>
  <c r="GC24" i="62" s="1"/>
  <c r="FR40" i="62"/>
  <c r="FR38" i="62"/>
  <c r="FR46" i="62"/>
  <c r="FR44" i="62"/>
  <c r="FR35" i="62"/>
  <c r="FR37" i="62"/>
  <c r="FR43" i="62"/>
  <c r="FR41" i="62"/>
  <c r="FR61" i="62"/>
  <c r="FR59" i="62"/>
  <c r="FR27" i="62"/>
  <c r="FQ4" i="62"/>
  <c r="FR60" i="62"/>
  <c r="FQ15" i="62"/>
  <c r="FR28" i="62"/>
  <c r="FR26" i="62"/>
  <c r="FS30" i="62"/>
  <c r="FR5" i="62"/>
  <c r="FS29" i="62"/>
  <c r="FS31" i="62"/>
  <c r="FR33" i="62"/>
  <c r="FQ6" i="62"/>
  <c r="FR51" i="62"/>
  <c r="FQ12" i="62"/>
  <c r="FR55" i="62"/>
  <c r="FR53" i="62"/>
  <c r="FR54" i="62"/>
  <c r="FQ13" i="62"/>
  <c r="FS3" i="62"/>
  <c r="FS33" i="62" l="1"/>
  <c r="FR6" i="62"/>
  <c r="FS60" i="62"/>
  <c r="FR15" i="62"/>
  <c r="FS51" i="62"/>
  <c r="FR12" i="62"/>
  <c r="FS54" i="62"/>
  <c r="FR13" i="62"/>
  <c r="FS50" i="62"/>
  <c r="FS52" i="62"/>
  <c r="FS28" i="62"/>
  <c r="FS26" i="62"/>
  <c r="FS53" i="62"/>
  <c r="FS55" i="62"/>
  <c r="FS40" i="62"/>
  <c r="FS38" i="62"/>
  <c r="FS61" i="62"/>
  <c r="FS59" i="62"/>
  <c r="FT29" i="62"/>
  <c r="FT31" i="62"/>
  <c r="FS42" i="62"/>
  <c r="FR9" i="62"/>
  <c r="FS39" i="62"/>
  <c r="FR8" i="62"/>
  <c r="FS41" i="62"/>
  <c r="FS43" i="62"/>
  <c r="FS37" i="62"/>
  <c r="FS35" i="62"/>
  <c r="FS56" i="62"/>
  <c r="FS58" i="62"/>
  <c r="GC25" i="62"/>
  <c r="GC23" i="62"/>
  <c r="GD24" i="62" s="1"/>
  <c r="FT30" i="62"/>
  <c r="FS5" i="62"/>
  <c r="FS57" i="62"/>
  <c r="FR14" i="62"/>
  <c r="FS34" i="62"/>
  <c r="FS32" i="62"/>
  <c r="FS36" i="62"/>
  <c r="FR7" i="62"/>
  <c r="FS27" i="62"/>
  <c r="FR4" i="62"/>
  <c r="FS45" i="62"/>
  <c r="FR10" i="62"/>
  <c r="FS49" i="62"/>
  <c r="FS47" i="62"/>
  <c r="FS46" i="62"/>
  <c r="FS44" i="62"/>
  <c r="FS48" i="62"/>
  <c r="FR11" i="62"/>
  <c r="FT3" i="62"/>
  <c r="FT46" i="62" l="1"/>
  <c r="FT44" i="62"/>
  <c r="FT52" i="62"/>
  <c r="FT50" i="62"/>
  <c r="FU29" i="62"/>
  <c r="FU31" i="62"/>
  <c r="FT49" i="62"/>
  <c r="FT47" i="62"/>
  <c r="GD25" i="62"/>
  <c r="GD23" i="62"/>
  <c r="GE24" i="62" s="1"/>
  <c r="FU30" i="62"/>
  <c r="FT5" i="62"/>
  <c r="FT58" i="62"/>
  <c r="FT56" i="62"/>
  <c r="FT60" i="62"/>
  <c r="FS15" i="62"/>
  <c r="FT48" i="62"/>
  <c r="FS11" i="62"/>
  <c r="FT57" i="62"/>
  <c r="FS14" i="62"/>
  <c r="FT59" i="62"/>
  <c r="FT61" i="62"/>
  <c r="FT36" i="62"/>
  <c r="FS7" i="62"/>
  <c r="FT39" i="62"/>
  <c r="FS8" i="62"/>
  <c r="FT45" i="62"/>
  <c r="FS10" i="62"/>
  <c r="FT28" i="62"/>
  <c r="FT26" i="62"/>
  <c r="FT51" i="62"/>
  <c r="FS12" i="62"/>
  <c r="FT37" i="62"/>
  <c r="FT35" i="62"/>
  <c r="FT38" i="62"/>
  <c r="FT40" i="62"/>
  <c r="FT33" i="62"/>
  <c r="FS6" i="62"/>
  <c r="FT41" i="62"/>
  <c r="FT43" i="62"/>
  <c r="FT55" i="62"/>
  <c r="FT53" i="62"/>
  <c r="FT27" i="62"/>
  <c r="FS4" i="62"/>
  <c r="FT34" i="62"/>
  <c r="FT32" i="62"/>
  <c r="FT42" i="62"/>
  <c r="FS9" i="62"/>
  <c r="FT54" i="62"/>
  <c r="FS13" i="62"/>
  <c r="FU3" i="62"/>
  <c r="FU32" i="62" l="1"/>
  <c r="FU34" i="62"/>
  <c r="FU37" i="62"/>
  <c r="FU35" i="62"/>
  <c r="FU60" i="62"/>
  <c r="FT15" i="62"/>
  <c r="GE23" i="62"/>
  <c r="GF24" i="62" s="1"/>
  <c r="GE25" i="62"/>
  <c r="FU48" i="62"/>
  <c r="FT11" i="62"/>
  <c r="FU36" i="62"/>
  <c r="FT7" i="62"/>
  <c r="FU47" i="62"/>
  <c r="FU49" i="62"/>
  <c r="FU38" i="62"/>
  <c r="FU40" i="62"/>
  <c r="FU54" i="62"/>
  <c r="FT13" i="62"/>
  <c r="FU27" i="62"/>
  <c r="FT4" i="62"/>
  <c r="FV29" i="62"/>
  <c r="FV31" i="62"/>
  <c r="FU61" i="62"/>
  <c r="FU59" i="62"/>
  <c r="FV30" i="62"/>
  <c r="FU5" i="62"/>
  <c r="FU55" i="62"/>
  <c r="FU53" i="62"/>
  <c r="FU26" i="62"/>
  <c r="FU28" i="62"/>
  <c r="FU41" i="62"/>
  <c r="FU43" i="62"/>
  <c r="FU51" i="62"/>
  <c r="FT12" i="62"/>
  <c r="FU39" i="62"/>
  <c r="FT8" i="62"/>
  <c r="FU33" i="62"/>
  <c r="FT6" i="62"/>
  <c r="FU42" i="62"/>
  <c r="FT9" i="62"/>
  <c r="FU52" i="62"/>
  <c r="FU50" i="62"/>
  <c r="FU57" i="62"/>
  <c r="FT14" i="62"/>
  <c r="FU45" i="62"/>
  <c r="FT10" i="62"/>
  <c r="FU58" i="62"/>
  <c r="FU56" i="62"/>
  <c r="FU44" i="62"/>
  <c r="FU46" i="62"/>
  <c r="FV3" i="62"/>
  <c r="FV43" i="62" l="1"/>
  <c r="FV41" i="62"/>
  <c r="GF25" i="62"/>
  <c r="GF23" i="62"/>
  <c r="GG24" i="62" s="1"/>
  <c r="FV57" i="62"/>
  <c r="FU14" i="62"/>
  <c r="FV59" i="62"/>
  <c r="FV61" i="62"/>
  <c r="FV51" i="62"/>
  <c r="FU12" i="62"/>
  <c r="FV26" i="62"/>
  <c r="FV28" i="62"/>
  <c r="FV60" i="62"/>
  <c r="FU15" i="62"/>
  <c r="FW30" i="62"/>
  <c r="FV5" i="62"/>
  <c r="FV58" i="62"/>
  <c r="FV56" i="62"/>
  <c r="FV42" i="62"/>
  <c r="FU9" i="62"/>
  <c r="FV50" i="62"/>
  <c r="FV52" i="62"/>
  <c r="FV27" i="62"/>
  <c r="FU4" i="62"/>
  <c r="FV54" i="62"/>
  <c r="FU13" i="62"/>
  <c r="FV38" i="62"/>
  <c r="FV40" i="62"/>
  <c r="FV36" i="62"/>
  <c r="FU7" i="62"/>
  <c r="FV55" i="62"/>
  <c r="FV53" i="62"/>
  <c r="FV39" i="62"/>
  <c r="FU8" i="62"/>
  <c r="FV35" i="62"/>
  <c r="FV37" i="62"/>
  <c r="FW29" i="62"/>
  <c r="FW31" i="62"/>
  <c r="FV44" i="62"/>
  <c r="FV46" i="62"/>
  <c r="FV47" i="62"/>
  <c r="FV49" i="62"/>
  <c r="FV34" i="62"/>
  <c r="FV32" i="62"/>
  <c r="FV45" i="62"/>
  <c r="FU10" i="62"/>
  <c r="FV48" i="62"/>
  <c r="FU11" i="62"/>
  <c r="FV33" i="62"/>
  <c r="FU6" i="62"/>
  <c r="FW3" i="62"/>
  <c r="FW26" i="62" l="1"/>
  <c r="FW28" i="62"/>
  <c r="FW33" i="62"/>
  <c r="FV6" i="62"/>
  <c r="FW54" i="62"/>
  <c r="FV13" i="62"/>
  <c r="FW61" i="62"/>
  <c r="FW59" i="62"/>
  <c r="FW60" i="62"/>
  <c r="FV15" i="62"/>
  <c r="FW37" i="62"/>
  <c r="FW35" i="62"/>
  <c r="FW36" i="62"/>
  <c r="FV7" i="62"/>
  <c r="FW27" i="62"/>
  <c r="FV4" i="62"/>
  <c r="FW50" i="62"/>
  <c r="FW52" i="62"/>
  <c r="FW51" i="62"/>
  <c r="FV12" i="62"/>
  <c r="FW32" i="62"/>
  <c r="FW34" i="62"/>
  <c r="FW53" i="62"/>
  <c r="FW55" i="62"/>
  <c r="FW47" i="62"/>
  <c r="FW49" i="62"/>
  <c r="FW57" i="62"/>
  <c r="FV14" i="62"/>
  <c r="GG23" i="62"/>
  <c r="GH24" i="62" s="1"/>
  <c r="GG25" i="62"/>
  <c r="FW48" i="62"/>
  <c r="FV11" i="62"/>
  <c r="FW56" i="62"/>
  <c r="FW58" i="62"/>
  <c r="FW44" i="62"/>
  <c r="FW46" i="62"/>
  <c r="FW38" i="62"/>
  <c r="FW40" i="62"/>
  <c r="FW45" i="62"/>
  <c r="FV10" i="62"/>
  <c r="FW39" i="62"/>
  <c r="FV8" i="62"/>
  <c r="FX29" i="62"/>
  <c r="FX31" i="62"/>
  <c r="FW42" i="62"/>
  <c r="FV9" i="62"/>
  <c r="FX30" i="62"/>
  <c r="FW5" i="62"/>
  <c r="FW41" i="62"/>
  <c r="FW43" i="62"/>
  <c r="FX3" i="62"/>
  <c r="FX53" i="62" l="1"/>
  <c r="FX55" i="62"/>
  <c r="FX56" i="62"/>
  <c r="FX58" i="62"/>
  <c r="FX33" i="62"/>
  <c r="FW6" i="62"/>
  <c r="FY31" i="62"/>
  <c r="FY29" i="62"/>
  <c r="FX60" i="62"/>
  <c r="FW15" i="62"/>
  <c r="FX59" i="62"/>
  <c r="FX61" i="62"/>
  <c r="FX35" i="62"/>
  <c r="FX37" i="62"/>
  <c r="GH23" i="62"/>
  <c r="GI24" i="62" s="1"/>
  <c r="GH25" i="62"/>
  <c r="FX50" i="62"/>
  <c r="FX52" i="62"/>
  <c r="FX57" i="62"/>
  <c r="FW14" i="62"/>
  <c r="FX36" i="62"/>
  <c r="FW7" i="62"/>
  <c r="FX45" i="62"/>
  <c r="FW10" i="62"/>
  <c r="FY30" i="62"/>
  <c r="FX5" i="62"/>
  <c r="FX51" i="62"/>
  <c r="FW12" i="62"/>
  <c r="FX54" i="62"/>
  <c r="FW13" i="62"/>
  <c r="FX46" i="62"/>
  <c r="FX44" i="62"/>
  <c r="FX32" i="62"/>
  <c r="FX34" i="62"/>
  <c r="FX41" i="62"/>
  <c r="FX43" i="62"/>
  <c r="FX40" i="62"/>
  <c r="FX38" i="62"/>
  <c r="FX49" i="62"/>
  <c r="FX47" i="62"/>
  <c r="FX28" i="62"/>
  <c r="FX26" i="62"/>
  <c r="FX42" i="62"/>
  <c r="FW9" i="62"/>
  <c r="FX39" i="62"/>
  <c r="FW8" i="62"/>
  <c r="FX48" i="62"/>
  <c r="FW11" i="62"/>
  <c r="FX27" i="62"/>
  <c r="FW4" i="62"/>
  <c r="FY3" i="62"/>
  <c r="FY43" i="62" l="1"/>
  <c r="FY41" i="62"/>
  <c r="FY42" i="62"/>
  <c r="FX9" i="62"/>
  <c r="FY45" i="62"/>
  <c r="FX10" i="62"/>
  <c r="FZ30" i="62"/>
  <c r="FY5" i="62"/>
  <c r="FY34" i="62"/>
  <c r="FY32" i="62"/>
  <c r="FY33" i="62"/>
  <c r="FX6" i="62"/>
  <c r="FZ31" i="62"/>
  <c r="FZ29" i="62"/>
  <c r="FY44" i="62"/>
  <c r="FY46" i="62"/>
  <c r="FY27" i="62"/>
  <c r="FX4" i="62"/>
  <c r="FY50" i="62"/>
  <c r="FY52" i="62"/>
  <c r="FY26" i="62"/>
  <c r="FY28" i="62"/>
  <c r="FY59" i="62"/>
  <c r="FY61" i="62"/>
  <c r="FY60" i="62"/>
  <c r="FX15" i="62"/>
  <c r="FY51" i="62"/>
  <c r="FX12" i="62"/>
  <c r="FY48" i="62"/>
  <c r="FX11" i="62"/>
  <c r="GI23" i="62"/>
  <c r="GJ24" i="62" s="1"/>
  <c r="GI25" i="62"/>
  <c r="FY56" i="62"/>
  <c r="FY58" i="62"/>
  <c r="FY49" i="62"/>
  <c r="FY47" i="62"/>
  <c r="FY57" i="62"/>
  <c r="FX14" i="62"/>
  <c r="FY39" i="62"/>
  <c r="FX8" i="62"/>
  <c r="FY37" i="62"/>
  <c r="FY35" i="62"/>
  <c r="FY53" i="62"/>
  <c r="FY55" i="62"/>
  <c r="FY40" i="62"/>
  <c r="FY38" i="62"/>
  <c r="FY36" i="62"/>
  <c r="FX7" i="62"/>
  <c r="FY54" i="62"/>
  <c r="FX13" i="62"/>
  <c r="FZ3" i="62"/>
  <c r="FZ59" i="62" l="1"/>
  <c r="FZ61" i="62"/>
  <c r="FZ60" i="62"/>
  <c r="FY15" i="62"/>
  <c r="FZ39" i="62"/>
  <c r="FY8" i="62"/>
  <c r="FZ56" i="62"/>
  <c r="FZ58" i="62"/>
  <c r="FZ26" i="62"/>
  <c r="FZ28" i="62"/>
  <c r="FZ33" i="62"/>
  <c r="FY6" i="62"/>
  <c r="FZ40" i="62"/>
  <c r="FZ38" i="62"/>
  <c r="FZ57" i="62"/>
  <c r="FY14" i="62"/>
  <c r="FZ27" i="62"/>
  <c r="FY4" i="62"/>
  <c r="FZ34" i="62"/>
  <c r="FZ32" i="62"/>
  <c r="FZ53" i="62"/>
  <c r="FZ55" i="62"/>
  <c r="GJ25" i="62"/>
  <c r="GJ23" i="62"/>
  <c r="FZ52" i="62"/>
  <c r="FZ50" i="62"/>
  <c r="FZ54" i="62"/>
  <c r="FY13" i="62"/>
  <c r="FZ51" i="62"/>
  <c r="FY12" i="62"/>
  <c r="FZ36" i="62"/>
  <c r="FY7" i="62"/>
  <c r="FZ48" i="62"/>
  <c r="FY11" i="62"/>
  <c r="FZ37" i="62"/>
  <c r="FZ35" i="62"/>
  <c r="FZ46" i="62"/>
  <c r="FZ44" i="62"/>
  <c r="FZ49" i="62"/>
  <c r="FZ47" i="62"/>
  <c r="FZ45" i="62"/>
  <c r="FY10" i="62"/>
  <c r="GA30" i="62"/>
  <c r="FZ5" i="62"/>
  <c r="FZ42" i="62"/>
  <c r="FY9" i="62"/>
  <c r="GA29" i="62"/>
  <c r="GA31" i="62"/>
  <c r="FZ41" i="62"/>
  <c r="FZ43" i="62"/>
  <c r="GA3" i="62"/>
  <c r="GA54" i="62" l="1"/>
  <c r="FZ13" i="62"/>
  <c r="GA27" i="62"/>
  <c r="FZ4" i="62"/>
  <c r="GA33" i="62"/>
  <c r="FZ6" i="62"/>
  <c r="GA56" i="62"/>
  <c r="GA58" i="62"/>
  <c r="GB29" i="62"/>
  <c r="GB31" i="62"/>
  <c r="GA53" i="62"/>
  <c r="GA55" i="62"/>
  <c r="GA57" i="62"/>
  <c r="FZ14" i="62"/>
  <c r="GA34" i="62"/>
  <c r="GA32" i="62"/>
  <c r="GA37" i="62"/>
  <c r="GA35" i="62"/>
  <c r="GA48" i="62"/>
  <c r="FZ11" i="62"/>
  <c r="GA47" i="62"/>
  <c r="GA49" i="62"/>
  <c r="GA36" i="62"/>
  <c r="FZ7" i="62"/>
  <c r="GB30" i="62"/>
  <c r="GA5" i="62"/>
  <c r="GA26" i="62"/>
  <c r="GA28" i="62"/>
  <c r="GA43" i="62"/>
  <c r="GA41" i="62"/>
  <c r="GA45" i="62"/>
  <c r="FZ10" i="62"/>
  <c r="GA51" i="62"/>
  <c r="FZ12" i="62"/>
  <c r="GA39" i="62"/>
  <c r="FZ8" i="62"/>
  <c r="GA59" i="62"/>
  <c r="GA61" i="62"/>
  <c r="GA42" i="62"/>
  <c r="FZ9" i="62"/>
  <c r="GA46" i="62"/>
  <c r="GA44" i="62"/>
  <c r="GA52" i="62"/>
  <c r="GA50" i="62"/>
  <c r="GA40" i="62"/>
  <c r="GA38" i="62"/>
  <c r="GA60" i="62"/>
  <c r="FZ15" i="62"/>
  <c r="GB3" i="62"/>
  <c r="GB48" i="62" l="1"/>
  <c r="GA11" i="62"/>
  <c r="GC30" i="62"/>
  <c r="GB5" i="62"/>
  <c r="GB51" i="62"/>
  <c r="GA12" i="62"/>
  <c r="GB56" i="62"/>
  <c r="GB58" i="62"/>
  <c r="GB57" i="62"/>
  <c r="GA14" i="62"/>
  <c r="GB45" i="62"/>
  <c r="GA10" i="62"/>
  <c r="GB42" i="62"/>
  <c r="GA9" i="62"/>
  <c r="GB36" i="62"/>
  <c r="GA7" i="62"/>
  <c r="GC31" i="62"/>
  <c r="GC29" i="62"/>
  <c r="GB60" i="62"/>
  <c r="GA15" i="62"/>
  <c r="GB55" i="62"/>
  <c r="GB53" i="62"/>
  <c r="GB54" i="62"/>
  <c r="GA13" i="62"/>
  <c r="GB47" i="62"/>
  <c r="GB49" i="62"/>
  <c r="GB52" i="62"/>
  <c r="GB50" i="62"/>
  <c r="GB44" i="62"/>
  <c r="GB46" i="62"/>
  <c r="GB43" i="62"/>
  <c r="GB41" i="62"/>
  <c r="GB37" i="62"/>
  <c r="GB35" i="62"/>
  <c r="GB26" i="62"/>
  <c r="GB28" i="62"/>
  <c r="GB33" i="62"/>
  <c r="GA6" i="62"/>
  <c r="GB39" i="62"/>
  <c r="GA8" i="62"/>
  <c r="GB40" i="62"/>
  <c r="GB38" i="62"/>
  <c r="GB27" i="62"/>
  <c r="GA4" i="62"/>
  <c r="GB34" i="62"/>
  <c r="GB32" i="62"/>
  <c r="GB59" i="62"/>
  <c r="GB61" i="62"/>
  <c r="GC3" i="62"/>
  <c r="GC48" i="62" l="1"/>
  <c r="GB11" i="62"/>
  <c r="GC42" i="62"/>
  <c r="GB9" i="62"/>
  <c r="GC58" i="62"/>
  <c r="GC56" i="62"/>
  <c r="GC61" i="62"/>
  <c r="GC59" i="62"/>
  <c r="GC60" i="62"/>
  <c r="GB15" i="62"/>
  <c r="GC36" i="62"/>
  <c r="GB7" i="62"/>
  <c r="GC57" i="62"/>
  <c r="GB14" i="62"/>
  <c r="GC39" i="62"/>
  <c r="GB8" i="62"/>
  <c r="GC44" i="62"/>
  <c r="GC46" i="62"/>
  <c r="GD30" i="62"/>
  <c r="GC5" i="62"/>
  <c r="GC33" i="62"/>
  <c r="GB6" i="62"/>
  <c r="GC37" i="62"/>
  <c r="GC35" i="62"/>
  <c r="GC54" i="62"/>
  <c r="GB13" i="62"/>
  <c r="GC32" i="62"/>
  <c r="GC34" i="62"/>
  <c r="GC53" i="62"/>
  <c r="GC55" i="62"/>
  <c r="GC43" i="62"/>
  <c r="GC41" i="62"/>
  <c r="GC40" i="62"/>
  <c r="GC38" i="62"/>
  <c r="GC45" i="62"/>
  <c r="GB10" i="62"/>
  <c r="GD31" i="62"/>
  <c r="GD29" i="62"/>
  <c r="GC51" i="62"/>
  <c r="GB12" i="62"/>
  <c r="GC28" i="62"/>
  <c r="GC26" i="62"/>
  <c r="GC27" i="62"/>
  <c r="GB4" i="62"/>
  <c r="GC52" i="62"/>
  <c r="GC50" i="62"/>
  <c r="GC49" i="62"/>
  <c r="GC47" i="62"/>
  <c r="GD3" i="62"/>
  <c r="GE31" i="62" l="1"/>
  <c r="GE29" i="62"/>
  <c r="GD36" i="62"/>
  <c r="GC7" i="62"/>
  <c r="GD37" i="62"/>
  <c r="GD35" i="62"/>
  <c r="GD42" i="62"/>
  <c r="GC9" i="62"/>
  <c r="GD60" i="62"/>
  <c r="GC15" i="62"/>
  <c r="GD61" i="62"/>
  <c r="GD59" i="62"/>
  <c r="GD47" i="62"/>
  <c r="GD49" i="62"/>
  <c r="GD44" i="62"/>
  <c r="GD46" i="62"/>
  <c r="GD57" i="62"/>
  <c r="GC14" i="62"/>
  <c r="GD55" i="62"/>
  <c r="GD53" i="62"/>
  <c r="GD54" i="62"/>
  <c r="GC13" i="62"/>
  <c r="GD58" i="62"/>
  <c r="GD56" i="62"/>
  <c r="GD51" i="62"/>
  <c r="GC12" i="62"/>
  <c r="GD39" i="62"/>
  <c r="GC8" i="62"/>
  <c r="GD52" i="62"/>
  <c r="GD50" i="62"/>
  <c r="GD38" i="62"/>
  <c r="GD40" i="62"/>
  <c r="GD43" i="62"/>
  <c r="GD41" i="62"/>
  <c r="GD27" i="62"/>
  <c r="GC4" i="62"/>
  <c r="GD26" i="62"/>
  <c r="GD28" i="62"/>
  <c r="GD45" i="62"/>
  <c r="GC10" i="62"/>
  <c r="GD32" i="62"/>
  <c r="GD34" i="62"/>
  <c r="GD48" i="62"/>
  <c r="GC11" i="62"/>
  <c r="GD33" i="62"/>
  <c r="GC6" i="62"/>
  <c r="GE30" i="62"/>
  <c r="GD5" i="62"/>
  <c r="GE3" i="62"/>
  <c r="GE40" i="62" l="1"/>
  <c r="GE38" i="62"/>
  <c r="GE54" i="62"/>
  <c r="GD13" i="62"/>
  <c r="GE57" i="62"/>
  <c r="GD14" i="62"/>
  <c r="GE39" i="62"/>
  <c r="GD8" i="62"/>
  <c r="GE34" i="62"/>
  <c r="GE32" i="62"/>
  <c r="GE51" i="62"/>
  <c r="GD12" i="62"/>
  <c r="GE36" i="62"/>
  <c r="GD7" i="62"/>
  <c r="GE61" i="62"/>
  <c r="GE59" i="62"/>
  <c r="GE43" i="62"/>
  <c r="GE41" i="62"/>
  <c r="GE37" i="62"/>
  <c r="GE35" i="62"/>
  <c r="GE55" i="62"/>
  <c r="GE53" i="62"/>
  <c r="GE33" i="62"/>
  <c r="GD6" i="62"/>
  <c r="GE52" i="62"/>
  <c r="GE50" i="62"/>
  <c r="GE44" i="62"/>
  <c r="GE46" i="62"/>
  <c r="GE60" i="62"/>
  <c r="GD15" i="62"/>
  <c r="GE56" i="62"/>
  <c r="GE58" i="62"/>
  <c r="GE42" i="62"/>
  <c r="GD9" i="62"/>
  <c r="GE45" i="62"/>
  <c r="GD10" i="62"/>
  <c r="GE28" i="62"/>
  <c r="GE26" i="62"/>
  <c r="GE49" i="62"/>
  <c r="GE47" i="62"/>
  <c r="GF30" i="62"/>
  <c r="GE5" i="62"/>
  <c r="GE27" i="62"/>
  <c r="GD4" i="62"/>
  <c r="GE48" i="62"/>
  <c r="GD11" i="62"/>
  <c r="GF29" i="62"/>
  <c r="GF31" i="62"/>
  <c r="GF3" i="62"/>
  <c r="GF53" i="62" l="1"/>
  <c r="GF55" i="62"/>
  <c r="GF34" i="62"/>
  <c r="GF32" i="62"/>
  <c r="GF58" i="62"/>
  <c r="GF56" i="62"/>
  <c r="GF36" i="62"/>
  <c r="GE7" i="62"/>
  <c r="GF54" i="62"/>
  <c r="GE13" i="62"/>
  <c r="GF57" i="62"/>
  <c r="GE14" i="62"/>
  <c r="GF37" i="62"/>
  <c r="GF35" i="62"/>
  <c r="GF42" i="62"/>
  <c r="GE9" i="62"/>
  <c r="GF33" i="62"/>
  <c r="GE6" i="62"/>
  <c r="GF41" i="62"/>
  <c r="GF43" i="62"/>
  <c r="GF48" i="62"/>
  <c r="GE11" i="62"/>
  <c r="GF44" i="62"/>
  <c r="GF46" i="62"/>
  <c r="GF60" i="62"/>
  <c r="GE15" i="62"/>
  <c r="GG31" i="62"/>
  <c r="GG29" i="62"/>
  <c r="GG30" i="62"/>
  <c r="GF5" i="62"/>
  <c r="GF47" i="62"/>
  <c r="GF49" i="62"/>
  <c r="GF45" i="62"/>
  <c r="GE10" i="62"/>
  <c r="GF59" i="62"/>
  <c r="GF61" i="62"/>
  <c r="GF27" i="62"/>
  <c r="GE4" i="62"/>
  <c r="GF51" i="62"/>
  <c r="GE12" i="62"/>
  <c r="GF39" i="62"/>
  <c r="GE8" i="62"/>
  <c r="GF26" i="62"/>
  <c r="GF28" i="62"/>
  <c r="GF52" i="62"/>
  <c r="GF50" i="62"/>
  <c r="GF38" i="62"/>
  <c r="GF40" i="62"/>
  <c r="GG3" i="62"/>
  <c r="GG38" i="62" l="1"/>
  <c r="GG40" i="62"/>
  <c r="GG45" i="62"/>
  <c r="GF10" i="62"/>
  <c r="GG28" i="62"/>
  <c r="GG26" i="62"/>
  <c r="GG47" i="62"/>
  <c r="GG49" i="62"/>
  <c r="GG41" i="62"/>
  <c r="GG43" i="62"/>
  <c r="GG61" i="62"/>
  <c r="GG59" i="62"/>
  <c r="GG27" i="62"/>
  <c r="GF4" i="62"/>
  <c r="GG48" i="62"/>
  <c r="GF11" i="62"/>
  <c r="GG42" i="62"/>
  <c r="GF9" i="62"/>
  <c r="GG57" i="62"/>
  <c r="GF14" i="62"/>
  <c r="GG39" i="62"/>
  <c r="GF8" i="62"/>
  <c r="GG58" i="62"/>
  <c r="GG56" i="62"/>
  <c r="GG60" i="62"/>
  <c r="GF15" i="62"/>
  <c r="GH30" i="62"/>
  <c r="GG5" i="62"/>
  <c r="GG33" i="62"/>
  <c r="GF6" i="62"/>
  <c r="GG32" i="62"/>
  <c r="GG34" i="62"/>
  <c r="GG51" i="62"/>
  <c r="GF12" i="62"/>
  <c r="GG52" i="62"/>
  <c r="GG50" i="62"/>
  <c r="GH29" i="62"/>
  <c r="GH31" i="62"/>
  <c r="GG36" i="62"/>
  <c r="GF7" i="62"/>
  <c r="GG53" i="62"/>
  <c r="GG55" i="62"/>
  <c r="GG44" i="62"/>
  <c r="GG46" i="62"/>
  <c r="GG35" i="62"/>
  <c r="GG37" i="62"/>
  <c r="GG54" i="62"/>
  <c r="GF13" i="62"/>
  <c r="GH3" i="62"/>
  <c r="GH42" i="62" l="1"/>
  <c r="GG9" i="62"/>
  <c r="GH46" i="62"/>
  <c r="GH44" i="62"/>
  <c r="GH34" i="62"/>
  <c r="GH32" i="62"/>
  <c r="GH49" i="62"/>
  <c r="GH47" i="62"/>
  <c r="GH57" i="62"/>
  <c r="GG14" i="62"/>
  <c r="GH60" i="62"/>
  <c r="GG15" i="62"/>
  <c r="GH58" i="62"/>
  <c r="GH56" i="62"/>
  <c r="GH43" i="62"/>
  <c r="GH41" i="62"/>
  <c r="GH48" i="62"/>
  <c r="GG11" i="62"/>
  <c r="GH45" i="62"/>
  <c r="GG10" i="62"/>
  <c r="GH33" i="62"/>
  <c r="GG6" i="62"/>
  <c r="GH53" i="62"/>
  <c r="GH55" i="62"/>
  <c r="GH27" i="62"/>
  <c r="GG4" i="62"/>
  <c r="GH59" i="62"/>
  <c r="GH61" i="62"/>
  <c r="GH35" i="62"/>
  <c r="GH37" i="62"/>
  <c r="GH36" i="62"/>
  <c r="GG7" i="62"/>
  <c r="GH54" i="62"/>
  <c r="GG13" i="62"/>
  <c r="GH26" i="62"/>
  <c r="GH28" i="62"/>
  <c r="GI29" i="62"/>
  <c r="GI31" i="62"/>
  <c r="GH38" i="62"/>
  <c r="GH40" i="62"/>
  <c r="GH51" i="62"/>
  <c r="GG12" i="62"/>
  <c r="GH50" i="62"/>
  <c r="GH52" i="62"/>
  <c r="GI30" i="62"/>
  <c r="GH5" i="62"/>
  <c r="GH39" i="62"/>
  <c r="GG8" i="62"/>
  <c r="GI3" i="62"/>
  <c r="T18" i="24"/>
  <c r="O40" i="5" s="1"/>
  <c r="AF40" i="5" s="1"/>
  <c r="GI26" i="62" l="1"/>
  <c r="GI28" i="62"/>
  <c r="GI27" i="62"/>
  <c r="GH4" i="62"/>
  <c r="GI50" i="62"/>
  <c r="GI52" i="62"/>
  <c r="GI48" i="62"/>
  <c r="GH11" i="62"/>
  <c r="GI47" i="62"/>
  <c r="GI49" i="62"/>
  <c r="GI35" i="62"/>
  <c r="GI37" i="62"/>
  <c r="GI33" i="62"/>
  <c r="GH6" i="62"/>
  <c r="GI32" i="62"/>
  <c r="GI34" i="62"/>
  <c r="GI51" i="62"/>
  <c r="GH12" i="62"/>
  <c r="GI36" i="62"/>
  <c r="GH7" i="62"/>
  <c r="GI38" i="62"/>
  <c r="GI40" i="62"/>
  <c r="GI59" i="62"/>
  <c r="GI61" i="62"/>
  <c r="GI42" i="62"/>
  <c r="GH9" i="62"/>
  <c r="GI45" i="62"/>
  <c r="GH10" i="62"/>
  <c r="GJ30" i="62"/>
  <c r="GI5" i="62"/>
  <c r="GI54" i="62"/>
  <c r="GH13" i="62"/>
  <c r="GI39" i="62"/>
  <c r="GH8" i="62"/>
  <c r="GI60" i="62"/>
  <c r="GH15" i="62"/>
  <c r="GI41" i="62"/>
  <c r="GI43" i="62"/>
  <c r="GI46" i="62"/>
  <c r="GI44" i="62"/>
  <c r="GI53" i="62"/>
  <c r="GI55" i="62"/>
  <c r="GJ29" i="62"/>
  <c r="GJ5" i="62" s="1"/>
  <c r="E5" i="62" s="1"/>
  <c r="BC125" i="58" s="1"/>
  <c r="BD125" i="58" s="1"/>
  <c r="GJ31" i="62"/>
  <c r="GI57" i="62"/>
  <c r="GH14" i="62"/>
  <c r="GI58" i="62"/>
  <c r="GI56" i="62"/>
  <c r="GJ3" i="62"/>
  <c r="E3" i="62" s="1"/>
  <c r="BC123" i="58" s="1"/>
  <c r="F30" i="6"/>
  <c r="G30" i="6" s="1"/>
  <c r="F29" i="6"/>
  <c r="J4" i="25"/>
  <c r="AE40" i="5"/>
  <c r="T5" i="24"/>
  <c r="GJ38" i="62" l="1"/>
  <c r="GJ8" i="62" s="1"/>
  <c r="E8" i="62" s="1"/>
  <c r="BC129" i="58" s="1"/>
  <c r="BD129" i="58" s="1"/>
  <c r="GJ40" i="62"/>
  <c r="GJ39" i="62"/>
  <c r="GI8" i="62"/>
  <c r="GJ48" i="62"/>
  <c r="GI11" i="62"/>
  <c r="GJ57" i="62"/>
  <c r="GI14" i="62"/>
  <c r="GJ60" i="62"/>
  <c r="GI15" i="62"/>
  <c r="GJ53" i="62"/>
  <c r="GJ13" i="62" s="1"/>
  <c r="E13" i="62" s="1"/>
  <c r="BC137" i="58" s="1"/>
  <c r="BD137" i="58" s="1"/>
  <c r="GJ55" i="62"/>
  <c r="GJ50" i="62"/>
  <c r="GJ12" i="62" s="1"/>
  <c r="GJ52" i="62"/>
  <c r="GJ56" i="62"/>
  <c r="GJ14" i="62" s="1"/>
  <c r="GJ58" i="62"/>
  <c r="GJ36" i="62"/>
  <c r="GI7" i="62"/>
  <c r="GJ54" i="62"/>
  <c r="GI13" i="62"/>
  <c r="GJ51" i="62"/>
  <c r="GI12" i="62"/>
  <c r="GJ45" i="62"/>
  <c r="GI10" i="62"/>
  <c r="GJ34" i="62"/>
  <c r="GJ32" i="62"/>
  <c r="GJ6" i="62" s="1"/>
  <c r="E6" i="62" s="1"/>
  <c r="BC127" i="58" s="1"/>
  <c r="BD127" i="58" s="1"/>
  <c r="GJ59" i="62"/>
  <c r="GJ15" i="62" s="1"/>
  <c r="GJ61" i="62"/>
  <c r="GJ33" i="62"/>
  <c r="GI6" i="62"/>
  <c r="GJ35" i="62"/>
  <c r="GJ7" i="62" s="1"/>
  <c r="E7" i="62" s="1"/>
  <c r="BC128" i="58" s="1"/>
  <c r="BD128" i="58" s="1"/>
  <c r="GJ37" i="62"/>
  <c r="GJ49" i="62"/>
  <c r="GJ47" i="62"/>
  <c r="GJ11" i="62" s="1"/>
  <c r="E11" i="62" s="1"/>
  <c r="BC135" i="58" s="1"/>
  <c r="BD135" i="58" s="1"/>
  <c r="GJ44" i="62"/>
  <c r="GJ10" i="62" s="1"/>
  <c r="GJ46" i="62"/>
  <c r="GJ43" i="62"/>
  <c r="GJ41" i="62"/>
  <c r="GJ9" i="62" s="1"/>
  <c r="E9" i="62" s="1"/>
  <c r="BC130" i="58" s="1"/>
  <c r="BD130" i="58" s="1"/>
  <c r="GJ26" i="62"/>
  <c r="GJ4" i="62" s="1"/>
  <c r="GJ28" i="62"/>
  <c r="GJ42" i="62"/>
  <c r="GI9" i="62"/>
  <c r="GJ27" i="62"/>
  <c r="GI4" i="62"/>
  <c r="BD123" i="58"/>
  <c r="G29" i="6"/>
  <c r="AG6" i="5"/>
  <c r="F58" i="5"/>
  <c r="G20" i="50" s="1"/>
  <c r="N5" i="50"/>
  <c r="E14" i="62" l="1"/>
  <c r="BC138" i="58" s="1"/>
  <c r="BD138" i="58" s="1"/>
  <c r="E10" i="62"/>
  <c r="BC133" i="58" s="1"/>
  <c r="BD133" i="58" s="1"/>
  <c r="E4" i="62"/>
  <c r="BC124" i="58" s="1"/>
  <c r="BD124" i="58" s="1"/>
  <c r="E15" i="62"/>
  <c r="BC139" i="58" s="1"/>
  <c r="BD139" i="58" s="1"/>
  <c r="E12" i="62"/>
  <c r="BC136" i="58" s="1"/>
  <c r="BD136" i="58" s="1"/>
  <c r="A19" i="51"/>
  <c r="M20" i="50"/>
  <c r="AN53" i="50"/>
  <c r="E37" i="53"/>
  <c r="AE12" i="5"/>
  <c r="AJ58" i="5" s="1"/>
  <c r="G58" i="5" l="1"/>
  <c r="A20" i="5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G5" authorId="0" shapeId="0" xr:uid="{00000000-0006-0000-0B00-000001000000}">
      <text>
        <r>
          <rPr>
            <b/>
            <sz val="9"/>
            <color indexed="81"/>
            <rFont val="MS P ゴシック"/>
            <family val="3"/>
            <charset val="128"/>
          </rPr>
          <t>様式1-1の（E）欄と一致</t>
        </r>
      </text>
    </comment>
    <comment ref="K5" authorId="0" shapeId="0" xr:uid="{00000000-0006-0000-0B00-000002000000}">
      <text>
        <r>
          <rPr>
            <b/>
            <sz val="9"/>
            <color indexed="81"/>
            <rFont val="MS P ゴシック"/>
            <family val="3"/>
            <charset val="128"/>
          </rPr>
          <t>様式1-1の（A）欄と一致</t>
        </r>
      </text>
    </comment>
  </commentList>
</comments>
</file>

<file path=xl/sharedStrings.xml><?xml version="1.0" encoding="utf-8"?>
<sst xmlns="http://schemas.openxmlformats.org/spreadsheetml/2006/main" count="4160" uniqueCount="1496">
  <si>
    <t>事前協議書</t>
    <rPh sb="0" eb="2">
      <t>ジゼン</t>
    </rPh>
    <rPh sb="2" eb="4">
      <t>キョウギ</t>
    </rPh>
    <rPh sb="4" eb="5">
      <t>ショ</t>
    </rPh>
    <phoneticPr fontId="9"/>
  </si>
  <si>
    <t>愛知県知事　殿</t>
    <rPh sb="0" eb="3">
      <t>アイチケン</t>
    </rPh>
    <rPh sb="3" eb="5">
      <t>チジ</t>
    </rPh>
    <rPh sb="6" eb="7">
      <t>ドノ</t>
    </rPh>
    <phoneticPr fontId="9"/>
  </si>
  <si>
    <t>補助事業者名</t>
    <rPh sb="0" eb="2">
      <t>ホジョ</t>
    </rPh>
    <rPh sb="2" eb="4">
      <t>ジギョウ</t>
    </rPh>
    <rPh sb="4" eb="5">
      <t>シャ</t>
    </rPh>
    <rPh sb="5" eb="6">
      <t>メイ</t>
    </rPh>
    <phoneticPr fontId="8"/>
  </si>
  <si>
    <t>代表者職氏名</t>
    <rPh sb="0" eb="3">
      <t>ダイヒョウシャ</t>
    </rPh>
    <rPh sb="3" eb="4">
      <t>ショク</t>
    </rPh>
    <rPh sb="4" eb="6">
      <t>シメイ</t>
    </rPh>
    <phoneticPr fontId="8"/>
  </si>
  <si>
    <t>所在地</t>
    <rPh sb="0" eb="1">
      <t>トコロ</t>
    </rPh>
    <rPh sb="1" eb="2">
      <t>ザイ</t>
    </rPh>
    <rPh sb="2" eb="3">
      <t>チ</t>
    </rPh>
    <phoneticPr fontId="8"/>
  </si>
  <si>
    <t>　このことについて、下記により協議します。</t>
    <rPh sb="10" eb="12">
      <t>カキ</t>
    </rPh>
    <rPh sb="15" eb="17">
      <t>キョウギ</t>
    </rPh>
    <phoneticPr fontId="9"/>
  </si>
  <si>
    <t>１　施設の名称及び所在地</t>
    <phoneticPr fontId="13"/>
  </si>
  <si>
    <t>２　経費所要見込額（県の定める要綱に基づく交付見込額と異なる。）</t>
    <rPh sb="2" eb="4">
      <t>ケイヒ</t>
    </rPh>
    <rPh sb="4" eb="6">
      <t>ショヨウ</t>
    </rPh>
    <rPh sb="6" eb="8">
      <t>ミコ</t>
    </rPh>
    <rPh sb="8" eb="9">
      <t>ガク</t>
    </rPh>
    <rPh sb="10" eb="11">
      <t>ケン</t>
    </rPh>
    <rPh sb="12" eb="13">
      <t>サダ</t>
    </rPh>
    <rPh sb="15" eb="17">
      <t>ヨウコウ</t>
    </rPh>
    <rPh sb="18" eb="19">
      <t>モト</t>
    </rPh>
    <rPh sb="21" eb="23">
      <t>コウフ</t>
    </rPh>
    <rPh sb="23" eb="25">
      <t>ミコミ</t>
    </rPh>
    <rPh sb="25" eb="26">
      <t>ガク</t>
    </rPh>
    <rPh sb="27" eb="28">
      <t>コト</t>
    </rPh>
    <phoneticPr fontId="9"/>
  </si>
  <si>
    <t>３　添付書類</t>
    <rPh sb="2" eb="4">
      <t>テンプ</t>
    </rPh>
    <rPh sb="4" eb="6">
      <t>ショルイ</t>
    </rPh>
    <phoneticPr fontId="9"/>
  </si>
  <si>
    <t>担当部署</t>
    <rPh sb="0" eb="2">
      <t>タントウ</t>
    </rPh>
    <rPh sb="2" eb="4">
      <t>ブショ</t>
    </rPh>
    <phoneticPr fontId="8"/>
  </si>
  <si>
    <t>担当者名</t>
    <rPh sb="0" eb="2">
      <t>タントウ</t>
    </rPh>
    <rPh sb="2" eb="3">
      <t>シャ</t>
    </rPh>
    <rPh sb="3" eb="4">
      <t>メイ</t>
    </rPh>
    <phoneticPr fontId="8"/>
  </si>
  <si>
    <t>電話番号</t>
    <rPh sb="0" eb="2">
      <t>デンワ</t>
    </rPh>
    <rPh sb="2" eb="4">
      <t>バンゴウ</t>
    </rPh>
    <phoneticPr fontId="8"/>
  </si>
  <si>
    <t>Mailｱﾄﾞﾚｽ</t>
  </si>
  <si>
    <t>経費所要額内訳書</t>
    <rPh sb="0" eb="2">
      <t>ケイヒ</t>
    </rPh>
    <rPh sb="2" eb="4">
      <t>ショヨウ</t>
    </rPh>
    <rPh sb="4" eb="5">
      <t>ガク</t>
    </rPh>
    <rPh sb="5" eb="8">
      <t>ウチワケショ</t>
    </rPh>
    <phoneticPr fontId="9"/>
  </si>
  <si>
    <t>初度設備</t>
    <rPh sb="0" eb="2">
      <t>ショド</t>
    </rPh>
    <rPh sb="2" eb="4">
      <t>セツビ</t>
    </rPh>
    <phoneticPr fontId="8"/>
  </si>
  <si>
    <t>人工呼吸器</t>
    <rPh sb="0" eb="2">
      <t>ジンコウ</t>
    </rPh>
    <rPh sb="2" eb="5">
      <t>コキュウキ</t>
    </rPh>
    <phoneticPr fontId="8"/>
  </si>
  <si>
    <t>個人防護具</t>
    <rPh sb="0" eb="2">
      <t>コジン</t>
    </rPh>
    <rPh sb="2" eb="4">
      <t>ボウゴ</t>
    </rPh>
    <rPh sb="4" eb="5">
      <t>グ</t>
    </rPh>
    <phoneticPr fontId="8"/>
  </si>
  <si>
    <t>簡易陰圧装置</t>
    <rPh sb="0" eb="2">
      <t>カンイ</t>
    </rPh>
    <rPh sb="2" eb="3">
      <t>カゲ</t>
    </rPh>
    <rPh sb="3" eb="4">
      <t>アツ</t>
    </rPh>
    <rPh sb="4" eb="6">
      <t>ソウチ</t>
    </rPh>
    <phoneticPr fontId="8"/>
  </si>
  <si>
    <t>簡易ベッド</t>
    <rPh sb="0" eb="2">
      <t>カンイ</t>
    </rPh>
    <phoneticPr fontId="8"/>
  </si>
  <si>
    <t>体外式膜型人工肺</t>
    <rPh sb="0" eb="3">
      <t>タイガイシキ</t>
    </rPh>
    <rPh sb="3" eb="4">
      <t>マク</t>
    </rPh>
    <rPh sb="4" eb="5">
      <t>ガタ</t>
    </rPh>
    <rPh sb="5" eb="7">
      <t>ジンコウ</t>
    </rPh>
    <rPh sb="7" eb="8">
      <t>ハイ</t>
    </rPh>
    <phoneticPr fontId="8"/>
  </si>
  <si>
    <t>簡易病室</t>
    <rPh sb="0" eb="2">
      <t>カンイ</t>
    </rPh>
    <rPh sb="2" eb="4">
      <t>ビョウシツ</t>
    </rPh>
    <phoneticPr fontId="8"/>
  </si>
  <si>
    <t>入院医療機関設備整備事業</t>
    <rPh sb="0" eb="2">
      <t>ニュウイン</t>
    </rPh>
    <rPh sb="2" eb="4">
      <t>イリョウ</t>
    </rPh>
    <rPh sb="4" eb="6">
      <t>キカン</t>
    </rPh>
    <rPh sb="6" eb="8">
      <t>セツビ</t>
    </rPh>
    <rPh sb="8" eb="10">
      <t>セイビ</t>
    </rPh>
    <rPh sb="10" eb="12">
      <t>ジギョウ</t>
    </rPh>
    <phoneticPr fontId="8"/>
  </si>
  <si>
    <t>重点医療機関等設備整備事業</t>
    <rPh sb="0" eb="2">
      <t>ジュウテン</t>
    </rPh>
    <rPh sb="2" eb="4">
      <t>イリョウ</t>
    </rPh>
    <rPh sb="4" eb="6">
      <t>キカン</t>
    </rPh>
    <rPh sb="6" eb="7">
      <t>トウ</t>
    </rPh>
    <rPh sb="7" eb="9">
      <t>セツビ</t>
    </rPh>
    <rPh sb="9" eb="11">
      <t>セイビ</t>
    </rPh>
    <rPh sb="11" eb="13">
      <t>ジギョウ</t>
    </rPh>
    <phoneticPr fontId="8"/>
  </si>
  <si>
    <t>超音波画像診断装置</t>
    <rPh sb="0" eb="3">
      <t>チョウオンパ</t>
    </rPh>
    <rPh sb="3" eb="5">
      <t>ガゾウ</t>
    </rPh>
    <rPh sb="5" eb="7">
      <t>シンダン</t>
    </rPh>
    <rPh sb="7" eb="9">
      <t>ソウチ</t>
    </rPh>
    <phoneticPr fontId="8"/>
  </si>
  <si>
    <t>血液浄化装置</t>
    <rPh sb="0" eb="2">
      <t>ケツエキ</t>
    </rPh>
    <rPh sb="2" eb="4">
      <t>ジョウカ</t>
    </rPh>
    <rPh sb="4" eb="6">
      <t>ソウチ</t>
    </rPh>
    <phoneticPr fontId="8"/>
  </si>
  <si>
    <t>気管支鏡</t>
    <rPh sb="0" eb="4">
      <t>キカンシキョウ</t>
    </rPh>
    <phoneticPr fontId="8"/>
  </si>
  <si>
    <t>CT撮影装置</t>
    <rPh sb="2" eb="4">
      <t>サツエイ</t>
    </rPh>
    <rPh sb="4" eb="6">
      <t>ソウチ</t>
    </rPh>
    <phoneticPr fontId="8"/>
  </si>
  <si>
    <t>生体情報モニタ</t>
    <rPh sb="2" eb="4">
      <t>ジョウホウ</t>
    </rPh>
    <phoneticPr fontId="8"/>
  </si>
  <si>
    <t>分娩監視装置</t>
    <rPh sb="0" eb="2">
      <t>ブンベン</t>
    </rPh>
    <rPh sb="2" eb="4">
      <t>カンシ</t>
    </rPh>
    <rPh sb="4" eb="6">
      <t>ソウチ</t>
    </rPh>
    <phoneticPr fontId="8"/>
  </si>
  <si>
    <t>新生児モニタ</t>
    <rPh sb="0" eb="3">
      <t>シンセイジ</t>
    </rPh>
    <phoneticPr fontId="8"/>
  </si>
  <si>
    <t>紫外線照射装置</t>
    <rPh sb="0" eb="3">
      <t>シガイセン</t>
    </rPh>
    <rPh sb="3" eb="5">
      <t>ショウシャ</t>
    </rPh>
    <rPh sb="5" eb="7">
      <t>ソウチ</t>
    </rPh>
    <phoneticPr fontId="8"/>
  </si>
  <si>
    <t>小　計</t>
    <rPh sb="0" eb="1">
      <t>ショウ</t>
    </rPh>
    <rPh sb="2" eb="3">
      <t>ケイ</t>
    </rPh>
    <phoneticPr fontId="9"/>
  </si>
  <si>
    <t>所要見込額</t>
    <rPh sb="0" eb="2">
      <t>ショヨウ</t>
    </rPh>
    <rPh sb="2" eb="4">
      <t>ミコミ</t>
    </rPh>
    <rPh sb="4" eb="5">
      <t>ガク</t>
    </rPh>
    <phoneticPr fontId="9"/>
  </si>
  <si>
    <t>整備品目</t>
    <rPh sb="0" eb="2">
      <t>セイビ</t>
    </rPh>
    <rPh sb="2" eb="4">
      <t>ヒンモク</t>
    </rPh>
    <phoneticPr fontId="9"/>
  </si>
  <si>
    <t>事業</t>
    <rPh sb="0" eb="2">
      <t>ジギョウ</t>
    </rPh>
    <phoneticPr fontId="9"/>
  </si>
  <si>
    <t>寄付金その他の
収入予定額</t>
    <rPh sb="0" eb="3">
      <t>キフキン</t>
    </rPh>
    <rPh sb="5" eb="6">
      <t>タ</t>
    </rPh>
    <rPh sb="8" eb="10">
      <t>シュウニュウ</t>
    </rPh>
    <rPh sb="10" eb="12">
      <t>ヨテイ</t>
    </rPh>
    <rPh sb="12" eb="13">
      <t>ガク</t>
    </rPh>
    <phoneticPr fontId="9"/>
  </si>
  <si>
    <t>支出予定額</t>
    <rPh sb="0" eb="2">
      <t>シシュツ</t>
    </rPh>
    <rPh sb="2" eb="4">
      <t>ヨテイ</t>
    </rPh>
    <rPh sb="4" eb="5">
      <t>ガク</t>
    </rPh>
    <phoneticPr fontId="9"/>
  </si>
  <si>
    <t>明細</t>
    <rPh sb="0" eb="2">
      <t>メイサイ</t>
    </rPh>
    <phoneticPr fontId="9"/>
  </si>
  <si>
    <t>県補助見込額</t>
    <rPh sb="0" eb="1">
      <t>ケン</t>
    </rPh>
    <rPh sb="1" eb="3">
      <t>ホジョ</t>
    </rPh>
    <rPh sb="3" eb="5">
      <t>ミコミ</t>
    </rPh>
    <rPh sb="5" eb="6">
      <t>ガク</t>
    </rPh>
    <phoneticPr fontId="9"/>
  </si>
  <si>
    <t>合　計</t>
    <rPh sb="0" eb="1">
      <t>ゴウ</t>
    </rPh>
    <rPh sb="2" eb="3">
      <t>ケイ</t>
    </rPh>
    <phoneticPr fontId="9"/>
  </si>
  <si>
    <t>（５）その他必要な書類</t>
    <rPh sb="5" eb="6">
      <t>タ</t>
    </rPh>
    <rPh sb="6" eb="8">
      <t>ヒツヨウ</t>
    </rPh>
    <rPh sb="9" eb="11">
      <t>ショルイ</t>
    </rPh>
    <phoneticPr fontId="9"/>
  </si>
  <si>
    <t>整備先・内容</t>
    <rPh sb="0" eb="2">
      <t>セイビ</t>
    </rPh>
    <rPh sb="2" eb="3">
      <t>サキ</t>
    </rPh>
    <rPh sb="4" eb="6">
      <t>ナイヨウ</t>
    </rPh>
    <phoneticPr fontId="13"/>
  </si>
  <si>
    <t>規格・数量</t>
    <rPh sb="0" eb="2">
      <t>キカク</t>
    </rPh>
    <rPh sb="3" eb="5">
      <t>スウリョウ</t>
    </rPh>
    <phoneticPr fontId="13"/>
  </si>
  <si>
    <t>単価・対象経費か否か</t>
    <rPh sb="0" eb="2">
      <t>タンカ</t>
    </rPh>
    <rPh sb="3" eb="5">
      <t>タイショウ</t>
    </rPh>
    <rPh sb="5" eb="7">
      <t>ケイヒ</t>
    </rPh>
    <rPh sb="8" eb="9">
      <t>イナ</t>
    </rPh>
    <phoneticPr fontId="13"/>
  </si>
  <si>
    <t>補助対象額</t>
    <rPh sb="0" eb="2">
      <t>ホジョ</t>
    </rPh>
    <rPh sb="2" eb="4">
      <t>タイショウ</t>
    </rPh>
    <rPh sb="4" eb="5">
      <t>ガク</t>
    </rPh>
    <phoneticPr fontId="13"/>
  </si>
  <si>
    <t>番号</t>
    <rPh sb="0" eb="2">
      <t>バンゴウ</t>
    </rPh>
    <phoneticPr fontId="13"/>
  </si>
  <si>
    <t>病床</t>
    <rPh sb="0" eb="2">
      <t>ビョウショウ</t>
    </rPh>
    <phoneticPr fontId="13"/>
  </si>
  <si>
    <t>用途先病床</t>
    <rPh sb="0" eb="2">
      <t>ヨウト</t>
    </rPh>
    <rPh sb="2" eb="3">
      <t>サキ</t>
    </rPh>
    <rPh sb="3" eb="5">
      <t>ビョウショウ</t>
    </rPh>
    <phoneticPr fontId="13"/>
  </si>
  <si>
    <t>整備区分</t>
    <rPh sb="0" eb="2">
      <t>セイビ</t>
    </rPh>
    <rPh sb="2" eb="4">
      <t>クブン</t>
    </rPh>
    <phoneticPr fontId="13"/>
  </si>
  <si>
    <t>数量</t>
    <rPh sb="0" eb="2">
      <t>スウリョウ</t>
    </rPh>
    <phoneticPr fontId="13"/>
  </si>
  <si>
    <t>単価(税抜)</t>
    <rPh sb="0" eb="2">
      <t>タンカ</t>
    </rPh>
    <rPh sb="3" eb="4">
      <t>ゼイ</t>
    </rPh>
    <rPh sb="4" eb="5">
      <t>ヌ</t>
    </rPh>
    <phoneticPr fontId="13"/>
  </si>
  <si>
    <t>単価(税込)</t>
    <rPh sb="0" eb="2">
      <t>タンカ</t>
    </rPh>
    <rPh sb="3" eb="4">
      <t>ゼイ</t>
    </rPh>
    <rPh sb="4" eb="5">
      <t>コミ</t>
    </rPh>
    <phoneticPr fontId="13"/>
  </si>
  <si>
    <t>金額(税込)</t>
    <rPh sb="0" eb="2">
      <t>キンガク</t>
    </rPh>
    <rPh sb="3" eb="5">
      <t>ゼイコミ</t>
    </rPh>
    <phoneticPr fontId="13"/>
  </si>
  <si>
    <t>補助対象区分</t>
    <rPh sb="0" eb="2">
      <t>ホジョ</t>
    </rPh>
    <rPh sb="2" eb="4">
      <t>タイショウ</t>
    </rPh>
    <rPh sb="4" eb="6">
      <t>クブン</t>
    </rPh>
    <phoneticPr fontId="13"/>
  </si>
  <si>
    <t>品名</t>
    <rPh sb="0" eb="2">
      <t>ヒンメイ</t>
    </rPh>
    <phoneticPr fontId="13"/>
  </si>
  <si>
    <t>１．整備理由</t>
    <rPh sb="2" eb="4">
      <t>セイビ</t>
    </rPh>
    <rPh sb="4" eb="6">
      <t>リユウ</t>
    </rPh>
    <phoneticPr fontId="9"/>
  </si>
  <si>
    <t>病床数</t>
    <rPh sb="0" eb="3">
      <t>ビョウショウスウ</t>
    </rPh>
    <phoneticPr fontId="9"/>
  </si>
  <si>
    <t>（２）この度、新たに整備を行う必要が生じた理由を詳しく記入してください。</t>
    <rPh sb="5" eb="6">
      <t>タビ</t>
    </rPh>
    <rPh sb="7" eb="8">
      <t>アラ</t>
    </rPh>
    <rPh sb="10" eb="12">
      <t>セイビ</t>
    </rPh>
    <rPh sb="13" eb="14">
      <t>オコナ</t>
    </rPh>
    <rPh sb="15" eb="17">
      <t>ヒツヨウ</t>
    </rPh>
    <rPh sb="18" eb="19">
      <t>ショウ</t>
    </rPh>
    <rPh sb="21" eb="23">
      <t>リユウ</t>
    </rPh>
    <rPh sb="24" eb="25">
      <t>クワ</t>
    </rPh>
    <rPh sb="27" eb="29">
      <t>キニュウ</t>
    </rPh>
    <phoneticPr fontId="9"/>
  </si>
  <si>
    <t>記入項目</t>
    <rPh sb="0" eb="2">
      <t>キニュウ</t>
    </rPh>
    <rPh sb="2" eb="4">
      <t>コウモク</t>
    </rPh>
    <phoneticPr fontId="13"/>
  </si>
  <si>
    <t>記入欄</t>
    <rPh sb="0" eb="2">
      <t>キニュウ</t>
    </rPh>
    <rPh sb="2" eb="3">
      <t>ラン</t>
    </rPh>
    <phoneticPr fontId="13"/>
  </si>
  <si>
    <t>入力判定</t>
    <rPh sb="0" eb="2">
      <t>ニュウリョク</t>
    </rPh>
    <rPh sb="2" eb="4">
      <t>ハンテイ</t>
    </rPh>
    <phoneticPr fontId="13"/>
  </si>
  <si>
    <t>コメント</t>
    <phoneticPr fontId="13"/>
  </si>
  <si>
    <t>法人・個人事業主の別</t>
    <rPh sb="0" eb="2">
      <t>ホウジン</t>
    </rPh>
    <rPh sb="3" eb="5">
      <t>コジン</t>
    </rPh>
    <rPh sb="5" eb="8">
      <t>ジギョウヌシ</t>
    </rPh>
    <rPh sb="9" eb="10">
      <t>ベツ</t>
    </rPh>
    <phoneticPr fontId="13"/>
  </si>
  <si>
    <t>　　　法人（医療法人等）</t>
    <rPh sb="3" eb="5">
      <t>ホウジン</t>
    </rPh>
    <rPh sb="6" eb="8">
      <t>イリョウ</t>
    </rPh>
    <rPh sb="8" eb="10">
      <t>ホウジン</t>
    </rPh>
    <rPh sb="10" eb="11">
      <t>トウ</t>
    </rPh>
    <phoneticPr fontId="13"/>
  </si>
  <si>
    <t>　　　個人事業主（法人ではない）</t>
    <rPh sb="3" eb="5">
      <t>コジン</t>
    </rPh>
    <rPh sb="5" eb="7">
      <t>ジギョウ</t>
    </rPh>
    <rPh sb="7" eb="8">
      <t>ヌシ</t>
    </rPh>
    <rPh sb="9" eb="11">
      <t>ホウジン</t>
    </rPh>
    <phoneticPr fontId="13"/>
  </si>
  <si>
    <t>　　　公立医療機関</t>
    <rPh sb="3" eb="5">
      <t>コウリツ</t>
    </rPh>
    <rPh sb="5" eb="7">
      <t>イリョウ</t>
    </rPh>
    <rPh sb="7" eb="9">
      <t>キカン</t>
    </rPh>
    <phoneticPr fontId="13"/>
  </si>
  <si>
    <t>事業者名（法人名または屋号）</t>
    <rPh sb="0" eb="3">
      <t>ジギョウシャ</t>
    </rPh>
    <rPh sb="3" eb="4">
      <t>メイ</t>
    </rPh>
    <rPh sb="5" eb="7">
      <t>ホウジン</t>
    </rPh>
    <rPh sb="7" eb="8">
      <t>メイ</t>
    </rPh>
    <rPh sb="11" eb="13">
      <t>ヤゴウ</t>
    </rPh>
    <phoneticPr fontId="13"/>
  </si>
  <si>
    <t>代表者役職</t>
    <rPh sb="0" eb="3">
      <t>ダイヒョウシャ</t>
    </rPh>
    <rPh sb="3" eb="5">
      <t>ヤクショク</t>
    </rPh>
    <phoneticPr fontId="13"/>
  </si>
  <si>
    <t>年</t>
  </si>
  <si>
    <t>月</t>
  </si>
  <si>
    <t>日</t>
  </si>
  <si>
    <t>代表者氏名</t>
    <rPh sb="0" eb="3">
      <t>ダイヒョウシャ</t>
    </rPh>
    <rPh sb="3" eb="5">
      <t>シメイ</t>
    </rPh>
    <phoneticPr fontId="13"/>
  </si>
  <si>
    <t>所在地</t>
    <rPh sb="0" eb="3">
      <t>ショザイチ</t>
    </rPh>
    <phoneticPr fontId="13"/>
  </si>
  <si>
    <t>施設の名称</t>
    <rPh sb="0" eb="2">
      <t>シセツ</t>
    </rPh>
    <rPh sb="3" eb="5">
      <t>メイショウ</t>
    </rPh>
    <phoneticPr fontId="13"/>
  </si>
  <si>
    <t>施設所在地</t>
    <rPh sb="0" eb="5">
      <t>シセツショザイチ</t>
    </rPh>
    <phoneticPr fontId="13"/>
  </si>
  <si>
    <t>床</t>
    <rPh sb="0" eb="1">
      <t>ユカ</t>
    </rPh>
    <phoneticPr fontId="13"/>
  </si>
  <si>
    <t>合計</t>
    <rPh sb="0" eb="2">
      <t>ゴウケイ</t>
    </rPh>
    <phoneticPr fontId="13"/>
  </si>
  <si>
    <t>提出日</t>
    <rPh sb="0" eb="2">
      <t>テイシュツ</t>
    </rPh>
    <rPh sb="2" eb="3">
      <t>ビ</t>
    </rPh>
    <phoneticPr fontId="13"/>
  </si>
  <si>
    <t>令和</t>
    <rPh sb="0" eb="2">
      <t>レイワ</t>
    </rPh>
    <phoneticPr fontId="13"/>
  </si>
  <si>
    <t>年</t>
    <rPh sb="0" eb="1">
      <t>ネン</t>
    </rPh>
    <phoneticPr fontId="13"/>
  </si>
  <si>
    <t>月</t>
    <rPh sb="0" eb="1">
      <t>ガツ</t>
    </rPh>
    <phoneticPr fontId="13"/>
  </si>
  <si>
    <t>日</t>
    <rPh sb="0" eb="1">
      <t>ニチ</t>
    </rPh>
    <phoneticPr fontId="13"/>
  </si>
  <si>
    <t>文書番号</t>
    <rPh sb="0" eb="2">
      <t>ブンショ</t>
    </rPh>
    <rPh sb="2" eb="4">
      <t>バンゴウ</t>
    </rPh>
    <phoneticPr fontId="13"/>
  </si>
  <si>
    <t>○</t>
    <phoneticPr fontId="13"/>
  </si>
  <si>
    <t>（任意）文書を発出する際に文書番号が必要である場合は入力してください</t>
    <phoneticPr fontId="13"/>
  </si>
  <si>
    <t>担当部署</t>
    <rPh sb="0" eb="2">
      <t>タントウ</t>
    </rPh>
    <rPh sb="2" eb="4">
      <t>ブショ</t>
    </rPh>
    <phoneticPr fontId="13"/>
  </si>
  <si>
    <t>担当者名</t>
    <rPh sb="0" eb="2">
      <t>タントウ</t>
    </rPh>
    <rPh sb="2" eb="3">
      <t>シャ</t>
    </rPh>
    <rPh sb="3" eb="4">
      <t>メイ</t>
    </rPh>
    <phoneticPr fontId="13"/>
  </si>
  <si>
    <t>電話番号（担当直通）</t>
    <rPh sb="0" eb="2">
      <t>デンワ</t>
    </rPh>
    <rPh sb="2" eb="4">
      <t>バンゴウ</t>
    </rPh>
    <rPh sb="5" eb="7">
      <t>タントウ</t>
    </rPh>
    <rPh sb="7" eb="9">
      <t>チョクツウ</t>
    </rPh>
    <phoneticPr fontId="13"/>
  </si>
  <si>
    <t>申立てする</t>
    <rPh sb="0" eb="2">
      <t>モウシタテ</t>
    </rPh>
    <phoneticPr fontId="13"/>
  </si>
  <si>
    <t>Mailｱﾄﾞﾚｽ（担当直通）</t>
    <rPh sb="10" eb="12">
      <t>タントウ</t>
    </rPh>
    <rPh sb="12" eb="14">
      <t>チョクツウ</t>
    </rPh>
    <phoneticPr fontId="13"/>
  </si>
  <si>
    <t>申し立てしない</t>
    <rPh sb="0" eb="1">
      <t>モウ</t>
    </rPh>
    <rPh sb="2" eb="3">
      <t>タ</t>
    </rPh>
    <phoneticPr fontId="13"/>
  </si>
  <si>
    <t>号</t>
    <rPh sb="0" eb="1">
      <t>ゴウ</t>
    </rPh>
    <phoneticPr fontId="13"/>
  </si>
  <si>
    <t>申立事項
申請内容が右記事項と相違ないことを確認し、「申立てする」を選択してください。</t>
    <rPh sb="0" eb="2">
      <t>モウシタテ</t>
    </rPh>
    <rPh sb="2" eb="4">
      <t>ジコウ</t>
    </rPh>
    <rPh sb="5" eb="7">
      <t>シンセイ</t>
    </rPh>
    <rPh sb="7" eb="9">
      <t>ナイヨウ</t>
    </rPh>
    <rPh sb="10" eb="12">
      <t>ウキ</t>
    </rPh>
    <rPh sb="12" eb="14">
      <t>ジコウ</t>
    </rPh>
    <rPh sb="15" eb="17">
      <t>ソウイ</t>
    </rPh>
    <rPh sb="22" eb="24">
      <t>カクニン</t>
    </rPh>
    <rPh sb="27" eb="28">
      <t>モウ</t>
    </rPh>
    <rPh sb="28" eb="29">
      <t>タ</t>
    </rPh>
    <rPh sb="34" eb="36">
      <t>センタク</t>
    </rPh>
    <phoneticPr fontId="13"/>
  </si>
  <si>
    <t>【重点医療機関で該当の場合】
専門治療が必要な患者の
入院受入の可否</t>
    <rPh sb="1" eb="3">
      <t>ジュウテン</t>
    </rPh>
    <rPh sb="3" eb="5">
      <t>イリョウ</t>
    </rPh>
    <rPh sb="5" eb="7">
      <t>キカン</t>
    </rPh>
    <rPh sb="8" eb="10">
      <t>ガイトウ</t>
    </rPh>
    <rPh sb="11" eb="13">
      <t>バアイ</t>
    </rPh>
    <rPh sb="15" eb="17">
      <t>センモン</t>
    </rPh>
    <rPh sb="17" eb="19">
      <t>チリョウ</t>
    </rPh>
    <rPh sb="20" eb="22">
      <t>ヒツヨウ</t>
    </rPh>
    <rPh sb="23" eb="25">
      <t>カンジャ</t>
    </rPh>
    <rPh sb="27" eb="29">
      <t>ニュウイン</t>
    </rPh>
    <rPh sb="29" eb="31">
      <t>ウケイレ</t>
    </rPh>
    <rPh sb="32" eb="34">
      <t>カヒ</t>
    </rPh>
    <phoneticPr fontId="13"/>
  </si>
  <si>
    <t>　　　透析患者</t>
    <rPh sb="3" eb="5">
      <t>トウセキ</t>
    </rPh>
    <rPh sb="5" eb="7">
      <t>カンジャ</t>
    </rPh>
    <phoneticPr fontId="13"/>
  </si>
  <si>
    <t>　　　妊産婦の患者</t>
    <rPh sb="3" eb="6">
      <t>ニンサンプ</t>
    </rPh>
    <rPh sb="7" eb="9">
      <t>カンジャ</t>
    </rPh>
    <phoneticPr fontId="13"/>
  </si>
  <si>
    <t>　　　小児患者</t>
    <rPh sb="3" eb="5">
      <t>ショウニ</t>
    </rPh>
    <rPh sb="5" eb="7">
      <t>カンジャ</t>
    </rPh>
    <phoneticPr fontId="13"/>
  </si>
  <si>
    <t>↘</t>
    <phoneticPr fontId="13"/>
  </si>
  <si>
    <t>判　定</t>
    <rPh sb="0" eb="1">
      <t>ハン</t>
    </rPh>
    <rPh sb="2" eb="3">
      <t>サダム</t>
    </rPh>
    <phoneticPr fontId="13"/>
  </si>
  <si>
    <t>総合判定</t>
    <rPh sb="0" eb="2">
      <t>ソウゴウ</t>
    </rPh>
    <rPh sb="2" eb="4">
      <t>ハンテイ</t>
    </rPh>
    <phoneticPr fontId="13"/>
  </si>
  <si>
    <t>判定</t>
    <rPh sb="0" eb="2">
      <t>ハンテイ</t>
    </rPh>
    <phoneticPr fontId="13"/>
  </si>
  <si>
    <t>初度設備</t>
    <rPh sb="0" eb="2">
      <t>ショド</t>
    </rPh>
    <rPh sb="2" eb="4">
      <t>セツビ</t>
    </rPh>
    <phoneticPr fontId="13"/>
  </si>
  <si>
    <t>共通使用</t>
    <rPh sb="0" eb="2">
      <t>キョウツウ</t>
    </rPh>
    <rPh sb="2" eb="4">
      <t>シヨウ</t>
    </rPh>
    <phoneticPr fontId="13"/>
  </si>
  <si>
    <t>既設病床</t>
    <rPh sb="0" eb="2">
      <t>キセツ</t>
    </rPh>
    <rPh sb="2" eb="4">
      <t>ビョウショウ</t>
    </rPh>
    <phoneticPr fontId="13"/>
  </si>
  <si>
    <t>新設病床</t>
    <rPh sb="0" eb="2">
      <t>シンセツ</t>
    </rPh>
    <rPh sb="2" eb="4">
      <t>ビョウショウ</t>
    </rPh>
    <phoneticPr fontId="13"/>
  </si>
  <si>
    <t>人工呼吸器</t>
    <rPh sb="0" eb="2">
      <t>ジンコウ</t>
    </rPh>
    <rPh sb="2" eb="5">
      <t>コキュウキ</t>
    </rPh>
    <phoneticPr fontId="13"/>
  </si>
  <si>
    <t>対応病床共通</t>
    <rPh sb="0" eb="2">
      <t>タイオウ</t>
    </rPh>
    <rPh sb="2" eb="4">
      <t>ビョウショウ</t>
    </rPh>
    <rPh sb="4" eb="6">
      <t>キョウツウ</t>
    </rPh>
    <phoneticPr fontId="13"/>
  </si>
  <si>
    <t>既設病床1</t>
    <rPh sb="0" eb="2">
      <t>キセツ</t>
    </rPh>
    <rPh sb="2" eb="4">
      <t>ビョウショウ</t>
    </rPh>
    <phoneticPr fontId="13"/>
  </si>
  <si>
    <t>新設病床1</t>
    <rPh sb="0" eb="2">
      <t>シンセツ</t>
    </rPh>
    <rPh sb="2" eb="4">
      <t>ビョウショウ</t>
    </rPh>
    <phoneticPr fontId="13"/>
  </si>
  <si>
    <t>個人防護具</t>
    <rPh sb="0" eb="2">
      <t>コジン</t>
    </rPh>
    <rPh sb="2" eb="4">
      <t>ボウゴ</t>
    </rPh>
    <rPh sb="4" eb="5">
      <t>グ</t>
    </rPh>
    <phoneticPr fontId="13"/>
  </si>
  <si>
    <t>既設病床2</t>
    <rPh sb="0" eb="2">
      <t>キセツ</t>
    </rPh>
    <rPh sb="2" eb="4">
      <t>ビョウショウ</t>
    </rPh>
    <phoneticPr fontId="13"/>
  </si>
  <si>
    <t>新設病床2</t>
    <rPh sb="0" eb="2">
      <t>シンセツ</t>
    </rPh>
    <rPh sb="2" eb="4">
      <t>ビョウショウ</t>
    </rPh>
    <phoneticPr fontId="13"/>
  </si>
  <si>
    <t>簡易病室</t>
    <rPh sb="0" eb="2">
      <t>カンイ</t>
    </rPh>
    <rPh sb="2" eb="4">
      <t>ビョウシツ</t>
    </rPh>
    <phoneticPr fontId="13"/>
  </si>
  <si>
    <t>既設病床3</t>
    <rPh sb="0" eb="2">
      <t>キセツ</t>
    </rPh>
    <rPh sb="2" eb="4">
      <t>ビョウショウ</t>
    </rPh>
    <phoneticPr fontId="13"/>
  </si>
  <si>
    <t>新設病床3</t>
    <rPh sb="0" eb="2">
      <t>シンセツ</t>
    </rPh>
    <rPh sb="2" eb="4">
      <t>ビョウショウ</t>
    </rPh>
    <phoneticPr fontId="13"/>
  </si>
  <si>
    <t>超音波画像診断装置</t>
    <rPh sb="0" eb="3">
      <t>チョウオンパ</t>
    </rPh>
    <rPh sb="3" eb="5">
      <t>ガゾウ</t>
    </rPh>
    <rPh sb="5" eb="7">
      <t>シンダン</t>
    </rPh>
    <rPh sb="7" eb="9">
      <t>ソウチ</t>
    </rPh>
    <phoneticPr fontId="13"/>
  </si>
  <si>
    <t>既設病床4</t>
    <rPh sb="0" eb="2">
      <t>キセツ</t>
    </rPh>
    <rPh sb="2" eb="4">
      <t>ビョウショウ</t>
    </rPh>
    <phoneticPr fontId="13"/>
  </si>
  <si>
    <t>新設病床4</t>
    <rPh sb="0" eb="2">
      <t>シンセツ</t>
    </rPh>
    <rPh sb="2" eb="4">
      <t>ビョウショウ</t>
    </rPh>
    <phoneticPr fontId="13"/>
  </si>
  <si>
    <t>血液浄化装置</t>
    <rPh sb="0" eb="2">
      <t>ケツエキ</t>
    </rPh>
    <rPh sb="2" eb="4">
      <t>ジョウカ</t>
    </rPh>
    <rPh sb="4" eb="6">
      <t>ソウチ</t>
    </rPh>
    <phoneticPr fontId="13"/>
  </si>
  <si>
    <t>既設病床5</t>
    <rPh sb="0" eb="2">
      <t>キセツ</t>
    </rPh>
    <rPh sb="2" eb="4">
      <t>ビョウショウ</t>
    </rPh>
    <phoneticPr fontId="13"/>
  </si>
  <si>
    <t>新設病床5</t>
    <rPh sb="0" eb="2">
      <t>シンセツ</t>
    </rPh>
    <rPh sb="2" eb="4">
      <t>ビョウショウ</t>
    </rPh>
    <phoneticPr fontId="13"/>
  </si>
  <si>
    <t>気管支鏡</t>
    <rPh sb="0" eb="4">
      <t>キカンシキョウ</t>
    </rPh>
    <phoneticPr fontId="13"/>
  </si>
  <si>
    <t>既設病床6</t>
    <rPh sb="0" eb="2">
      <t>キセツ</t>
    </rPh>
    <rPh sb="2" eb="4">
      <t>ビョウショウ</t>
    </rPh>
    <phoneticPr fontId="13"/>
  </si>
  <si>
    <t>新設病床6</t>
    <rPh sb="0" eb="2">
      <t>シンセツ</t>
    </rPh>
    <rPh sb="2" eb="4">
      <t>ビョウショウ</t>
    </rPh>
    <phoneticPr fontId="13"/>
  </si>
  <si>
    <t>既設病床7</t>
    <rPh sb="0" eb="2">
      <t>キセツ</t>
    </rPh>
    <rPh sb="2" eb="4">
      <t>ビョウショウ</t>
    </rPh>
    <phoneticPr fontId="13"/>
  </si>
  <si>
    <t>新設病床7</t>
    <rPh sb="0" eb="2">
      <t>シンセツ</t>
    </rPh>
    <rPh sb="2" eb="4">
      <t>ビョウショウ</t>
    </rPh>
    <phoneticPr fontId="13"/>
  </si>
  <si>
    <t>既設病床8</t>
    <rPh sb="0" eb="2">
      <t>キセツ</t>
    </rPh>
    <rPh sb="2" eb="4">
      <t>ビョウショウ</t>
    </rPh>
    <phoneticPr fontId="13"/>
  </si>
  <si>
    <t>新設病床8</t>
    <rPh sb="0" eb="2">
      <t>シンセツ</t>
    </rPh>
    <rPh sb="2" eb="4">
      <t>ビョウショウ</t>
    </rPh>
    <phoneticPr fontId="13"/>
  </si>
  <si>
    <t>分娩監視装置</t>
    <rPh sb="0" eb="2">
      <t>ブンベン</t>
    </rPh>
    <rPh sb="2" eb="4">
      <t>カンシ</t>
    </rPh>
    <rPh sb="4" eb="6">
      <t>ソウチ</t>
    </rPh>
    <phoneticPr fontId="13"/>
  </si>
  <si>
    <t>既設病床9</t>
    <rPh sb="0" eb="2">
      <t>キセツ</t>
    </rPh>
    <rPh sb="2" eb="4">
      <t>ビョウショウ</t>
    </rPh>
    <phoneticPr fontId="13"/>
  </si>
  <si>
    <t>新設病床9</t>
    <rPh sb="0" eb="2">
      <t>シンセツ</t>
    </rPh>
    <rPh sb="2" eb="4">
      <t>ビョウショウ</t>
    </rPh>
    <phoneticPr fontId="13"/>
  </si>
  <si>
    <t>新生児モニタ</t>
    <rPh sb="0" eb="3">
      <t>シンセイジ</t>
    </rPh>
    <phoneticPr fontId="13"/>
  </si>
  <si>
    <t>既設病床10</t>
    <rPh sb="0" eb="2">
      <t>キセツ</t>
    </rPh>
    <rPh sb="2" eb="4">
      <t>ビョウショウ</t>
    </rPh>
    <phoneticPr fontId="13"/>
  </si>
  <si>
    <t>新設病床10</t>
    <rPh sb="0" eb="2">
      <t>シンセツ</t>
    </rPh>
    <rPh sb="2" eb="4">
      <t>ビョウショウ</t>
    </rPh>
    <phoneticPr fontId="13"/>
  </si>
  <si>
    <t>既設病床11</t>
    <rPh sb="0" eb="2">
      <t>キセツ</t>
    </rPh>
    <rPh sb="2" eb="4">
      <t>ビョウショウ</t>
    </rPh>
    <phoneticPr fontId="13"/>
  </si>
  <si>
    <t>新設病床11</t>
    <rPh sb="0" eb="2">
      <t>シンセツ</t>
    </rPh>
    <rPh sb="2" eb="4">
      <t>ビョウショウ</t>
    </rPh>
    <phoneticPr fontId="13"/>
  </si>
  <si>
    <t>既設病床12</t>
    <rPh sb="0" eb="2">
      <t>キセツ</t>
    </rPh>
    <rPh sb="2" eb="4">
      <t>ビョウショウ</t>
    </rPh>
    <phoneticPr fontId="13"/>
  </si>
  <si>
    <t>新設病床12</t>
    <rPh sb="0" eb="2">
      <t>シンセツ</t>
    </rPh>
    <rPh sb="2" eb="4">
      <t>ビョウショウ</t>
    </rPh>
    <phoneticPr fontId="13"/>
  </si>
  <si>
    <t>既設病床13</t>
    <rPh sb="0" eb="2">
      <t>キセツ</t>
    </rPh>
    <rPh sb="2" eb="4">
      <t>ビョウショウ</t>
    </rPh>
    <phoneticPr fontId="13"/>
  </si>
  <si>
    <t>新設病床13</t>
    <rPh sb="0" eb="2">
      <t>シンセツ</t>
    </rPh>
    <rPh sb="2" eb="4">
      <t>ビョウショウ</t>
    </rPh>
    <phoneticPr fontId="13"/>
  </si>
  <si>
    <t>既設病床14</t>
    <rPh sb="0" eb="2">
      <t>キセツ</t>
    </rPh>
    <rPh sb="2" eb="4">
      <t>ビョウショウ</t>
    </rPh>
    <phoneticPr fontId="13"/>
  </si>
  <si>
    <t>新設病床14</t>
    <rPh sb="0" eb="2">
      <t>シンセツ</t>
    </rPh>
    <rPh sb="2" eb="4">
      <t>ビョウショウ</t>
    </rPh>
    <phoneticPr fontId="13"/>
  </si>
  <si>
    <t>既設病床15</t>
    <rPh sb="0" eb="2">
      <t>キセツ</t>
    </rPh>
    <rPh sb="2" eb="4">
      <t>ビョウショウ</t>
    </rPh>
    <phoneticPr fontId="13"/>
  </si>
  <si>
    <t>新設病床15</t>
    <rPh sb="0" eb="2">
      <t>シンセツ</t>
    </rPh>
    <rPh sb="2" eb="4">
      <t>ビョウショウ</t>
    </rPh>
    <phoneticPr fontId="13"/>
  </si>
  <si>
    <t>既設病床16</t>
    <rPh sb="0" eb="2">
      <t>キセツ</t>
    </rPh>
    <rPh sb="2" eb="4">
      <t>ビョウショウ</t>
    </rPh>
    <phoneticPr fontId="13"/>
  </si>
  <si>
    <t>新設病床16</t>
    <rPh sb="0" eb="2">
      <t>シンセツ</t>
    </rPh>
    <rPh sb="2" eb="4">
      <t>ビョウショウ</t>
    </rPh>
    <phoneticPr fontId="13"/>
  </si>
  <si>
    <t>既設病床17</t>
    <rPh sb="0" eb="2">
      <t>キセツ</t>
    </rPh>
    <rPh sb="2" eb="4">
      <t>ビョウショウ</t>
    </rPh>
    <phoneticPr fontId="13"/>
  </si>
  <si>
    <t>新設病床17</t>
    <rPh sb="0" eb="2">
      <t>シンセツ</t>
    </rPh>
    <rPh sb="2" eb="4">
      <t>ビョウショウ</t>
    </rPh>
    <phoneticPr fontId="13"/>
  </si>
  <si>
    <t>既設病床18</t>
    <rPh sb="0" eb="2">
      <t>キセツ</t>
    </rPh>
    <rPh sb="2" eb="4">
      <t>ビョウショウ</t>
    </rPh>
    <phoneticPr fontId="13"/>
  </si>
  <si>
    <t>新設病床18</t>
    <rPh sb="0" eb="2">
      <t>シンセツ</t>
    </rPh>
    <rPh sb="2" eb="4">
      <t>ビョウショウ</t>
    </rPh>
    <phoneticPr fontId="13"/>
  </si>
  <si>
    <t>既設病床19</t>
    <rPh sb="0" eb="2">
      <t>キセツ</t>
    </rPh>
    <rPh sb="2" eb="4">
      <t>ビョウショウ</t>
    </rPh>
    <phoneticPr fontId="13"/>
  </si>
  <si>
    <t>新設病床19</t>
    <rPh sb="0" eb="2">
      <t>シンセツ</t>
    </rPh>
    <rPh sb="2" eb="4">
      <t>ビョウショウ</t>
    </rPh>
    <phoneticPr fontId="13"/>
  </si>
  <si>
    <t>既設病床20</t>
    <rPh sb="0" eb="2">
      <t>キセツ</t>
    </rPh>
    <rPh sb="2" eb="4">
      <t>ビョウショウ</t>
    </rPh>
    <phoneticPr fontId="13"/>
  </si>
  <si>
    <t>新設病床20</t>
    <rPh sb="0" eb="2">
      <t>シンセツ</t>
    </rPh>
    <rPh sb="2" eb="4">
      <t>ビョウショウ</t>
    </rPh>
    <phoneticPr fontId="13"/>
  </si>
  <si>
    <t>既設病床21</t>
    <rPh sb="0" eb="2">
      <t>キセツ</t>
    </rPh>
    <rPh sb="2" eb="4">
      <t>ビョウショウ</t>
    </rPh>
    <phoneticPr fontId="13"/>
  </si>
  <si>
    <t>新設病床21</t>
    <rPh sb="0" eb="2">
      <t>シンセツ</t>
    </rPh>
    <rPh sb="2" eb="4">
      <t>ビョウショウ</t>
    </rPh>
    <phoneticPr fontId="13"/>
  </si>
  <si>
    <t>既設病床22</t>
    <rPh sb="0" eb="2">
      <t>キセツ</t>
    </rPh>
    <rPh sb="2" eb="4">
      <t>ビョウショウ</t>
    </rPh>
    <phoneticPr fontId="13"/>
  </si>
  <si>
    <t>新設病床22</t>
    <rPh sb="0" eb="2">
      <t>シンセツ</t>
    </rPh>
    <rPh sb="2" eb="4">
      <t>ビョウショウ</t>
    </rPh>
    <phoneticPr fontId="13"/>
  </si>
  <si>
    <t>既設病床23</t>
    <rPh sb="0" eb="2">
      <t>キセツ</t>
    </rPh>
    <rPh sb="2" eb="4">
      <t>ビョウショウ</t>
    </rPh>
    <phoneticPr fontId="13"/>
  </si>
  <si>
    <t>新設病床23</t>
    <rPh sb="0" eb="2">
      <t>シンセツ</t>
    </rPh>
    <rPh sb="2" eb="4">
      <t>ビョウショウ</t>
    </rPh>
    <phoneticPr fontId="13"/>
  </si>
  <si>
    <t>既設病床24</t>
    <rPh sb="0" eb="2">
      <t>キセツ</t>
    </rPh>
    <rPh sb="2" eb="4">
      <t>ビョウショウ</t>
    </rPh>
    <phoneticPr fontId="13"/>
  </si>
  <si>
    <t>新設病床24</t>
    <rPh sb="0" eb="2">
      <t>シンセツ</t>
    </rPh>
    <rPh sb="2" eb="4">
      <t>ビョウショウ</t>
    </rPh>
    <phoneticPr fontId="13"/>
  </si>
  <si>
    <t>既設病床25</t>
    <rPh sb="0" eb="2">
      <t>キセツ</t>
    </rPh>
    <rPh sb="2" eb="4">
      <t>ビョウショウ</t>
    </rPh>
    <phoneticPr fontId="13"/>
  </si>
  <si>
    <t>新設病床25</t>
    <rPh sb="0" eb="2">
      <t>シンセツ</t>
    </rPh>
    <rPh sb="2" eb="4">
      <t>ビョウショウ</t>
    </rPh>
    <phoneticPr fontId="13"/>
  </si>
  <si>
    <t>既設病床26</t>
    <rPh sb="0" eb="2">
      <t>キセツ</t>
    </rPh>
    <rPh sb="2" eb="4">
      <t>ビョウショウ</t>
    </rPh>
    <phoneticPr fontId="13"/>
  </si>
  <si>
    <t>新設病床26</t>
    <rPh sb="0" eb="2">
      <t>シンセツ</t>
    </rPh>
    <rPh sb="2" eb="4">
      <t>ビョウショウ</t>
    </rPh>
    <phoneticPr fontId="13"/>
  </si>
  <si>
    <t>既設病床27</t>
    <rPh sb="0" eb="2">
      <t>キセツ</t>
    </rPh>
    <rPh sb="2" eb="4">
      <t>ビョウショウ</t>
    </rPh>
    <phoneticPr fontId="13"/>
  </si>
  <si>
    <t>新設病床27</t>
    <rPh sb="0" eb="2">
      <t>シンセツ</t>
    </rPh>
    <rPh sb="2" eb="4">
      <t>ビョウショウ</t>
    </rPh>
    <phoneticPr fontId="13"/>
  </si>
  <si>
    <t>既設病床28</t>
    <rPh sb="0" eb="2">
      <t>キセツ</t>
    </rPh>
    <rPh sb="2" eb="4">
      <t>ビョウショウ</t>
    </rPh>
    <phoneticPr fontId="13"/>
  </si>
  <si>
    <t>新設病床28</t>
    <rPh sb="0" eb="2">
      <t>シンセツ</t>
    </rPh>
    <rPh sb="2" eb="4">
      <t>ビョウショウ</t>
    </rPh>
    <phoneticPr fontId="13"/>
  </si>
  <si>
    <t>既設病床29</t>
    <rPh sb="0" eb="2">
      <t>キセツ</t>
    </rPh>
    <rPh sb="2" eb="4">
      <t>ビョウショウ</t>
    </rPh>
    <phoneticPr fontId="13"/>
  </si>
  <si>
    <t>新設病床29</t>
    <rPh sb="0" eb="2">
      <t>シンセツ</t>
    </rPh>
    <rPh sb="2" eb="4">
      <t>ビョウショウ</t>
    </rPh>
    <phoneticPr fontId="13"/>
  </si>
  <si>
    <t>既設病床30</t>
    <rPh sb="0" eb="2">
      <t>キセツ</t>
    </rPh>
    <rPh sb="2" eb="4">
      <t>ビョウショウ</t>
    </rPh>
    <phoneticPr fontId="13"/>
  </si>
  <si>
    <t>新設病床30</t>
    <rPh sb="0" eb="2">
      <t>シンセツ</t>
    </rPh>
    <rPh sb="2" eb="4">
      <t>ビョウショウ</t>
    </rPh>
    <phoneticPr fontId="13"/>
  </si>
  <si>
    <t>既設病床31</t>
    <rPh sb="0" eb="2">
      <t>キセツ</t>
    </rPh>
    <rPh sb="2" eb="4">
      <t>ビョウショウ</t>
    </rPh>
    <phoneticPr fontId="13"/>
  </si>
  <si>
    <t>新設病床31</t>
    <rPh sb="0" eb="2">
      <t>シンセツ</t>
    </rPh>
    <rPh sb="2" eb="4">
      <t>ビョウショウ</t>
    </rPh>
    <phoneticPr fontId="13"/>
  </si>
  <si>
    <t>既設病床32</t>
    <rPh sb="0" eb="2">
      <t>キセツ</t>
    </rPh>
    <rPh sb="2" eb="4">
      <t>ビョウショウ</t>
    </rPh>
    <phoneticPr fontId="13"/>
  </si>
  <si>
    <t>新設病床32</t>
    <rPh sb="0" eb="2">
      <t>シンセツ</t>
    </rPh>
    <rPh sb="2" eb="4">
      <t>ビョウショウ</t>
    </rPh>
    <phoneticPr fontId="13"/>
  </si>
  <si>
    <t>既設病床33</t>
    <rPh sb="0" eb="2">
      <t>キセツ</t>
    </rPh>
    <rPh sb="2" eb="4">
      <t>ビョウショウ</t>
    </rPh>
    <phoneticPr fontId="13"/>
  </si>
  <si>
    <t>新設病床33</t>
    <rPh sb="0" eb="2">
      <t>シンセツ</t>
    </rPh>
    <rPh sb="2" eb="4">
      <t>ビョウショウ</t>
    </rPh>
    <phoneticPr fontId="13"/>
  </si>
  <si>
    <t>既設病床34</t>
    <rPh sb="0" eb="2">
      <t>キセツ</t>
    </rPh>
    <rPh sb="2" eb="4">
      <t>ビョウショウ</t>
    </rPh>
    <phoneticPr fontId="13"/>
  </si>
  <si>
    <t>新設病床34</t>
    <rPh sb="0" eb="2">
      <t>シンセツ</t>
    </rPh>
    <rPh sb="2" eb="4">
      <t>ビョウショウ</t>
    </rPh>
    <phoneticPr fontId="13"/>
  </si>
  <si>
    <t>既設病床35</t>
    <rPh sb="0" eb="2">
      <t>キセツ</t>
    </rPh>
    <rPh sb="2" eb="4">
      <t>ビョウショウ</t>
    </rPh>
    <phoneticPr fontId="13"/>
  </si>
  <si>
    <t>新設病床35</t>
    <rPh sb="0" eb="2">
      <t>シンセツ</t>
    </rPh>
    <rPh sb="2" eb="4">
      <t>ビョウショウ</t>
    </rPh>
    <phoneticPr fontId="13"/>
  </si>
  <si>
    <t>既設病床36</t>
    <rPh sb="0" eb="2">
      <t>キセツ</t>
    </rPh>
    <rPh sb="2" eb="4">
      <t>ビョウショウ</t>
    </rPh>
    <phoneticPr fontId="13"/>
  </si>
  <si>
    <t>新設病床36</t>
    <rPh sb="0" eb="2">
      <t>シンセツ</t>
    </rPh>
    <rPh sb="2" eb="4">
      <t>ビョウショウ</t>
    </rPh>
    <phoneticPr fontId="13"/>
  </si>
  <si>
    <t>既設病床37</t>
    <rPh sb="0" eb="2">
      <t>キセツ</t>
    </rPh>
    <rPh sb="2" eb="4">
      <t>ビョウショウ</t>
    </rPh>
    <phoneticPr fontId="13"/>
  </si>
  <si>
    <t>新設病床37</t>
    <rPh sb="0" eb="2">
      <t>シンセツ</t>
    </rPh>
    <rPh sb="2" eb="4">
      <t>ビョウショウ</t>
    </rPh>
    <phoneticPr fontId="13"/>
  </si>
  <si>
    <t>既設病床38</t>
    <rPh sb="0" eb="2">
      <t>キセツ</t>
    </rPh>
    <rPh sb="2" eb="4">
      <t>ビョウショウ</t>
    </rPh>
    <phoneticPr fontId="13"/>
  </si>
  <si>
    <t>新設病床38</t>
    <rPh sb="0" eb="2">
      <t>シンセツ</t>
    </rPh>
    <rPh sb="2" eb="4">
      <t>ビョウショウ</t>
    </rPh>
    <phoneticPr fontId="13"/>
  </si>
  <si>
    <t>既設病床39</t>
    <rPh sb="0" eb="2">
      <t>キセツ</t>
    </rPh>
    <rPh sb="2" eb="4">
      <t>ビョウショウ</t>
    </rPh>
    <phoneticPr fontId="13"/>
  </si>
  <si>
    <t>新設病床39</t>
    <rPh sb="0" eb="2">
      <t>シンセツ</t>
    </rPh>
    <rPh sb="2" eb="4">
      <t>ビョウショウ</t>
    </rPh>
    <phoneticPr fontId="13"/>
  </si>
  <si>
    <t>既設病床40</t>
    <rPh sb="0" eb="2">
      <t>キセツ</t>
    </rPh>
    <rPh sb="2" eb="4">
      <t>ビョウショウ</t>
    </rPh>
    <phoneticPr fontId="13"/>
  </si>
  <si>
    <t>新設病床40</t>
    <rPh sb="0" eb="2">
      <t>シンセツ</t>
    </rPh>
    <rPh sb="2" eb="4">
      <t>ビョウショウ</t>
    </rPh>
    <phoneticPr fontId="13"/>
  </si>
  <si>
    <t>既設病床41</t>
    <rPh sb="0" eb="2">
      <t>キセツ</t>
    </rPh>
    <rPh sb="2" eb="4">
      <t>ビョウショウ</t>
    </rPh>
    <phoneticPr fontId="13"/>
  </si>
  <si>
    <t>新設病床41</t>
    <rPh sb="0" eb="2">
      <t>シンセツ</t>
    </rPh>
    <rPh sb="2" eb="4">
      <t>ビョウショウ</t>
    </rPh>
    <phoneticPr fontId="13"/>
  </si>
  <si>
    <t>既設病床42</t>
    <rPh sb="0" eb="2">
      <t>キセツ</t>
    </rPh>
    <rPh sb="2" eb="4">
      <t>ビョウショウ</t>
    </rPh>
    <phoneticPr fontId="13"/>
  </si>
  <si>
    <t>新設病床42</t>
    <rPh sb="0" eb="2">
      <t>シンセツ</t>
    </rPh>
    <rPh sb="2" eb="4">
      <t>ビョウショウ</t>
    </rPh>
    <phoneticPr fontId="13"/>
  </si>
  <si>
    <t>既設病床43</t>
    <rPh sb="0" eb="2">
      <t>キセツ</t>
    </rPh>
    <rPh sb="2" eb="4">
      <t>ビョウショウ</t>
    </rPh>
    <phoneticPr fontId="13"/>
  </si>
  <si>
    <t>新設病床43</t>
    <rPh sb="0" eb="2">
      <t>シンセツ</t>
    </rPh>
    <rPh sb="2" eb="4">
      <t>ビョウショウ</t>
    </rPh>
    <phoneticPr fontId="13"/>
  </si>
  <si>
    <t>既設病床44</t>
    <rPh sb="0" eb="2">
      <t>キセツ</t>
    </rPh>
    <rPh sb="2" eb="4">
      <t>ビョウショウ</t>
    </rPh>
    <phoneticPr fontId="13"/>
  </si>
  <si>
    <t>新設病床44</t>
    <rPh sb="0" eb="2">
      <t>シンセツ</t>
    </rPh>
    <rPh sb="2" eb="4">
      <t>ビョウショウ</t>
    </rPh>
    <phoneticPr fontId="13"/>
  </si>
  <si>
    <t>既設病床45</t>
    <rPh sb="0" eb="2">
      <t>キセツ</t>
    </rPh>
    <rPh sb="2" eb="4">
      <t>ビョウショウ</t>
    </rPh>
    <phoneticPr fontId="13"/>
  </si>
  <si>
    <t>新設病床45</t>
    <rPh sb="0" eb="2">
      <t>シンセツ</t>
    </rPh>
    <rPh sb="2" eb="4">
      <t>ビョウショウ</t>
    </rPh>
    <phoneticPr fontId="13"/>
  </si>
  <si>
    <t>既設病床46</t>
    <rPh sb="0" eb="2">
      <t>キセツ</t>
    </rPh>
    <rPh sb="2" eb="4">
      <t>ビョウショウ</t>
    </rPh>
    <phoneticPr fontId="13"/>
  </si>
  <si>
    <t>新設病床46</t>
    <rPh sb="0" eb="2">
      <t>シンセツ</t>
    </rPh>
    <rPh sb="2" eb="4">
      <t>ビョウショウ</t>
    </rPh>
    <phoneticPr fontId="13"/>
  </si>
  <si>
    <t>既設病床47</t>
    <rPh sb="0" eb="2">
      <t>キセツ</t>
    </rPh>
    <rPh sb="2" eb="4">
      <t>ビョウショウ</t>
    </rPh>
    <phoneticPr fontId="13"/>
  </si>
  <si>
    <t>新設病床47</t>
    <rPh sb="0" eb="2">
      <t>シンセツ</t>
    </rPh>
    <rPh sb="2" eb="4">
      <t>ビョウショウ</t>
    </rPh>
    <phoneticPr fontId="13"/>
  </si>
  <si>
    <t>既設病床48</t>
    <rPh sb="0" eb="2">
      <t>キセツ</t>
    </rPh>
    <rPh sb="2" eb="4">
      <t>ビョウショウ</t>
    </rPh>
    <phoneticPr fontId="13"/>
  </si>
  <si>
    <t>新設病床48</t>
    <rPh sb="0" eb="2">
      <t>シンセツ</t>
    </rPh>
    <rPh sb="2" eb="4">
      <t>ビョウショウ</t>
    </rPh>
    <phoneticPr fontId="13"/>
  </si>
  <si>
    <t>既設病床49</t>
    <rPh sb="0" eb="2">
      <t>キセツ</t>
    </rPh>
    <rPh sb="2" eb="4">
      <t>ビョウショウ</t>
    </rPh>
    <phoneticPr fontId="13"/>
  </si>
  <si>
    <t>新設病床49</t>
    <rPh sb="0" eb="2">
      <t>シンセツ</t>
    </rPh>
    <rPh sb="2" eb="4">
      <t>ビョウショウ</t>
    </rPh>
    <phoneticPr fontId="13"/>
  </si>
  <si>
    <t>既設病床50</t>
    <rPh sb="0" eb="2">
      <t>キセツ</t>
    </rPh>
    <rPh sb="2" eb="4">
      <t>ビョウショウ</t>
    </rPh>
    <phoneticPr fontId="13"/>
  </si>
  <si>
    <t>新設病床50</t>
    <rPh sb="0" eb="2">
      <t>シンセツ</t>
    </rPh>
    <rPh sb="2" eb="4">
      <t>ビョウショウ</t>
    </rPh>
    <phoneticPr fontId="13"/>
  </si>
  <si>
    <t>既設病床51</t>
    <rPh sb="0" eb="2">
      <t>キセツ</t>
    </rPh>
    <rPh sb="2" eb="4">
      <t>ビョウショウ</t>
    </rPh>
    <phoneticPr fontId="13"/>
  </si>
  <si>
    <t>新設病床51</t>
    <rPh sb="0" eb="2">
      <t>シンセツ</t>
    </rPh>
    <rPh sb="2" eb="4">
      <t>ビョウショウ</t>
    </rPh>
    <phoneticPr fontId="13"/>
  </si>
  <si>
    <t>既設病床52</t>
    <rPh sb="0" eb="2">
      <t>キセツ</t>
    </rPh>
    <rPh sb="2" eb="4">
      <t>ビョウショウ</t>
    </rPh>
    <phoneticPr fontId="13"/>
  </si>
  <si>
    <t>新設病床52</t>
    <rPh sb="0" eb="2">
      <t>シンセツ</t>
    </rPh>
    <rPh sb="2" eb="4">
      <t>ビョウショウ</t>
    </rPh>
    <phoneticPr fontId="13"/>
  </si>
  <si>
    <t>既設病床53</t>
    <rPh sb="0" eb="2">
      <t>キセツ</t>
    </rPh>
    <rPh sb="2" eb="4">
      <t>ビョウショウ</t>
    </rPh>
    <phoneticPr fontId="13"/>
  </si>
  <si>
    <t>新設病床53</t>
    <rPh sb="0" eb="2">
      <t>シンセツ</t>
    </rPh>
    <rPh sb="2" eb="4">
      <t>ビョウショウ</t>
    </rPh>
    <phoneticPr fontId="13"/>
  </si>
  <si>
    <t>既設病床54</t>
    <rPh sb="0" eb="2">
      <t>キセツ</t>
    </rPh>
    <rPh sb="2" eb="4">
      <t>ビョウショウ</t>
    </rPh>
    <phoneticPr fontId="13"/>
  </si>
  <si>
    <t>新設病床54</t>
    <rPh sb="0" eb="2">
      <t>シンセツ</t>
    </rPh>
    <rPh sb="2" eb="4">
      <t>ビョウショウ</t>
    </rPh>
    <phoneticPr fontId="13"/>
  </si>
  <si>
    <t>既設病床55</t>
    <rPh sb="0" eb="2">
      <t>キセツ</t>
    </rPh>
    <rPh sb="2" eb="4">
      <t>ビョウショウ</t>
    </rPh>
    <phoneticPr fontId="13"/>
  </si>
  <si>
    <t>新設病床55</t>
    <rPh sb="0" eb="2">
      <t>シンセツ</t>
    </rPh>
    <rPh sb="2" eb="4">
      <t>ビョウショウ</t>
    </rPh>
    <phoneticPr fontId="13"/>
  </si>
  <si>
    <t>既設病床56</t>
    <rPh sb="0" eb="2">
      <t>キセツ</t>
    </rPh>
    <rPh sb="2" eb="4">
      <t>ビョウショウ</t>
    </rPh>
    <phoneticPr fontId="13"/>
  </si>
  <si>
    <t>新設病床56</t>
    <rPh sb="0" eb="2">
      <t>シンセツ</t>
    </rPh>
    <rPh sb="2" eb="4">
      <t>ビョウショウ</t>
    </rPh>
    <phoneticPr fontId="13"/>
  </si>
  <si>
    <t>既設病床57</t>
    <rPh sb="0" eb="2">
      <t>キセツ</t>
    </rPh>
    <rPh sb="2" eb="4">
      <t>ビョウショウ</t>
    </rPh>
    <phoneticPr fontId="13"/>
  </si>
  <si>
    <t>新設病床57</t>
    <rPh sb="0" eb="2">
      <t>シンセツ</t>
    </rPh>
    <rPh sb="2" eb="4">
      <t>ビョウショウ</t>
    </rPh>
    <phoneticPr fontId="13"/>
  </si>
  <si>
    <t>既設病床58</t>
    <rPh sb="0" eb="2">
      <t>キセツ</t>
    </rPh>
    <rPh sb="2" eb="4">
      <t>ビョウショウ</t>
    </rPh>
    <phoneticPr fontId="13"/>
  </si>
  <si>
    <t>新設病床58</t>
    <rPh sb="0" eb="2">
      <t>シンセツ</t>
    </rPh>
    <rPh sb="2" eb="4">
      <t>ビョウショウ</t>
    </rPh>
    <phoneticPr fontId="13"/>
  </si>
  <si>
    <t>既設病床59</t>
    <rPh sb="0" eb="2">
      <t>キセツ</t>
    </rPh>
    <rPh sb="2" eb="4">
      <t>ビョウショウ</t>
    </rPh>
    <phoneticPr fontId="13"/>
  </si>
  <si>
    <t>新設病床59</t>
    <rPh sb="0" eb="2">
      <t>シンセツ</t>
    </rPh>
    <rPh sb="2" eb="4">
      <t>ビョウショウ</t>
    </rPh>
    <phoneticPr fontId="13"/>
  </si>
  <si>
    <t>既設病床60</t>
    <rPh sb="0" eb="2">
      <t>キセツ</t>
    </rPh>
    <rPh sb="2" eb="4">
      <t>ビョウショウ</t>
    </rPh>
    <phoneticPr fontId="13"/>
  </si>
  <si>
    <t>新設病床60</t>
    <rPh sb="0" eb="2">
      <t>シンセツ</t>
    </rPh>
    <rPh sb="2" eb="4">
      <t>ビョウショウ</t>
    </rPh>
    <phoneticPr fontId="13"/>
  </si>
  <si>
    <t>既設病床61</t>
    <rPh sb="0" eb="2">
      <t>キセツ</t>
    </rPh>
    <rPh sb="2" eb="4">
      <t>ビョウショウ</t>
    </rPh>
    <phoneticPr fontId="13"/>
  </si>
  <si>
    <t>新設病床61</t>
    <rPh sb="0" eb="2">
      <t>シンセツ</t>
    </rPh>
    <rPh sb="2" eb="4">
      <t>ビョウショウ</t>
    </rPh>
    <phoneticPr fontId="13"/>
  </si>
  <si>
    <t>既設病床62</t>
    <rPh sb="0" eb="2">
      <t>キセツ</t>
    </rPh>
    <rPh sb="2" eb="4">
      <t>ビョウショウ</t>
    </rPh>
    <phoneticPr fontId="13"/>
  </si>
  <si>
    <t>新設病床62</t>
    <rPh sb="0" eb="2">
      <t>シンセツ</t>
    </rPh>
    <rPh sb="2" eb="4">
      <t>ビョウショウ</t>
    </rPh>
    <phoneticPr fontId="13"/>
  </si>
  <si>
    <t>既設病床63</t>
    <rPh sb="0" eb="2">
      <t>キセツ</t>
    </rPh>
    <rPh sb="2" eb="4">
      <t>ビョウショウ</t>
    </rPh>
    <phoneticPr fontId="13"/>
  </si>
  <si>
    <t>新設病床63</t>
    <rPh sb="0" eb="2">
      <t>シンセツ</t>
    </rPh>
    <rPh sb="2" eb="4">
      <t>ビョウショウ</t>
    </rPh>
    <phoneticPr fontId="13"/>
  </si>
  <si>
    <t>既設病床64</t>
    <rPh sb="0" eb="2">
      <t>キセツ</t>
    </rPh>
    <rPh sb="2" eb="4">
      <t>ビョウショウ</t>
    </rPh>
    <phoneticPr fontId="13"/>
  </si>
  <si>
    <t>新設病床64</t>
    <rPh sb="0" eb="2">
      <t>シンセツ</t>
    </rPh>
    <rPh sb="2" eb="4">
      <t>ビョウショウ</t>
    </rPh>
    <phoneticPr fontId="13"/>
  </si>
  <si>
    <t>既設病床65</t>
    <rPh sb="0" eb="2">
      <t>キセツ</t>
    </rPh>
    <rPh sb="2" eb="4">
      <t>ビョウショウ</t>
    </rPh>
    <phoneticPr fontId="13"/>
  </si>
  <si>
    <t>新設病床65</t>
    <rPh sb="0" eb="2">
      <t>シンセツ</t>
    </rPh>
    <rPh sb="2" eb="4">
      <t>ビョウショウ</t>
    </rPh>
    <phoneticPr fontId="13"/>
  </si>
  <si>
    <t>既設病床66</t>
    <rPh sb="0" eb="2">
      <t>キセツ</t>
    </rPh>
    <rPh sb="2" eb="4">
      <t>ビョウショウ</t>
    </rPh>
    <phoneticPr fontId="13"/>
  </si>
  <si>
    <t>新設病床66</t>
    <rPh sb="0" eb="2">
      <t>シンセツ</t>
    </rPh>
    <rPh sb="2" eb="4">
      <t>ビョウショウ</t>
    </rPh>
    <phoneticPr fontId="13"/>
  </si>
  <si>
    <t>既設病床67</t>
    <rPh sb="0" eb="2">
      <t>キセツ</t>
    </rPh>
    <rPh sb="2" eb="4">
      <t>ビョウショウ</t>
    </rPh>
    <phoneticPr fontId="13"/>
  </si>
  <si>
    <t>新設病床67</t>
    <rPh sb="0" eb="2">
      <t>シンセツ</t>
    </rPh>
    <rPh sb="2" eb="4">
      <t>ビョウショウ</t>
    </rPh>
    <phoneticPr fontId="13"/>
  </si>
  <si>
    <t>既設病床68</t>
    <rPh sb="0" eb="2">
      <t>キセツ</t>
    </rPh>
    <rPh sb="2" eb="4">
      <t>ビョウショウ</t>
    </rPh>
    <phoneticPr fontId="13"/>
  </si>
  <si>
    <t>新設病床68</t>
    <rPh sb="0" eb="2">
      <t>シンセツ</t>
    </rPh>
    <rPh sb="2" eb="4">
      <t>ビョウショウ</t>
    </rPh>
    <phoneticPr fontId="13"/>
  </si>
  <si>
    <t>既設病床69</t>
    <rPh sb="0" eb="2">
      <t>キセツ</t>
    </rPh>
    <rPh sb="2" eb="4">
      <t>ビョウショウ</t>
    </rPh>
    <phoneticPr fontId="13"/>
  </si>
  <si>
    <t>新設病床69</t>
    <rPh sb="0" eb="2">
      <t>シンセツ</t>
    </rPh>
    <rPh sb="2" eb="4">
      <t>ビョウショウ</t>
    </rPh>
    <phoneticPr fontId="13"/>
  </si>
  <si>
    <t>既設病床70</t>
    <rPh sb="0" eb="2">
      <t>キセツ</t>
    </rPh>
    <rPh sb="2" eb="4">
      <t>ビョウショウ</t>
    </rPh>
    <phoneticPr fontId="13"/>
  </si>
  <si>
    <t>新設病床70</t>
    <rPh sb="0" eb="2">
      <t>シンセツ</t>
    </rPh>
    <rPh sb="2" eb="4">
      <t>ビョウショウ</t>
    </rPh>
    <phoneticPr fontId="13"/>
  </si>
  <si>
    <t>既設病床71</t>
    <rPh sb="0" eb="2">
      <t>キセツ</t>
    </rPh>
    <rPh sb="2" eb="4">
      <t>ビョウショウ</t>
    </rPh>
    <phoneticPr fontId="13"/>
  </si>
  <si>
    <t>新設病床71</t>
    <rPh sb="0" eb="2">
      <t>シンセツ</t>
    </rPh>
    <rPh sb="2" eb="4">
      <t>ビョウショウ</t>
    </rPh>
    <phoneticPr fontId="13"/>
  </si>
  <si>
    <t>既設病床72</t>
    <rPh sb="0" eb="2">
      <t>キセツ</t>
    </rPh>
    <rPh sb="2" eb="4">
      <t>ビョウショウ</t>
    </rPh>
    <phoneticPr fontId="13"/>
  </si>
  <si>
    <t>新設病床72</t>
    <rPh sb="0" eb="2">
      <t>シンセツ</t>
    </rPh>
    <rPh sb="2" eb="4">
      <t>ビョウショウ</t>
    </rPh>
    <phoneticPr fontId="13"/>
  </si>
  <si>
    <t>既設病床73</t>
    <rPh sb="0" eb="2">
      <t>キセツ</t>
    </rPh>
    <rPh sb="2" eb="4">
      <t>ビョウショウ</t>
    </rPh>
    <phoneticPr fontId="13"/>
  </si>
  <si>
    <t>新設病床73</t>
    <rPh sb="0" eb="2">
      <t>シンセツ</t>
    </rPh>
    <rPh sb="2" eb="4">
      <t>ビョウショウ</t>
    </rPh>
    <phoneticPr fontId="13"/>
  </si>
  <si>
    <t>既設病床74</t>
    <rPh sb="0" eb="2">
      <t>キセツ</t>
    </rPh>
    <rPh sb="2" eb="4">
      <t>ビョウショウ</t>
    </rPh>
    <phoneticPr fontId="13"/>
  </si>
  <si>
    <t>新設病床74</t>
    <rPh sb="0" eb="2">
      <t>シンセツ</t>
    </rPh>
    <rPh sb="2" eb="4">
      <t>ビョウショウ</t>
    </rPh>
    <phoneticPr fontId="13"/>
  </si>
  <si>
    <t>既設病床75</t>
    <rPh sb="0" eb="2">
      <t>キセツ</t>
    </rPh>
    <rPh sb="2" eb="4">
      <t>ビョウショウ</t>
    </rPh>
    <phoneticPr fontId="13"/>
  </si>
  <si>
    <t>新設病床75</t>
    <rPh sb="0" eb="2">
      <t>シンセツ</t>
    </rPh>
    <rPh sb="2" eb="4">
      <t>ビョウショウ</t>
    </rPh>
    <phoneticPr fontId="13"/>
  </si>
  <si>
    <t>既設病床76</t>
    <rPh sb="0" eb="2">
      <t>キセツ</t>
    </rPh>
    <rPh sb="2" eb="4">
      <t>ビョウショウ</t>
    </rPh>
    <phoneticPr fontId="13"/>
  </si>
  <si>
    <t>新設病床76</t>
    <rPh sb="0" eb="2">
      <t>シンセツ</t>
    </rPh>
    <rPh sb="2" eb="4">
      <t>ビョウショウ</t>
    </rPh>
    <phoneticPr fontId="13"/>
  </si>
  <si>
    <t>既設病床77</t>
    <rPh sb="0" eb="2">
      <t>キセツ</t>
    </rPh>
    <rPh sb="2" eb="4">
      <t>ビョウショウ</t>
    </rPh>
    <phoneticPr fontId="13"/>
  </si>
  <si>
    <t>新設病床77</t>
    <rPh sb="0" eb="2">
      <t>シンセツ</t>
    </rPh>
    <rPh sb="2" eb="4">
      <t>ビョウショウ</t>
    </rPh>
    <phoneticPr fontId="13"/>
  </si>
  <si>
    <t>既設病床78</t>
    <rPh sb="0" eb="2">
      <t>キセツ</t>
    </rPh>
    <rPh sb="2" eb="4">
      <t>ビョウショウ</t>
    </rPh>
    <phoneticPr fontId="13"/>
  </si>
  <si>
    <t>新設病床78</t>
    <rPh sb="0" eb="2">
      <t>シンセツ</t>
    </rPh>
    <rPh sb="2" eb="4">
      <t>ビョウショウ</t>
    </rPh>
    <phoneticPr fontId="13"/>
  </si>
  <si>
    <t>既設病床79</t>
    <rPh sb="0" eb="2">
      <t>キセツ</t>
    </rPh>
    <rPh sb="2" eb="4">
      <t>ビョウショウ</t>
    </rPh>
    <phoneticPr fontId="13"/>
  </si>
  <si>
    <t>新設病床79</t>
    <rPh sb="0" eb="2">
      <t>シンセツ</t>
    </rPh>
    <rPh sb="2" eb="4">
      <t>ビョウショウ</t>
    </rPh>
    <phoneticPr fontId="13"/>
  </si>
  <si>
    <t>既設病床80</t>
    <rPh sb="0" eb="2">
      <t>キセツ</t>
    </rPh>
    <rPh sb="2" eb="4">
      <t>ビョウショウ</t>
    </rPh>
    <phoneticPr fontId="13"/>
  </si>
  <si>
    <t>新設病床80</t>
    <rPh sb="0" eb="2">
      <t>シンセツ</t>
    </rPh>
    <rPh sb="2" eb="4">
      <t>ビョウショウ</t>
    </rPh>
    <phoneticPr fontId="13"/>
  </si>
  <si>
    <t>既設病床81</t>
    <rPh sb="0" eb="2">
      <t>キセツ</t>
    </rPh>
    <rPh sb="2" eb="4">
      <t>ビョウショウ</t>
    </rPh>
    <phoneticPr fontId="13"/>
  </si>
  <si>
    <t>新設病床81</t>
    <rPh sb="0" eb="2">
      <t>シンセツ</t>
    </rPh>
    <rPh sb="2" eb="4">
      <t>ビョウショウ</t>
    </rPh>
    <phoneticPr fontId="13"/>
  </si>
  <si>
    <t>既設病床82</t>
    <rPh sb="0" eb="2">
      <t>キセツ</t>
    </rPh>
    <rPh sb="2" eb="4">
      <t>ビョウショウ</t>
    </rPh>
    <phoneticPr fontId="13"/>
  </si>
  <si>
    <t>新設病床82</t>
    <rPh sb="0" eb="2">
      <t>シンセツ</t>
    </rPh>
    <rPh sb="2" eb="4">
      <t>ビョウショウ</t>
    </rPh>
    <phoneticPr fontId="13"/>
  </si>
  <si>
    <t>既設病床83</t>
    <rPh sb="0" eb="2">
      <t>キセツ</t>
    </rPh>
    <rPh sb="2" eb="4">
      <t>ビョウショウ</t>
    </rPh>
    <phoneticPr fontId="13"/>
  </si>
  <si>
    <t>新設病床83</t>
    <rPh sb="0" eb="2">
      <t>シンセツ</t>
    </rPh>
    <rPh sb="2" eb="4">
      <t>ビョウショウ</t>
    </rPh>
    <phoneticPr fontId="13"/>
  </si>
  <si>
    <t>既設病床84</t>
    <rPh sb="0" eb="2">
      <t>キセツ</t>
    </rPh>
    <rPh sb="2" eb="4">
      <t>ビョウショウ</t>
    </rPh>
    <phoneticPr fontId="13"/>
  </si>
  <si>
    <t>新設病床84</t>
    <rPh sb="0" eb="2">
      <t>シンセツ</t>
    </rPh>
    <rPh sb="2" eb="4">
      <t>ビョウショウ</t>
    </rPh>
    <phoneticPr fontId="13"/>
  </si>
  <si>
    <t>既設病床85</t>
    <rPh sb="0" eb="2">
      <t>キセツ</t>
    </rPh>
    <rPh sb="2" eb="4">
      <t>ビョウショウ</t>
    </rPh>
    <phoneticPr fontId="13"/>
  </si>
  <si>
    <t>新設病床85</t>
    <rPh sb="0" eb="2">
      <t>シンセツ</t>
    </rPh>
    <rPh sb="2" eb="4">
      <t>ビョウショウ</t>
    </rPh>
    <phoneticPr fontId="13"/>
  </si>
  <si>
    <t>既設病床86</t>
    <rPh sb="0" eb="2">
      <t>キセツ</t>
    </rPh>
    <rPh sb="2" eb="4">
      <t>ビョウショウ</t>
    </rPh>
    <phoneticPr fontId="13"/>
  </si>
  <si>
    <t>新設病床86</t>
    <rPh sb="0" eb="2">
      <t>シンセツ</t>
    </rPh>
    <rPh sb="2" eb="4">
      <t>ビョウショウ</t>
    </rPh>
    <phoneticPr fontId="13"/>
  </si>
  <si>
    <t>既設病床87</t>
    <rPh sb="0" eb="2">
      <t>キセツ</t>
    </rPh>
    <rPh sb="2" eb="4">
      <t>ビョウショウ</t>
    </rPh>
    <phoneticPr fontId="13"/>
  </si>
  <si>
    <t>新設病床87</t>
    <rPh sb="0" eb="2">
      <t>シンセツ</t>
    </rPh>
    <rPh sb="2" eb="4">
      <t>ビョウショウ</t>
    </rPh>
    <phoneticPr fontId="13"/>
  </si>
  <si>
    <t>既設病床88</t>
    <rPh sb="0" eb="2">
      <t>キセツ</t>
    </rPh>
    <rPh sb="2" eb="4">
      <t>ビョウショウ</t>
    </rPh>
    <phoneticPr fontId="13"/>
  </si>
  <si>
    <t>新設病床88</t>
    <rPh sb="0" eb="2">
      <t>シンセツ</t>
    </rPh>
    <rPh sb="2" eb="4">
      <t>ビョウショウ</t>
    </rPh>
    <phoneticPr fontId="13"/>
  </si>
  <si>
    <t>既設病床89</t>
    <rPh sb="0" eb="2">
      <t>キセツ</t>
    </rPh>
    <rPh sb="2" eb="4">
      <t>ビョウショウ</t>
    </rPh>
    <phoneticPr fontId="13"/>
  </si>
  <si>
    <t>新設病床89</t>
    <rPh sb="0" eb="2">
      <t>シンセツ</t>
    </rPh>
    <rPh sb="2" eb="4">
      <t>ビョウショウ</t>
    </rPh>
    <phoneticPr fontId="13"/>
  </si>
  <si>
    <t>既設病床90</t>
    <rPh sb="0" eb="2">
      <t>キセツ</t>
    </rPh>
    <rPh sb="2" eb="4">
      <t>ビョウショウ</t>
    </rPh>
    <phoneticPr fontId="13"/>
  </si>
  <si>
    <t>新設病床90</t>
    <rPh sb="0" eb="2">
      <t>シンセツ</t>
    </rPh>
    <rPh sb="2" eb="4">
      <t>ビョウショウ</t>
    </rPh>
    <phoneticPr fontId="13"/>
  </si>
  <si>
    <t>既設病床91</t>
    <rPh sb="0" eb="2">
      <t>キセツ</t>
    </rPh>
    <rPh sb="2" eb="4">
      <t>ビョウショウ</t>
    </rPh>
    <phoneticPr fontId="13"/>
  </si>
  <si>
    <t>新設病床91</t>
    <rPh sb="0" eb="2">
      <t>シンセツ</t>
    </rPh>
    <rPh sb="2" eb="4">
      <t>ビョウショウ</t>
    </rPh>
    <phoneticPr fontId="13"/>
  </si>
  <si>
    <t>既設病床92</t>
    <rPh sb="0" eb="2">
      <t>キセツ</t>
    </rPh>
    <rPh sb="2" eb="4">
      <t>ビョウショウ</t>
    </rPh>
    <phoneticPr fontId="13"/>
  </si>
  <si>
    <t>新設病床92</t>
    <rPh sb="0" eb="2">
      <t>シンセツ</t>
    </rPh>
    <rPh sb="2" eb="4">
      <t>ビョウショウ</t>
    </rPh>
    <phoneticPr fontId="13"/>
  </si>
  <si>
    <t>既設病床93</t>
    <rPh sb="0" eb="2">
      <t>キセツ</t>
    </rPh>
    <rPh sb="2" eb="4">
      <t>ビョウショウ</t>
    </rPh>
    <phoneticPr fontId="13"/>
  </si>
  <si>
    <t>新設病床93</t>
    <rPh sb="0" eb="2">
      <t>シンセツ</t>
    </rPh>
    <rPh sb="2" eb="4">
      <t>ビョウショウ</t>
    </rPh>
    <phoneticPr fontId="13"/>
  </si>
  <si>
    <t>既設病床94</t>
    <rPh sb="0" eb="2">
      <t>キセツ</t>
    </rPh>
    <rPh sb="2" eb="4">
      <t>ビョウショウ</t>
    </rPh>
    <phoneticPr fontId="13"/>
  </si>
  <si>
    <t>新設病床94</t>
    <rPh sb="0" eb="2">
      <t>シンセツ</t>
    </rPh>
    <rPh sb="2" eb="4">
      <t>ビョウショウ</t>
    </rPh>
    <phoneticPr fontId="13"/>
  </si>
  <si>
    <t>既設病床95</t>
    <rPh sb="0" eb="2">
      <t>キセツ</t>
    </rPh>
    <rPh sb="2" eb="4">
      <t>ビョウショウ</t>
    </rPh>
    <phoneticPr fontId="13"/>
  </si>
  <si>
    <t>新設病床95</t>
    <rPh sb="0" eb="2">
      <t>シンセツ</t>
    </rPh>
    <rPh sb="2" eb="4">
      <t>ビョウショウ</t>
    </rPh>
    <phoneticPr fontId="13"/>
  </si>
  <si>
    <t>既設病床96</t>
    <rPh sb="0" eb="2">
      <t>キセツ</t>
    </rPh>
    <rPh sb="2" eb="4">
      <t>ビョウショウ</t>
    </rPh>
    <phoneticPr fontId="13"/>
  </si>
  <si>
    <t>新設病床96</t>
    <rPh sb="0" eb="2">
      <t>シンセツ</t>
    </rPh>
    <rPh sb="2" eb="4">
      <t>ビョウショウ</t>
    </rPh>
    <phoneticPr fontId="13"/>
  </si>
  <si>
    <t>既設病床97</t>
    <rPh sb="0" eb="2">
      <t>キセツ</t>
    </rPh>
    <rPh sb="2" eb="4">
      <t>ビョウショウ</t>
    </rPh>
    <phoneticPr fontId="13"/>
  </si>
  <si>
    <t>新設病床97</t>
    <rPh sb="0" eb="2">
      <t>シンセツ</t>
    </rPh>
    <rPh sb="2" eb="4">
      <t>ビョウショウ</t>
    </rPh>
    <phoneticPr fontId="13"/>
  </si>
  <si>
    <t>既設病床98</t>
    <rPh sb="0" eb="2">
      <t>キセツ</t>
    </rPh>
    <rPh sb="2" eb="4">
      <t>ビョウショウ</t>
    </rPh>
    <phoneticPr fontId="13"/>
  </si>
  <si>
    <t>新設病床98</t>
    <rPh sb="0" eb="2">
      <t>シンセツ</t>
    </rPh>
    <rPh sb="2" eb="4">
      <t>ビョウショウ</t>
    </rPh>
    <phoneticPr fontId="13"/>
  </si>
  <si>
    <t>既設病床99</t>
    <rPh sb="0" eb="2">
      <t>キセツ</t>
    </rPh>
    <rPh sb="2" eb="4">
      <t>ビョウショウ</t>
    </rPh>
    <phoneticPr fontId="13"/>
  </si>
  <si>
    <t>新設病床99</t>
    <rPh sb="0" eb="2">
      <t>シンセツ</t>
    </rPh>
    <rPh sb="2" eb="4">
      <t>ビョウショウ</t>
    </rPh>
    <phoneticPr fontId="13"/>
  </si>
  <si>
    <t>既設病床100</t>
    <rPh sb="0" eb="2">
      <t>キセツ</t>
    </rPh>
    <rPh sb="2" eb="4">
      <t>ビョウショウ</t>
    </rPh>
    <phoneticPr fontId="13"/>
  </si>
  <si>
    <t>新設病床100</t>
    <rPh sb="0" eb="2">
      <t>シンセツ</t>
    </rPh>
    <rPh sb="2" eb="4">
      <t>ビョウショウ</t>
    </rPh>
    <phoneticPr fontId="13"/>
  </si>
  <si>
    <t>既設病床101</t>
    <rPh sb="0" eb="2">
      <t>キセツ</t>
    </rPh>
    <rPh sb="2" eb="4">
      <t>ビョウショウ</t>
    </rPh>
    <phoneticPr fontId="13"/>
  </si>
  <si>
    <t>新設病床101</t>
    <rPh sb="0" eb="2">
      <t>シンセツ</t>
    </rPh>
    <rPh sb="2" eb="4">
      <t>ビョウショウ</t>
    </rPh>
    <phoneticPr fontId="13"/>
  </si>
  <si>
    <t>既設病床102</t>
    <rPh sb="0" eb="2">
      <t>キセツ</t>
    </rPh>
    <rPh sb="2" eb="4">
      <t>ビョウショウ</t>
    </rPh>
    <phoneticPr fontId="13"/>
  </si>
  <si>
    <t>新設病床102</t>
    <rPh sb="0" eb="2">
      <t>シンセツ</t>
    </rPh>
    <rPh sb="2" eb="4">
      <t>ビョウショウ</t>
    </rPh>
    <phoneticPr fontId="13"/>
  </si>
  <si>
    <t>既設病床103</t>
    <rPh sb="0" eb="2">
      <t>キセツ</t>
    </rPh>
    <rPh sb="2" eb="4">
      <t>ビョウショウ</t>
    </rPh>
    <phoneticPr fontId="13"/>
  </si>
  <si>
    <t>新設病床103</t>
    <rPh sb="0" eb="2">
      <t>シンセツ</t>
    </rPh>
    <rPh sb="2" eb="4">
      <t>ビョウショウ</t>
    </rPh>
    <phoneticPr fontId="13"/>
  </si>
  <si>
    <t>既設病床104</t>
    <rPh sb="0" eb="2">
      <t>キセツ</t>
    </rPh>
    <rPh sb="2" eb="4">
      <t>ビョウショウ</t>
    </rPh>
    <phoneticPr fontId="13"/>
  </si>
  <si>
    <t>新設病床104</t>
    <rPh sb="0" eb="2">
      <t>シンセツ</t>
    </rPh>
    <rPh sb="2" eb="4">
      <t>ビョウショウ</t>
    </rPh>
    <phoneticPr fontId="13"/>
  </si>
  <si>
    <t>既設病床105</t>
    <rPh sb="0" eb="2">
      <t>キセツ</t>
    </rPh>
    <rPh sb="2" eb="4">
      <t>ビョウショウ</t>
    </rPh>
    <phoneticPr fontId="13"/>
  </si>
  <si>
    <t>新設病床105</t>
    <rPh sb="0" eb="2">
      <t>シンセツ</t>
    </rPh>
    <rPh sb="2" eb="4">
      <t>ビョウショウ</t>
    </rPh>
    <phoneticPr fontId="13"/>
  </si>
  <si>
    <t>既設病床106</t>
    <rPh sb="0" eb="2">
      <t>キセツ</t>
    </rPh>
    <rPh sb="2" eb="4">
      <t>ビョウショウ</t>
    </rPh>
    <phoneticPr fontId="13"/>
  </si>
  <si>
    <t>新設病床106</t>
    <rPh sb="0" eb="2">
      <t>シンセツ</t>
    </rPh>
    <rPh sb="2" eb="4">
      <t>ビョウショウ</t>
    </rPh>
    <phoneticPr fontId="13"/>
  </si>
  <si>
    <t>既設病床107</t>
    <rPh sb="0" eb="2">
      <t>キセツ</t>
    </rPh>
    <rPh sb="2" eb="4">
      <t>ビョウショウ</t>
    </rPh>
    <phoneticPr fontId="13"/>
  </si>
  <si>
    <t>新設病床107</t>
    <rPh sb="0" eb="2">
      <t>シンセツ</t>
    </rPh>
    <rPh sb="2" eb="4">
      <t>ビョウショウ</t>
    </rPh>
    <phoneticPr fontId="13"/>
  </si>
  <si>
    <t>既設病床108</t>
    <rPh sb="0" eb="2">
      <t>キセツ</t>
    </rPh>
    <rPh sb="2" eb="4">
      <t>ビョウショウ</t>
    </rPh>
    <phoneticPr fontId="13"/>
  </si>
  <si>
    <t>新設病床108</t>
    <rPh sb="0" eb="2">
      <t>シンセツ</t>
    </rPh>
    <rPh sb="2" eb="4">
      <t>ビョウショウ</t>
    </rPh>
    <phoneticPr fontId="13"/>
  </si>
  <si>
    <t>既設病床109</t>
    <rPh sb="0" eb="2">
      <t>キセツ</t>
    </rPh>
    <rPh sb="2" eb="4">
      <t>ビョウショウ</t>
    </rPh>
    <phoneticPr fontId="13"/>
  </si>
  <si>
    <t>新設病床109</t>
    <rPh sb="0" eb="2">
      <t>シンセツ</t>
    </rPh>
    <rPh sb="2" eb="4">
      <t>ビョウショウ</t>
    </rPh>
    <phoneticPr fontId="13"/>
  </si>
  <si>
    <t>既設病床110</t>
    <rPh sb="0" eb="2">
      <t>キセツ</t>
    </rPh>
    <rPh sb="2" eb="4">
      <t>ビョウショウ</t>
    </rPh>
    <phoneticPr fontId="13"/>
  </si>
  <si>
    <t>新設病床110</t>
    <rPh sb="0" eb="2">
      <t>シンセツ</t>
    </rPh>
    <rPh sb="2" eb="4">
      <t>ビョウショウ</t>
    </rPh>
    <phoneticPr fontId="13"/>
  </si>
  <si>
    <t>既設病床111</t>
    <rPh sb="0" eb="2">
      <t>キセツ</t>
    </rPh>
    <rPh sb="2" eb="4">
      <t>ビョウショウ</t>
    </rPh>
    <phoneticPr fontId="13"/>
  </si>
  <si>
    <t>新設病床111</t>
    <rPh sb="0" eb="2">
      <t>シンセツ</t>
    </rPh>
    <rPh sb="2" eb="4">
      <t>ビョウショウ</t>
    </rPh>
    <phoneticPr fontId="13"/>
  </si>
  <si>
    <t>既設病床112</t>
    <rPh sb="0" eb="2">
      <t>キセツ</t>
    </rPh>
    <rPh sb="2" eb="4">
      <t>ビョウショウ</t>
    </rPh>
    <phoneticPr fontId="13"/>
  </si>
  <si>
    <t>新設病床112</t>
    <rPh sb="0" eb="2">
      <t>シンセツ</t>
    </rPh>
    <rPh sb="2" eb="4">
      <t>ビョウショウ</t>
    </rPh>
    <phoneticPr fontId="13"/>
  </si>
  <si>
    <t>既設病床113</t>
    <rPh sb="0" eb="2">
      <t>キセツ</t>
    </rPh>
    <rPh sb="2" eb="4">
      <t>ビョウショウ</t>
    </rPh>
    <phoneticPr fontId="13"/>
  </si>
  <si>
    <t>新設病床113</t>
    <rPh sb="0" eb="2">
      <t>シンセツ</t>
    </rPh>
    <rPh sb="2" eb="4">
      <t>ビョウショウ</t>
    </rPh>
    <phoneticPr fontId="13"/>
  </si>
  <si>
    <t>既設病床114</t>
    <rPh sb="0" eb="2">
      <t>キセツ</t>
    </rPh>
    <rPh sb="2" eb="4">
      <t>ビョウショウ</t>
    </rPh>
    <phoneticPr fontId="13"/>
  </si>
  <si>
    <t>新設病床114</t>
    <rPh sb="0" eb="2">
      <t>シンセツ</t>
    </rPh>
    <rPh sb="2" eb="4">
      <t>ビョウショウ</t>
    </rPh>
    <phoneticPr fontId="13"/>
  </si>
  <si>
    <t>既設病床115</t>
    <rPh sb="0" eb="2">
      <t>キセツ</t>
    </rPh>
    <rPh sb="2" eb="4">
      <t>ビョウショウ</t>
    </rPh>
    <phoneticPr fontId="13"/>
  </si>
  <si>
    <t>新設病床115</t>
    <rPh sb="0" eb="2">
      <t>シンセツ</t>
    </rPh>
    <rPh sb="2" eb="4">
      <t>ビョウショウ</t>
    </rPh>
    <phoneticPr fontId="13"/>
  </si>
  <si>
    <t>既設病床116</t>
    <rPh sb="0" eb="2">
      <t>キセツ</t>
    </rPh>
    <rPh sb="2" eb="4">
      <t>ビョウショウ</t>
    </rPh>
    <phoneticPr fontId="13"/>
  </si>
  <si>
    <t>新設病床116</t>
    <rPh sb="0" eb="2">
      <t>シンセツ</t>
    </rPh>
    <rPh sb="2" eb="4">
      <t>ビョウショウ</t>
    </rPh>
    <phoneticPr fontId="13"/>
  </si>
  <si>
    <t>既設病床117</t>
    <rPh sb="0" eb="2">
      <t>キセツ</t>
    </rPh>
    <rPh sb="2" eb="4">
      <t>ビョウショウ</t>
    </rPh>
    <phoneticPr fontId="13"/>
  </si>
  <si>
    <t>新設病床117</t>
    <rPh sb="0" eb="2">
      <t>シンセツ</t>
    </rPh>
    <rPh sb="2" eb="4">
      <t>ビョウショウ</t>
    </rPh>
    <phoneticPr fontId="13"/>
  </si>
  <si>
    <t>既設病床118</t>
    <rPh sb="0" eb="2">
      <t>キセツ</t>
    </rPh>
    <rPh sb="2" eb="4">
      <t>ビョウショウ</t>
    </rPh>
    <phoneticPr fontId="13"/>
  </si>
  <si>
    <t>新設病床118</t>
    <rPh sb="0" eb="2">
      <t>シンセツ</t>
    </rPh>
    <rPh sb="2" eb="4">
      <t>ビョウショウ</t>
    </rPh>
    <phoneticPr fontId="13"/>
  </si>
  <si>
    <t>既設病床119</t>
    <rPh sb="0" eb="2">
      <t>キセツ</t>
    </rPh>
    <rPh sb="2" eb="4">
      <t>ビョウショウ</t>
    </rPh>
    <phoneticPr fontId="13"/>
  </si>
  <si>
    <t>新設病床119</t>
    <rPh sb="0" eb="2">
      <t>シンセツ</t>
    </rPh>
    <rPh sb="2" eb="4">
      <t>ビョウショウ</t>
    </rPh>
    <phoneticPr fontId="13"/>
  </si>
  <si>
    <t>既設病床120</t>
    <rPh sb="0" eb="2">
      <t>キセツ</t>
    </rPh>
    <rPh sb="2" eb="4">
      <t>ビョウショウ</t>
    </rPh>
    <phoneticPr fontId="13"/>
  </si>
  <si>
    <t>新設病床120</t>
    <rPh sb="0" eb="2">
      <t>シンセツ</t>
    </rPh>
    <rPh sb="2" eb="4">
      <t>ビョウショウ</t>
    </rPh>
    <phoneticPr fontId="13"/>
  </si>
  <si>
    <t>既設病床121</t>
    <rPh sb="0" eb="2">
      <t>キセツ</t>
    </rPh>
    <rPh sb="2" eb="4">
      <t>ビョウショウ</t>
    </rPh>
    <phoneticPr fontId="13"/>
  </si>
  <si>
    <t>新設病床121</t>
    <rPh sb="0" eb="2">
      <t>シンセツ</t>
    </rPh>
    <rPh sb="2" eb="4">
      <t>ビョウショウ</t>
    </rPh>
    <phoneticPr fontId="13"/>
  </si>
  <si>
    <t>既設病床122</t>
    <rPh sb="0" eb="2">
      <t>キセツ</t>
    </rPh>
    <rPh sb="2" eb="4">
      <t>ビョウショウ</t>
    </rPh>
    <phoneticPr fontId="13"/>
  </si>
  <si>
    <t>新設病床122</t>
    <rPh sb="0" eb="2">
      <t>シンセツ</t>
    </rPh>
    <rPh sb="2" eb="4">
      <t>ビョウショウ</t>
    </rPh>
    <phoneticPr fontId="13"/>
  </si>
  <si>
    <t>既設病床123</t>
    <rPh sb="0" eb="2">
      <t>キセツ</t>
    </rPh>
    <rPh sb="2" eb="4">
      <t>ビョウショウ</t>
    </rPh>
    <phoneticPr fontId="13"/>
  </si>
  <si>
    <t>新設病床123</t>
    <rPh sb="0" eb="2">
      <t>シンセツ</t>
    </rPh>
    <rPh sb="2" eb="4">
      <t>ビョウショウ</t>
    </rPh>
    <phoneticPr fontId="13"/>
  </si>
  <si>
    <t>既設病床124</t>
    <rPh sb="0" eb="2">
      <t>キセツ</t>
    </rPh>
    <rPh sb="2" eb="4">
      <t>ビョウショウ</t>
    </rPh>
    <phoneticPr fontId="13"/>
  </si>
  <si>
    <t>新設病床124</t>
    <rPh sb="0" eb="2">
      <t>シンセツ</t>
    </rPh>
    <rPh sb="2" eb="4">
      <t>ビョウショウ</t>
    </rPh>
    <phoneticPr fontId="13"/>
  </si>
  <si>
    <t>既設病床125</t>
    <rPh sb="0" eb="2">
      <t>キセツ</t>
    </rPh>
    <rPh sb="2" eb="4">
      <t>ビョウショウ</t>
    </rPh>
    <phoneticPr fontId="13"/>
  </si>
  <si>
    <t>新設病床125</t>
    <rPh sb="0" eb="2">
      <t>シンセツ</t>
    </rPh>
    <rPh sb="2" eb="4">
      <t>ビョウショウ</t>
    </rPh>
    <phoneticPr fontId="13"/>
  </si>
  <si>
    <t>既設病床126</t>
    <rPh sb="0" eb="2">
      <t>キセツ</t>
    </rPh>
    <rPh sb="2" eb="4">
      <t>ビョウショウ</t>
    </rPh>
    <phoneticPr fontId="13"/>
  </si>
  <si>
    <t>新設病床126</t>
    <rPh sb="0" eb="2">
      <t>シンセツ</t>
    </rPh>
    <rPh sb="2" eb="4">
      <t>ビョウショウ</t>
    </rPh>
    <phoneticPr fontId="13"/>
  </si>
  <si>
    <t>既設病床127</t>
    <rPh sb="0" eb="2">
      <t>キセツ</t>
    </rPh>
    <rPh sb="2" eb="4">
      <t>ビョウショウ</t>
    </rPh>
    <phoneticPr fontId="13"/>
  </si>
  <si>
    <t>新設病床127</t>
    <rPh sb="0" eb="2">
      <t>シンセツ</t>
    </rPh>
    <rPh sb="2" eb="4">
      <t>ビョウショウ</t>
    </rPh>
    <phoneticPr fontId="13"/>
  </si>
  <si>
    <t>既設病床128</t>
    <rPh sb="0" eb="2">
      <t>キセツ</t>
    </rPh>
    <rPh sb="2" eb="4">
      <t>ビョウショウ</t>
    </rPh>
    <phoneticPr fontId="13"/>
  </si>
  <si>
    <t>新設病床128</t>
    <rPh sb="0" eb="2">
      <t>シンセツ</t>
    </rPh>
    <rPh sb="2" eb="4">
      <t>ビョウショウ</t>
    </rPh>
    <phoneticPr fontId="13"/>
  </si>
  <si>
    <t>既設病床129</t>
    <rPh sb="0" eb="2">
      <t>キセツ</t>
    </rPh>
    <rPh sb="2" eb="4">
      <t>ビョウショウ</t>
    </rPh>
    <phoneticPr fontId="13"/>
  </si>
  <si>
    <t>新設病床129</t>
    <rPh sb="0" eb="2">
      <t>シンセツ</t>
    </rPh>
    <rPh sb="2" eb="4">
      <t>ビョウショウ</t>
    </rPh>
    <phoneticPr fontId="13"/>
  </si>
  <si>
    <t>既設病床130</t>
    <rPh sb="0" eb="2">
      <t>キセツ</t>
    </rPh>
    <rPh sb="2" eb="4">
      <t>ビョウショウ</t>
    </rPh>
    <phoneticPr fontId="13"/>
  </si>
  <si>
    <t>新設病床130</t>
    <rPh sb="0" eb="2">
      <t>シンセツ</t>
    </rPh>
    <rPh sb="2" eb="4">
      <t>ビョウショウ</t>
    </rPh>
    <phoneticPr fontId="13"/>
  </si>
  <si>
    <t>既設病床131</t>
    <rPh sb="0" eb="2">
      <t>キセツ</t>
    </rPh>
    <rPh sb="2" eb="4">
      <t>ビョウショウ</t>
    </rPh>
    <phoneticPr fontId="13"/>
  </si>
  <si>
    <t>新設病床131</t>
    <rPh sb="0" eb="2">
      <t>シンセツ</t>
    </rPh>
    <rPh sb="2" eb="4">
      <t>ビョウショウ</t>
    </rPh>
    <phoneticPr fontId="13"/>
  </si>
  <si>
    <t>既設病床132</t>
    <rPh sb="0" eb="2">
      <t>キセツ</t>
    </rPh>
    <rPh sb="2" eb="4">
      <t>ビョウショウ</t>
    </rPh>
    <phoneticPr fontId="13"/>
  </si>
  <si>
    <t>新設病床132</t>
    <rPh sb="0" eb="2">
      <t>シンセツ</t>
    </rPh>
    <rPh sb="2" eb="4">
      <t>ビョウショウ</t>
    </rPh>
    <phoneticPr fontId="13"/>
  </si>
  <si>
    <t>既設病床133</t>
    <rPh sb="0" eb="2">
      <t>キセツ</t>
    </rPh>
    <rPh sb="2" eb="4">
      <t>ビョウショウ</t>
    </rPh>
    <phoneticPr fontId="13"/>
  </si>
  <si>
    <t>新設病床133</t>
    <rPh sb="0" eb="2">
      <t>シンセツ</t>
    </rPh>
    <rPh sb="2" eb="4">
      <t>ビョウショウ</t>
    </rPh>
    <phoneticPr fontId="13"/>
  </si>
  <si>
    <t>既設病床134</t>
    <rPh sb="0" eb="2">
      <t>キセツ</t>
    </rPh>
    <rPh sb="2" eb="4">
      <t>ビョウショウ</t>
    </rPh>
    <phoneticPr fontId="13"/>
  </si>
  <si>
    <t>新設病床134</t>
    <rPh sb="0" eb="2">
      <t>シンセツ</t>
    </rPh>
    <rPh sb="2" eb="4">
      <t>ビョウショウ</t>
    </rPh>
    <phoneticPr fontId="13"/>
  </si>
  <si>
    <t>既設病床135</t>
    <rPh sb="0" eb="2">
      <t>キセツ</t>
    </rPh>
    <rPh sb="2" eb="4">
      <t>ビョウショウ</t>
    </rPh>
    <phoneticPr fontId="13"/>
  </si>
  <si>
    <t>新設病床135</t>
    <rPh sb="0" eb="2">
      <t>シンセツ</t>
    </rPh>
    <rPh sb="2" eb="4">
      <t>ビョウショウ</t>
    </rPh>
    <phoneticPr fontId="13"/>
  </si>
  <si>
    <t>既設病床136</t>
    <rPh sb="0" eb="2">
      <t>キセツ</t>
    </rPh>
    <rPh sb="2" eb="4">
      <t>ビョウショウ</t>
    </rPh>
    <phoneticPr fontId="13"/>
  </si>
  <si>
    <t>新設病床136</t>
    <rPh sb="0" eb="2">
      <t>シンセツ</t>
    </rPh>
    <rPh sb="2" eb="4">
      <t>ビョウショウ</t>
    </rPh>
    <phoneticPr fontId="13"/>
  </si>
  <si>
    <t>既設病床137</t>
    <rPh sb="0" eb="2">
      <t>キセツ</t>
    </rPh>
    <rPh sb="2" eb="4">
      <t>ビョウショウ</t>
    </rPh>
    <phoneticPr fontId="13"/>
  </si>
  <si>
    <t>新設病床137</t>
    <rPh sb="0" eb="2">
      <t>シンセツ</t>
    </rPh>
    <rPh sb="2" eb="4">
      <t>ビョウショウ</t>
    </rPh>
    <phoneticPr fontId="13"/>
  </si>
  <si>
    <t>既設病床138</t>
    <rPh sb="0" eb="2">
      <t>キセツ</t>
    </rPh>
    <rPh sb="2" eb="4">
      <t>ビョウショウ</t>
    </rPh>
    <phoneticPr fontId="13"/>
  </si>
  <si>
    <t>新設病床138</t>
    <rPh sb="0" eb="2">
      <t>シンセツ</t>
    </rPh>
    <rPh sb="2" eb="4">
      <t>ビョウショウ</t>
    </rPh>
    <phoneticPr fontId="13"/>
  </si>
  <si>
    <t>既設病床139</t>
    <rPh sb="0" eb="2">
      <t>キセツ</t>
    </rPh>
    <rPh sb="2" eb="4">
      <t>ビョウショウ</t>
    </rPh>
    <phoneticPr fontId="13"/>
  </si>
  <si>
    <t>新設病床139</t>
    <rPh sb="0" eb="2">
      <t>シンセツ</t>
    </rPh>
    <rPh sb="2" eb="4">
      <t>ビョウショウ</t>
    </rPh>
    <phoneticPr fontId="13"/>
  </si>
  <si>
    <t>既設病床140</t>
    <rPh sb="0" eb="2">
      <t>キセツ</t>
    </rPh>
    <rPh sb="2" eb="4">
      <t>ビョウショウ</t>
    </rPh>
    <phoneticPr fontId="13"/>
  </si>
  <si>
    <t>新設病床140</t>
    <rPh sb="0" eb="2">
      <t>シンセツ</t>
    </rPh>
    <rPh sb="2" eb="4">
      <t>ビョウショウ</t>
    </rPh>
    <phoneticPr fontId="13"/>
  </si>
  <si>
    <t>既設病床141</t>
    <rPh sb="0" eb="2">
      <t>キセツ</t>
    </rPh>
    <rPh sb="2" eb="4">
      <t>ビョウショウ</t>
    </rPh>
    <phoneticPr fontId="13"/>
  </si>
  <si>
    <t>新設病床141</t>
    <rPh sb="0" eb="2">
      <t>シンセツ</t>
    </rPh>
    <rPh sb="2" eb="4">
      <t>ビョウショウ</t>
    </rPh>
    <phoneticPr fontId="13"/>
  </si>
  <si>
    <t>既設病床142</t>
    <rPh sb="0" eb="2">
      <t>キセツ</t>
    </rPh>
    <rPh sb="2" eb="4">
      <t>ビョウショウ</t>
    </rPh>
    <phoneticPr fontId="13"/>
  </si>
  <si>
    <t>新設病床142</t>
    <rPh sb="0" eb="2">
      <t>シンセツ</t>
    </rPh>
    <rPh sb="2" eb="4">
      <t>ビョウショウ</t>
    </rPh>
    <phoneticPr fontId="13"/>
  </si>
  <si>
    <t>既設病床143</t>
    <rPh sb="0" eb="2">
      <t>キセツ</t>
    </rPh>
    <rPh sb="2" eb="4">
      <t>ビョウショウ</t>
    </rPh>
    <phoneticPr fontId="13"/>
  </si>
  <si>
    <t>新設病床143</t>
    <rPh sb="0" eb="2">
      <t>シンセツ</t>
    </rPh>
    <rPh sb="2" eb="4">
      <t>ビョウショウ</t>
    </rPh>
    <phoneticPr fontId="13"/>
  </si>
  <si>
    <t>既設病床144</t>
    <rPh sb="0" eb="2">
      <t>キセツ</t>
    </rPh>
    <rPh sb="2" eb="4">
      <t>ビョウショウ</t>
    </rPh>
    <phoneticPr fontId="13"/>
  </si>
  <si>
    <t>新設病床144</t>
    <rPh sb="0" eb="2">
      <t>シンセツ</t>
    </rPh>
    <rPh sb="2" eb="4">
      <t>ビョウショウ</t>
    </rPh>
    <phoneticPr fontId="13"/>
  </si>
  <si>
    <t>既設病床145</t>
    <rPh sb="0" eb="2">
      <t>キセツ</t>
    </rPh>
    <rPh sb="2" eb="4">
      <t>ビョウショウ</t>
    </rPh>
    <phoneticPr fontId="13"/>
  </si>
  <si>
    <t>新設病床145</t>
    <rPh sb="0" eb="2">
      <t>シンセツ</t>
    </rPh>
    <rPh sb="2" eb="4">
      <t>ビョウショウ</t>
    </rPh>
    <phoneticPr fontId="13"/>
  </si>
  <si>
    <t>既設病床146</t>
    <rPh sb="0" eb="2">
      <t>キセツ</t>
    </rPh>
    <rPh sb="2" eb="4">
      <t>ビョウショウ</t>
    </rPh>
    <phoneticPr fontId="13"/>
  </si>
  <si>
    <t>新設病床146</t>
    <rPh sb="0" eb="2">
      <t>シンセツ</t>
    </rPh>
    <rPh sb="2" eb="4">
      <t>ビョウショウ</t>
    </rPh>
    <phoneticPr fontId="13"/>
  </si>
  <si>
    <t>既設病床147</t>
    <rPh sb="0" eb="2">
      <t>キセツ</t>
    </rPh>
    <rPh sb="2" eb="4">
      <t>ビョウショウ</t>
    </rPh>
    <phoneticPr fontId="13"/>
  </si>
  <si>
    <t>新設病床147</t>
    <rPh sb="0" eb="2">
      <t>シンセツ</t>
    </rPh>
    <rPh sb="2" eb="4">
      <t>ビョウショウ</t>
    </rPh>
    <phoneticPr fontId="13"/>
  </si>
  <si>
    <t>既設病床148</t>
    <rPh sb="0" eb="2">
      <t>キセツ</t>
    </rPh>
    <rPh sb="2" eb="4">
      <t>ビョウショウ</t>
    </rPh>
    <phoneticPr fontId="13"/>
  </si>
  <si>
    <t>新設病床148</t>
    <rPh sb="0" eb="2">
      <t>シンセツ</t>
    </rPh>
    <rPh sb="2" eb="4">
      <t>ビョウショウ</t>
    </rPh>
    <phoneticPr fontId="13"/>
  </si>
  <si>
    <t>既設病床149</t>
    <rPh sb="0" eb="2">
      <t>キセツ</t>
    </rPh>
    <rPh sb="2" eb="4">
      <t>ビョウショウ</t>
    </rPh>
    <phoneticPr fontId="13"/>
  </si>
  <si>
    <t>新設病床149</t>
    <rPh sb="0" eb="2">
      <t>シンセツ</t>
    </rPh>
    <rPh sb="2" eb="4">
      <t>ビョウショウ</t>
    </rPh>
    <phoneticPr fontId="13"/>
  </si>
  <si>
    <t>既設病床150</t>
    <rPh sb="0" eb="2">
      <t>キセツ</t>
    </rPh>
    <rPh sb="2" eb="4">
      <t>ビョウショウ</t>
    </rPh>
    <phoneticPr fontId="13"/>
  </si>
  <si>
    <t>新設病床150</t>
    <rPh sb="0" eb="2">
      <t>シンセツ</t>
    </rPh>
    <rPh sb="2" eb="4">
      <t>ビョウショウ</t>
    </rPh>
    <phoneticPr fontId="13"/>
  </si>
  <si>
    <r>
      <t>１．はじめに
　　今回申請するにあたり、以下の記入欄に必要事項を入力してください。→　記入欄右の「判定」が全て「○」となり、</t>
    </r>
    <r>
      <rPr>
        <b/>
        <u/>
        <sz val="12"/>
        <color rgb="FFFF0000"/>
        <rFont val="Yu Gothic"/>
        <family val="3"/>
        <charset val="128"/>
        <scheme val="minor"/>
      </rPr>
      <t>赤表示が全て白表示に変われば入力完了</t>
    </r>
    <r>
      <rPr>
        <b/>
        <sz val="12"/>
        <color theme="1"/>
        <rFont val="Yu Gothic"/>
        <family val="3"/>
        <charset val="128"/>
        <scheme val="minor"/>
      </rPr>
      <t>です。
　　　　　　　　　　　　　　　　　　　　　　　　　　　　　　　　　　→　記載不十分等の箇所はコメント欄を参照ください。
　　こちらで入力した内容はその後に入力いただく各種様式の必要記載部分に反映されます。</t>
    </r>
    <rPh sb="9" eb="11">
      <t>コンカイ</t>
    </rPh>
    <rPh sb="11" eb="13">
      <t>シンセイ</t>
    </rPh>
    <rPh sb="20" eb="22">
      <t>イカ</t>
    </rPh>
    <rPh sb="23" eb="26">
      <t>キニュウラン</t>
    </rPh>
    <rPh sb="27" eb="29">
      <t>ヒツヨウ</t>
    </rPh>
    <rPh sb="29" eb="31">
      <t>ジコウ</t>
    </rPh>
    <rPh sb="32" eb="34">
      <t>ニュウリョク</t>
    </rPh>
    <rPh sb="43" eb="46">
      <t>キニュウラン</t>
    </rPh>
    <rPh sb="46" eb="47">
      <t>ミギ</t>
    </rPh>
    <rPh sb="49" eb="51">
      <t>ハンテイ</t>
    </rPh>
    <rPh sb="53" eb="54">
      <t>スベ</t>
    </rPh>
    <rPh sb="62" eb="63">
      <t>アカ</t>
    </rPh>
    <rPh sb="63" eb="65">
      <t>ヒョウジ</t>
    </rPh>
    <rPh sb="66" eb="67">
      <t>スベ</t>
    </rPh>
    <rPh sb="68" eb="69">
      <t>シロ</t>
    </rPh>
    <rPh sb="69" eb="71">
      <t>ヒョウジ</t>
    </rPh>
    <rPh sb="72" eb="73">
      <t>カ</t>
    </rPh>
    <rPh sb="76" eb="78">
      <t>ニュウリョク</t>
    </rPh>
    <rPh sb="78" eb="80">
      <t>カンリョウ</t>
    </rPh>
    <rPh sb="120" eb="122">
      <t>キサイ</t>
    </rPh>
    <rPh sb="122" eb="125">
      <t>フジュウブン</t>
    </rPh>
    <rPh sb="125" eb="126">
      <t>トウ</t>
    </rPh>
    <rPh sb="127" eb="129">
      <t>カショ</t>
    </rPh>
    <rPh sb="134" eb="135">
      <t>ラン</t>
    </rPh>
    <rPh sb="136" eb="138">
      <t>サンショウ</t>
    </rPh>
    <rPh sb="150" eb="152">
      <t>ニュウリョク</t>
    </rPh>
    <rPh sb="154" eb="156">
      <t>ナイヨウ</t>
    </rPh>
    <rPh sb="159" eb="160">
      <t>ゴ</t>
    </rPh>
    <rPh sb="161" eb="163">
      <t>ニュウリョク</t>
    </rPh>
    <rPh sb="167" eb="169">
      <t>カクシュ</t>
    </rPh>
    <rPh sb="169" eb="171">
      <t>ヨウシキ</t>
    </rPh>
    <rPh sb="172" eb="174">
      <t>ヒツヨウ</t>
    </rPh>
    <rPh sb="174" eb="176">
      <t>キサイ</t>
    </rPh>
    <rPh sb="176" eb="178">
      <t>ブブン</t>
    </rPh>
    <rPh sb="179" eb="181">
      <t>ハンエイ</t>
    </rPh>
    <phoneticPr fontId="13"/>
  </si>
  <si>
    <t>判定</t>
    <rPh sb="0" eb="2">
      <t>ハンテイ</t>
    </rPh>
    <phoneticPr fontId="9"/>
  </si>
  <si>
    <t>コメント</t>
  </si>
  <si>
    <t>コメント</t>
    <phoneticPr fontId="9"/>
  </si>
  <si>
    <t>↑</t>
    <phoneticPr fontId="9"/>
  </si>
  <si>
    <t>総合判定</t>
    <rPh sb="0" eb="2">
      <t>ソウゴウ</t>
    </rPh>
    <rPh sb="2" eb="4">
      <t>ハンテイ</t>
    </rPh>
    <phoneticPr fontId="9"/>
  </si>
  <si>
    <t>内訳表全体の入力判定</t>
    <rPh sb="0" eb="2">
      <t>ウチワケ</t>
    </rPh>
    <rPh sb="2" eb="3">
      <t>ヒョウ</t>
    </rPh>
    <rPh sb="3" eb="5">
      <t>ゼンタイ</t>
    </rPh>
    <rPh sb="6" eb="8">
      <t>ニュウリョク</t>
    </rPh>
    <rPh sb="8" eb="10">
      <t>ハンテイ</t>
    </rPh>
    <phoneticPr fontId="9"/>
  </si>
  <si>
    <t>交付申請</t>
    <rPh sb="0" eb="2">
      <t>コウフ</t>
    </rPh>
    <rPh sb="2" eb="4">
      <t>シンセイ</t>
    </rPh>
    <phoneticPr fontId="9"/>
  </si>
  <si>
    <t>初度設備明細</t>
    <rPh sb="0" eb="2">
      <t>ショド</t>
    </rPh>
    <rPh sb="2" eb="4">
      <t>セツビ</t>
    </rPh>
    <rPh sb="4" eb="6">
      <t>メイサイ</t>
    </rPh>
    <phoneticPr fontId="8"/>
  </si>
  <si>
    <t>人工呼吸器明細</t>
    <rPh sb="0" eb="2">
      <t>ジンコウ</t>
    </rPh>
    <rPh sb="2" eb="5">
      <t>コキュウキ</t>
    </rPh>
    <phoneticPr fontId="8"/>
  </si>
  <si>
    <t>個人防護具明細</t>
    <rPh sb="0" eb="2">
      <t>コジン</t>
    </rPh>
    <rPh sb="2" eb="4">
      <t>ボウゴ</t>
    </rPh>
    <rPh sb="4" eb="5">
      <t>グ</t>
    </rPh>
    <phoneticPr fontId="8"/>
  </si>
  <si>
    <t>簡易陰圧装置明細</t>
    <rPh sb="0" eb="2">
      <t>カンイ</t>
    </rPh>
    <rPh sb="2" eb="3">
      <t>カゲ</t>
    </rPh>
    <rPh sb="3" eb="4">
      <t>アツ</t>
    </rPh>
    <rPh sb="4" eb="6">
      <t>ソウチ</t>
    </rPh>
    <phoneticPr fontId="8"/>
  </si>
  <si>
    <t>簡易ベッド明細</t>
    <rPh sb="0" eb="2">
      <t>カンイ</t>
    </rPh>
    <phoneticPr fontId="8"/>
  </si>
  <si>
    <t>体外式膜型人工肺明細</t>
    <rPh sb="0" eb="3">
      <t>タイガイシキ</t>
    </rPh>
    <rPh sb="3" eb="4">
      <t>マク</t>
    </rPh>
    <rPh sb="4" eb="5">
      <t>ガタ</t>
    </rPh>
    <rPh sb="5" eb="7">
      <t>ジンコウ</t>
    </rPh>
    <rPh sb="7" eb="8">
      <t>ハイ</t>
    </rPh>
    <phoneticPr fontId="8"/>
  </si>
  <si>
    <t>簡易病室明細</t>
    <rPh sb="0" eb="2">
      <t>カンイ</t>
    </rPh>
    <rPh sb="2" eb="4">
      <t>ビョウシツ</t>
    </rPh>
    <phoneticPr fontId="8"/>
  </si>
  <si>
    <t>紫外線照射装置明細</t>
    <rPh sb="0" eb="3">
      <t>シガイセン</t>
    </rPh>
    <rPh sb="3" eb="5">
      <t>ショウシャ</t>
    </rPh>
    <rPh sb="5" eb="7">
      <t>ソウチ</t>
    </rPh>
    <phoneticPr fontId="8"/>
  </si>
  <si>
    <t>超音波画像診断装置明細</t>
    <rPh sb="0" eb="3">
      <t>チョウオンパ</t>
    </rPh>
    <rPh sb="3" eb="5">
      <t>ガゾウ</t>
    </rPh>
    <rPh sb="5" eb="7">
      <t>シンダン</t>
    </rPh>
    <rPh sb="7" eb="9">
      <t>ソウチ</t>
    </rPh>
    <rPh sb="9" eb="11">
      <t>メイサイ</t>
    </rPh>
    <phoneticPr fontId="8"/>
  </si>
  <si>
    <t>血液浄化装置明細</t>
    <rPh sb="0" eb="2">
      <t>ケツエキ</t>
    </rPh>
    <rPh sb="2" eb="4">
      <t>ジョウカ</t>
    </rPh>
    <rPh sb="4" eb="6">
      <t>ソウチ</t>
    </rPh>
    <phoneticPr fontId="8"/>
  </si>
  <si>
    <t>気管支鏡明細</t>
    <rPh sb="0" eb="4">
      <t>キカンシキョウ</t>
    </rPh>
    <phoneticPr fontId="8"/>
  </si>
  <si>
    <t>CT撮影装置明細</t>
    <rPh sb="2" eb="4">
      <t>サツエイ</t>
    </rPh>
    <rPh sb="4" eb="6">
      <t>ソウチ</t>
    </rPh>
    <phoneticPr fontId="8"/>
  </si>
  <si>
    <t>生体情報モニタ明細</t>
    <rPh sb="2" eb="4">
      <t>ジョウホウ</t>
    </rPh>
    <phoneticPr fontId="8"/>
  </si>
  <si>
    <t>分娩監視装置明細</t>
    <rPh sb="0" eb="2">
      <t>ブンベン</t>
    </rPh>
    <rPh sb="2" eb="4">
      <t>カンシ</t>
    </rPh>
    <rPh sb="4" eb="6">
      <t>ソウチ</t>
    </rPh>
    <phoneticPr fontId="8"/>
  </si>
  <si>
    <t>新生児モニタ明細</t>
    <rPh sb="0" eb="3">
      <t>シンセイジ</t>
    </rPh>
    <phoneticPr fontId="8"/>
  </si>
  <si>
    <t>様式2-1</t>
    <rPh sb="0" eb="2">
      <t>ヨウシキ</t>
    </rPh>
    <phoneticPr fontId="9"/>
  </si>
  <si>
    <t>様式2-2</t>
    <rPh sb="0" eb="2">
      <t>ヨウシキ</t>
    </rPh>
    <phoneticPr fontId="9"/>
  </si>
  <si>
    <t>様式2-3</t>
    <rPh sb="0" eb="2">
      <t>ヨウシキ</t>
    </rPh>
    <phoneticPr fontId="9"/>
  </si>
  <si>
    <t>様式2-4</t>
    <rPh sb="0" eb="2">
      <t>ヨウシキ</t>
    </rPh>
    <phoneticPr fontId="9"/>
  </si>
  <si>
    <t>様式2-5</t>
    <rPh sb="0" eb="2">
      <t>ヨウシキ</t>
    </rPh>
    <phoneticPr fontId="9"/>
  </si>
  <si>
    <t>様式2-6</t>
    <rPh sb="0" eb="2">
      <t>ヨウシキ</t>
    </rPh>
    <phoneticPr fontId="9"/>
  </si>
  <si>
    <t>様式2-7</t>
    <rPh sb="0" eb="2">
      <t>ヨウシキ</t>
    </rPh>
    <phoneticPr fontId="9"/>
  </si>
  <si>
    <t>様式2-8</t>
    <rPh sb="0" eb="2">
      <t>ヨウシキ</t>
    </rPh>
    <phoneticPr fontId="9"/>
  </si>
  <si>
    <t>様式2-9</t>
    <rPh sb="0" eb="2">
      <t>ヨウシキ</t>
    </rPh>
    <phoneticPr fontId="9"/>
  </si>
  <si>
    <t>様式2-10</t>
    <rPh sb="0" eb="2">
      <t>ヨウシキ</t>
    </rPh>
    <phoneticPr fontId="9"/>
  </si>
  <si>
    <t>様式2-11</t>
    <rPh sb="0" eb="2">
      <t>ヨウシキ</t>
    </rPh>
    <phoneticPr fontId="9"/>
  </si>
  <si>
    <t>様式2-12</t>
    <rPh sb="0" eb="2">
      <t>ヨウシキ</t>
    </rPh>
    <phoneticPr fontId="9"/>
  </si>
  <si>
    <t>様式2-13</t>
    <rPh sb="0" eb="2">
      <t>ヨウシキ</t>
    </rPh>
    <phoneticPr fontId="9"/>
  </si>
  <si>
    <t>様式2-14</t>
    <rPh sb="0" eb="2">
      <t>ヨウシキ</t>
    </rPh>
    <phoneticPr fontId="9"/>
  </si>
  <si>
    <t>様式2-15</t>
    <rPh sb="0" eb="2">
      <t>ヨウシキ</t>
    </rPh>
    <phoneticPr fontId="9"/>
  </si>
  <si>
    <t>補助金等に係る予算の執行の適正化に関する法律（昭和三十年法律第百七十九号）（抄）
（関係者の責務）
第三条２　補助事業者等及び間接補助事業者等は、補助金等が国民から徴収された税金その他の貴重な財源でまかなわれるものであることに留意し、法令の定及び補助金等の交付の目的又は間接補助金等の交付若しくは融通の目的に従つて誠実に補助事業等又は間接補助事業等を行うように努めなければならない。
（補助金等の交付の決定）
第六条　各省各庁の長は、補助金等の交付の申請があつたときは、当該申請に係る書類等の審査及び必要に応じて行う現地調査等により、当該申請に係る補助金等の交付が法令及び予算で定めるところに違反しないかどうか、補助事業等の目的及び内容が適正であるかどうか、金額の算定に誤がないかどうか等を調査し、補助金等を交付すべきものと認めたときは、すみやかに補助金等の交付の決定（契約の承諾の決定を含む。以下同じ。）をしなければならない。
（立入検査等）
第二十三条　各省各庁の長は、補助金等に係る予算の執行の適正を期するため必要があるときは、補助事業者等若しくは間接補助事業者等に対して報告をさせ、又は当該職員にその事務所、事業場等に立ち入り、帳簿書類その他の物件を検査させ、若しくは関係者に質問させることができる。
（事務の実施）
第二十六条　各省各庁の長は、政令で定めるところにより、補助金等の交付に関する事務の一部を各省各庁の機関に委任することができる。
２　国は、政令で定めるところにより、補助金等の交付に関する事務の一部を都道府県が行うこととすることができる。</t>
    <rPh sb="38" eb="39">
      <t>ショウ</t>
    </rPh>
    <phoneticPr fontId="9"/>
  </si>
  <si>
    <t>３．所要額内訳</t>
    <rPh sb="2" eb="4">
      <t>ショヨウ</t>
    </rPh>
    <rPh sb="4" eb="5">
      <t>ガク</t>
    </rPh>
    <rPh sb="5" eb="7">
      <t>ウチワケ</t>
    </rPh>
    <phoneticPr fontId="9"/>
  </si>
  <si>
    <t>２．整備方法</t>
    <phoneticPr fontId="9"/>
  </si>
  <si>
    <t>個人防護具　明細</t>
    <rPh sb="0" eb="2">
      <t>コジン</t>
    </rPh>
    <rPh sb="2" eb="4">
      <t>ボウゴ</t>
    </rPh>
    <rPh sb="4" eb="5">
      <t>グ</t>
    </rPh>
    <rPh sb="6" eb="8">
      <t>メイサイ</t>
    </rPh>
    <phoneticPr fontId="13"/>
  </si>
  <si>
    <t>合計</t>
    <rPh sb="0" eb="1">
      <t>ゴウ</t>
    </rPh>
    <phoneticPr fontId="13"/>
  </si>
  <si>
    <t>１．はじめに</t>
    <phoneticPr fontId="13"/>
  </si>
  <si>
    <t>税抜額算出</t>
    <rPh sb="0" eb="1">
      <t>ゼイ</t>
    </rPh>
    <rPh sb="1" eb="2">
      <t>ヌ</t>
    </rPh>
    <rPh sb="2" eb="3">
      <t>ガク</t>
    </rPh>
    <rPh sb="3" eb="5">
      <t>サンシュツ</t>
    </rPh>
    <phoneticPr fontId="13"/>
  </si>
  <si>
    <t>ここに入力</t>
    <rPh sb="3" eb="5">
      <t>ニュウリョク</t>
    </rPh>
    <phoneticPr fontId="13"/>
  </si>
  <si>
    <t>税抜額</t>
    <rPh sb="0" eb="1">
      <t>ゼイ</t>
    </rPh>
    <rPh sb="1" eb="2">
      <t>ヌ</t>
    </rPh>
    <rPh sb="2" eb="3">
      <t>ガク</t>
    </rPh>
    <phoneticPr fontId="13"/>
  </si>
  <si>
    <t>※税抜単価がわからない場合はこちらで算出してください。</t>
    <rPh sb="1" eb="3">
      <t>ゼイヌキ</t>
    </rPh>
    <rPh sb="3" eb="5">
      <t>タンカ</t>
    </rPh>
    <rPh sb="11" eb="13">
      <t>バアイ</t>
    </rPh>
    <rPh sb="18" eb="20">
      <t>サンシュツ</t>
    </rPh>
    <phoneticPr fontId="13"/>
  </si>
  <si>
    <t>２．防護具情報</t>
    <rPh sb="2" eb="4">
      <t>ボウゴ</t>
    </rPh>
    <rPh sb="4" eb="5">
      <t>グ</t>
    </rPh>
    <rPh sb="5" eb="7">
      <t>ジョウホウ</t>
    </rPh>
    <phoneticPr fontId="13"/>
  </si>
  <si>
    <t>種類</t>
    <rPh sb="0" eb="2">
      <t>シュルイ</t>
    </rPh>
    <phoneticPr fontId="13"/>
  </si>
  <si>
    <t>添付書類
番号</t>
    <rPh sb="0" eb="2">
      <t>テンプ</t>
    </rPh>
    <rPh sb="2" eb="4">
      <t>ショルイ</t>
    </rPh>
    <rPh sb="5" eb="7">
      <t>バンゴウ</t>
    </rPh>
    <phoneticPr fontId="13"/>
  </si>
  <si>
    <t>※県記入欄</t>
    <rPh sb="1" eb="2">
      <t>ケン</t>
    </rPh>
    <rPh sb="2" eb="4">
      <t>キニュウ</t>
    </rPh>
    <rPh sb="4" eb="5">
      <t>ラン</t>
    </rPh>
    <phoneticPr fontId="13"/>
  </si>
  <si>
    <t>項目</t>
    <rPh sb="0" eb="2">
      <t>コウモク</t>
    </rPh>
    <phoneticPr fontId="13"/>
  </si>
  <si>
    <t>不備の箇所等</t>
    <rPh sb="0" eb="2">
      <t>フビ</t>
    </rPh>
    <rPh sb="3" eb="5">
      <t>カショ</t>
    </rPh>
    <rPh sb="5" eb="6">
      <t>トウ</t>
    </rPh>
    <phoneticPr fontId="13"/>
  </si>
  <si>
    <t>→</t>
    <phoneticPr fontId="13"/>
  </si>
  <si>
    <t>入力項目</t>
    <rPh sb="0" eb="2">
      <t>ニュウリョク</t>
    </rPh>
    <rPh sb="2" eb="4">
      <t>コウモク</t>
    </rPh>
    <phoneticPr fontId="13"/>
  </si>
  <si>
    <t>←入力の過程で記載不十分の表示がされますが、適切に入力がされると表示は解消されます。</t>
    <rPh sb="1" eb="3">
      <t>ニュウリョク</t>
    </rPh>
    <rPh sb="4" eb="6">
      <t>カテイ</t>
    </rPh>
    <rPh sb="7" eb="9">
      <t>キサイ</t>
    </rPh>
    <rPh sb="9" eb="12">
      <t>フジュウブン</t>
    </rPh>
    <rPh sb="13" eb="15">
      <t>ヒョウジ</t>
    </rPh>
    <rPh sb="22" eb="24">
      <t>テキセツ</t>
    </rPh>
    <rPh sb="25" eb="27">
      <t>ニュウリョク</t>
    </rPh>
    <rPh sb="32" eb="34">
      <t>ヒョウジ</t>
    </rPh>
    <rPh sb="35" eb="37">
      <t>カイショウ</t>
    </rPh>
    <phoneticPr fontId="13"/>
  </si>
  <si>
    <t>②「防護具情報」の入力</t>
    <rPh sb="2" eb="4">
      <t>ボウゴ</t>
    </rPh>
    <rPh sb="4" eb="5">
      <t>グ</t>
    </rPh>
    <rPh sb="5" eb="7">
      <t>ジョウホウ</t>
    </rPh>
    <rPh sb="9" eb="11">
      <t>ニュウリョク</t>
    </rPh>
    <phoneticPr fontId="13"/>
  </si>
  <si>
    <t>参考）○：未記入、×：入力不十分、◎：適切に入力</t>
    <rPh sb="0" eb="2">
      <t>サンコウ</t>
    </rPh>
    <rPh sb="5" eb="8">
      <t>ミキニュウ</t>
    </rPh>
    <rPh sb="11" eb="13">
      <t>ニュウリョク</t>
    </rPh>
    <rPh sb="13" eb="16">
      <t>フジュウブン</t>
    </rPh>
    <rPh sb="19" eb="21">
      <t>テキセツ</t>
    </rPh>
    <rPh sb="22" eb="24">
      <t>ニュウリョク</t>
    </rPh>
    <phoneticPr fontId="13"/>
  </si>
  <si>
    <t>品目</t>
    <rPh sb="0" eb="2">
      <t>ヒンモク</t>
    </rPh>
    <phoneticPr fontId="13"/>
  </si>
  <si>
    <t>マスク</t>
    <phoneticPr fontId="13"/>
  </si>
  <si>
    <t>ゴーグル</t>
    <phoneticPr fontId="13"/>
  </si>
  <si>
    <t>ガウン</t>
    <phoneticPr fontId="13"/>
  </si>
  <si>
    <t>グローブ</t>
    <phoneticPr fontId="13"/>
  </si>
  <si>
    <t>キャップ</t>
    <phoneticPr fontId="13"/>
  </si>
  <si>
    <t>　上記に基づき、補助金交付に係る申請にあたっては、本書に基づく県との協議の結果を踏まえ行うことを申し立てるとともに、協議において知事が補助事業等の目的及び内容に適正性を認めることができない場合においては、交付決定できない場合があることについても確認しました。</t>
    <rPh sb="1" eb="3">
      <t>ジョウキ</t>
    </rPh>
    <rPh sb="4" eb="5">
      <t>モト</t>
    </rPh>
    <rPh sb="8" eb="11">
      <t>ホジョキン</t>
    </rPh>
    <rPh sb="11" eb="13">
      <t>コウフ</t>
    </rPh>
    <rPh sb="14" eb="15">
      <t>カカ</t>
    </rPh>
    <rPh sb="16" eb="18">
      <t>シンセイ</t>
    </rPh>
    <rPh sb="25" eb="27">
      <t>ホンショ</t>
    </rPh>
    <rPh sb="28" eb="29">
      <t>モト</t>
    </rPh>
    <rPh sb="31" eb="32">
      <t>ケン</t>
    </rPh>
    <rPh sb="34" eb="36">
      <t>キョウギ</t>
    </rPh>
    <rPh sb="37" eb="39">
      <t>ケッカ</t>
    </rPh>
    <rPh sb="40" eb="41">
      <t>フ</t>
    </rPh>
    <rPh sb="43" eb="44">
      <t>オコナ</t>
    </rPh>
    <rPh sb="48" eb="49">
      <t>モウ</t>
    </rPh>
    <rPh sb="50" eb="51">
      <t>タ</t>
    </rPh>
    <rPh sb="58" eb="60">
      <t>キョウギ</t>
    </rPh>
    <rPh sb="64" eb="66">
      <t>チジ</t>
    </rPh>
    <rPh sb="82" eb="83">
      <t>セイ</t>
    </rPh>
    <rPh sb="84" eb="85">
      <t>ミト</t>
    </rPh>
    <rPh sb="94" eb="96">
      <t>バアイ</t>
    </rPh>
    <rPh sb="102" eb="104">
      <t>コウフ</t>
    </rPh>
    <rPh sb="104" eb="106">
      <t>ケッテイ</t>
    </rPh>
    <rPh sb="110" eb="112">
      <t>バアイ</t>
    </rPh>
    <rPh sb="122" eb="124">
      <t>カクニン</t>
    </rPh>
    <phoneticPr fontId="9"/>
  </si>
  <si>
    <t>（３）平面図（確保病床の位置、過去に本補助金を活用して整備した設備及び整備予定の設備の配備状況が判るもの。）</t>
    <rPh sb="3" eb="6">
      <t>ヘイメンズ</t>
    </rPh>
    <rPh sb="7" eb="9">
      <t>カクホ</t>
    </rPh>
    <rPh sb="9" eb="11">
      <t>ビョウショウ</t>
    </rPh>
    <rPh sb="12" eb="14">
      <t>イチ</t>
    </rPh>
    <rPh sb="15" eb="17">
      <t>カコ</t>
    </rPh>
    <rPh sb="18" eb="19">
      <t>ホン</t>
    </rPh>
    <rPh sb="19" eb="22">
      <t>ホジョキン</t>
    </rPh>
    <rPh sb="23" eb="25">
      <t>カツヨウ</t>
    </rPh>
    <rPh sb="27" eb="29">
      <t>セイビ</t>
    </rPh>
    <rPh sb="31" eb="33">
      <t>セツビ</t>
    </rPh>
    <rPh sb="33" eb="34">
      <t>オヨ</t>
    </rPh>
    <rPh sb="35" eb="37">
      <t>セイビ</t>
    </rPh>
    <rPh sb="37" eb="39">
      <t>ヨテイ</t>
    </rPh>
    <rPh sb="40" eb="42">
      <t>セツビ</t>
    </rPh>
    <rPh sb="43" eb="45">
      <t>ハイビ</t>
    </rPh>
    <rPh sb="45" eb="47">
      <t>ジョウキョウ</t>
    </rPh>
    <rPh sb="48" eb="49">
      <t>ワカ</t>
    </rPh>
    <phoneticPr fontId="9"/>
  </si>
  <si>
    <t>（４）見積書の写し、カタログ等整備品目の規格（型式）、数量、単価及び金額の確認資料</t>
    <phoneticPr fontId="9"/>
  </si>
  <si>
    <t>　整備をリースにより行うか、購入により行うか記入してください。
　なお、購入により整備する場合は、必ずリースによる整備を検討し、購入による整備とせざるを得ないと判断した理由を以下の欄に記入してください。（リースによる整備を検討していない及び、購入による整備とせざるを得ないとする理由が不十分と判断される場合には公費による整備に親和しないことから、交付しないこととする場合があります。）</t>
    <phoneticPr fontId="9"/>
  </si>
  <si>
    <t>変更申請</t>
    <rPh sb="0" eb="2">
      <t>ヘンコウ</t>
    </rPh>
    <rPh sb="2" eb="4">
      <t>シンセイ</t>
    </rPh>
    <phoneticPr fontId="9"/>
  </si>
  <si>
    <t>事前協議</t>
    <rPh sb="0" eb="2">
      <t>ジゼン</t>
    </rPh>
    <rPh sb="2" eb="4">
      <t>キョウギ</t>
    </rPh>
    <phoneticPr fontId="9"/>
  </si>
  <si>
    <t>事業</t>
    <rPh sb="0" eb="2">
      <t>ジギョウ</t>
    </rPh>
    <phoneticPr fontId="13"/>
  </si>
  <si>
    <t>品目</t>
    <rPh sb="1" eb="2">
      <t>モク</t>
    </rPh>
    <phoneticPr fontId="13"/>
  </si>
  <si>
    <t>型番</t>
    <phoneticPr fontId="13"/>
  </si>
  <si>
    <t>基準額</t>
    <phoneticPr fontId="13"/>
  </si>
  <si>
    <t>総合</t>
    <rPh sb="0" eb="2">
      <t>ソウゴウ</t>
    </rPh>
    <phoneticPr fontId="13"/>
  </si>
  <si>
    <t>員数</t>
    <phoneticPr fontId="13"/>
  </si>
  <si>
    <t>単価</t>
    <phoneticPr fontId="13"/>
  </si>
  <si>
    <t>金額</t>
    <phoneticPr fontId="13"/>
  </si>
  <si>
    <t>規格（型式）</t>
    <phoneticPr fontId="13"/>
  </si>
  <si>
    <t>数量</t>
    <phoneticPr fontId="13"/>
  </si>
  <si>
    <t>単価（税込）</t>
    <rPh sb="3" eb="5">
      <t>ゼイコ</t>
    </rPh>
    <phoneticPr fontId="13"/>
  </si>
  <si>
    <t>年</t>
    <rPh sb="0" eb="1">
      <t>ネン</t>
    </rPh>
    <phoneticPr fontId="7"/>
  </si>
  <si>
    <t>月</t>
    <rPh sb="0" eb="1">
      <t>ツキ</t>
    </rPh>
    <phoneticPr fontId="7"/>
  </si>
  <si>
    <t>月</t>
    <rPh sb="0" eb="1">
      <t>ツキ</t>
    </rPh>
    <phoneticPr fontId="13"/>
  </si>
  <si>
    <t>日</t>
    <rPh sb="0" eb="1">
      <t>ヒ</t>
    </rPh>
    <phoneticPr fontId="7"/>
  </si>
  <si>
    <t>日</t>
    <rPh sb="0" eb="1">
      <t>ヒ</t>
    </rPh>
    <phoneticPr fontId="13"/>
  </si>
  <si>
    <t>円</t>
    <rPh sb="0" eb="1">
      <t>エン</t>
    </rPh>
    <phoneticPr fontId="13"/>
  </si>
  <si>
    <t>入院医療機関設備整備事業（１）</t>
    <rPh sb="0" eb="2">
      <t>ニュウイン</t>
    </rPh>
    <rPh sb="2" eb="4">
      <t>イリョウ</t>
    </rPh>
    <rPh sb="4" eb="6">
      <t>キカン</t>
    </rPh>
    <rPh sb="6" eb="8">
      <t>セツビ</t>
    </rPh>
    <rPh sb="8" eb="10">
      <t>セイビ</t>
    </rPh>
    <rPh sb="10" eb="12">
      <t>ジギョウ</t>
    </rPh>
    <phoneticPr fontId="13"/>
  </si>
  <si>
    <t>初度設備</t>
    <rPh sb="0" eb="2">
      <t>ショド</t>
    </rPh>
    <rPh sb="2" eb="4">
      <t>セツビ</t>
    </rPh>
    <phoneticPr fontId="7"/>
  </si>
  <si>
    <t>人工呼吸器</t>
    <rPh sb="0" eb="2">
      <t>ジンコウ</t>
    </rPh>
    <rPh sb="2" eb="5">
      <t>コキュウキ</t>
    </rPh>
    <phoneticPr fontId="7"/>
  </si>
  <si>
    <t>令和</t>
  </si>
  <si>
    <t>個人防護具</t>
    <phoneticPr fontId="13"/>
  </si>
  <si>
    <t>簡易陰圧装置</t>
    <rPh sb="0" eb="2">
      <t>カンイ</t>
    </rPh>
    <rPh sb="2" eb="3">
      <t>イン</t>
    </rPh>
    <rPh sb="3" eb="4">
      <t>アツ</t>
    </rPh>
    <rPh sb="4" eb="6">
      <t>ソウチ</t>
    </rPh>
    <phoneticPr fontId="13"/>
  </si>
  <si>
    <t>簡易ベッド</t>
    <phoneticPr fontId="13"/>
  </si>
  <si>
    <t>体外式膜型人工肺</t>
    <rPh sb="0" eb="3">
      <t>タイガイシキ</t>
    </rPh>
    <rPh sb="3" eb="4">
      <t>マク</t>
    </rPh>
    <rPh sb="4" eb="5">
      <t>ガタ</t>
    </rPh>
    <rPh sb="5" eb="7">
      <t>ジンコウ</t>
    </rPh>
    <rPh sb="7" eb="8">
      <t>ハイ</t>
    </rPh>
    <phoneticPr fontId="13"/>
  </si>
  <si>
    <t>簡易病室</t>
    <rPh sb="2" eb="4">
      <t>ビョウシツ</t>
    </rPh>
    <phoneticPr fontId="13"/>
  </si>
  <si>
    <t>入院医療機関設備整備事業（２）</t>
    <rPh sb="0" eb="2">
      <t>ニュウイン</t>
    </rPh>
    <rPh sb="2" eb="4">
      <t>イリョウ</t>
    </rPh>
    <rPh sb="4" eb="6">
      <t>キカン</t>
    </rPh>
    <rPh sb="6" eb="8">
      <t>セツビ</t>
    </rPh>
    <rPh sb="8" eb="10">
      <t>セイビ</t>
    </rPh>
    <rPh sb="10" eb="12">
      <t>ジギョウ</t>
    </rPh>
    <phoneticPr fontId="13"/>
  </si>
  <si>
    <t>紫外線照射装置</t>
    <rPh sb="0" eb="3">
      <t>シガイセン</t>
    </rPh>
    <rPh sb="3" eb="5">
      <t>ショウシャ</t>
    </rPh>
    <rPh sb="5" eb="7">
      <t>ソウチ</t>
    </rPh>
    <phoneticPr fontId="7"/>
  </si>
  <si>
    <t>紫外線照射装置</t>
    <rPh sb="0" eb="3">
      <t>シガイセン</t>
    </rPh>
    <rPh sb="3" eb="5">
      <t>ショウシャ</t>
    </rPh>
    <rPh sb="5" eb="7">
      <t>ソウチ</t>
    </rPh>
    <phoneticPr fontId="13"/>
  </si>
  <si>
    <t>計</t>
    <rPh sb="0" eb="1">
      <t>ケイ</t>
    </rPh>
    <phoneticPr fontId="13"/>
  </si>
  <si>
    <t>超音波画像診断装置</t>
    <rPh sb="0" eb="3">
      <t>チョウオンパ</t>
    </rPh>
    <rPh sb="3" eb="5">
      <t>ガゾウ</t>
    </rPh>
    <rPh sb="5" eb="7">
      <t>シンダン</t>
    </rPh>
    <rPh sb="7" eb="9">
      <t>ソウチ</t>
    </rPh>
    <phoneticPr fontId="7"/>
  </si>
  <si>
    <t>血液浄化装置</t>
    <rPh sb="0" eb="2">
      <t>ケツエキ</t>
    </rPh>
    <rPh sb="2" eb="4">
      <t>ジョウカ</t>
    </rPh>
    <rPh sb="4" eb="6">
      <t>ソウチ</t>
    </rPh>
    <phoneticPr fontId="7"/>
  </si>
  <si>
    <t>気管支鏡</t>
    <rPh sb="0" eb="4">
      <t>キカンシキョウ</t>
    </rPh>
    <phoneticPr fontId="7"/>
  </si>
  <si>
    <t>生体情報モニタ</t>
    <rPh sb="2" eb="4">
      <t>ジョウホウ</t>
    </rPh>
    <phoneticPr fontId="13"/>
  </si>
  <si>
    <t>分娩監視装置</t>
    <rPh sb="0" eb="2">
      <t>ブンベン</t>
    </rPh>
    <rPh sb="2" eb="4">
      <t>カンシ</t>
    </rPh>
    <rPh sb="4" eb="6">
      <t>ソウチ</t>
    </rPh>
    <phoneticPr fontId="7"/>
  </si>
  <si>
    <t>新生児モニタ</t>
    <rPh sb="0" eb="3">
      <t>シンセイジ</t>
    </rPh>
    <phoneticPr fontId="7"/>
  </si>
  <si>
    <t>１．普通　２．当座　</t>
    <phoneticPr fontId="13"/>
  </si>
  <si>
    <t>品目</t>
    <rPh sb="0" eb="1">
      <t>ヒン</t>
    </rPh>
    <rPh sb="1" eb="2">
      <t>モク</t>
    </rPh>
    <phoneticPr fontId="13"/>
  </si>
  <si>
    <t>総事業費
(A)</t>
    <phoneticPr fontId="13"/>
  </si>
  <si>
    <t>差引事業費
(A)―(B)
（C）</t>
    <phoneticPr fontId="13"/>
  </si>
  <si>
    <t>基準額
（E）</t>
    <phoneticPr fontId="13"/>
  </si>
  <si>
    <t>選定額
(F)</t>
    <phoneticPr fontId="13"/>
  </si>
  <si>
    <t>県補助
基本額
(G)</t>
    <phoneticPr fontId="13"/>
  </si>
  <si>
    <t>備考</t>
    <phoneticPr fontId="13"/>
  </si>
  <si>
    <t>個人防護具</t>
    <rPh sb="0" eb="2">
      <t>コジン</t>
    </rPh>
    <rPh sb="2" eb="4">
      <t>ボウゴ</t>
    </rPh>
    <rPh sb="4" eb="5">
      <t>グ</t>
    </rPh>
    <phoneticPr fontId="7"/>
  </si>
  <si>
    <t>簡易陰圧装置</t>
    <rPh sb="0" eb="2">
      <t>カンイ</t>
    </rPh>
    <rPh sb="2" eb="3">
      <t>カゲ</t>
    </rPh>
    <rPh sb="3" eb="4">
      <t>アツ</t>
    </rPh>
    <rPh sb="4" eb="6">
      <t>ソウチ</t>
    </rPh>
    <phoneticPr fontId="13"/>
  </si>
  <si>
    <t>簡易ベッド</t>
    <rPh sb="0" eb="2">
      <t>カンイ</t>
    </rPh>
    <phoneticPr fontId="7"/>
  </si>
  <si>
    <t>簡易ベッド</t>
    <rPh sb="0" eb="2">
      <t>カンイ</t>
    </rPh>
    <phoneticPr fontId="13"/>
  </si>
  <si>
    <t>簡易病室</t>
    <rPh sb="0" eb="2">
      <t>カンイ</t>
    </rPh>
    <rPh sb="2" eb="4">
      <t>ビョウシツ</t>
    </rPh>
    <phoneticPr fontId="7"/>
  </si>
  <si>
    <t>CT撮影装置</t>
    <rPh sb="2" eb="4">
      <t>サツエイ</t>
    </rPh>
    <rPh sb="4" eb="6">
      <t>ソウチ</t>
    </rPh>
    <phoneticPr fontId="13"/>
  </si>
  <si>
    <t>総計</t>
    <rPh sb="0" eb="2">
      <t>ソウケイ</t>
    </rPh>
    <phoneticPr fontId="13"/>
  </si>
  <si>
    <t>注１「県補助額」(H)には、１，０００円未満を切り捨てた額を記入すること。</t>
    <phoneticPr fontId="13"/>
  </si>
  <si>
    <t>日付</t>
    <rPh sb="0" eb="2">
      <t>ヒヅケ</t>
    </rPh>
    <phoneticPr fontId="9"/>
  </si>
  <si>
    <t>見積書金額</t>
    <rPh sb="0" eb="3">
      <t>ミツモリショ</t>
    </rPh>
    <rPh sb="3" eb="5">
      <t>キンガク</t>
    </rPh>
    <phoneticPr fontId="13"/>
  </si>
  <si>
    <t>割引額</t>
    <rPh sb="0" eb="3">
      <t>ワリビキガク</t>
    </rPh>
    <phoneticPr fontId="13"/>
  </si>
  <si>
    <t>（現況の設備状況及び整備を要する設備がないことによりどのような支障が生じたか、さらに今後同様の支障が生じる蓋然性について定量的根拠に基づき説明をすること。なお、説明に不足がある場合、協議の中で追加説明を求めること及び、記載内容の根拠となる資料の提出を求めることがあります。）</t>
    <rPh sb="1" eb="3">
      <t>ゲンキョウ</t>
    </rPh>
    <rPh sb="4" eb="6">
      <t>セツビ</t>
    </rPh>
    <rPh sb="6" eb="8">
      <t>ジョウキョウ</t>
    </rPh>
    <rPh sb="8" eb="9">
      <t>オヨ</t>
    </rPh>
    <rPh sb="10" eb="12">
      <t>セイビ</t>
    </rPh>
    <rPh sb="13" eb="14">
      <t>ヨウ</t>
    </rPh>
    <rPh sb="16" eb="18">
      <t>セツビ</t>
    </rPh>
    <rPh sb="31" eb="33">
      <t>シショウ</t>
    </rPh>
    <rPh sb="34" eb="35">
      <t>ショウ</t>
    </rPh>
    <rPh sb="42" eb="44">
      <t>コンゴ</t>
    </rPh>
    <rPh sb="44" eb="46">
      <t>ドウヨウ</t>
    </rPh>
    <rPh sb="47" eb="49">
      <t>シショウ</t>
    </rPh>
    <rPh sb="50" eb="51">
      <t>ショウ</t>
    </rPh>
    <rPh sb="53" eb="56">
      <t>ガイゼンセイ</t>
    </rPh>
    <rPh sb="60" eb="62">
      <t>テイリョウ</t>
    </rPh>
    <rPh sb="62" eb="63">
      <t>テキ</t>
    </rPh>
    <rPh sb="63" eb="65">
      <t>コンキョ</t>
    </rPh>
    <rPh sb="66" eb="67">
      <t>モト</t>
    </rPh>
    <rPh sb="69" eb="71">
      <t>セツメイ</t>
    </rPh>
    <rPh sb="80" eb="82">
      <t>セツメイ</t>
    </rPh>
    <rPh sb="83" eb="85">
      <t>フソク</t>
    </rPh>
    <rPh sb="88" eb="90">
      <t>バアイ</t>
    </rPh>
    <rPh sb="91" eb="93">
      <t>キョウギ</t>
    </rPh>
    <rPh sb="94" eb="95">
      <t>ナカ</t>
    </rPh>
    <rPh sb="96" eb="98">
      <t>ツイカ</t>
    </rPh>
    <rPh sb="98" eb="100">
      <t>セツメイ</t>
    </rPh>
    <rPh sb="101" eb="102">
      <t>モト</t>
    </rPh>
    <rPh sb="106" eb="107">
      <t>オヨ</t>
    </rPh>
    <rPh sb="109" eb="111">
      <t>キサイ</t>
    </rPh>
    <rPh sb="111" eb="113">
      <t>ナイヨウ</t>
    </rPh>
    <rPh sb="114" eb="116">
      <t>コンキョ</t>
    </rPh>
    <rPh sb="119" eb="121">
      <t>シリョウ</t>
    </rPh>
    <rPh sb="122" eb="124">
      <t>テイシュツ</t>
    </rPh>
    <rPh sb="125" eb="126">
      <t>モト</t>
    </rPh>
    <phoneticPr fontId="9"/>
  </si>
  <si>
    <t>AO</t>
  </si>
  <si>
    <t>AO</t>
    <phoneticPr fontId="9"/>
  </si>
  <si>
    <t>AP</t>
  </si>
  <si>
    <t>AP</t>
    <phoneticPr fontId="9"/>
  </si>
  <si>
    <t>AQ</t>
  </si>
  <si>
    <t>AQ</t>
    <phoneticPr fontId="9"/>
  </si>
  <si>
    <t>AR</t>
    <phoneticPr fontId="9"/>
  </si>
  <si>
    <t>初度設備</t>
    <rPh sb="0" eb="2">
      <t>ショド</t>
    </rPh>
    <rPh sb="2" eb="4">
      <t>セツビ</t>
    </rPh>
    <phoneticPr fontId="9"/>
  </si>
  <si>
    <t>所要額</t>
    <rPh sb="0" eb="3">
      <t>ショヨウガク</t>
    </rPh>
    <phoneticPr fontId="9"/>
  </si>
  <si>
    <t>補助額</t>
    <rPh sb="0" eb="3">
      <t>ホジョガク</t>
    </rPh>
    <phoneticPr fontId="9"/>
  </si>
  <si>
    <t>簡易陰圧装置</t>
    <rPh sb="0" eb="2">
      <t>カンイ</t>
    </rPh>
    <rPh sb="2" eb="4">
      <t>インアツ</t>
    </rPh>
    <rPh sb="4" eb="6">
      <t>ソウチ</t>
    </rPh>
    <phoneticPr fontId="9"/>
  </si>
  <si>
    <t>簡易ベッド</t>
    <rPh sb="0" eb="2">
      <t>カンイ</t>
    </rPh>
    <phoneticPr fontId="9"/>
  </si>
  <si>
    <t>紫外線照射装置</t>
    <phoneticPr fontId="9"/>
  </si>
  <si>
    <t>超音波画像診断装置</t>
    <phoneticPr fontId="9"/>
  </si>
  <si>
    <t>血液浄化装置</t>
    <phoneticPr fontId="9"/>
  </si>
  <si>
    <t>気管支鏡</t>
    <phoneticPr fontId="9"/>
  </si>
  <si>
    <t>ＣＴ撮影装置等</t>
    <phoneticPr fontId="9"/>
  </si>
  <si>
    <t>生体情報モニタ</t>
    <phoneticPr fontId="9"/>
  </si>
  <si>
    <t>分娩監視装置</t>
    <phoneticPr fontId="9"/>
  </si>
  <si>
    <t>新生児モニタ</t>
    <phoneticPr fontId="9"/>
  </si>
  <si>
    <r>
      <t>　</t>
    </r>
    <r>
      <rPr>
        <b/>
        <u/>
        <sz val="11"/>
        <color rgb="FFFF0000"/>
        <rFont val="Yu Gothic"/>
        <family val="3"/>
        <charset val="128"/>
        <scheme val="minor"/>
      </rPr>
      <t>右端に表示の番号を、見積書あるいは納品書の内訳中、該当の部分に記入し記載の箇所を明示してください。</t>
    </r>
    <r>
      <rPr>
        <b/>
        <sz val="11"/>
        <color theme="1"/>
        <rFont val="Yu Gothic"/>
        <family val="3"/>
        <charset val="128"/>
        <scheme val="minor"/>
      </rPr>
      <t xml:space="preserve">
　購入数量が過大または見積額が一般的な相場帯を逸脱していると見受けられる場合は整備内容の見直しを協議において依頼することがあります。
　特定の病床に紐づけるものでない整備に関しては、「病床欄」は「共通使用」を、「用途左記病床」は「対応病床共通」を選択してください。</t>
    </r>
    <rPh sb="52" eb="54">
      <t>コウニュウ</t>
    </rPh>
    <rPh sb="54" eb="56">
      <t>スウリョウ</t>
    </rPh>
    <rPh sb="57" eb="59">
      <t>カダイ</t>
    </rPh>
    <rPh sb="62" eb="64">
      <t>ミツ</t>
    </rPh>
    <rPh sb="64" eb="65">
      <t>ガク</t>
    </rPh>
    <rPh sb="66" eb="69">
      <t>イッパンテキ</t>
    </rPh>
    <rPh sb="70" eb="72">
      <t>ソウバ</t>
    </rPh>
    <rPh sb="72" eb="73">
      <t>タイ</t>
    </rPh>
    <rPh sb="74" eb="76">
      <t>イツダツ</t>
    </rPh>
    <rPh sb="81" eb="83">
      <t>ミウ</t>
    </rPh>
    <rPh sb="87" eb="89">
      <t>バアイ</t>
    </rPh>
    <rPh sb="90" eb="92">
      <t>セイビ</t>
    </rPh>
    <rPh sb="92" eb="94">
      <t>ナイヨウ</t>
    </rPh>
    <rPh sb="95" eb="97">
      <t>ミナオ</t>
    </rPh>
    <rPh sb="99" eb="101">
      <t>キョウギ</t>
    </rPh>
    <rPh sb="105" eb="107">
      <t>イライ</t>
    </rPh>
    <rPh sb="119" eb="121">
      <t>トクテイ</t>
    </rPh>
    <rPh sb="122" eb="124">
      <t>ビョウショウ</t>
    </rPh>
    <rPh sb="125" eb="126">
      <t>ヒモ</t>
    </rPh>
    <rPh sb="134" eb="136">
      <t>セイビ</t>
    </rPh>
    <rPh sb="137" eb="138">
      <t>カン</t>
    </rPh>
    <rPh sb="143" eb="145">
      <t>ビョウショウ</t>
    </rPh>
    <rPh sb="145" eb="146">
      <t>ラン</t>
    </rPh>
    <rPh sb="149" eb="151">
      <t>キョウツウ</t>
    </rPh>
    <rPh sb="151" eb="153">
      <t>シヨウ</t>
    </rPh>
    <rPh sb="157" eb="159">
      <t>ヨウト</t>
    </rPh>
    <rPh sb="159" eb="161">
      <t>サキ</t>
    </rPh>
    <rPh sb="161" eb="163">
      <t>ビョウショウ</t>
    </rPh>
    <rPh sb="166" eb="168">
      <t>タイオウ</t>
    </rPh>
    <rPh sb="168" eb="170">
      <t>ビョウショウ</t>
    </rPh>
    <rPh sb="170" eb="172">
      <t>キョウツウ</t>
    </rPh>
    <rPh sb="174" eb="176">
      <t>センタク</t>
    </rPh>
    <phoneticPr fontId="9"/>
  </si>
  <si>
    <t>入院医療機関
設備整備事業（１）</t>
    <rPh sb="0" eb="2">
      <t>ニュウイン</t>
    </rPh>
    <rPh sb="2" eb="4">
      <t>イリョウ</t>
    </rPh>
    <rPh sb="4" eb="6">
      <t>キカン</t>
    </rPh>
    <rPh sb="7" eb="9">
      <t>セツビ</t>
    </rPh>
    <rPh sb="9" eb="11">
      <t>セイビ</t>
    </rPh>
    <rPh sb="11" eb="13">
      <t>ジギョウ</t>
    </rPh>
    <phoneticPr fontId="13"/>
  </si>
  <si>
    <t>入院医療機関
設備整備事業（２）</t>
    <phoneticPr fontId="13"/>
  </si>
  <si>
    <t>簡易院圧装置</t>
    <rPh sb="0" eb="2">
      <t>カンイ</t>
    </rPh>
    <rPh sb="2" eb="3">
      <t>イン</t>
    </rPh>
    <rPh sb="3" eb="4">
      <t>アツ</t>
    </rPh>
    <rPh sb="4" eb="6">
      <t>ソウチ</t>
    </rPh>
    <phoneticPr fontId="7"/>
  </si>
  <si>
    <t>ＥＣＭＯ</t>
  </si>
  <si>
    <t>ＣＴ</t>
  </si>
  <si>
    <t>生体情報モニタ</t>
    <rPh sb="0" eb="2">
      <t>セイタイ</t>
    </rPh>
    <rPh sb="2" eb="4">
      <t>ジョウホウ</t>
    </rPh>
    <phoneticPr fontId="7"/>
  </si>
  <si>
    <t>交付決定日</t>
    <rPh sb="0" eb="2">
      <t>コウフ</t>
    </rPh>
    <rPh sb="2" eb="5">
      <t>ケッテイビ</t>
    </rPh>
    <phoneticPr fontId="7"/>
  </si>
  <si>
    <t>申請額</t>
    <rPh sb="0" eb="3">
      <t>シンセイガク</t>
    </rPh>
    <phoneticPr fontId="7"/>
  </si>
  <si>
    <t>総事業費</t>
    <rPh sb="0" eb="1">
      <t>ソウ</t>
    </rPh>
    <rPh sb="1" eb="3">
      <t>ジギョウ</t>
    </rPh>
    <rPh sb="3" eb="4">
      <t>ヒ</t>
    </rPh>
    <phoneticPr fontId="7"/>
  </si>
  <si>
    <t>寄付金等</t>
    <rPh sb="0" eb="3">
      <t>キフキン</t>
    </rPh>
    <rPh sb="3" eb="4">
      <t>トウ</t>
    </rPh>
    <phoneticPr fontId="7"/>
  </si>
  <si>
    <t>差引</t>
    <rPh sb="0" eb="2">
      <t>サシヒキ</t>
    </rPh>
    <phoneticPr fontId="7"/>
  </si>
  <si>
    <t>支出予定額</t>
    <rPh sb="0" eb="2">
      <t>シシュツ</t>
    </rPh>
    <rPh sb="2" eb="4">
      <t>ヨテイ</t>
    </rPh>
    <rPh sb="4" eb="5">
      <t>ガク</t>
    </rPh>
    <phoneticPr fontId="7"/>
  </si>
  <si>
    <t>基準額</t>
    <rPh sb="0" eb="2">
      <t>キジュン</t>
    </rPh>
    <rPh sb="2" eb="3">
      <t>ガク</t>
    </rPh>
    <phoneticPr fontId="7"/>
  </si>
  <si>
    <t>選定額</t>
    <rPh sb="0" eb="2">
      <t>センテイ</t>
    </rPh>
    <rPh sb="2" eb="3">
      <t>ガク</t>
    </rPh>
    <phoneticPr fontId="7"/>
  </si>
  <si>
    <t>補助基本額</t>
    <rPh sb="0" eb="2">
      <t>ホジョ</t>
    </rPh>
    <rPh sb="2" eb="4">
      <t>キホン</t>
    </rPh>
    <rPh sb="4" eb="5">
      <t>ガク</t>
    </rPh>
    <phoneticPr fontId="7"/>
  </si>
  <si>
    <t>補助額</t>
    <rPh sb="0" eb="2">
      <t>ホジョ</t>
    </rPh>
    <rPh sb="2" eb="3">
      <t>ガク</t>
    </rPh>
    <phoneticPr fontId="7"/>
  </si>
  <si>
    <t>金融機関名</t>
    <rPh sb="0" eb="2">
      <t>キンユウ</t>
    </rPh>
    <rPh sb="2" eb="5">
      <t>キカンメイ</t>
    </rPh>
    <phoneticPr fontId="7"/>
  </si>
  <si>
    <t>支店名</t>
    <rPh sb="0" eb="3">
      <t>シテンメイ</t>
    </rPh>
    <phoneticPr fontId="7"/>
  </si>
  <si>
    <t>預金口座種別</t>
    <rPh sb="0" eb="2">
      <t>ヨキン</t>
    </rPh>
    <rPh sb="2" eb="4">
      <t>コウザ</t>
    </rPh>
    <rPh sb="4" eb="6">
      <t>シュベツ</t>
    </rPh>
    <phoneticPr fontId="7"/>
  </si>
  <si>
    <t>口座情報</t>
    <rPh sb="0" eb="2">
      <t>コウザ</t>
    </rPh>
    <rPh sb="2" eb="4">
      <t>ジョウホウ</t>
    </rPh>
    <phoneticPr fontId="9"/>
  </si>
  <si>
    <t>岐阜信用金庫</t>
  </si>
  <si>
    <t>普通</t>
  </si>
  <si>
    <t>豊川信用金庫</t>
  </si>
  <si>
    <t>本店営業部</t>
  </si>
  <si>
    <t>三菱ＵＦＪ銀行</t>
  </si>
  <si>
    <t>大府支店</t>
  </si>
  <si>
    <t>名古屋銀行</t>
  </si>
  <si>
    <t>岡崎信用金庫</t>
  </si>
  <si>
    <t>豊橋支店</t>
  </si>
  <si>
    <t>いちい信用金庫</t>
  </si>
  <si>
    <t>津島営業部</t>
  </si>
  <si>
    <t>知多信用金庫</t>
  </si>
  <si>
    <t>あすか台支店</t>
  </si>
  <si>
    <t>百五銀行</t>
  </si>
  <si>
    <t>西春支店</t>
  </si>
  <si>
    <t>当座</t>
  </si>
  <si>
    <t>藤が丘支店</t>
  </si>
  <si>
    <t>みずほ銀行</t>
  </si>
  <si>
    <t>名古屋支店</t>
  </si>
  <si>
    <t>東海支店</t>
  </si>
  <si>
    <t>今池支店</t>
  </si>
  <si>
    <t>尾張旭支店</t>
  </si>
  <si>
    <t>滝子支店</t>
  </si>
  <si>
    <t>静岡銀行</t>
  </si>
  <si>
    <t>大曽根支店</t>
  </si>
  <si>
    <t>東海公務部</t>
  </si>
  <si>
    <t>蒲郡信用金庫</t>
  </si>
  <si>
    <t>愛知県中央信用組合</t>
  </si>
  <si>
    <t>内田橋支店</t>
  </si>
  <si>
    <t>西尾支店</t>
  </si>
  <si>
    <t>豊橋信用金庫</t>
  </si>
  <si>
    <t>鶴舞支店</t>
  </si>
  <si>
    <t>豊田支店</t>
  </si>
  <si>
    <t>大津町支店</t>
  </si>
  <si>
    <t>りそな銀行</t>
  </si>
  <si>
    <t>サンライズ支店</t>
  </si>
  <si>
    <t>中京銀行</t>
  </si>
  <si>
    <t>高蔵寺支店</t>
  </si>
  <si>
    <t>瀬戸支店</t>
  </si>
  <si>
    <t>大垣共立銀行</t>
  </si>
  <si>
    <t>瀬戸信用金庫</t>
  </si>
  <si>
    <t>柴田支店</t>
  </si>
  <si>
    <t>新城支店</t>
  </si>
  <si>
    <t>笹島支店</t>
  </si>
  <si>
    <t>名古屋港支店</t>
  </si>
  <si>
    <t>大津橋支店</t>
  </si>
  <si>
    <t>　愛　知　県　知　事　殿</t>
    <phoneticPr fontId="13"/>
  </si>
  <si>
    <t>所　  在 　 地</t>
    <rPh sb="0" eb="1">
      <t>トコロ</t>
    </rPh>
    <rPh sb="4" eb="5">
      <t>ザイ</t>
    </rPh>
    <rPh sb="8" eb="9">
      <t>チ</t>
    </rPh>
    <phoneticPr fontId="13"/>
  </si>
  <si>
    <t>実績報告</t>
    <rPh sb="0" eb="2">
      <t>ジッセキ</t>
    </rPh>
    <rPh sb="2" eb="4">
      <t>ホウコク</t>
    </rPh>
    <phoneticPr fontId="13"/>
  </si>
  <si>
    <t>交付申請</t>
    <rPh sb="0" eb="2">
      <t>コウフ</t>
    </rPh>
    <rPh sb="2" eb="4">
      <t>シンセイ</t>
    </rPh>
    <phoneticPr fontId="13"/>
  </si>
  <si>
    <t>補助事業者名</t>
    <rPh sb="0" eb="2">
      <t>ホジョ</t>
    </rPh>
    <rPh sb="2" eb="4">
      <t>ジギョウ</t>
    </rPh>
    <rPh sb="4" eb="5">
      <t>シャ</t>
    </rPh>
    <rPh sb="5" eb="6">
      <t>メイ</t>
    </rPh>
    <phoneticPr fontId="13"/>
  </si>
  <si>
    <t>変更申請</t>
    <rPh sb="0" eb="2">
      <t>ヘンコウ</t>
    </rPh>
    <rPh sb="2" eb="4">
      <t>シンセイ</t>
    </rPh>
    <phoneticPr fontId="13"/>
  </si>
  <si>
    <t>代表者職氏名</t>
    <rPh sb="0" eb="3">
      <t>ダイヒョウシャ</t>
    </rPh>
    <rPh sb="3" eb="4">
      <t>ショク</t>
    </rPh>
    <rPh sb="4" eb="6">
      <t>シメイ</t>
    </rPh>
    <phoneticPr fontId="13"/>
  </si>
  <si>
    <t>記</t>
    <rPh sb="0" eb="1">
      <t>キ</t>
    </rPh>
    <phoneticPr fontId="13"/>
  </si>
  <si>
    <t>４　添付書類</t>
    <rPh sb="2" eb="4">
      <t>テンプ</t>
    </rPh>
    <rPh sb="4" eb="6">
      <t>ショルイ</t>
    </rPh>
    <phoneticPr fontId="13"/>
  </si>
  <si>
    <t>　</t>
    <phoneticPr fontId="13"/>
  </si>
  <si>
    <t>　申請者は、以下いずれの事項にも該当するものであることを申し立てます。
□　補助を受ける経費について他の補助金等の交付を受けていないこと。
□　本補助金により整備した設備は新型コロナウイルス感染症対策の目的以外に使用しないこと。
□　本補助金の収入、支出等に係る証拠書類を５年間適切に整備保管すること。
□　暴力団員又は暴力団関係者と実質的を含めいかなる関係も有していないこと。</t>
    <rPh sb="1" eb="3">
      <t>シンセイ</t>
    </rPh>
    <rPh sb="6" eb="8">
      <t>イカ</t>
    </rPh>
    <rPh sb="12" eb="14">
      <t>ジコウ</t>
    </rPh>
    <rPh sb="16" eb="18">
      <t>ガイトウ</t>
    </rPh>
    <rPh sb="28" eb="29">
      <t>モウ</t>
    </rPh>
    <rPh sb="30" eb="31">
      <t>タ</t>
    </rPh>
    <rPh sb="72" eb="73">
      <t>ホン</t>
    </rPh>
    <rPh sb="73" eb="76">
      <t>ホジョキン</t>
    </rPh>
    <rPh sb="79" eb="81">
      <t>セイビ</t>
    </rPh>
    <rPh sb="86" eb="88">
      <t>シンガタ</t>
    </rPh>
    <rPh sb="95" eb="98">
      <t>カンセンショウ</t>
    </rPh>
    <rPh sb="98" eb="100">
      <t>タイサク</t>
    </rPh>
    <rPh sb="101" eb="103">
      <t>モクテキ</t>
    </rPh>
    <rPh sb="104" eb="105">
      <t>ガイ</t>
    </rPh>
    <rPh sb="106" eb="108">
      <t>シヨウ</t>
    </rPh>
    <rPh sb="117" eb="118">
      <t>ホン</t>
    </rPh>
    <rPh sb="158" eb="159">
      <t>マタ</t>
    </rPh>
    <phoneticPr fontId="13"/>
  </si>
  <si>
    <t>　申請者は、以下いずれの事項にも該当するものであることを申し立てます。
☑　補助を受ける経費について他の補助金等の交付を受けていないこと。
☑　本補助金により整備した設備は新型コロナウイルス感染症対策の目的以外に使用しないこと。
☑　本補助金の収入、支出等に係る証拠書類を５年間適切に整備保管すること。
☑　暴力団員又は暴力団関係者と実質的を含めいかなる関係も有していないこと。</t>
    <rPh sb="1" eb="3">
      <t>シンセイ</t>
    </rPh>
    <rPh sb="6" eb="8">
      <t>イカ</t>
    </rPh>
    <rPh sb="12" eb="14">
      <t>ジコウ</t>
    </rPh>
    <rPh sb="16" eb="18">
      <t>ガイトウ</t>
    </rPh>
    <rPh sb="28" eb="29">
      <t>モウ</t>
    </rPh>
    <rPh sb="30" eb="31">
      <t>タ</t>
    </rPh>
    <rPh sb="72" eb="73">
      <t>ホン</t>
    </rPh>
    <rPh sb="73" eb="76">
      <t>ホジョキン</t>
    </rPh>
    <rPh sb="79" eb="81">
      <t>セイビ</t>
    </rPh>
    <rPh sb="86" eb="88">
      <t>シンガタ</t>
    </rPh>
    <rPh sb="95" eb="98">
      <t>カンセンショウ</t>
    </rPh>
    <rPh sb="98" eb="100">
      <t>タイサク</t>
    </rPh>
    <rPh sb="101" eb="103">
      <t>モクテキ</t>
    </rPh>
    <rPh sb="104" eb="105">
      <t>ガイ</t>
    </rPh>
    <rPh sb="106" eb="108">
      <t>シヨウ</t>
    </rPh>
    <rPh sb="117" eb="118">
      <t>ホン</t>
    </rPh>
    <rPh sb="158" eb="159">
      <t>マタ</t>
    </rPh>
    <phoneticPr fontId="13"/>
  </si>
  <si>
    <t>電話番号</t>
    <rPh sb="0" eb="2">
      <t>デンワ</t>
    </rPh>
    <rPh sb="2" eb="4">
      <t>バンゴウ</t>
    </rPh>
    <phoneticPr fontId="13"/>
  </si>
  <si>
    <t>Mailｱﾄﾞﾚｽ</t>
    <phoneticPr fontId="13"/>
  </si>
  <si>
    <t>　　愛知県知事　殿</t>
    <rPh sb="2" eb="5">
      <t>アイチケン</t>
    </rPh>
    <rPh sb="5" eb="7">
      <t>チジ</t>
    </rPh>
    <rPh sb="8" eb="9">
      <t>ドノ</t>
    </rPh>
    <phoneticPr fontId="13"/>
  </si>
  <si>
    <t>住所</t>
    <rPh sb="0" eb="2">
      <t>ジュウショ</t>
    </rPh>
    <phoneticPr fontId="13"/>
  </si>
  <si>
    <t>施設名称</t>
    <rPh sb="0" eb="2">
      <t>シセツ</t>
    </rPh>
    <rPh sb="2" eb="4">
      <t>メイショウ</t>
    </rPh>
    <phoneticPr fontId="13"/>
  </si>
  <si>
    <t>請　求　書</t>
    <rPh sb="0" eb="1">
      <t>ショウ</t>
    </rPh>
    <rPh sb="2" eb="3">
      <t>モトム</t>
    </rPh>
    <rPh sb="4" eb="5">
      <t>ショ</t>
    </rPh>
    <phoneticPr fontId="13"/>
  </si>
  <si>
    <t>１．請求金額</t>
    <rPh sb="2" eb="4">
      <t>セイキュウ</t>
    </rPh>
    <rPh sb="4" eb="6">
      <t>キンガク</t>
    </rPh>
    <phoneticPr fontId="13"/>
  </si>
  <si>
    <t>２．振込先口座</t>
    <rPh sb="2" eb="5">
      <t>フリコミサキ</t>
    </rPh>
    <rPh sb="5" eb="7">
      <t>コウザ</t>
    </rPh>
    <phoneticPr fontId="13"/>
  </si>
  <si>
    <t>金融機関名</t>
    <rPh sb="0" eb="2">
      <t>キンユウ</t>
    </rPh>
    <rPh sb="2" eb="4">
      <t>キカン</t>
    </rPh>
    <rPh sb="4" eb="5">
      <t>メイ</t>
    </rPh>
    <phoneticPr fontId="13"/>
  </si>
  <si>
    <t>支店名</t>
    <rPh sb="0" eb="3">
      <t>シテンメイ</t>
    </rPh>
    <phoneticPr fontId="13"/>
  </si>
  <si>
    <t>口座種別</t>
    <rPh sb="0" eb="2">
      <t>コウザ</t>
    </rPh>
    <rPh sb="2" eb="4">
      <t>シュベツ</t>
    </rPh>
    <phoneticPr fontId="13"/>
  </si>
  <si>
    <t>口座番号</t>
    <rPh sb="0" eb="2">
      <t>コウザ</t>
    </rPh>
    <rPh sb="2" eb="4">
      <t>バンゴウ</t>
    </rPh>
    <phoneticPr fontId="13"/>
  </si>
  <si>
    <t>担　当　者</t>
    <rPh sb="0" eb="1">
      <t>タン</t>
    </rPh>
    <rPh sb="2" eb="3">
      <t>トウ</t>
    </rPh>
    <rPh sb="4" eb="5">
      <t>モノ</t>
    </rPh>
    <phoneticPr fontId="9"/>
  </si>
  <si>
    <t>氏　名</t>
    <rPh sb="0" eb="1">
      <t>シ</t>
    </rPh>
    <rPh sb="2" eb="3">
      <t>ナ</t>
    </rPh>
    <phoneticPr fontId="9"/>
  </si>
  <si>
    <t>電話番号</t>
    <rPh sb="0" eb="1">
      <t>デン</t>
    </rPh>
    <rPh sb="1" eb="2">
      <t>ハナシ</t>
    </rPh>
    <rPh sb="2" eb="4">
      <t>バンゴウ</t>
    </rPh>
    <phoneticPr fontId="9"/>
  </si>
  <si>
    <t>メールアドレス</t>
  </si>
  <si>
    <t>以下のとおりです。</t>
    <phoneticPr fontId="13"/>
  </si>
  <si>
    <r>
      <t>振込先情報</t>
    </r>
    <r>
      <rPr>
        <b/>
        <sz val="12"/>
        <color rgb="FFFF0000"/>
        <rFont val="Yu Gothic"/>
        <family val="3"/>
        <charset val="128"/>
        <scheme val="minor"/>
      </rPr>
      <t>※2</t>
    </r>
    <rPh sb="0" eb="3">
      <t>フリコミサキ</t>
    </rPh>
    <rPh sb="3" eb="5">
      <t>ジョウホウ</t>
    </rPh>
    <phoneticPr fontId="9"/>
  </si>
  <si>
    <t>金融機関コード</t>
    <rPh sb="0" eb="2">
      <t>キンユウ</t>
    </rPh>
    <rPh sb="2" eb="4">
      <t>キカン</t>
    </rPh>
    <phoneticPr fontId="42"/>
  </si>
  <si>
    <t>←４桁の金融機関コードを半角数字で入力してください。</t>
    <rPh sb="2" eb="3">
      <t>ケタ</t>
    </rPh>
    <rPh sb="4" eb="6">
      <t>キンユウ</t>
    </rPh>
    <rPh sb="6" eb="8">
      <t>キカン</t>
    </rPh>
    <rPh sb="12" eb="14">
      <t>ハンカク</t>
    </rPh>
    <rPh sb="14" eb="16">
      <t>スウジ</t>
    </rPh>
    <rPh sb="17" eb="19">
      <t>ニュウリョク</t>
    </rPh>
    <phoneticPr fontId="13"/>
  </si>
  <si>
    <t>支店番号</t>
    <rPh sb="0" eb="2">
      <t>シテン</t>
    </rPh>
    <rPh sb="2" eb="4">
      <t>バンゴウ</t>
    </rPh>
    <phoneticPr fontId="42"/>
  </si>
  <si>
    <t>←３桁の支店コードを半角数字で入力してください。</t>
    <rPh sb="2" eb="3">
      <t>ケタ</t>
    </rPh>
    <rPh sb="4" eb="6">
      <t>シテン</t>
    </rPh>
    <rPh sb="10" eb="12">
      <t>ハンカク</t>
    </rPh>
    <rPh sb="12" eb="14">
      <t>スウジ</t>
    </rPh>
    <rPh sb="15" eb="17">
      <t>ニュウリョク</t>
    </rPh>
    <phoneticPr fontId="13"/>
  </si>
  <si>
    <t>金融機関名</t>
    <rPh sb="0" eb="2">
      <t>キンユウ</t>
    </rPh>
    <rPh sb="2" eb="4">
      <t>キカン</t>
    </rPh>
    <rPh sb="4" eb="5">
      <t>メイ</t>
    </rPh>
    <phoneticPr fontId="42"/>
  </si>
  <si>
    <t>←「株式会社」は不要。「銀行」、「信用金庫」等まで入力してください。</t>
    <rPh sb="2" eb="4">
      <t>カブシキ</t>
    </rPh>
    <rPh sb="4" eb="6">
      <t>カイシャ</t>
    </rPh>
    <rPh sb="8" eb="10">
      <t>フヨウ</t>
    </rPh>
    <rPh sb="12" eb="14">
      <t>ギンコウ</t>
    </rPh>
    <rPh sb="17" eb="19">
      <t>シンヨウ</t>
    </rPh>
    <rPh sb="19" eb="21">
      <t>キンコ</t>
    </rPh>
    <rPh sb="22" eb="23">
      <t>トウ</t>
    </rPh>
    <rPh sb="25" eb="27">
      <t>ニュウリョク</t>
    </rPh>
    <phoneticPr fontId="13"/>
  </si>
  <si>
    <t>店　名</t>
    <rPh sb="0" eb="1">
      <t>ミセ</t>
    </rPh>
    <rPh sb="2" eb="3">
      <t>ナ</t>
    </rPh>
    <phoneticPr fontId="42"/>
  </si>
  <si>
    <t>←「支店」、「営業部」まで入力してください。</t>
    <rPh sb="2" eb="4">
      <t>シテン</t>
    </rPh>
    <rPh sb="7" eb="10">
      <t>エイギョウブ</t>
    </rPh>
    <rPh sb="13" eb="15">
      <t>ニュウリョク</t>
    </rPh>
    <phoneticPr fontId="13"/>
  </si>
  <si>
    <t>預金種類</t>
    <rPh sb="0" eb="2">
      <t>ヨキン</t>
    </rPh>
    <rPh sb="2" eb="4">
      <t>シュルイ</t>
    </rPh>
    <phoneticPr fontId="42"/>
  </si>
  <si>
    <t>１．普通　２．当座　（数字を記入してください。）</t>
    <rPh sb="7" eb="9">
      <t>トウザ</t>
    </rPh>
    <rPh sb="11" eb="13">
      <t>スウジ</t>
    </rPh>
    <rPh sb="14" eb="16">
      <t>キニュウ</t>
    </rPh>
    <phoneticPr fontId="42"/>
  </si>
  <si>
    <t>口座番号</t>
    <rPh sb="0" eb="2">
      <t>コウザ</t>
    </rPh>
    <rPh sb="2" eb="4">
      <t>バンゴウ</t>
    </rPh>
    <phoneticPr fontId="42"/>
  </si>
  <si>
    <t>←番号が７桁以下の場合は先頭に「0」を入力してください。</t>
    <rPh sb="1" eb="3">
      <t>バンゴウ</t>
    </rPh>
    <rPh sb="5" eb="6">
      <t>ケタ</t>
    </rPh>
    <rPh sb="6" eb="8">
      <t>イカ</t>
    </rPh>
    <rPh sb="9" eb="11">
      <t>バアイ</t>
    </rPh>
    <rPh sb="12" eb="14">
      <t>セントウ</t>
    </rPh>
    <rPh sb="19" eb="21">
      <t>ニュウリョク</t>
    </rPh>
    <phoneticPr fontId="13"/>
  </si>
  <si>
    <t>口座名義（ｶﾅ）</t>
    <rPh sb="0" eb="2">
      <t>コウザ</t>
    </rPh>
    <rPh sb="2" eb="4">
      <t>メイギ</t>
    </rPh>
    <phoneticPr fontId="9"/>
  </si>
  <si>
    <t>口座名義</t>
    <rPh sb="0" eb="2">
      <t>コウザ</t>
    </rPh>
    <rPh sb="2" eb="4">
      <t>メイギ</t>
    </rPh>
    <phoneticPr fontId="9"/>
  </si>
  <si>
    <t>←コメントまとめ</t>
    <phoneticPr fontId="13"/>
  </si>
  <si>
    <t>歳入</t>
    <rPh sb="0" eb="2">
      <t>サイニュウ</t>
    </rPh>
    <phoneticPr fontId="42"/>
  </si>
  <si>
    <t>款</t>
    <rPh sb="0" eb="1">
      <t>カン</t>
    </rPh>
    <phoneticPr fontId="42"/>
  </si>
  <si>
    <t>項</t>
    <rPh sb="0" eb="1">
      <t>コウ</t>
    </rPh>
    <phoneticPr fontId="42"/>
  </si>
  <si>
    <t>目</t>
    <rPh sb="0" eb="1">
      <t>モク</t>
    </rPh>
    <phoneticPr fontId="42"/>
  </si>
  <si>
    <t>予算現額</t>
    <rPh sb="0" eb="2">
      <t>ヨサン</t>
    </rPh>
    <rPh sb="2" eb="3">
      <t>ウツツ</t>
    </rPh>
    <rPh sb="3" eb="4">
      <t>ガク</t>
    </rPh>
    <phoneticPr fontId="42"/>
  </si>
  <si>
    <t>節</t>
    <rPh sb="0" eb="1">
      <t>セツ</t>
    </rPh>
    <phoneticPr fontId="42"/>
  </si>
  <si>
    <t>備考</t>
    <rPh sb="0" eb="2">
      <t>ビコウ</t>
    </rPh>
    <phoneticPr fontId="42"/>
  </si>
  <si>
    <t>入力区分</t>
    <rPh sb="0" eb="2">
      <t>ニュウリョク</t>
    </rPh>
    <rPh sb="2" eb="4">
      <t>クブン</t>
    </rPh>
    <phoneticPr fontId="13"/>
  </si>
  <si>
    <t>区分</t>
    <rPh sb="0" eb="2">
      <t>クブン</t>
    </rPh>
    <phoneticPr fontId="42"/>
  </si>
  <si>
    <t>金額</t>
    <rPh sb="0" eb="2">
      <t>キンガク</t>
    </rPh>
    <phoneticPr fontId="42"/>
  </si>
  <si>
    <t>歳入</t>
    <rPh sb="0" eb="2">
      <t>サイニュウ</t>
    </rPh>
    <phoneticPr fontId="13"/>
  </si>
  <si>
    <t>歳出</t>
    <rPh sb="0" eb="2">
      <t>サイシュツ</t>
    </rPh>
    <phoneticPr fontId="13"/>
  </si>
  <si>
    <t>歳出</t>
    <rPh sb="0" eb="2">
      <t>サイシュツ</t>
    </rPh>
    <phoneticPr fontId="42"/>
  </si>
  <si>
    <t>　　　原本と相違ないことを証明します。</t>
    <rPh sb="3" eb="5">
      <t>ゲンポン</t>
    </rPh>
    <rPh sb="6" eb="8">
      <t>ソウイ</t>
    </rPh>
    <rPh sb="13" eb="15">
      <t>ショウメイ</t>
    </rPh>
    <phoneticPr fontId="42"/>
  </si>
  <si>
    <t>補助事業者名　</t>
    <rPh sb="0" eb="2">
      <t>ホジョ</t>
    </rPh>
    <rPh sb="2" eb="5">
      <t>ジギョウシャ</t>
    </rPh>
    <rPh sb="5" eb="6">
      <t>メイ</t>
    </rPh>
    <phoneticPr fontId="13"/>
  </si>
  <si>
    <t>代表者職氏名</t>
    <rPh sb="0" eb="3">
      <t>ダイヒョウシャ</t>
    </rPh>
    <rPh sb="3" eb="4">
      <t>ショク</t>
    </rPh>
    <rPh sb="4" eb="6">
      <t>シメイ</t>
    </rPh>
    <phoneticPr fontId="42"/>
  </si>
  <si>
    <t>(注）節の金額が他の事業を含む場合は、当該補助対象事業分を備考欄に記入すること。</t>
    <rPh sb="1" eb="2">
      <t>チュウ</t>
    </rPh>
    <rPh sb="3" eb="4">
      <t>セツ</t>
    </rPh>
    <rPh sb="5" eb="7">
      <t>キンガク</t>
    </rPh>
    <rPh sb="8" eb="9">
      <t>タ</t>
    </rPh>
    <rPh sb="10" eb="12">
      <t>ジギョウ</t>
    </rPh>
    <rPh sb="13" eb="14">
      <t>フク</t>
    </rPh>
    <rPh sb="15" eb="17">
      <t>バアイ</t>
    </rPh>
    <rPh sb="19" eb="21">
      <t>トウガイ</t>
    </rPh>
    <rPh sb="21" eb="23">
      <t>ホジョ</t>
    </rPh>
    <rPh sb="23" eb="25">
      <t>タイショウ</t>
    </rPh>
    <rPh sb="25" eb="27">
      <t>ジギョウ</t>
    </rPh>
    <rPh sb="27" eb="28">
      <t>ブン</t>
    </rPh>
    <rPh sb="29" eb="31">
      <t>ビコウ</t>
    </rPh>
    <rPh sb="31" eb="32">
      <t>ラン</t>
    </rPh>
    <rPh sb="33" eb="35">
      <t>キニュウ</t>
    </rPh>
    <phoneticPr fontId="42"/>
  </si>
  <si>
    <t>　なお、本協議を行う者は、補助事業者として補助金等に係る予算の執行の適正化に関する法律（昭和三十年法律第百七十九号）（以下、「法」という。）第３条第２項に定める責務を負うものであること及び、本協議は法第26条第１項及び第２項に基づき本補助金に係る事務を実施することとした都道府県が法第６条に基づく交付決定を行うにあたり補助事業等の目的及び内容が適正であるかどうかを確認するために行うためのものであり、補助事業者として協議に係る補助事業の目的及び内容について必要な説明責任を負うものであることについて確認しました。</t>
    <rPh sb="4" eb="7">
      <t>ホンキョウギ</t>
    </rPh>
    <rPh sb="8" eb="9">
      <t>オコナ</t>
    </rPh>
    <rPh sb="10" eb="11">
      <t>モノ</t>
    </rPh>
    <rPh sb="13" eb="15">
      <t>ホジョ</t>
    </rPh>
    <rPh sb="15" eb="18">
      <t>ジギョウシャ</t>
    </rPh>
    <rPh sb="21" eb="24">
      <t>ホジョキン</t>
    </rPh>
    <rPh sb="24" eb="25">
      <t>トウ</t>
    </rPh>
    <rPh sb="26" eb="27">
      <t>カカ</t>
    </rPh>
    <rPh sb="28" eb="30">
      <t>ヨサン</t>
    </rPh>
    <rPh sb="31" eb="33">
      <t>シッコウ</t>
    </rPh>
    <rPh sb="34" eb="37">
      <t>テキセイカ</t>
    </rPh>
    <rPh sb="38" eb="39">
      <t>カン</t>
    </rPh>
    <rPh sb="41" eb="43">
      <t>ホウリツ</t>
    </rPh>
    <rPh sb="44" eb="46">
      <t>ショウワ</t>
    </rPh>
    <rPh sb="46" eb="49">
      <t>サンジュウネン</t>
    </rPh>
    <rPh sb="49" eb="51">
      <t>ホウリツ</t>
    </rPh>
    <rPh sb="51" eb="52">
      <t>ダイ</t>
    </rPh>
    <rPh sb="52" eb="57">
      <t>ヒャクナナジュウキュウゴウ</t>
    </rPh>
    <rPh sb="59" eb="61">
      <t>イカ</t>
    </rPh>
    <rPh sb="63" eb="64">
      <t>ホウ</t>
    </rPh>
    <rPh sb="70" eb="71">
      <t>ダイ</t>
    </rPh>
    <rPh sb="72" eb="73">
      <t>ジョウ</t>
    </rPh>
    <rPh sb="73" eb="74">
      <t>ダイ</t>
    </rPh>
    <rPh sb="75" eb="76">
      <t>コウ</t>
    </rPh>
    <rPh sb="77" eb="78">
      <t>サダ</t>
    </rPh>
    <rPh sb="80" eb="82">
      <t>セキム</t>
    </rPh>
    <rPh sb="83" eb="84">
      <t>オ</t>
    </rPh>
    <rPh sb="92" eb="93">
      <t>オヨ</t>
    </rPh>
    <rPh sb="95" eb="98">
      <t>ホンキョウギ</t>
    </rPh>
    <rPh sb="100" eb="101">
      <t>ダイ</t>
    </rPh>
    <rPh sb="103" eb="104">
      <t>ジョウ</t>
    </rPh>
    <rPh sb="104" eb="105">
      <t>ダイ</t>
    </rPh>
    <rPh sb="106" eb="107">
      <t>コウ</t>
    </rPh>
    <rPh sb="107" eb="108">
      <t>オヨ</t>
    </rPh>
    <rPh sb="109" eb="110">
      <t>ダイ</t>
    </rPh>
    <rPh sb="111" eb="112">
      <t>コウ</t>
    </rPh>
    <rPh sb="113" eb="114">
      <t>モト</t>
    </rPh>
    <rPh sb="116" eb="117">
      <t>ホン</t>
    </rPh>
    <rPh sb="117" eb="120">
      <t>ホジョキン</t>
    </rPh>
    <rPh sb="121" eb="122">
      <t>カカ</t>
    </rPh>
    <rPh sb="123" eb="125">
      <t>ジム</t>
    </rPh>
    <rPh sb="126" eb="128">
      <t>ジッシ</t>
    </rPh>
    <rPh sb="135" eb="139">
      <t>トドウフケン</t>
    </rPh>
    <rPh sb="141" eb="142">
      <t>ダイ</t>
    </rPh>
    <rPh sb="143" eb="144">
      <t>ジョウ</t>
    </rPh>
    <rPh sb="145" eb="146">
      <t>モト</t>
    </rPh>
    <rPh sb="148" eb="150">
      <t>コウフ</t>
    </rPh>
    <rPh sb="150" eb="152">
      <t>ケッテイ</t>
    </rPh>
    <rPh sb="153" eb="154">
      <t>オコナ</t>
    </rPh>
    <rPh sb="182" eb="184">
      <t>カクニン</t>
    </rPh>
    <rPh sb="189" eb="190">
      <t>オコナ</t>
    </rPh>
    <rPh sb="200" eb="202">
      <t>ホジョ</t>
    </rPh>
    <rPh sb="202" eb="205">
      <t>ジギョウシャ</t>
    </rPh>
    <rPh sb="208" eb="210">
      <t>キョウギ</t>
    </rPh>
    <rPh sb="211" eb="212">
      <t>カカ</t>
    </rPh>
    <rPh sb="213" eb="215">
      <t>ホジョ</t>
    </rPh>
    <rPh sb="215" eb="217">
      <t>ジギョウ</t>
    </rPh>
    <rPh sb="218" eb="220">
      <t>モクテキ</t>
    </rPh>
    <rPh sb="220" eb="221">
      <t>オヨ</t>
    </rPh>
    <rPh sb="222" eb="224">
      <t>ナイヨウ</t>
    </rPh>
    <rPh sb="228" eb="230">
      <t>ヒツヨウ</t>
    </rPh>
    <rPh sb="231" eb="233">
      <t>セツメイ</t>
    </rPh>
    <rPh sb="233" eb="235">
      <t>セキニン</t>
    </rPh>
    <rPh sb="249" eb="251">
      <t>カクニン</t>
    </rPh>
    <phoneticPr fontId="9"/>
  </si>
  <si>
    <t>個別病床</t>
    <rPh sb="0" eb="2">
      <t>コベツ</t>
    </rPh>
    <rPh sb="2" eb="4">
      <t>ビョウショウ</t>
    </rPh>
    <phoneticPr fontId="13"/>
  </si>
  <si>
    <t>病床1</t>
    <rPh sb="0" eb="2">
      <t>ビョウショウ</t>
    </rPh>
    <phoneticPr fontId="13"/>
  </si>
  <si>
    <t>病床2</t>
    <rPh sb="0" eb="2">
      <t>ビョウショウ</t>
    </rPh>
    <phoneticPr fontId="13"/>
  </si>
  <si>
    <t>病床3</t>
    <rPh sb="0" eb="2">
      <t>ビョウショウ</t>
    </rPh>
    <phoneticPr fontId="13"/>
  </si>
  <si>
    <t>病床4</t>
    <rPh sb="0" eb="2">
      <t>ビョウショウ</t>
    </rPh>
    <phoneticPr fontId="13"/>
  </si>
  <si>
    <t>病床5</t>
    <rPh sb="0" eb="2">
      <t>ビョウショウ</t>
    </rPh>
    <phoneticPr fontId="13"/>
  </si>
  <si>
    <t>病床6</t>
    <rPh sb="0" eb="2">
      <t>ビョウショウ</t>
    </rPh>
    <phoneticPr fontId="13"/>
  </si>
  <si>
    <t>病床7</t>
    <rPh sb="0" eb="2">
      <t>ビョウショウ</t>
    </rPh>
    <phoneticPr fontId="13"/>
  </si>
  <si>
    <t>病床8</t>
    <rPh sb="0" eb="2">
      <t>ビョウショウ</t>
    </rPh>
    <phoneticPr fontId="13"/>
  </si>
  <si>
    <t>病床9</t>
    <rPh sb="0" eb="2">
      <t>ビョウショウ</t>
    </rPh>
    <phoneticPr fontId="13"/>
  </si>
  <si>
    <t>病床10</t>
    <rPh sb="0" eb="2">
      <t>ビョウショウ</t>
    </rPh>
    <phoneticPr fontId="13"/>
  </si>
  <si>
    <t>病床11</t>
    <rPh sb="0" eb="2">
      <t>ビョウショウ</t>
    </rPh>
    <phoneticPr fontId="13"/>
  </si>
  <si>
    <t>病床12</t>
    <rPh sb="0" eb="2">
      <t>ビョウショウ</t>
    </rPh>
    <phoneticPr fontId="13"/>
  </si>
  <si>
    <t>病床13</t>
    <rPh sb="0" eb="2">
      <t>ビョウショウ</t>
    </rPh>
    <phoneticPr fontId="13"/>
  </si>
  <si>
    <t>病床14</t>
    <rPh sb="0" eb="2">
      <t>ビョウショウ</t>
    </rPh>
    <phoneticPr fontId="13"/>
  </si>
  <si>
    <t>病床15</t>
    <rPh sb="0" eb="2">
      <t>ビョウショウ</t>
    </rPh>
    <phoneticPr fontId="13"/>
  </si>
  <si>
    <t>病床16</t>
    <rPh sb="0" eb="2">
      <t>ビョウショウ</t>
    </rPh>
    <phoneticPr fontId="13"/>
  </si>
  <si>
    <t>病床17</t>
    <rPh sb="0" eb="2">
      <t>ビョウショウ</t>
    </rPh>
    <phoneticPr fontId="13"/>
  </si>
  <si>
    <t>病床18</t>
    <rPh sb="0" eb="2">
      <t>ビョウショウ</t>
    </rPh>
    <phoneticPr fontId="13"/>
  </si>
  <si>
    <t>病床19</t>
    <rPh sb="0" eb="2">
      <t>ビョウショウ</t>
    </rPh>
    <phoneticPr fontId="13"/>
  </si>
  <si>
    <t>病床20</t>
    <rPh sb="0" eb="2">
      <t>ビョウショウ</t>
    </rPh>
    <phoneticPr fontId="13"/>
  </si>
  <si>
    <t>病床21</t>
    <rPh sb="0" eb="2">
      <t>ビョウショウ</t>
    </rPh>
    <phoneticPr fontId="13"/>
  </si>
  <si>
    <t>病床22</t>
    <rPh sb="0" eb="2">
      <t>ビョウショウ</t>
    </rPh>
    <phoneticPr fontId="13"/>
  </si>
  <si>
    <t>病床23</t>
    <rPh sb="0" eb="2">
      <t>ビョウショウ</t>
    </rPh>
    <phoneticPr fontId="13"/>
  </si>
  <si>
    <t>病床24</t>
    <rPh sb="0" eb="2">
      <t>ビョウショウ</t>
    </rPh>
    <phoneticPr fontId="13"/>
  </si>
  <si>
    <t>病床25</t>
    <rPh sb="0" eb="2">
      <t>ビョウショウ</t>
    </rPh>
    <phoneticPr fontId="13"/>
  </si>
  <si>
    <t>病床26</t>
    <rPh sb="0" eb="2">
      <t>ビョウショウ</t>
    </rPh>
    <phoneticPr fontId="13"/>
  </si>
  <si>
    <t>病床27</t>
    <rPh sb="0" eb="2">
      <t>ビョウショウ</t>
    </rPh>
    <phoneticPr fontId="13"/>
  </si>
  <si>
    <t>病床28</t>
    <rPh sb="0" eb="2">
      <t>ビョウショウ</t>
    </rPh>
    <phoneticPr fontId="13"/>
  </si>
  <si>
    <t>病床29</t>
    <rPh sb="0" eb="2">
      <t>ビョウショウ</t>
    </rPh>
    <phoneticPr fontId="13"/>
  </si>
  <si>
    <t>病床30</t>
    <rPh sb="0" eb="2">
      <t>ビョウショウ</t>
    </rPh>
    <phoneticPr fontId="13"/>
  </si>
  <si>
    <t>病床31</t>
    <rPh sb="0" eb="2">
      <t>ビョウショウ</t>
    </rPh>
    <phoneticPr fontId="13"/>
  </si>
  <si>
    <t>病床32</t>
    <rPh sb="0" eb="2">
      <t>ビョウショウ</t>
    </rPh>
    <phoneticPr fontId="13"/>
  </si>
  <si>
    <t>病床33</t>
    <rPh sb="0" eb="2">
      <t>ビョウショウ</t>
    </rPh>
    <phoneticPr fontId="13"/>
  </si>
  <si>
    <t>病床34</t>
    <rPh sb="0" eb="2">
      <t>ビョウショウ</t>
    </rPh>
    <phoneticPr fontId="13"/>
  </si>
  <si>
    <t>病床35</t>
    <rPh sb="0" eb="2">
      <t>ビョウショウ</t>
    </rPh>
    <phoneticPr fontId="13"/>
  </si>
  <si>
    <t>病床36</t>
    <rPh sb="0" eb="2">
      <t>ビョウショウ</t>
    </rPh>
    <phoneticPr fontId="13"/>
  </si>
  <si>
    <t>病床37</t>
    <rPh sb="0" eb="2">
      <t>ビョウショウ</t>
    </rPh>
    <phoneticPr fontId="13"/>
  </si>
  <si>
    <t>病床38</t>
    <rPh sb="0" eb="2">
      <t>ビョウショウ</t>
    </rPh>
    <phoneticPr fontId="13"/>
  </si>
  <si>
    <t>病床39</t>
    <rPh sb="0" eb="2">
      <t>ビョウショウ</t>
    </rPh>
    <phoneticPr fontId="13"/>
  </si>
  <si>
    <t>病床40</t>
    <rPh sb="0" eb="2">
      <t>ビョウショウ</t>
    </rPh>
    <phoneticPr fontId="13"/>
  </si>
  <si>
    <t>病床41</t>
    <rPh sb="0" eb="2">
      <t>ビョウショウ</t>
    </rPh>
    <phoneticPr fontId="13"/>
  </si>
  <si>
    <t>病床42</t>
    <rPh sb="0" eb="2">
      <t>ビョウショウ</t>
    </rPh>
    <phoneticPr fontId="13"/>
  </si>
  <si>
    <t>病床43</t>
    <rPh sb="0" eb="2">
      <t>ビョウショウ</t>
    </rPh>
    <phoneticPr fontId="13"/>
  </si>
  <si>
    <t>病床44</t>
    <rPh sb="0" eb="2">
      <t>ビョウショウ</t>
    </rPh>
    <phoneticPr fontId="13"/>
  </si>
  <si>
    <t>病床45</t>
    <rPh sb="0" eb="2">
      <t>ビョウショウ</t>
    </rPh>
    <phoneticPr fontId="13"/>
  </si>
  <si>
    <t>病床46</t>
    <rPh sb="0" eb="2">
      <t>ビョウショウ</t>
    </rPh>
    <phoneticPr fontId="13"/>
  </si>
  <si>
    <t>病床47</t>
    <rPh sb="0" eb="2">
      <t>ビョウショウ</t>
    </rPh>
    <phoneticPr fontId="13"/>
  </si>
  <si>
    <t>病床48</t>
    <rPh sb="0" eb="2">
      <t>ビョウショウ</t>
    </rPh>
    <phoneticPr fontId="13"/>
  </si>
  <si>
    <t>病床49</t>
    <rPh sb="0" eb="2">
      <t>ビョウショウ</t>
    </rPh>
    <phoneticPr fontId="13"/>
  </si>
  <si>
    <t>病床50</t>
    <rPh sb="0" eb="2">
      <t>ビョウショウ</t>
    </rPh>
    <phoneticPr fontId="13"/>
  </si>
  <si>
    <t>病床51</t>
    <rPh sb="0" eb="2">
      <t>ビョウショウ</t>
    </rPh>
    <phoneticPr fontId="13"/>
  </si>
  <si>
    <t>病床52</t>
    <rPh sb="0" eb="2">
      <t>ビョウショウ</t>
    </rPh>
    <phoneticPr fontId="13"/>
  </si>
  <si>
    <t>病床53</t>
    <rPh sb="0" eb="2">
      <t>ビョウショウ</t>
    </rPh>
    <phoneticPr fontId="13"/>
  </si>
  <si>
    <t>病床54</t>
    <rPh sb="0" eb="2">
      <t>ビョウショウ</t>
    </rPh>
    <phoneticPr fontId="13"/>
  </si>
  <si>
    <t>病床55</t>
    <rPh sb="0" eb="2">
      <t>ビョウショウ</t>
    </rPh>
    <phoneticPr fontId="13"/>
  </si>
  <si>
    <t>病床56</t>
    <rPh sb="0" eb="2">
      <t>ビョウショウ</t>
    </rPh>
    <phoneticPr fontId="13"/>
  </si>
  <si>
    <t>病床57</t>
    <rPh sb="0" eb="2">
      <t>ビョウショウ</t>
    </rPh>
    <phoneticPr fontId="13"/>
  </si>
  <si>
    <t>病床58</t>
    <rPh sb="0" eb="2">
      <t>ビョウショウ</t>
    </rPh>
    <phoneticPr fontId="13"/>
  </si>
  <si>
    <t>病床59</t>
    <rPh sb="0" eb="2">
      <t>ビョウショウ</t>
    </rPh>
    <phoneticPr fontId="13"/>
  </si>
  <si>
    <t>病床60</t>
    <rPh sb="0" eb="2">
      <t>ビョウショウ</t>
    </rPh>
    <phoneticPr fontId="13"/>
  </si>
  <si>
    <t>病床61</t>
    <rPh sb="0" eb="2">
      <t>ビョウショウ</t>
    </rPh>
    <phoneticPr fontId="13"/>
  </si>
  <si>
    <t>病床62</t>
    <rPh sb="0" eb="2">
      <t>ビョウショウ</t>
    </rPh>
    <phoneticPr fontId="13"/>
  </si>
  <si>
    <t>病床63</t>
    <rPh sb="0" eb="2">
      <t>ビョウショウ</t>
    </rPh>
    <phoneticPr fontId="13"/>
  </si>
  <si>
    <t>病床64</t>
    <rPh sb="0" eb="2">
      <t>ビョウショウ</t>
    </rPh>
    <phoneticPr fontId="13"/>
  </si>
  <si>
    <t>病床65</t>
    <rPh sb="0" eb="2">
      <t>ビョウショウ</t>
    </rPh>
    <phoneticPr fontId="13"/>
  </si>
  <si>
    <t>病床66</t>
    <rPh sb="0" eb="2">
      <t>ビョウショウ</t>
    </rPh>
    <phoneticPr fontId="13"/>
  </si>
  <si>
    <t>病床67</t>
    <rPh sb="0" eb="2">
      <t>ビョウショウ</t>
    </rPh>
    <phoneticPr fontId="13"/>
  </si>
  <si>
    <t>病床68</t>
    <rPh sb="0" eb="2">
      <t>ビョウショウ</t>
    </rPh>
    <phoneticPr fontId="13"/>
  </si>
  <si>
    <t>病床69</t>
    <rPh sb="0" eb="2">
      <t>ビョウショウ</t>
    </rPh>
    <phoneticPr fontId="13"/>
  </si>
  <si>
    <t>病床70</t>
    <rPh sb="0" eb="2">
      <t>ビョウショウ</t>
    </rPh>
    <phoneticPr fontId="13"/>
  </si>
  <si>
    <t>病床71</t>
    <rPh sb="0" eb="2">
      <t>ビョウショウ</t>
    </rPh>
    <phoneticPr fontId="13"/>
  </si>
  <si>
    <t>病床72</t>
    <rPh sb="0" eb="2">
      <t>ビョウショウ</t>
    </rPh>
    <phoneticPr fontId="13"/>
  </si>
  <si>
    <t>病床73</t>
    <rPh sb="0" eb="2">
      <t>ビョウショウ</t>
    </rPh>
    <phoneticPr fontId="13"/>
  </si>
  <si>
    <t>病床74</t>
    <rPh sb="0" eb="2">
      <t>ビョウショウ</t>
    </rPh>
    <phoneticPr fontId="13"/>
  </si>
  <si>
    <t>病床75</t>
    <rPh sb="0" eb="2">
      <t>ビョウショウ</t>
    </rPh>
    <phoneticPr fontId="13"/>
  </si>
  <si>
    <t>病床76</t>
    <rPh sb="0" eb="2">
      <t>ビョウショウ</t>
    </rPh>
    <phoneticPr fontId="13"/>
  </si>
  <si>
    <t>病床77</t>
    <rPh sb="0" eb="2">
      <t>ビョウショウ</t>
    </rPh>
    <phoneticPr fontId="13"/>
  </si>
  <si>
    <t>病床78</t>
    <rPh sb="0" eb="2">
      <t>ビョウショウ</t>
    </rPh>
    <phoneticPr fontId="13"/>
  </si>
  <si>
    <t>病床79</t>
    <rPh sb="0" eb="2">
      <t>ビョウショウ</t>
    </rPh>
    <phoneticPr fontId="13"/>
  </si>
  <si>
    <t>病床80</t>
    <rPh sb="0" eb="2">
      <t>ビョウショウ</t>
    </rPh>
    <phoneticPr fontId="13"/>
  </si>
  <si>
    <t>病床81</t>
    <rPh sb="0" eb="2">
      <t>ビョウショウ</t>
    </rPh>
    <phoneticPr fontId="13"/>
  </si>
  <si>
    <t>病床82</t>
    <rPh sb="0" eb="2">
      <t>ビョウショウ</t>
    </rPh>
    <phoneticPr fontId="13"/>
  </si>
  <si>
    <t>病床83</t>
    <rPh sb="0" eb="2">
      <t>ビョウショウ</t>
    </rPh>
    <phoneticPr fontId="13"/>
  </si>
  <si>
    <t>病床84</t>
    <rPh sb="0" eb="2">
      <t>ビョウショウ</t>
    </rPh>
    <phoneticPr fontId="13"/>
  </si>
  <si>
    <t>病床85</t>
    <rPh sb="0" eb="2">
      <t>ビョウショウ</t>
    </rPh>
    <phoneticPr fontId="13"/>
  </si>
  <si>
    <t>病床86</t>
    <rPh sb="0" eb="2">
      <t>ビョウショウ</t>
    </rPh>
    <phoneticPr fontId="13"/>
  </si>
  <si>
    <t>病床87</t>
    <rPh sb="0" eb="2">
      <t>ビョウショウ</t>
    </rPh>
    <phoneticPr fontId="13"/>
  </si>
  <si>
    <t>病床88</t>
    <rPh sb="0" eb="2">
      <t>ビョウショウ</t>
    </rPh>
    <phoneticPr fontId="13"/>
  </si>
  <si>
    <t>病床89</t>
    <rPh sb="0" eb="2">
      <t>ビョウショウ</t>
    </rPh>
    <phoneticPr fontId="13"/>
  </si>
  <si>
    <t>病床90</t>
    <rPh sb="0" eb="2">
      <t>ビョウショウ</t>
    </rPh>
    <phoneticPr fontId="13"/>
  </si>
  <si>
    <t>病床91</t>
    <rPh sb="0" eb="2">
      <t>ビョウショウ</t>
    </rPh>
    <phoneticPr fontId="13"/>
  </si>
  <si>
    <t>病床92</t>
    <rPh sb="0" eb="2">
      <t>ビョウショウ</t>
    </rPh>
    <phoneticPr fontId="13"/>
  </si>
  <si>
    <t>病床93</t>
    <rPh sb="0" eb="2">
      <t>ビョウショウ</t>
    </rPh>
    <phoneticPr fontId="13"/>
  </si>
  <si>
    <t>病床94</t>
    <rPh sb="0" eb="2">
      <t>ビョウショウ</t>
    </rPh>
    <phoneticPr fontId="13"/>
  </si>
  <si>
    <t>病床95</t>
    <rPh sb="0" eb="2">
      <t>ビョウショウ</t>
    </rPh>
    <phoneticPr fontId="13"/>
  </si>
  <si>
    <t>病床96</t>
    <rPh sb="0" eb="2">
      <t>ビョウショウ</t>
    </rPh>
    <phoneticPr fontId="13"/>
  </si>
  <si>
    <t>病床97</t>
    <rPh sb="0" eb="2">
      <t>ビョウショウ</t>
    </rPh>
    <phoneticPr fontId="13"/>
  </si>
  <si>
    <t>病床98</t>
    <rPh sb="0" eb="2">
      <t>ビョウショウ</t>
    </rPh>
    <phoneticPr fontId="13"/>
  </si>
  <si>
    <t>病床99</t>
    <rPh sb="0" eb="2">
      <t>ビョウショウ</t>
    </rPh>
    <phoneticPr fontId="13"/>
  </si>
  <si>
    <t>病床100</t>
    <rPh sb="0" eb="2">
      <t>ビョウショウ</t>
    </rPh>
    <phoneticPr fontId="13"/>
  </si>
  <si>
    <t>病床101</t>
    <rPh sb="0" eb="2">
      <t>ビョウショウ</t>
    </rPh>
    <phoneticPr fontId="13"/>
  </si>
  <si>
    <t>病床102</t>
    <rPh sb="0" eb="2">
      <t>ビョウショウ</t>
    </rPh>
    <phoneticPr fontId="13"/>
  </si>
  <si>
    <t>病床103</t>
    <rPh sb="0" eb="2">
      <t>ビョウショウ</t>
    </rPh>
    <phoneticPr fontId="13"/>
  </si>
  <si>
    <t>病床104</t>
    <rPh sb="0" eb="2">
      <t>ビョウショウ</t>
    </rPh>
    <phoneticPr fontId="13"/>
  </si>
  <si>
    <t>病床105</t>
    <rPh sb="0" eb="2">
      <t>ビョウショウ</t>
    </rPh>
    <phoneticPr fontId="13"/>
  </si>
  <si>
    <t>病床106</t>
    <rPh sb="0" eb="2">
      <t>ビョウショウ</t>
    </rPh>
    <phoneticPr fontId="13"/>
  </si>
  <si>
    <t>病床107</t>
    <rPh sb="0" eb="2">
      <t>ビョウショウ</t>
    </rPh>
    <phoneticPr fontId="13"/>
  </si>
  <si>
    <t>病床108</t>
    <rPh sb="0" eb="2">
      <t>ビョウショウ</t>
    </rPh>
    <phoneticPr fontId="13"/>
  </si>
  <si>
    <t>病床109</t>
    <rPh sb="0" eb="2">
      <t>ビョウショウ</t>
    </rPh>
    <phoneticPr fontId="13"/>
  </si>
  <si>
    <t>病床110</t>
    <rPh sb="0" eb="2">
      <t>ビョウショウ</t>
    </rPh>
    <phoneticPr fontId="13"/>
  </si>
  <si>
    <t>病床111</t>
    <rPh sb="0" eb="2">
      <t>ビョウショウ</t>
    </rPh>
    <phoneticPr fontId="13"/>
  </si>
  <si>
    <t>病床112</t>
    <rPh sb="0" eb="2">
      <t>ビョウショウ</t>
    </rPh>
    <phoneticPr fontId="13"/>
  </si>
  <si>
    <t>病床113</t>
    <rPh sb="0" eb="2">
      <t>ビョウショウ</t>
    </rPh>
    <phoneticPr fontId="13"/>
  </si>
  <si>
    <t>病床114</t>
    <rPh sb="0" eb="2">
      <t>ビョウショウ</t>
    </rPh>
    <phoneticPr fontId="13"/>
  </si>
  <si>
    <t>病床115</t>
    <rPh sb="0" eb="2">
      <t>ビョウショウ</t>
    </rPh>
    <phoneticPr fontId="13"/>
  </si>
  <si>
    <t>病床116</t>
    <rPh sb="0" eb="2">
      <t>ビョウショウ</t>
    </rPh>
    <phoneticPr fontId="13"/>
  </si>
  <si>
    <t>病床117</t>
    <rPh sb="0" eb="2">
      <t>ビョウショウ</t>
    </rPh>
    <phoneticPr fontId="13"/>
  </si>
  <si>
    <t>病床118</t>
    <rPh sb="0" eb="2">
      <t>ビョウショウ</t>
    </rPh>
    <phoneticPr fontId="13"/>
  </si>
  <si>
    <t>病床119</t>
    <rPh sb="0" eb="2">
      <t>ビョウショウ</t>
    </rPh>
    <phoneticPr fontId="13"/>
  </si>
  <si>
    <t>病床120</t>
    <rPh sb="0" eb="2">
      <t>ビョウショウ</t>
    </rPh>
    <phoneticPr fontId="13"/>
  </si>
  <si>
    <t>病床121</t>
    <rPh sb="0" eb="2">
      <t>ビョウショウ</t>
    </rPh>
    <phoneticPr fontId="13"/>
  </si>
  <si>
    <t>病床122</t>
    <rPh sb="0" eb="2">
      <t>ビョウショウ</t>
    </rPh>
    <phoneticPr fontId="13"/>
  </si>
  <si>
    <t>病床123</t>
    <rPh sb="0" eb="2">
      <t>ビョウショウ</t>
    </rPh>
    <phoneticPr fontId="13"/>
  </si>
  <si>
    <t>病床124</t>
    <rPh sb="0" eb="2">
      <t>ビョウショウ</t>
    </rPh>
    <phoneticPr fontId="13"/>
  </si>
  <si>
    <t>病床125</t>
    <rPh sb="0" eb="2">
      <t>ビョウショウ</t>
    </rPh>
    <phoneticPr fontId="13"/>
  </si>
  <si>
    <t>病床126</t>
    <rPh sb="0" eb="2">
      <t>ビョウショウ</t>
    </rPh>
    <phoneticPr fontId="13"/>
  </si>
  <si>
    <t>病床127</t>
    <rPh sb="0" eb="2">
      <t>ビョウショウ</t>
    </rPh>
    <phoneticPr fontId="13"/>
  </si>
  <si>
    <t>病床128</t>
    <rPh sb="0" eb="2">
      <t>ビョウショウ</t>
    </rPh>
    <phoneticPr fontId="13"/>
  </si>
  <si>
    <t>病床129</t>
    <rPh sb="0" eb="2">
      <t>ビョウショウ</t>
    </rPh>
    <phoneticPr fontId="13"/>
  </si>
  <si>
    <t>病床130</t>
    <rPh sb="0" eb="2">
      <t>ビョウショウ</t>
    </rPh>
    <phoneticPr fontId="13"/>
  </si>
  <si>
    <t>病床131</t>
    <rPh sb="0" eb="2">
      <t>ビョウショウ</t>
    </rPh>
    <phoneticPr fontId="13"/>
  </si>
  <si>
    <t>病床132</t>
    <rPh sb="0" eb="2">
      <t>ビョウショウ</t>
    </rPh>
    <phoneticPr fontId="13"/>
  </si>
  <si>
    <t>病床133</t>
    <rPh sb="0" eb="2">
      <t>ビョウショウ</t>
    </rPh>
    <phoneticPr fontId="13"/>
  </si>
  <si>
    <t>病床134</t>
    <rPh sb="0" eb="2">
      <t>ビョウショウ</t>
    </rPh>
    <phoneticPr fontId="13"/>
  </si>
  <si>
    <t>病床135</t>
    <rPh sb="0" eb="2">
      <t>ビョウショウ</t>
    </rPh>
    <phoneticPr fontId="13"/>
  </si>
  <si>
    <t>病床136</t>
    <rPh sb="0" eb="2">
      <t>ビョウショウ</t>
    </rPh>
    <phoneticPr fontId="13"/>
  </si>
  <si>
    <t>病床137</t>
    <rPh sb="0" eb="2">
      <t>ビョウショウ</t>
    </rPh>
    <phoneticPr fontId="13"/>
  </si>
  <si>
    <t>病床138</t>
    <rPh sb="0" eb="2">
      <t>ビョウショウ</t>
    </rPh>
    <phoneticPr fontId="13"/>
  </si>
  <si>
    <t>病床139</t>
    <rPh sb="0" eb="2">
      <t>ビョウショウ</t>
    </rPh>
    <phoneticPr fontId="13"/>
  </si>
  <si>
    <t>病床140</t>
    <rPh sb="0" eb="2">
      <t>ビョウショウ</t>
    </rPh>
    <phoneticPr fontId="13"/>
  </si>
  <si>
    <t>病床141</t>
    <rPh sb="0" eb="2">
      <t>ビョウショウ</t>
    </rPh>
    <phoneticPr fontId="13"/>
  </si>
  <si>
    <t>病床142</t>
    <rPh sb="0" eb="2">
      <t>ビョウショウ</t>
    </rPh>
    <phoneticPr fontId="13"/>
  </si>
  <si>
    <t>病床143</t>
    <rPh sb="0" eb="2">
      <t>ビョウショウ</t>
    </rPh>
    <phoneticPr fontId="13"/>
  </si>
  <si>
    <t>病床144</t>
    <rPh sb="0" eb="2">
      <t>ビョウショウ</t>
    </rPh>
    <phoneticPr fontId="13"/>
  </si>
  <si>
    <t>病床145</t>
    <rPh sb="0" eb="2">
      <t>ビョウショウ</t>
    </rPh>
    <phoneticPr fontId="13"/>
  </si>
  <si>
    <t>病床146</t>
    <rPh sb="0" eb="2">
      <t>ビョウショウ</t>
    </rPh>
    <phoneticPr fontId="13"/>
  </si>
  <si>
    <t>病床147</t>
    <rPh sb="0" eb="2">
      <t>ビョウショウ</t>
    </rPh>
    <phoneticPr fontId="13"/>
  </si>
  <si>
    <t>病床148</t>
    <rPh sb="0" eb="2">
      <t>ビョウショウ</t>
    </rPh>
    <phoneticPr fontId="13"/>
  </si>
  <si>
    <t>病床149</t>
    <rPh sb="0" eb="2">
      <t>ビョウショウ</t>
    </rPh>
    <phoneticPr fontId="13"/>
  </si>
  <si>
    <t>病床150</t>
    <rPh sb="0" eb="2">
      <t>ビョウショウ</t>
    </rPh>
    <phoneticPr fontId="13"/>
  </si>
  <si>
    <t>共通1</t>
    <rPh sb="0" eb="2">
      <t>キョウツウ</t>
    </rPh>
    <phoneticPr fontId="13"/>
  </si>
  <si>
    <t>共通2</t>
    <rPh sb="0" eb="2">
      <t>キョウツウ</t>
    </rPh>
    <phoneticPr fontId="13"/>
  </si>
  <si>
    <t>共通3</t>
    <rPh sb="0" eb="2">
      <t>キョウツウ</t>
    </rPh>
    <phoneticPr fontId="13"/>
  </si>
  <si>
    <t>共通4</t>
    <rPh sb="0" eb="2">
      <t>キョウツウ</t>
    </rPh>
    <phoneticPr fontId="13"/>
  </si>
  <si>
    <t>共通5</t>
    <rPh sb="0" eb="2">
      <t>キョウツウ</t>
    </rPh>
    <phoneticPr fontId="13"/>
  </si>
  <si>
    <t>共通6</t>
    <rPh sb="0" eb="2">
      <t>キョウツウ</t>
    </rPh>
    <phoneticPr fontId="13"/>
  </si>
  <si>
    <t>共通7</t>
    <rPh sb="0" eb="2">
      <t>キョウツウ</t>
    </rPh>
    <phoneticPr fontId="13"/>
  </si>
  <si>
    <t>共通8</t>
    <rPh sb="0" eb="2">
      <t>キョウツウ</t>
    </rPh>
    <phoneticPr fontId="13"/>
  </si>
  <si>
    <t>共通9</t>
    <rPh sb="0" eb="2">
      <t>キョウツウ</t>
    </rPh>
    <phoneticPr fontId="13"/>
  </si>
  <si>
    <t>共通10</t>
    <rPh sb="0" eb="2">
      <t>キョウツウ</t>
    </rPh>
    <phoneticPr fontId="13"/>
  </si>
  <si>
    <t>共通11</t>
    <rPh sb="0" eb="2">
      <t>キョウツウ</t>
    </rPh>
    <phoneticPr fontId="13"/>
  </si>
  <si>
    <t>共通12</t>
    <rPh sb="0" eb="2">
      <t>キョウツウ</t>
    </rPh>
    <phoneticPr fontId="13"/>
  </si>
  <si>
    <t>共通13</t>
    <rPh sb="0" eb="2">
      <t>キョウツウ</t>
    </rPh>
    <phoneticPr fontId="13"/>
  </si>
  <si>
    <t>共通14</t>
    <rPh sb="0" eb="2">
      <t>キョウツウ</t>
    </rPh>
    <phoneticPr fontId="13"/>
  </si>
  <si>
    <t>共通15</t>
    <rPh sb="0" eb="2">
      <t>キョウツウ</t>
    </rPh>
    <phoneticPr fontId="13"/>
  </si>
  <si>
    <t>共通16</t>
    <rPh sb="0" eb="2">
      <t>キョウツウ</t>
    </rPh>
    <phoneticPr fontId="13"/>
  </si>
  <si>
    <t>共通17</t>
    <rPh sb="0" eb="2">
      <t>キョウツウ</t>
    </rPh>
    <phoneticPr fontId="13"/>
  </si>
  <si>
    <t>共通18</t>
    <rPh sb="0" eb="2">
      <t>キョウツウ</t>
    </rPh>
    <phoneticPr fontId="13"/>
  </si>
  <si>
    <t>共通19</t>
    <rPh sb="0" eb="2">
      <t>キョウツウ</t>
    </rPh>
    <phoneticPr fontId="13"/>
  </si>
  <si>
    <t>共通20</t>
    <rPh sb="0" eb="2">
      <t>キョウツウ</t>
    </rPh>
    <phoneticPr fontId="13"/>
  </si>
  <si>
    <t>共通21</t>
    <rPh sb="0" eb="2">
      <t>キョウツウ</t>
    </rPh>
    <phoneticPr fontId="13"/>
  </si>
  <si>
    <t>共通22</t>
    <rPh sb="0" eb="2">
      <t>キョウツウ</t>
    </rPh>
    <phoneticPr fontId="13"/>
  </si>
  <si>
    <t>共通23</t>
    <rPh sb="0" eb="2">
      <t>キョウツウ</t>
    </rPh>
    <phoneticPr fontId="13"/>
  </si>
  <si>
    <t>共通24</t>
    <rPh sb="0" eb="2">
      <t>キョウツウ</t>
    </rPh>
    <phoneticPr fontId="13"/>
  </si>
  <si>
    <t>共通25</t>
    <rPh sb="0" eb="2">
      <t>キョウツウ</t>
    </rPh>
    <phoneticPr fontId="13"/>
  </si>
  <si>
    <t>共通26</t>
    <rPh sb="0" eb="2">
      <t>キョウツウ</t>
    </rPh>
    <phoneticPr fontId="13"/>
  </si>
  <si>
    <t>共通27</t>
    <rPh sb="0" eb="2">
      <t>キョウツウ</t>
    </rPh>
    <phoneticPr fontId="13"/>
  </si>
  <si>
    <t>共通28</t>
    <rPh sb="0" eb="2">
      <t>キョウツウ</t>
    </rPh>
    <phoneticPr fontId="13"/>
  </si>
  <si>
    <t>共通29</t>
    <rPh sb="0" eb="2">
      <t>キョウツウ</t>
    </rPh>
    <phoneticPr fontId="13"/>
  </si>
  <si>
    <t>共通30</t>
    <rPh sb="0" eb="2">
      <t>キョウツウ</t>
    </rPh>
    <phoneticPr fontId="13"/>
  </si>
  <si>
    <t>共通31</t>
    <rPh sb="0" eb="2">
      <t>キョウツウ</t>
    </rPh>
    <phoneticPr fontId="13"/>
  </si>
  <si>
    <t>共通32</t>
    <rPh sb="0" eb="2">
      <t>キョウツウ</t>
    </rPh>
    <phoneticPr fontId="13"/>
  </si>
  <si>
    <t>共通33</t>
    <rPh sb="0" eb="2">
      <t>キョウツウ</t>
    </rPh>
    <phoneticPr fontId="13"/>
  </si>
  <si>
    <t>共通34</t>
    <rPh sb="0" eb="2">
      <t>キョウツウ</t>
    </rPh>
    <phoneticPr fontId="13"/>
  </si>
  <si>
    <t>共通35</t>
    <rPh sb="0" eb="2">
      <t>キョウツウ</t>
    </rPh>
    <phoneticPr fontId="13"/>
  </si>
  <si>
    <t>共通36</t>
    <rPh sb="0" eb="2">
      <t>キョウツウ</t>
    </rPh>
    <phoneticPr fontId="13"/>
  </si>
  <si>
    <t>共通37</t>
    <rPh sb="0" eb="2">
      <t>キョウツウ</t>
    </rPh>
    <phoneticPr fontId="13"/>
  </si>
  <si>
    <t>共通38</t>
    <rPh sb="0" eb="2">
      <t>キョウツウ</t>
    </rPh>
    <phoneticPr fontId="13"/>
  </si>
  <si>
    <t>共通39</t>
    <rPh sb="0" eb="2">
      <t>キョウツウ</t>
    </rPh>
    <phoneticPr fontId="13"/>
  </si>
  <si>
    <t>共通40</t>
    <rPh sb="0" eb="2">
      <t>キョウツウ</t>
    </rPh>
    <phoneticPr fontId="13"/>
  </si>
  <si>
    <t>共通41</t>
    <rPh sb="0" eb="2">
      <t>キョウツウ</t>
    </rPh>
    <phoneticPr fontId="13"/>
  </si>
  <si>
    <t>共通42</t>
    <rPh sb="0" eb="2">
      <t>キョウツウ</t>
    </rPh>
    <phoneticPr fontId="13"/>
  </si>
  <si>
    <t>共通43</t>
    <rPh sb="0" eb="2">
      <t>キョウツウ</t>
    </rPh>
    <phoneticPr fontId="13"/>
  </si>
  <si>
    <t>共通44</t>
    <rPh sb="0" eb="2">
      <t>キョウツウ</t>
    </rPh>
    <phoneticPr fontId="13"/>
  </si>
  <si>
    <t>共通45</t>
    <rPh sb="0" eb="2">
      <t>キョウツウ</t>
    </rPh>
    <phoneticPr fontId="13"/>
  </si>
  <si>
    <t>共通46</t>
    <rPh sb="0" eb="2">
      <t>キョウツウ</t>
    </rPh>
    <phoneticPr fontId="13"/>
  </si>
  <si>
    <t>共通47</t>
    <rPh sb="0" eb="2">
      <t>キョウツウ</t>
    </rPh>
    <phoneticPr fontId="13"/>
  </si>
  <si>
    <t>共通48</t>
    <rPh sb="0" eb="2">
      <t>キョウツウ</t>
    </rPh>
    <phoneticPr fontId="13"/>
  </si>
  <si>
    <t>共通49</t>
    <rPh sb="0" eb="2">
      <t>キョウツウ</t>
    </rPh>
    <phoneticPr fontId="13"/>
  </si>
  <si>
    <t>共通50</t>
    <rPh sb="0" eb="2">
      <t>キョウツウ</t>
    </rPh>
    <phoneticPr fontId="13"/>
  </si>
  <si>
    <t>共通51</t>
    <rPh sb="0" eb="2">
      <t>キョウツウ</t>
    </rPh>
    <phoneticPr fontId="13"/>
  </si>
  <si>
    <t>共通52</t>
    <rPh sb="0" eb="2">
      <t>キョウツウ</t>
    </rPh>
    <phoneticPr fontId="13"/>
  </si>
  <si>
    <t>共通53</t>
    <rPh sb="0" eb="2">
      <t>キョウツウ</t>
    </rPh>
    <phoneticPr fontId="13"/>
  </si>
  <si>
    <t>共通54</t>
    <rPh sb="0" eb="2">
      <t>キョウツウ</t>
    </rPh>
    <phoneticPr fontId="13"/>
  </si>
  <si>
    <t>共通55</t>
    <rPh sb="0" eb="2">
      <t>キョウツウ</t>
    </rPh>
    <phoneticPr fontId="13"/>
  </si>
  <si>
    <t>共通56</t>
    <rPh sb="0" eb="2">
      <t>キョウツウ</t>
    </rPh>
    <phoneticPr fontId="13"/>
  </si>
  <si>
    <t>共通57</t>
    <rPh sb="0" eb="2">
      <t>キョウツウ</t>
    </rPh>
    <phoneticPr fontId="13"/>
  </si>
  <si>
    <t>共通58</t>
    <rPh sb="0" eb="2">
      <t>キョウツウ</t>
    </rPh>
    <phoneticPr fontId="13"/>
  </si>
  <si>
    <t>共通59</t>
    <rPh sb="0" eb="2">
      <t>キョウツウ</t>
    </rPh>
    <phoneticPr fontId="13"/>
  </si>
  <si>
    <t>共通60</t>
    <rPh sb="0" eb="2">
      <t>キョウツウ</t>
    </rPh>
    <phoneticPr fontId="13"/>
  </si>
  <si>
    <t>共通61</t>
    <rPh sb="0" eb="2">
      <t>キョウツウ</t>
    </rPh>
    <phoneticPr fontId="13"/>
  </si>
  <si>
    <t>共通62</t>
    <rPh sb="0" eb="2">
      <t>キョウツウ</t>
    </rPh>
    <phoneticPr fontId="13"/>
  </si>
  <si>
    <t>共通63</t>
    <rPh sb="0" eb="2">
      <t>キョウツウ</t>
    </rPh>
    <phoneticPr fontId="13"/>
  </si>
  <si>
    <t>共通64</t>
    <rPh sb="0" eb="2">
      <t>キョウツウ</t>
    </rPh>
    <phoneticPr fontId="13"/>
  </si>
  <si>
    <t>共通65</t>
    <rPh sb="0" eb="2">
      <t>キョウツウ</t>
    </rPh>
    <phoneticPr fontId="13"/>
  </si>
  <si>
    <t>共通66</t>
    <rPh sb="0" eb="2">
      <t>キョウツウ</t>
    </rPh>
    <phoneticPr fontId="13"/>
  </si>
  <si>
    <t>共通67</t>
    <rPh sb="0" eb="2">
      <t>キョウツウ</t>
    </rPh>
    <phoneticPr fontId="13"/>
  </si>
  <si>
    <t>共通68</t>
    <rPh sb="0" eb="2">
      <t>キョウツウ</t>
    </rPh>
    <phoneticPr fontId="13"/>
  </si>
  <si>
    <t>共通69</t>
    <rPh sb="0" eb="2">
      <t>キョウツウ</t>
    </rPh>
    <phoneticPr fontId="13"/>
  </si>
  <si>
    <t>共通70</t>
    <rPh sb="0" eb="2">
      <t>キョウツウ</t>
    </rPh>
    <phoneticPr fontId="13"/>
  </si>
  <si>
    <t>共通71</t>
    <rPh sb="0" eb="2">
      <t>キョウツウ</t>
    </rPh>
    <phoneticPr fontId="13"/>
  </si>
  <si>
    <t>共通72</t>
    <rPh sb="0" eb="2">
      <t>キョウツウ</t>
    </rPh>
    <phoneticPr fontId="13"/>
  </si>
  <si>
    <t>共通73</t>
    <rPh sb="0" eb="2">
      <t>キョウツウ</t>
    </rPh>
    <phoneticPr fontId="13"/>
  </si>
  <si>
    <t>共通74</t>
    <rPh sb="0" eb="2">
      <t>キョウツウ</t>
    </rPh>
    <phoneticPr fontId="13"/>
  </si>
  <si>
    <t>共通75</t>
    <rPh sb="0" eb="2">
      <t>キョウツウ</t>
    </rPh>
    <phoneticPr fontId="13"/>
  </si>
  <si>
    <t>共通76</t>
    <rPh sb="0" eb="2">
      <t>キョウツウ</t>
    </rPh>
    <phoneticPr fontId="13"/>
  </si>
  <si>
    <t>共通77</t>
    <rPh sb="0" eb="2">
      <t>キョウツウ</t>
    </rPh>
    <phoneticPr fontId="13"/>
  </si>
  <si>
    <t>共通78</t>
    <rPh sb="0" eb="2">
      <t>キョウツウ</t>
    </rPh>
    <phoneticPr fontId="13"/>
  </si>
  <si>
    <t>共通79</t>
    <rPh sb="0" eb="2">
      <t>キョウツウ</t>
    </rPh>
    <phoneticPr fontId="13"/>
  </si>
  <si>
    <t>共通80</t>
    <rPh sb="0" eb="2">
      <t>キョウツウ</t>
    </rPh>
    <phoneticPr fontId="13"/>
  </si>
  <si>
    <t>共通81</t>
    <rPh sb="0" eb="2">
      <t>キョウツウ</t>
    </rPh>
    <phoneticPr fontId="13"/>
  </si>
  <si>
    <t>共通82</t>
    <rPh sb="0" eb="2">
      <t>キョウツウ</t>
    </rPh>
    <phoneticPr fontId="13"/>
  </si>
  <si>
    <t>共通83</t>
    <rPh sb="0" eb="2">
      <t>キョウツウ</t>
    </rPh>
    <phoneticPr fontId="13"/>
  </si>
  <si>
    <t>共通84</t>
    <rPh sb="0" eb="2">
      <t>キョウツウ</t>
    </rPh>
    <phoneticPr fontId="13"/>
  </si>
  <si>
    <t>共通85</t>
    <rPh sb="0" eb="2">
      <t>キョウツウ</t>
    </rPh>
    <phoneticPr fontId="13"/>
  </si>
  <si>
    <t>共通86</t>
    <rPh sb="0" eb="2">
      <t>キョウツウ</t>
    </rPh>
    <phoneticPr fontId="13"/>
  </si>
  <si>
    <t>共通87</t>
    <rPh sb="0" eb="2">
      <t>キョウツウ</t>
    </rPh>
    <phoneticPr fontId="13"/>
  </si>
  <si>
    <t>共通88</t>
    <rPh sb="0" eb="2">
      <t>キョウツウ</t>
    </rPh>
    <phoneticPr fontId="13"/>
  </si>
  <si>
    <t>共通89</t>
    <rPh sb="0" eb="2">
      <t>キョウツウ</t>
    </rPh>
    <phoneticPr fontId="13"/>
  </si>
  <si>
    <t>共通90</t>
    <rPh sb="0" eb="2">
      <t>キョウツウ</t>
    </rPh>
    <phoneticPr fontId="13"/>
  </si>
  <si>
    <t>共通91</t>
    <rPh sb="0" eb="2">
      <t>キョウツウ</t>
    </rPh>
    <phoneticPr fontId="13"/>
  </si>
  <si>
    <t>共通92</t>
    <rPh sb="0" eb="2">
      <t>キョウツウ</t>
    </rPh>
    <phoneticPr fontId="13"/>
  </si>
  <si>
    <t>共通93</t>
    <rPh sb="0" eb="2">
      <t>キョウツウ</t>
    </rPh>
    <phoneticPr fontId="13"/>
  </si>
  <si>
    <t>共通94</t>
    <rPh sb="0" eb="2">
      <t>キョウツウ</t>
    </rPh>
    <phoneticPr fontId="13"/>
  </si>
  <si>
    <t>共通95</t>
    <rPh sb="0" eb="2">
      <t>キョウツウ</t>
    </rPh>
    <phoneticPr fontId="13"/>
  </si>
  <si>
    <t>共通96</t>
    <rPh sb="0" eb="2">
      <t>キョウツウ</t>
    </rPh>
    <phoneticPr fontId="13"/>
  </si>
  <si>
    <t>共通97</t>
    <rPh sb="0" eb="2">
      <t>キョウツウ</t>
    </rPh>
    <phoneticPr fontId="13"/>
  </si>
  <si>
    <t>共通98</t>
    <rPh sb="0" eb="2">
      <t>キョウツウ</t>
    </rPh>
    <phoneticPr fontId="13"/>
  </si>
  <si>
    <t>共通99</t>
    <rPh sb="0" eb="2">
      <t>キョウツウ</t>
    </rPh>
    <phoneticPr fontId="13"/>
  </si>
  <si>
    <t>共通100</t>
    <rPh sb="0" eb="2">
      <t>キョウツウ</t>
    </rPh>
    <phoneticPr fontId="13"/>
  </si>
  <si>
    <t>共通101</t>
    <rPh sb="0" eb="2">
      <t>キョウツウ</t>
    </rPh>
    <phoneticPr fontId="13"/>
  </si>
  <si>
    <t>共通102</t>
    <rPh sb="0" eb="2">
      <t>キョウツウ</t>
    </rPh>
    <phoneticPr fontId="13"/>
  </si>
  <si>
    <t>共通103</t>
    <rPh sb="0" eb="2">
      <t>キョウツウ</t>
    </rPh>
    <phoneticPr fontId="13"/>
  </si>
  <si>
    <t>共通104</t>
    <rPh sb="0" eb="2">
      <t>キョウツウ</t>
    </rPh>
    <phoneticPr fontId="13"/>
  </si>
  <si>
    <t>共通105</t>
    <rPh sb="0" eb="2">
      <t>キョウツウ</t>
    </rPh>
    <phoneticPr fontId="13"/>
  </si>
  <si>
    <t>共通106</t>
    <rPh sb="0" eb="2">
      <t>キョウツウ</t>
    </rPh>
    <phoneticPr fontId="13"/>
  </si>
  <si>
    <t>共通107</t>
    <rPh sb="0" eb="2">
      <t>キョウツウ</t>
    </rPh>
    <phoneticPr fontId="13"/>
  </si>
  <si>
    <t>共通108</t>
    <rPh sb="0" eb="2">
      <t>キョウツウ</t>
    </rPh>
    <phoneticPr fontId="13"/>
  </si>
  <si>
    <t>共通109</t>
    <rPh sb="0" eb="2">
      <t>キョウツウ</t>
    </rPh>
    <phoneticPr fontId="13"/>
  </si>
  <si>
    <t>共通110</t>
    <rPh sb="0" eb="2">
      <t>キョウツウ</t>
    </rPh>
    <phoneticPr fontId="13"/>
  </si>
  <si>
    <t>共通111</t>
    <rPh sb="0" eb="2">
      <t>キョウツウ</t>
    </rPh>
    <phoneticPr fontId="13"/>
  </si>
  <si>
    <t>共通112</t>
    <rPh sb="0" eb="2">
      <t>キョウツウ</t>
    </rPh>
    <phoneticPr fontId="13"/>
  </si>
  <si>
    <t>共通113</t>
    <rPh sb="0" eb="2">
      <t>キョウツウ</t>
    </rPh>
    <phoneticPr fontId="13"/>
  </si>
  <si>
    <t>共通114</t>
    <rPh sb="0" eb="2">
      <t>キョウツウ</t>
    </rPh>
    <phoneticPr fontId="13"/>
  </si>
  <si>
    <t>共通115</t>
    <rPh sb="0" eb="2">
      <t>キョウツウ</t>
    </rPh>
    <phoneticPr fontId="13"/>
  </si>
  <si>
    <t>共通116</t>
    <rPh sb="0" eb="2">
      <t>キョウツウ</t>
    </rPh>
    <phoneticPr fontId="13"/>
  </si>
  <si>
    <t>共通117</t>
    <rPh sb="0" eb="2">
      <t>キョウツウ</t>
    </rPh>
    <phoneticPr fontId="13"/>
  </si>
  <si>
    <t>共通118</t>
    <rPh sb="0" eb="2">
      <t>キョウツウ</t>
    </rPh>
    <phoneticPr fontId="13"/>
  </si>
  <si>
    <t>共通119</t>
    <rPh sb="0" eb="2">
      <t>キョウツウ</t>
    </rPh>
    <phoneticPr fontId="13"/>
  </si>
  <si>
    <t>共通120</t>
    <rPh sb="0" eb="2">
      <t>キョウツウ</t>
    </rPh>
    <phoneticPr fontId="13"/>
  </si>
  <si>
    <t>共通121</t>
    <rPh sb="0" eb="2">
      <t>キョウツウ</t>
    </rPh>
    <phoneticPr fontId="13"/>
  </si>
  <si>
    <t>共通122</t>
    <rPh sb="0" eb="2">
      <t>キョウツウ</t>
    </rPh>
    <phoneticPr fontId="13"/>
  </si>
  <si>
    <t>共通123</t>
    <rPh sb="0" eb="2">
      <t>キョウツウ</t>
    </rPh>
    <phoneticPr fontId="13"/>
  </si>
  <si>
    <t>共通124</t>
    <rPh sb="0" eb="2">
      <t>キョウツウ</t>
    </rPh>
    <phoneticPr fontId="13"/>
  </si>
  <si>
    <t>共通125</t>
    <rPh sb="0" eb="2">
      <t>キョウツウ</t>
    </rPh>
    <phoneticPr fontId="13"/>
  </si>
  <si>
    <t>共通126</t>
    <rPh sb="0" eb="2">
      <t>キョウツウ</t>
    </rPh>
    <phoneticPr fontId="13"/>
  </si>
  <si>
    <t>共通127</t>
    <rPh sb="0" eb="2">
      <t>キョウツウ</t>
    </rPh>
    <phoneticPr fontId="13"/>
  </si>
  <si>
    <t>共通128</t>
    <rPh sb="0" eb="2">
      <t>キョウツウ</t>
    </rPh>
    <phoneticPr fontId="13"/>
  </si>
  <si>
    <t>共通129</t>
    <rPh sb="0" eb="2">
      <t>キョウツウ</t>
    </rPh>
    <phoneticPr fontId="13"/>
  </si>
  <si>
    <t>共通130</t>
    <rPh sb="0" eb="2">
      <t>キョウツウ</t>
    </rPh>
    <phoneticPr fontId="13"/>
  </si>
  <si>
    <t>共通131</t>
    <rPh sb="0" eb="2">
      <t>キョウツウ</t>
    </rPh>
    <phoneticPr fontId="13"/>
  </si>
  <si>
    <t>共通132</t>
    <rPh sb="0" eb="2">
      <t>キョウツウ</t>
    </rPh>
    <phoneticPr fontId="13"/>
  </si>
  <si>
    <t>共通133</t>
    <rPh sb="0" eb="2">
      <t>キョウツウ</t>
    </rPh>
    <phoneticPr fontId="13"/>
  </si>
  <si>
    <t>共通134</t>
    <rPh sb="0" eb="2">
      <t>キョウツウ</t>
    </rPh>
    <phoneticPr fontId="13"/>
  </si>
  <si>
    <t>共通135</t>
    <rPh sb="0" eb="2">
      <t>キョウツウ</t>
    </rPh>
    <phoneticPr fontId="13"/>
  </si>
  <si>
    <t>共通136</t>
    <rPh sb="0" eb="2">
      <t>キョウツウ</t>
    </rPh>
    <phoneticPr fontId="13"/>
  </si>
  <si>
    <t>共通137</t>
    <rPh sb="0" eb="2">
      <t>キョウツウ</t>
    </rPh>
    <phoneticPr fontId="13"/>
  </si>
  <si>
    <t>共通138</t>
    <rPh sb="0" eb="2">
      <t>キョウツウ</t>
    </rPh>
    <phoneticPr fontId="13"/>
  </si>
  <si>
    <t>共通139</t>
    <rPh sb="0" eb="2">
      <t>キョウツウ</t>
    </rPh>
    <phoneticPr fontId="13"/>
  </si>
  <si>
    <t>共通140</t>
    <rPh sb="0" eb="2">
      <t>キョウツウ</t>
    </rPh>
    <phoneticPr fontId="13"/>
  </si>
  <si>
    <t>共通141</t>
    <rPh sb="0" eb="2">
      <t>キョウツウ</t>
    </rPh>
    <phoneticPr fontId="13"/>
  </si>
  <si>
    <t>共通142</t>
    <rPh sb="0" eb="2">
      <t>キョウツウ</t>
    </rPh>
    <phoneticPr fontId="13"/>
  </si>
  <si>
    <t>共通143</t>
    <rPh sb="0" eb="2">
      <t>キョウツウ</t>
    </rPh>
    <phoneticPr fontId="13"/>
  </si>
  <si>
    <t>共通144</t>
    <rPh sb="0" eb="2">
      <t>キョウツウ</t>
    </rPh>
    <phoneticPr fontId="13"/>
  </si>
  <si>
    <t>共通145</t>
    <rPh sb="0" eb="2">
      <t>キョウツウ</t>
    </rPh>
    <phoneticPr fontId="13"/>
  </si>
  <si>
    <t>共通146</t>
    <rPh sb="0" eb="2">
      <t>キョウツウ</t>
    </rPh>
    <phoneticPr fontId="13"/>
  </si>
  <si>
    <t>共通147</t>
    <rPh sb="0" eb="2">
      <t>キョウツウ</t>
    </rPh>
    <phoneticPr fontId="13"/>
  </si>
  <si>
    <t>共通148</t>
    <rPh sb="0" eb="2">
      <t>キョウツウ</t>
    </rPh>
    <phoneticPr fontId="13"/>
  </si>
  <si>
    <t>共通149</t>
    <rPh sb="0" eb="2">
      <t>キョウツウ</t>
    </rPh>
    <phoneticPr fontId="13"/>
  </si>
  <si>
    <t>共通150</t>
    <rPh sb="0" eb="2">
      <t>キョウツウ</t>
    </rPh>
    <phoneticPr fontId="13"/>
  </si>
  <si>
    <t>人工呼吸器</t>
    <rPh sb="0" eb="2">
      <t>ジンコウ</t>
    </rPh>
    <rPh sb="2" eb="5">
      <t>コキュウキ</t>
    </rPh>
    <phoneticPr fontId="9"/>
  </si>
  <si>
    <t>内、包括</t>
    <rPh sb="0" eb="1">
      <t>ウチ</t>
    </rPh>
    <rPh sb="2" eb="4">
      <t>ホウカツ</t>
    </rPh>
    <phoneticPr fontId="9"/>
  </si>
  <si>
    <t>内、創生</t>
    <rPh sb="0" eb="1">
      <t>ウチ</t>
    </rPh>
    <rPh sb="2" eb="4">
      <t>ソウセイ</t>
    </rPh>
    <phoneticPr fontId="9"/>
  </si>
  <si>
    <t>体外式膜型人工肺</t>
    <rPh sb="0" eb="3">
      <t>タイガイシキ</t>
    </rPh>
    <rPh sb="3" eb="4">
      <t>マク</t>
    </rPh>
    <rPh sb="4" eb="5">
      <t>ガタ</t>
    </rPh>
    <rPh sb="5" eb="8">
      <t>ジンコウハイ</t>
    </rPh>
    <phoneticPr fontId="9"/>
  </si>
  <si>
    <t>総事業費</t>
    <phoneticPr fontId="9"/>
  </si>
  <si>
    <t>差引事業費</t>
    <phoneticPr fontId="9"/>
  </si>
  <si>
    <t>対象経費</t>
    <phoneticPr fontId="9"/>
  </si>
  <si>
    <t>基準額</t>
    <phoneticPr fontId="9"/>
  </si>
  <si>
    <t>選定額</t>
    <phoneticPr fontId="9"/>
  </si>
  <si>
    <t>県補助基本額</t>
    <phoneticPr fontId="9"/>
  </si>
  <si>
    <t>県補助額</t>
    <phoneticPr fontId="9"/>
  </si>
  <si>
    <t>寄付金その他</t>
    <phoneticPr fontId="9"/>
  </si>
  <si>
    <t>－</t>
    <phoneticPr fontId="9"/>
  </si>
  <si>
    <t>確保病床数</t>
    <rPh sb="0" eb="2">
      <t>カクホ</t>
    </rPh>
    <rPh sb="2" eb="5">
      <t>ビョウショウスウ</t>
    </rPh>
    <phoneticPr fontId="13"/>
  </si>
  <si>
    <t>預金種別</t>
    <rPh sb="0" eb="2">
      <t>ヨキン</t>
    </rPh>
    <rPh sb="2" eb="4">
      <t>シュベツ</t>
    </rPh>
    <phoneticPr fontId="9"/>
  </si>
  <si>
    <t>血液浄化装置、分娩監視装置、新生児モニタを整備する場合、対象患者の受入が可能であることを確認する必要があるため、チェックしてください。</t>
    <phoneticPr fontId="9"/>
  </si>
  <si>
    <t>補助事業者名</t>
    <rPh sb="0" eb="2">
      <t>ホジョ</t>
    </rPh>
    <rPh sb="2" eb="4">
      <t>ジギョウ</t>
    </rPh>
    <rPh sb="4" eb="5">
      <t>シャ</t>
    </rPh>
    <rPh sb="5" eb="6">
      <t>メイ</t>
    </rPh>
    <phoneticPr fontId="9"/>
  </si>
  <si>
    <t>所在地</t>
    <rPh sb="0" eb="3">
      <t>ショザイチ</t>
    </rPh>
    <phoneticPr fontId="9"/>
  </si>
  <si>
    <t>代表者職氏名</t>
    <rPh sb="0" eb="3">
      <t>ダイヒョウシャ</t>
    </rPh>
    <rPh sb="3" eb="4">
      <t>ショク</t>
    </rPh>
    <rPh sb="4" eb="6">
      <t>シメイ</t>
    </rPh>
    <phoneticPr fontId="9"/>
  </si>
  <si>
    <t>提出日</t>
    <rPh sb="0" eb="2">
      <t>テイシュツ</t>
    </rPh>
    <rPh sb="2" eb="3">
      <t>ビ</t>
    </rPh>
    <phoneticPr fontId="9"/>
  </si>
  <si>
    <t>三菱UFJ銀行</t>
  </si>
  <si>
    <t>中央支店</t>
  </si>
  <si>
    <t>稲沢支店</t>
  </si>
  <si>
    <t>犬山支店</t>
  </si>
  <si>
    <t>熱田支店</t>
  </si>
  <si>
    <t>上段：交付内訳額
下段：補助対象額</t>
    <rPh sb="0" eb="2">
      <t>ジョウダン</t>
    </rPh>
    <rPh sb="3" eb="8">
      <t>コウフウチワケガク</t>
    </rPh>
    <rPh sb="9" eb="11">
      <t>ゲダン</t>
    </rPh>
    <rPh sb="12" eb="17">
      <t>ホジョタイショウガク</t>
    </rPh>
    <phoneticPr fontId="9"/>
  </si>
  <si>
    <t>三井住友銀行</t>
  </si>
  <si>
    <t>刈谷支店</t>
  </si>
  <si>
    <t>名古屋営業部</t>
  </si>
  <si>
    <t>梅森支店</t>
  </si>
  <si>
    <t>豊田支店</t>
    <phoneticPr fontId="9"/>
  </si>
  <si>
    <t>普通</t>
    <phoneticPr fontId="9"/>
  </si>
  <si>
    <t>令和５年　　月　　日　</t>
    <phoneticPr fontId="13"/>
  </si>
  <si>
    <t>海部東農業協同組合</t>
  </si>
  <si>
    <t>甚目寺支店</t>
  </si>
  <si>
    <t>西尾信用金庫</t>
  </si>
  <si>
    <t>本店</t>
  </si>
  <si>
    <t>交付申請兼実績報告</t>
    <rPh sb="0" eb="5">
      <t>コウフシンセイケン</t>
    </rPh>
    <rPh sb="5" eb="9">
      <t>ジッセキホウコク</t>
    </rPh>
    <phoneticPr fontId="9"/>
  </si>
  <si>
    <t>５感対第○○○○－</t>
    <rPh sb="1" eb="2">
      <t>カン</t>
    </rPh>
    <rPh sb="2" eb="3">
      <t>タイ</t>
    </rPh>
    <rPh sb="3" eb="4">
      <t>ダイ</t>
    </rPh>
    <phoneticPr fontId="13"/>
  </si>
  <si>
    <t>申請者情報</t>
    <rPh sb="0" eb="3">
      <t>シンセイシャ</t>
    </rPh>
    <rPh sb="3" eb="5">
      <t>ジョウホウ</t>
    </rPh>
    <phoneticPr fontId="13"/>
  </si>
  <si>
    <t>振込先情報</t>
    <rPh sb="0" eb="3">
      <t>フリコミサキ</t>
    </rPh>
    <rPh sb="3" eb="5">
      <t>ジョウホウ</t>
    </rPh>
    <phoneticPr fontId="13"/>
  </si>
  <si>
    <t>基礎情報</t>
    <rPh sb="0" eb="2">
      <t>キソ</t>
    </rPh>
    <rPh sb="2" eb="4">
      <t>ジョウホウ</t>
    </rPh>
    <phoneticPr fontId="13"/>
  </si>
  <si>
    <t>共通必須</t>
    <rPh sb="0" eb="2">
      <t>キョウツウ</t>
    </rPh>
    <rPh sb="2" eb="4">
      <t>ヒッス</t>
    </rPh>
    <phoneticPr fontId="13"/>
  </si>
  <si>
    <t>個人防護具以外（空気清浄機、パーテーション、簡易ベッド、消毒清掃経費、簡易診療室のいずれのみ申請であっても入力必須です。）</t>
    <rPh sb="0" eb="2">
      <t>コジン</t>
    </rPh>
    <rPh sb="2" eb="4">
      <t>ボウゴ</t>
    </rPh>
    <rPh sb="4" eb="5">
      <t>グ</t>
    </rPh>
    <rPh sb="5" eb="7">
      <t>イガイ</t>
    </rPh>
    <rPh sb="8" eb="13">
      <t>クウキセイジョウキ</t>
    </rPh>
    <rPh sb="22" eb="24">
      <t>カンイ</t>
    </rPh>
    <rPh sb="28" eb="30">
      <t>ショウドク</t>
    </rPh>
    <rPh sb="30" eb="32">
      <t>セイソウ</t>
    </rPh>
    <rPh sb="32" eb="34">
      <t>ケイヒ</t>
    </rPh>
    <rPh sb="35" eb="37">
      <t>カンイ</t>
    </rPh>
    <rPh sb="37" eb="40">
      <t>シンリョウシツ</t>
    </rPh>
    <rPh sb="46" eb="48">
      <t>シンセイ</t>
    </rPh>
    <rPh sb="53" eb="55">
      <t>ニュウリョク</t>
    </rPh>
    <rPh sb="55" eb="57">
      <t>ヒッス</t>
    </rPh>
    <phoneticPr fontId="13"/>
  </si>
  <si>
    <t>２．職員情報</t>
    <rPh sb="2" eb="4">
      <t>ショクイン</t>
    </rPh>
    <rPh sb="4" eb="6">
      <t>ジョウホウ</t>
    </rPh>
    <phoneticPr fontId="13"/>
  </si>
  <si>
    <t>３．配置情報</t>
    <rPh sb="2" eb="4">
      <t>ハイチ</t>
    </rPh>
    <rPh sb="4" eb="6">
      <t>ジョウホウ</t>
    </rPh>
    <phoneticPr fontId="13"/>
  </si>
  <si>
    <t>個人防護具のみ</t>
    <rPh sb="0" eb="2">
      <t>コジン</t>
    </rPh>
    <rPh sb="2" eb="4">
      <t>ボウゴ</t>
    </rPh>
    <rPh sb="4" eb="5">
      <t>グ</t>
    </rPh>
    <phoneticPr fontId="13"/>
  </si>
  <si>
    <t>４．防護具使用情報</t>
    <rPh sb="2" eb="4">
      <t>ボウゴ</t>
    </rPh>
    <rPh sb="4" eb="5">
      <t>グ</t>
    </rPh>
    <rPh sb="5" eb="7">
      <t>シヨウ</t>
    </rPh>
    <rPh sb="7" eb="9">
      <t>ジョウホウ</t>
    </rPh>
    <phoneticPr fontId="13"/>
  </si>
  <si>
    <t>個人防護具の申請を行う際は入力必須です。</t>
    <rPh sb="0" eb="2">
      <t>コジン</t>
    </rPh>
    <rPh sb="2" eb="4">
      <t>ボウゴ</t>
    </rPh>
    <rPh sb="4" eb="5">
      <t>グ</t>
    </rPh>
    <rPh sb="6" eb="8">
      <t>シンセイ</t>
    </rPh>
    <rPh sb="9" eb="10">
      <t>オコナ</t>
    </rPh>
    <rPh sb="11" eb="12">
      <t>サイ</t>
    </rPh>
    <rPh sb="13" eb="15">
      <t>ニュウリョク</t>
    </rPh>
    <rPh sb="15" eb="17">
      <t>ヒッス</t>
    </rPh>
    <phoneticPr fontId="13"/>
  </si>
  <si>
    <t>○以下入力欄に必要情報を入力してください。（個人防護具を申請する場合を除き「４．平均着脱使用枚数」以外は入力必須。）</t>
    <rPh sb="1" eb="3">
      <t>イカ</t>
    </rPh>
    <rPh sb="3" eb="5">
      <t>ニュウリョク</t>
    </rPh>
    <rPh sb="5" eb="6">
      <t>ラン</t>
    </rPh>
    <rPh sb="7" eb="9">
      <t>ヒツヨウ</t>
    </rPh>
    <rPh sb="9" eb="11">
      <t>ジョウホウ</t>
    </rPh>
    <rPh sb="12" eb="14">
      <t>ニュウリョク</t>
    </rPh>
    <rPh sb="22" eb="27">
      <t>コジンボウゴグ</t>
    </rPh>
    <rPh sb="28" eb="30">
      <t>シンセイ</t>
    </rPh>
    <rPh sb="32" eb="34">
      <t>バアイ</t>
    </rPh>
    <rPh sb="35" eb="36">
      <t>ノゾ</t>
    </rPh>
    <rPh sb="49" eb="51">
      <t>イガイ</t>
    </rPh>
    <rPh sb="52" eb="56">
      <t>ニュウリョクヒッス</t>
    </rPh>
    <phoneticPr fontId="9"/>
  </si>
  <si>
    <t>・個人防護具：１日あたり平均配置員数（常勤換算）＊診療日数＊3,600円/日</t>
    <rPh sb="1" eb="6">
      <t>コジンボウゴグ</t>
    </rPh>
    <rPh sb="19" eb="21">
      <t>ジョウキン</t>
    </rPh>
    <rPh sb="21" eb="23">
      <t>カンサン</t>
    </rPh>
    <phoneticPr fontId="13"/>
  </si>
  <si>
    <t>○上部の入力欄から順に入力していくようにしてください。</t>
    <rPh sb="1" eb="3">
      <t>ジョウブ</t>
    </rPh>
    <rPh sb="4" eb="6">
      <t>ニュウリョク</t>
    </rPh>
    <rPh sb="6" eb="7">
      <t>ラン</t>
    </rPh>
    <rPh sb="9" eb="10">
      <t>ジュン</t>
    </rPh>
    <rPh sb="11" eb="13">
      <t>ニュウリョク</t>
    </rPh>
    <phoneticPr fontId="9"/>
  </si>
  <si>
    <t>○同じく個人防護具に係り、入力いただいた職員配置数及び患者数と比較し、計上されている使用数が著しく多い場合、計上の理由について県から問合せの上、
　公費補助整備に親和しないと判断される過剰分については計上から除外いただきます。</t>
    <rPh sb="1" eb="2">
      <t>オナ</t>
    </rPh>
    <rPh sb="4" eb="9">
      <t>コジンボウゴグ</t>
    </rPh>
    <rPh sb="10" eb="11">
      <t>カカ</t>
    </rPh>
    <rPh sb="13" eb="15">
      <t>ニュウリョク</t>
    </rPh>
    <rPh sb="20" eb="25">
      <t>ショクインハイチスウ</t>
    </rPh>
    <rPh sb="25" eb="26">
      <t>オヨ</t>
    </rPh>
    <rPh sb="27" eb="30">
      <t>カンジャスウ</t>
    </rPh>
    <rPh sb="31" eb="33">
      <t>ヒカク</t>
    </rPh>
    <rPh sb="35" eb="40">
      <t>コジンボウゴグ</t>
    </rPh>
    <rPh sb="40" eb="41">
      <t>オヨ</t>
    </rPh>
    <rPh sb="42" eb="44">
      <t>ケイジョウ</t>
    </rPh>
    <rPh sb="49" eb="52">
      <t>シヨウスウ</t>
    </rPh>
    <rPh sb="53" eb="54">
      <t>イチジル</t>
    </rPh>
    <rPh sb="56" eb="57">
      <t>オオ</t>
    </rPh>
    <rPh sb="58" eb="60">
      <t>バアイ</t>
    </rPh>
    <rPh sb="61" eb="63">
      <t>ケイジョウ</t>
    </rPh>
    <rPh sb="64" eb="66">
      <t>リユウ</t>
    </rPh>
    <rPh sb="70" eb="71">
      <t>ケン</t>
    </rPh>
    <rPh sb="75" eb="77">
      <t>トイアワ</t>
    </rPh>
    <rPh sb="79" eb="80">
      <t>ウエ</t>
    </rPh>
    <rPh sb="81" eb="83">
      <t>コウヒ</t>
    </rPh>
    <rPh sb="83" eb="85">
      <t>ホジョ</t>
    </rPh>
    <rPh sb="85" eb="87">
      <t>セイビ</t>
    </rPh>
    <rPh sb="88" eb="90">
      <t>シンワ</t>
    </rPh>
    <rPh sb="94" eb="96">
      <t>ハンダン</t>
    </rPh>
    <rPh sb="99" eb="101">
      <t>カジョウ</t>
    </rPh>
    <rPh sb="101" eb="102">
      <t>ブン</t>
    </rPh>
    <rPh sb="107" eb="109">
      <t>ケイジョウ</t>
    </rPh>
    <rPh sb="111" eb="113">
      <t>ジョガイ</t>
    </rPh>
    <phoneticPr fontId="9"/>
  </si>
  <si>
    <t>通常診療時間帯と分けた時間枠を設け応需</t>
    <rPh sb="0" eb="2">
      <t>ツウジョウ</t>
    </rPh>
    <rPh sb="2" eb="4">
      <t>シンリョウ</t>
    </rPh>
    <rPh sb="4" eb="7">
      <t>ジカンタイ</t>
    </rPh>
    <rPh sb="8" eb="9">
      <t>ワ</t>
    </rPh>
    <rPh sb="11" eb="14">
      <t>ジカンワク</t>
    </rPh>
    <rPh sb="15" eb="16">
      <t>モウ</t>
    </rPh>
    <rPh sb="17" eb="19">
      <t>オウジュ</t>
    </rPh>
    <phoneticPr fontId="13"/>
  </si>
  <si>
    <t>通常診療時間帯において随時応需</t>
    <rPh sb="0" eb="4">
      <t>ツウジョウシンリョウ</t>
    </rPh>
    <rPh sb="4" eb="7">
      <t>ジカンタイ</t>
    </rPh>
    <rPh sb="11" eb="13">
      <t>ズイジ</t>
    </rPh>
    <rPh sb="13" eb="15">
      <t>オウジュ</t>
    </rPh>
    <phoneticPr fontId="13"/>
  </si>
  <si>
    <t>敷地外に設けたプレハブ、テント等で実施</t>
    <rPh sb="0" eb="3">
      <t>シキチガイ</t>
    </rPh>
    <rPh sb="4" eb="5">
      <t>モウ</t>
    </rPh>
    <rPh sb="15" eb="16">
      <t>トウ</t>
    </rPh>
    <rPh sb="17" eb="19">
      <t>ジッシ</t>
    </rPh>
    <phoneticPr fontId="13"/>
  </si>
  <si>
    <t>院内の診療スペースで実施</t>
    <rPh sb="0" eb="2">
      <t>インナイ</t>
    </rPh>
    <rPh sb="3" eb="5">
      <t>シンリョウ</t>
    </rPh>
    <rPh sb="10" eb="12">
      <t>ジッシ</t>
    </rPh>
    <phoneticPr fontId="13"/>
  </si>
  <si>
    <t>曜日</t>
    <rPh sb="0" eb="2">
      <t>ヨウビ</t>
    </rPh>
    <phoneticPr fontId="9"/>
  </si>
  <si>
    <t>診察日</t>
    <rPh sb="0" eb="3">
      <t>シンサツビ</t>
    </rPh>
    <phoneticPr fontId="9"/>
  </si>
  <si>
    <t>建物内の診療スペース外（勝手口等からの通用先等）で実施</t>
    <rPh sb="0" eb="3">
      <t>タテモノナイ</t>
    </rPh>
    <rPh sb="4" eb="6">
      <t>シンリョウ</t>
    </rPh>
    <rPh sb="10" eb="11">
      <t>ガイ</t>
    </rPh>
    <rPh sb="12" eb="15">
      <t>カッテグチ</t>
    </rPh>
    <rPh sb="15" eb="16">
      <t>トウ</t>
    </rPh>
    <rPh sb="19" eb="21">
      <t>ツウヨウ</t>
    </rPh>
    <rPh sb="21" eb="22">
      <t>サキ</t>
    </rPh>
    <rPh sb="22" eb="23">
      <t>トウ</t>
    </rPh>
    <rPh sb="25" eb="27">
      <t>ジッシ</t>
    </rPh>
    <phoneticPr fontId="13"/>
  </si>
  <si>
    <t>①</t>
    <phoneticPr fontId="13"/>
  </si>
  <si>
    <t>②</t>
    <phoneticPr fontId="13"/>
  </si>
  <si>
    <t>③</t>
    <phoneticPr fontId="13"/>
  </si>
  <si>
    <t>月</t>
    <rPh sb="0" eb="1">
      <t>ゲツ</t>
    </rPh>
    <phoneticPr fontId="13"/>
  </si>
  <si>
    <t>診療日</t>
    <rPh sb="0" eb="2">
      <t>シンリョウ</t>
    </rPh>
    <rPh sb="2" eb="3">
      <t>ビ</t>
    </rPh>
    <phoneticPr fontId="9"/>
  </si>
  <si>
    <t>火</t>
  </si>
  <si>
    <t>火曜日</t>
  </si>
  <si>
    <t>休診日</t>
    <rPh sb="0" eb="3">
      <t>キュウシンビ</t>
    </rPh>
    <phoneticPr fontId="9"/>
  </si>
  <si>
    <t>水</t>
  </si>
  <si>
    <t>水曜日</t>
  </si>
  <si>
    <t>木</t>
  </si>
  <si>
    <t>木曜日</t>
  </si>
  <si>
    <t>金</t>
  </si>
  <si>
    <t>金曜日</t>
  </si>
  <si>
    <t>土</t>
  </si>
  <si>
    <t>土曜日</t>
  </si>
  <si>
    <t>日曜日</t>
  </si>
  <si>
    <t>職種</t>
    <rPh sb="0" eb="2">
      <t>ショクシュ</t>
    </rPh>
    <phoneticPr fontId="13"/>
  </si>
  <si>
    <r>
      <t>氏名（員数の適切な算出のため１つの欄に氏名いずれも入力するようにしてください。</t>
    </r>
    <r>
      <rPr>
        <b/>
        <u/>
        <sz val="14"/>
        <color rgb="FFFF0000"/>
        <rFont val="Yu Gothic"/>
        <family val="3"/>
        <charset val="128"/>
        <scheme val="minor"/>
      </rPr>
      <t>姓と名を別欄に入力しないようにすること。</t>
    </r>
    <r>
      <rPr>
        <b/>
        <sz val="14"/>
        <color theme="1"/>
        <rFont val="Yu Gothic"/>
        <family val="3"/>
        <charset val="128"/>
        <scheme val="minor"/>
      </rPr>
      <t>）</t>
    </r>
    <rPh sb="0" eb="2">
      <t>シメイ</t>
    </rPh>
    <rPh sb="3" eb="5">
      <t>インスウ</t>
    </rPh>
    <rPh sb="6" eb="8">
      <t>テキセツ</t>
    </rPh>
    <rPh sb="9" eb="11">
      <t>サンシュツ</t>
    </rPh>
    <rPh sb="17" eb="18">
      <t>ラン</t>
    </rPh>
    <rPh sb="19" eb="21">
      <t>シメイ</t>
    </rPh>
    <rPh sb="25" eb="27">
      <t>ニュウリョク</t>
    </rPh>
    <rPh sb="39" eb="40">
      <t>セイ</t>
    </rPh>
    <rPh sb="41" eb="42">
      <t>メイ</t>
    </rPh>
    <rPh sb="43" eb="45">
      <t>ベツラン</t>
    </rPh>
    <rPh sb="46" eb="48">
      <t>ニュウリョク</t>
    </rPh>
    <phoneticPr fontId="13"/>
  </si>
  <si>
    <t>入力上の注意点</t>
    <phoneticPr fontId="13"/>
  </si>
  <si>
    <t>医師</t>
    <rPh sb="0" eb="2">
      <t>イシ</t>
    </rPh>
    <phoneticPr fontId="13"/>
  </si>
  <si>
    <t>例）山田太郎</t>
    <rPh sb="0" eb="1">
      <t>レイ</t>
    </rPh>
    <rPh sb="2" eb="4">
      <t>ヤマダ</t>
    </rPh>
    <rPh sb="4" eb="6">
      <t>タロウ</t>
    </rPh>
    <phoneticPr fontId="13"/>
  </si>
  <si>
    <t>例）田中花子</t>
    <rPh sb="0" eb="1">
      <t>レイ</t>
    </rPh>
    <rPh sb="2" eb="4">
      <t>タナカ</t>
    </rPh>
    <rPh sb="4" eb="6">
      <t>ハナコ</t>
    </rPh>
    <phoneticPr fontId="13"/>
  </si>
  <si>
    <t>○人員配置体制については、必要と認める場合タイムカード等の賃金算定根拠となる勤務実績が判る帳簿のご提出をお願いする場合があります。
　（ご対応いただけない場合、公費補助整備が妥当と判断いたしかね交付決定できない場合がありますのでご了承ください。）</t>
    <rPh sb="1" eb="3">
      <t>ジンイン</t>
    </rPh>
    <rPh sb="3" eb="5">
      <t>ハイチ</t>
    </rPh>
    <rPh sb="5" eb="7">
      <t>タイセイ</t>
    </rPh>
    <rPh sb="13" eb="15">
      <t>ヒツヨウ</t>
    </rPh>
    <rPh sb="16" eb="17">
      <t>ミト</t>
    </rPh>
    <rPh sb="19" eb="21">
      <t>バアイ</t>
    </rPh>
    <rPh sb="27" eb="28">
      <t>トウ</t>
    </rPh>
    <rPh sb="29" eb="31">
      <t>チンギン</t>
    </rPh>
    <rPh sb="31" eb="33">
      <t>サンテイ</t>
    </rPh>
    <rPh sb="33" eb="35">
      <t>コンキョ</t>
    </rPh>
    <rPh sb="38" eb="40">
      <t>キンム</t>
    </rPh>
    <rPh sb="40" eb="42">
      <t>ジッセキ</t>
    </rPh>
    <rPh sb="43" eb="44">
      <t>ワカ</t>
    </rPh>
    <rPh sb="45" eb="47">
      <t>チョウボ</t>
    </rPh>
    <rPh sb="49" eb="51">
      <t>テイシュツ</t>
    </rPh>
    <rPh sb="53" eb="54">
      <t>ネガ</t>
    </rPh>
    <rPh sb="57" eb="59">
      <t>バアイ</t>
    </rPh>
    <rPh sb="69" eb="71">
      <t>タイオウ</t>
    </rPh>
    <rPh sb="77" eb="79">
      <t>バアイ</t>
    </rPh>
    <rPh sb="80" eb="82">
      <t>コウヒ</t>
    </rPh>
    <rPh sb="82" eb="84">
      <t>ホジョ</t>
    </rPh>
    <rPh sb="84" eb="86">
      <t>セイビ</t>
    </rPh>
    <rPh sb="87" eb="89">
      <t>ダトウ</t>
    </rPh>
    <rPh sb="90" eb="92">
      <t>ハンダン</t>
    </rPh>
    <rPh sb="97" eb="99">
      <t>コウフ</t>
    </rPh>
    <rPh sb="99" eb="101">
      <t>ケッテイ</t>
    </rPh>
    <rPh sb="105" eb="107">
      <t>バアイ</t>
    </rPh>
    <rPh sb="115" eb="117">
      <t>リョウショウ</t>
    </rPh>
    <phoneticPr fontId="13"/>
  </si>
  <si>
    <t>４月</t>
    <rPh sb="1" eb="2">
      <t>ガツ</t>
    </rPh>
    <phoneticPr fontId="13"/>
  </si>
  <si>
    <t>５月</t>
    <rPh sb="1" eb="2">
      <t>ガツ</t>
    </rPh>
    <phoneticPr fontId="13"/>
  </si>
  <si>
    <t>合計or
平均</t>
    <rPh sb="0" eb="1">
      <t>ゴウ</t>
    </rPh>
    <rPh sb="1" eb="2">
      <t>ケイ</t>
    </rPh>
    <rPh sb="5" eb="7">
      <t>ヘイキン</t>
    </rPh>
    <phoneticPr fontId="13"/>
  </si>
  <si>
    <t>土</t>
    <rPh sb="0" eb="1">
      <t>ド</t>
    </rPh>
    <phoneticPr fontId="13"/>
  </si>
  <si>
    <t>火</t>
    <rPh sb="0" eb="1">
      <t>カ</t>
    </rPh>
    <phoneticPr fontId="13"/>
  </si>
  <si>
    <t>－</t>
    <phoneticPr fontId="13"/>
  </si>
  <si>
    <t>休診日（グレーのセル）以外は全て入力（０の場合は０）</t>
    <rPh sb="0" eb="3">
      <t>キュウシンビ</t>
    </rPh>
    <rPh sb="11" eb="13">
      <t>イガイ</t>
    </rPh>
    <rPh sb="14" eb="15">
      <t>スベ</t>
    </rPh>
    <rPh sb="16" eb="18">
      <t>ニュウリョク</t>
    </rPh>
    <rPh sb="21" eb="23">
      <t>バアイ</t>
    </rPh>
    <phoneticPr fontId="13"/>
  </si>
  <si>
    <t>内、咳症状等を有する患者数</t>
    <rPh sb="0" eb="1">
      <t>ウチ</t>
    </rPh>
    <rPh sb="2" eb="3">
      <t>セキ</t>
    </rPh>
    <rPh sb="3" eb="5">
      <t>ショウジョウ</t>
    </rPh>
    <rPh sb="5" eb="6">
      <t>トウ</t>
    </rPh>
    <rPh sb="7" eb="8">
      <t>ユウ</t>
    </rPh>
    <rPh sb="10" eb="12">
      <t>カンジャ</t>
    </rPh>
    <rPh sb="12" eb="13">
      <t>スウ</t>
    </rPh>
    <phoneticPr fontId="13"/>
  </si>
  <si>
    <t>上段の疑い患者数の範囲内。休診日（グレーのセル）以外は全て入力（０の場合は０）</t>
    <rPh sb="0" eb="2">
      <t>ジョウダン</t>
    </rPh>
    <rPh sb="3" eb="4">
      <t>ウタガ</t>
    </rPh>
    <rPh sb="5" eb="7">
      <t>カンジャ</t>
    </rPh>
    <rPh sb="7" eb="8">
      <t>スウ</t>
    </rPh>
    <rPh sb="9" eb="12">
      <t>ハンイナイ</t>
    </rPh>
    <rPh sb="13" eb="16">
      <t>キュウシンビ</t>
    </rPh>
    <rPh sb="24" eb="26">
      <t>イガイ</t>
    </rPh>
    <rPh sb="27" eb="28">
      <t>スベ</t>
    </rPh>
    <rPh sb="29" eb="31">
      <t>ニュウリョク</t>
    </rPh>
    <rPh sb="34" eb="36">
      <t>バアイ</t>
    </rPh>
    <phoneticPr fontId="13"/>
  </si>
  <si>
    <t>常勤換算数</t>
    <rPh sb="0" eb="2">
      <t>ジョウキン</t>
    </rPh>
    <rPh sb="2" eb="4">
      <t>カンサン</t>
    </rPh>
    <rPh sb="4" eb="5">
      <t>スウ</t>
    </rPh>
    <phoneticPr fontId="13"/>
  </si>
  <si>
    <t>配置員数</t>
    <rPh sb="0" eb="2">
      <t>ハイチ</t>
    </rPh>
    <rPh sb="2" eb="4">
      <t>インスウ</t>
    </rPh>
    <phoneticPr fontId="13"/>
  </si>
  <si>
    <t>勤務時間数計</t>
    <rPh sb="0" eb="5">
      <t>キンムジカンスウ</t>
    </rPh>
    <rPh sb="5" eb="6">
      <t>ケイ</t>
    </rPh>
    <phoneticPr fontId="13"/>
  </si>
  <si>
    <t>上段の最大勤務時間数の範囲内。休診日（グレーのセル）以外は全て入力（０の場合は０）</t>
    <rPh sb="15" eb="18">
      <t>キュウシンビ</t>
    </rPh>
    <rPh sb="26" eb="28">
      <t>イガイ</t>
    </rPh>
    <rPh sb="29" eb="30">
      <t>スベ</t>
    </rPh>
    <rPh sb="31" eb="33">
      <t>ニュウリョク</t>
    </rPh>
    <rPh sb="36" eb="38">
      <t>バアイ</t>
    </rPh>
    <phoneticPr fontId="13"/>
  </si>
  <si>
    <t>疑い患者数</t>
    <rPh sb="0" eb="1">
      <t>ウタガ</t>
    </rPh>
    <rPh sb="2" eb="5">
      <t>カンジャスウ</t>
    </rPh>
    <phoneticPr fontId="13"/>
  </si>
  <si>
    <t>内、有咳症状等</t>
    <rPh sb="0" eb="1">
      <t>ウチ</t>
    </rPh>
    <rPh sb="2" eb="3">
      <t>ユウ</t>
    </rPh>
    <rPh sb="3" eb="4">
      <t>セキ</t>
    </rPh>
    <rPh sb="4" eb="7">
      <t>ショウジョウトウ</t>
    </rPh>
    <phoneticPr fontId="13"/>
  </si>
  <si>
    <t>品目等</t>
    <rPh sb="0" eb="2">
      <t>ヒンモク</t>
    </rPh>
    <rPh sb="2" eb="3">
      <t>トウ</t>
    </rPh>
    <phoneticPr fontId="13"/>
  </si>
  <si>
    <t>その他</t>
    <rPh sb="2" eb="3">
      <t>タ</t>
    </rPh>
    <phoneticPr fontId="13"/>
  </si>
  <si>
    <t>シールド付</t>
    <rPh sb="4" eb="5">
      <t>ツ</t>
    </rPh>
    <phoneticPr fontId="13"/>
  </si>
  <si>
    <t>N95・ハイラックマスク
(咳症状等患者のみ)</t>
    <rPh sb="14" eb="17">
      <t>セキショウジョウ</t>
    </rPh>
    <rPh sb="17" eb="18">
      <t>トウ</t>
    </rPh>
    <rPh sb="18" eb="20">
      <t>カンジャ</t>
    </rPh>
    <phoneticPr fontId="13"/>
  </si>
  <si>
    <t>リユーサブル
(1以下の数値を入力)</t>
    <rPh sb="9" eb="11">
      <t>イカ</t>
    </rPh>
    <rPh sb="12" eb="14">
      <t>スウチ</t>
    </rPh>
    <rPh sb="15" eb="17">
      <t>ニュウリョク</t>
    </rPh>
    <phoneticPr fontId="13"/>
  </si>
  <si>
    <t>レンズ交換型本体
(1以下の数値を入力)</t>
    <rPh sb="3" eb="6">
      <t>コウカンガタ</t>
    </rPh>
    <rPh sb="6" eb="8">
      <t>ホンタイ</t>
    </rPh>
    <phoneticPr fontId="13"/>
  </si>
  <si>
    <t>交換用レンズ</t>
    <rPh sb="0" eb="3">
      <t>コウカンヨウ</t>
    </rPh>
    <phoneticPr fontId="13"/>
  </si>
  <si>
    <t>フェイス
シールド</t>
    <phoneticPr fontId="13"/>
  </si>
  <si>
    <t>使捨て一体型</t>
    <rPh sb="0" eb="1">
      <t>ツカ</t>
    </rPh>
    <rPh sb="1" eb="2">
      <t>ス</t>
    </rPh>
    <rPh sb="3" eb="6">
      <t>イッタイガタ</t>
    </rPh>
    <phoneticPr fontId="13"/>
  </si>
  <si>
    <t>フレーム
(1以下の数値を入力)</t>
    <phoneticPr fontId="13"/>
  </si>
  <si>
    <t>交換用シールド</t>
    <rPh sb="0" eb="3">
      <t>コウカンヨウ</t>
    </rPh>
    <phoneticPr fontId="13"/>
  </si>
  <si>
    <t>リユーサブル
(1以下の数値を入力)</t>
    <phoneticPr fontId="13"/>
  </si>
  <si>
    <t>【品目毎の着脱使用の頻度】（「判定」が要入力となっている黄色の欄に、１患者対応あたりどのタイミングで着脱し当該数量になるか記載してください。）</t>
    <rPh sb="1" eb="3">
      <t>ヒンモク</t>
    </rPh>
    <rPh sb="3" eb="4">
      <t>ゴト</t>
    </rPh>
    <rPh sb="5" eb="7">
      <t>チャクダツ</t>
    </rPh>
    <rPh sb="7" eb="9">
      <t>シヨウ</t>
    </rPh>
    <rPh sb="10" eb="12">
      <t>ヒンド</t>
    </rPh>
    <rPh sb="15" eb="17">
      <t>ハンテイ</t>
    </rPh>
    <rPh sb="19" eb="22">
      <t>ヨウニュウリョク</t>
    </rPh>
    <rPh sb="28" eb="30">
      <t>キイロ</t>
    </rPh>
    <rPh sb="31" eb="32">
      <t>ラン</t>
    </rPh>
    <rPh sb="35" eb="37">
      <t>カンジャ</t>
    </rPh>
    <rPh sb="37" eb="39">
      <t>タイオウ</t>
    </rPh>
    <rPh sb="50" eb="52">
      <t>チャクダツ</t>
    </rPh>
    <rPh sb="53" eb="55">
      <t>トウガイ</t>
    </rPh>
    <rPh sb="55" eb="57">
      <t>スウリョウ</t>
    </rPh>
    <rPh sb="61" eb="63">
      <t>キサイ</t>
    </rPh>
    <phoneticPr fontId="13"/>
  </si>
  <si>
    <t>着脱使用の手順</t>
    <rPh sb="0" eb="2">
      <t>チャクダツ</t>
    </rPh>
    <rPh sb="2" eb="4">
      <t>シヨウ</t>
    </rPh>
    <rPh sb="5" eb="7">
      <t>テジュン</t>
    </rPh>
    <phoneticPr fontId="13"/>
  </si>
  <si>
    <t>患者数</t>
    <rPh sb="0" eb="3">
      <t>カンジャスウ</t>
    </rPh>
    <phoneticPr fontId="13"/>
  </si>
  <si>
    <t>エアロ</t>
    <phoneticPr fontId="13"/>
  </si>
  <si>
    <t>00</t>
    <phoneticPr fontId="13"/>
  </si>
  <si>
    <t>マスク
（その他）</t>
    <rPh sb="7" eb="8">
      <t>タ</t>
    </rPh>
    <phoneticPr fontId="13"/>
  </si>
  <si>
    <t>月曜日</t>
    <rPh sb="0" eb="3">
      <t>ゲツヨウビ</t>
    </rPh>
    <phoneticPr fontId="9"/>
  </si>
  <si>
    <t>マスク
（ハイラック）</t>
    <phoneticPr fontId="13"/>
  </si>
  <si>
    <t>マスク</t>
    <phoneticPr fontId="9"/>
  </si>
  <si>
    <t>グローブ</t>
    <phoneticPr fontId="9"/>
  </si>
  <si>
    <t>ガウン</t>
    <phoneticPr fontId="9"/>
  </si>
  <si>
    <t>ゴーグル</t>
    <phoneticPr fontId="9"/>
  </si>
  <si>
    <t>フェイスシールド</t>
    <phoneticPr fontId="9"/>
  </si>
  <si>
    <t>ゴーグル
（リユーサブル）</t>
    <phoneticPr fontId="13"/>
  </si>
  <si>
    <t>医師</t>
    <rPh sb="0" eb="2">
      <t>イシ</t>
    </rPh>
    <phoneticPr fontId="9"/>
  </si>
  <si>
    <t>ゴーグル
（レンズ交換型）</t>
    <rPh sb="9" eb="12">
      <t>コウカンガタ</t>
    </rPh>
    <phoneticPr fontId="13"/>
  </si>
  <si>
    <t>ゴーグル
（交換用レンズ）</t>
    <rPh sb="6" eb="8">
      <t>コウカン</t>
    </rPh>
    <rPh sb="8" eb="9">
      <t>ヨウ</t>
    </rPh>
    <phoneticPr fontId="13"/>
  </si>
  <si>
    <t>フェイスシールド
（使い捨て一体型）</t>
    <rPh sb="10" eb="11">
      <t>ツカ</t>
    </rPh>
    <rPh sb="12" eb="13">
      <t>ス</t>
    </rPh>
    <rPh sb="14" eb="17">
      <t>イッタイガタ</t>
    </rPh>
    <phoneticPr fontId="13"/>
  </si>
  <si>
    <t>フェイスシールド
（フレーム）</t>
    <phoneticPr fontId="13"/>
  </si>
  <si>
    <t>フェイスシールド
（交換用シールド）</t>
    <rPh sb="10" eb="12">
      <t>コウカン</t>
    </rPh>
    <rPh sb="12" eb="13">
      <t>ヨウ</t>
    </rPh>
    <phoneticPr fontId="13"/>
  </si>
  <si>
    <t>フェイスシールド
（リユーサブル）</t>
    <phoneticPr fontId="13"/>
  </si>
  <si>
    <t>合計or平均</t>
    <rPh sb="0" eb="1">
      <t>ゴウ</t>
    </rPh>
    <rPh sb="1" eb="2">
      <t>ケイ</t>
    </rPh>
    <rPh sb="4" eb="6">
      <t>ヘイキン</t>
    </rPh>
    <phoneticPr fontId="13"/>
  </si>
  <si>
    <t>入力上の注意点</t>
    <rPh sb="0" eb="3">
      <t>ニュウリョクジョウ</t>
    </rPh>
    <rPh sb="4" eb="7">
      <t>チュウイテン</t>
    </rPh>
    <phoneticPr fontId="13"/>
  </si>
  <si>
    <t>全ての欄に当該月の疑い外来患者数を入力してください。</t>
    <rPh sb="0" eb="1">
      <t>スベ</t>
    </rPh>
    <rPh sb="3" eb="4">
      <t>ラン</t>
    </rPh>
    <rPh sb="5" eb="7">
      <t>トウガイ</t>
    </rPh>
    <rPh sb="7" eb="8">
      <t>ツキ</t>
    </rPh>
    <rPh sb="9" eb="10">
      <t>ウタガ</t>
    </rPh>
    <rPh sb="11" eb="13">
      <t>ガイライ</t>
    </rPh>
    <rPh sb="13" eb="16">
      <t>カンジャスウ</t>
    </rPh>
    <rPh sb="17" eb="19">
      <t>ニュウリョク</t>
    </rPh>
    <phoneticPr fontId="13"/>
  </si>
  <si>
    <t>常勤換算数平均/日</t>
    <rPh sb="0" eb="2">
      <t>ジョウキン</t>
    </rPh>
    <rPh sb="2" eb="4">
      <t>カンサン</t>
    </rPh>
    <rPh sb="4" eb="5">
      <t>スウ</t>
    </rPh>
    <rPh sb="5" eb="7">
      <t>ヘイキン</t>
    </rPh>
    <rPh sb="8" eb="9">
      <t>ニチ</t>
    </rPh>
    <phoneticPr fontId="13"/>
  </si>
  <si>
    <t>１日あたり平均勤務時間数を週の平均診療時間数で除した常勤換算の配置員数が表示されます。</t>
    <rPh sb="1" eb="2">
      <t>ニチ</t>
    </rPh>
    <rPh sb="5" eb="7">
      <t>ヘイキン</t>
    </rPh>
    <rPh sb="7" eb="9">
      <t>キンム</t>
    </rPh>
    <rPh sb="9" eb="12">
      <t>ジカンスウ</t>
    </rPh>
    <rPh sb="13" eb="14">
      <t>シュウ</t>
    </rPh>
    <rPh sb="15" eb="17">
      <t>ヘイキン</t>
    </rPh>
    <rPh sb="17" eb="22">
      <t>シンリョウジカンスウ</t>
    </rPh>
    <rPh sb="23" eb="24">
      <t>ジョ</t>
    </rPh>
    <rPh sb="26" eb="30">
      <t>ジョウキンカンサン</t>
    </rPh>
    <rPh sb="31" eb="33">
      <t>ハイチ</t>
    </rPh>
    <rPh sb="33" eb="35">
      <t>インスウ</t>
    </rPh>
    <rPh sb="36" eb="38">
      <t>ヒョウジ</t>
    </rPh>
    <phoneticPr fontId="13"/>
  </si>
  <si>
    <t>平均配置員数/日</t>
    <rPh sb="0" eb="2">
      <t>ヘイキン</t>
    </rPh>
    <rPh sb="2" eb="4">
      <t>ハイチ</t>
    </rPh>
    <rPh sb="4" eb="6">
      <t>インスウ</t>
    </rPh>
    <rPh sb="7" eb="8">
      <t>ニチ</t>
    </rPh>
    <phoneticPr fontId="13"/>
  </si>
  <si>
    <t>勤務時間数計/月</t>
    <rPh sb="0" eb="5">
      <t>キンムジカンスウ</t>
    </rPh>
    <rPh sb="5" eb="6">
      <t>ケイ</t>
    </rPh>
    <rPh sb="7" eb="8">
      <t>ツキ</t>
    </rPh>
    <phoneticPr fontId="13"/>
  </si>
  <si>
    <t>納品日情報等</t>
    <rPh sb="0" eb="3">
      <t>ノウヒンビ</t>
    </rPh>
    <rPh sb="3" eb="5">
      <t>ジョウホウ</t>
    </rPh>
    <rPh sb="5" eb="6">
      <t>トウ</t>
    </rPh>
    <phoneticPr fontId="13"/>
  </si>
  <si>
    <t>パーテーション</t>
    <phoneticPr fontId="13"/>
  </si>
  <si>
    <t>消毒清掃経費　明細</t>
    <rPh sb="0" eb="2">
      <t>ショウドク</t>
    </rPh>
    <rPh sb="2" eb="4">
      <t>セイソウ</t>
    </rPh>
    <rPh sb="4" eb="6">
      <t>ケイヒ</t>
    </rPh>
    <rPh sb="7" eb="9">
      <t>メイサイ</t>
    </rPh>
    <phoneticPr fontId="13"/>
  </si>
  <si>
    <t>基準単価</t>
    <rPh sb="0" eb="2">
      <t>キジュン</t>
    </rPh>
    <rPh sb="2" eb="4">
      <t>タンカ</t>
    </rPh>
    <phoneticPr fontId="13"/>
  </si>
  <si>
    <t>←こちらに税込の単価を入力すると下段に税抜の額が
　自動で表示されます。</t>
    <phoneticPr fontId="13"/>
  </si>
  <si>
    <t>補助基準額</t>
    <rPh sb="0" eb="2">
      <t>ホジョ</t>
    </rPh>
    <rPh sb="2" eb="4">
      <t>キジュン</t>
    </rPh>
    <rPh sb="4" eb="5">
      <t>ガク</t>
    </rPh>
    <phoneticPr fontId="13"/>
  </si>
  <si>
    <t>２．消毒清掃経費情報</t>
    <rPh sb="2" eb="4">
      <t>ショウドク</t>
    </rPh>
    <rPh sb="4" eb="6">
      <t>セイソウ</t>
    </rPh>
    <rPh sb="6" eb="8">
      <t>ケイヒ</t>
    </rPh>
    <rPh sb="8" eb="10">
      <t>ジョウホウ</t>
    </rPh>
    <phoneticPr fontId="13"/>
  </si>
  <si>
    <t>大区分</t>
    <rPh sb="0" eb="3">
      <t>ダイクブン</t>
    </rPh>
    <phoneticPr fontId="13"/>
  </si>
  <si>
    <t>商品名・内容等</t>
    <rPh sb="0" eb="3">
      <t>ショウヒンメイ</t>
    </rPh>
    <rPh sb="4" eb="6">
      <t>ナイヨウ</t>
    </rPh>
    <rPh sb="6" eb="7">
      <t>トウ</t>
    </rPh>
    <phoneticPr fontId="13"/>
  </si>
  <si>
    <t>消耗品</t>
    <rPh sb="0" eb="2">
      <t>ショウモウ</t>
    </rPh>
    <rPh sb="2" eb="3">
      <t>ヒン</t>
    </rPh>
    <phoneticPr fontId="13"/>
  </si>
  <si>
    <t>②「消毒清掃経費情報」の入力</t>
    <rPh sb="2" eb="4">
      <t>ショウドク</t>
    </rPh>
    <rPh sb="4" eb="6">
      <t>セイソウ</t>
    </rPh>
    <rPh sb="6" eb="8">
      <t>ケイヒ</t>
    </rPh>
    <rPh sb="8" eb="10">
      <t>ジョウホウ</t>
    </rPh>
    <rPh sb="12" eb="14">
      <t>ニュウリョク</t>
    </rPh>
    <phoneticPr fontId="13"/>
  </si>
  <si>
    <t>内容量/箱</t>
    <rPh sb="0" eb="3">
      <t>ナイヨウリョウ</t>
    </rPh>
    <rPh sb="4" eb="5">
      <t>ハコ</t>
    </rPh>
    <phoneticPr fontId="13"/>
  </si>
  <si>
    <t>―</t>
    <phoneticPr fontId="13"/>
  </si>
  <si>
    <t>　令和５年度愛知県新型コロナウイルス感染症入院医療機関設備整備費補助金について、
下記の金額を請求します。なお、支払は下記の口座に振り込んでください。</t>
    <rPh sb="21" eb="23">
      <t>ニュウイン</t>
    </rPh>
    <rPh sb="23" eb="25">
      <t>イリョウ</t>
    </rPh>
    <rPh sb="41" eb="43">
      <t>カキ</t>
    </rPh>
    <rPh sb="59" eb="61">
      <t>カキ</t>
    </rPh>
    <phoneticPr fontId="13"/>
  </si>
  <si>
    <t>空気清浄機・パーテーション・簡易ベッド明細</t>
    <rPh sb="0" eb="2">
      <t>クウキ</t>
    </rPh>
    <rPh sb="2" eb="5">
      <t>セイジョウキ</t>
    </rPh>
    <rPh sb="14" eb="16">
      <t>カンイ</t>
    </rPh>
    <rPh sb="19" eb="21">
      <t>メイサイ</t>
    </rPh>
    <phoneticPr fontId="13"/>
  </si>
  <si>
    <t>空気清浄機</t>
    <rPh sb="0" eb="2">
      <t>クウキ</t>
    </rPh>
    <rPh sb="2" eb="5">
      <t>セイジョウキ</t>
    </rPh>
    <phoneticPr fontId="13"/>
  </si>
  <si>
    <t>ー</t>
    <phoneticPr fontId="13"/>
  </si>
  <si>
    <t>《以下の品目を申請する場合は、設置場所がわかる図面、購入品目の規格等がわかるカタログ及び見積書を提出すること。》</t>
    <rPh sb="1" eb="3">
      <t>イカ</t>
    </rPh>
    <rPh sb="4" eb="6">
      <t>ヒンモク</t>
    </rPh>
    <rPh sb="7" eb="9">
      <t>シンセイ</t>
    </rPh>
    <rPh sb="11" eb="13">
      <t>バアイ</t>
    </rPh>
    <rPh sb="15" eb="17">
      <t>セッチ</t>
    </rPh>
    <rPh sb="17" eb="19">
      <t>バショ</t>
    </rPh>
    <rPh sb="23" eb="25">
      <t>ズメン</t>
    </rPh>
    <rPh sb="26" eb="28">
      <t>コウニュウ</t>
    </rPh>
    <rPh sb="28" eb="30">
      <t>ヒンモク</t>
    </rPh>
    <rPh sb="31" eb="33">
      <t>キカク</t>
    </rPh>
    <rPh sb="33" eb="34">
      <t>トウ</t>
    </rPh>
    <rPh sb="42" eb="43">
      <t>オヨ</t>
    </rPh>
    <rPh sb="44" eb="47">
      <t>ミツモリショ</t>
    </rPh>
    <rPh sb="48" eb="50">
      <t>テイシュツ</t>
    </rPh>
    <phoneticPr fontId="13"/>
  </si>
  <si>
    <t>１．空気清浄機</t>
    <rPh sb="2" eb="4">
      <t>クウキ</t>
    </rPh>
    <rPh sb="4" eb="7">
      <t>セイジョウキ</t>
    </rPh>
    <phoneticPr fontId="13"/>
  </si>
  <si>
    <t>【補助要件】</t>
    <rPh sb="1" eb="3">
      <t>ホジョ</t>
    </rPh>
    <rPh sb="3" eb="5">
      <t>ヨウケン</t>
    </rPh>
    <phoneticPr fontId="13"/>
  </si>
  <si>
    <t>HEPAフィルター式であること。（これ以外の規格は補助対象外）</t>
    <rPh sb="19" eb="21">
      <t>イガイ</t>
    </rPh>
    <rPh sb="22" eb="24">
      <t>キカク</t>
    </rPh>
    <rPh sb="25" eb="27">
      <t>ホジョ</t>
    </rPh>
    <rPh sb="27" eb="29">
      <t>タイショウ</t>
    </rPh>
    <rPh sb="29" eb="30">
      <t>ガイ</t>
    </rPh>
    <phoneticPr fontId="13"/>
  </si>
  <si>
    <t>④</t>
    <phoneticPr fontId="13"/>
  </si>
  <si>
    <t>（１）設置場所</t>
    <rPh sb="3" eb="5">
      <t>セッチ</t>
    </rPh>
    <rPh sb="5" eb="7">
      <t>バショ</t>
    </rPh>
    <phoneticPr fontId="13"/>
  </si>
  <si>
    <t>設置場所</t>
    <rPh sb="0" eb="2">
      <t>セッチ</t>
    </rPh>
    <rPh sb="2" eb="4">
      <t>バショ</t>
    </rPh>
    <phoneticPr fontId="13"/>
  </si>
  <si>
    <t>陰圧化の方法</t>
    <rPh sb="0" eb="2">
      <t>インアツ</t>
    </rPh>
    <rPh sb="2" eb="3">
      <t>カ</t>
    </rPh>
    <rPh sb="4" eb="6">
      <t>ホウホウ</t>
    </rPh>
    <phoneticPr fontId="13"/>
  </si>
  <si>
    <t>（２）経費内訳</t>
    <rPh sb="3" eb="5">
      <t>ケイヒ</t>
    </rPh>
    <rPh sb="5" eb="7">
      <t>ウチワケ</t>
    </rPh>
    <phoneticPr fontId="13"/>
  </si>
  <si>
    <t>単価(税込)</t>
    <rPh sb="0" eb="2">
      <t>タンカ</t>
    </rPh>
    <rPh sb="3" eb="5">
      <t>ゼイコ</t>
    </rPh>
    <phoneticPr fontId="13"/>
  </si>
  <si>
    <t>金額(税込)</t>
    <rPh sb="0" eb="2">
      <t>キンガク</t>
    </rPh>
    <rPh sb="3" eb="5">
      <t>ゼイコ</t>
    </rPh>
    <phoneticPr fontId="13"/>
  </si>
  <si>
    <t>計(a)</t>
    <rPh sb="0" eb="1">
      <t>ケイ</t>
    </rPh>
    <phoneticPr fontId="13"/>
  </si>
  <si>
    <t>補助基準額/施設(b)</t>
    <rPh sb="0" eb="2">
      <t>ホジョ</t>
    </rPh>
    <rPh sb="2" eb="4">
      <t>キジュン</t>
    </rPh>
    <rPh sb="4" eb="5">
      <t>ガク</t>
    </rPh>
    <rPh sb="6" eb="8">
      <t>シセツ</t>
    </rPh>
    <phoneticPr fontId="13"/>
  </si>
  <si>
    <t>既交付額(c)</t>
    <rPh sb="0" eb="1">
      <t>スデ</t>
    </rPh>
    <rPh sb="1" eb="3">
      <t>コウフ</t>
    </rPh>
    <rPh sb="3" eb="4">
      <t>ガク</t>
    </rPh>
    <phoneticPr fontId="13"/>
  </si>
  <si>
    <t>申請可能額(d=b-c)</t>
    <rPh sb="0" eb="2">
      <t>シンセイ</t>
    </rPh>
    <rPh sb="2" eb="4">
      <t>カノウ</t>
    </rPh>
    <rPh sb="4" eb="5">
      <t>ガク</t>
    </rPh>
    <phoneticPr fontId="13"/>
  </si>
  <si>
    <t>申請額(a,dいずれか小さい額)</t>
    <rPh sb="0" eb="3">
      <t>シンセイガク</t>
    </rPh>
    <rPh sb="11" eb="12">
      <t>チイ</t>
    </rPh>
    <rPh sb="14" eb="15">
      <t>ガク</t>
    </rPh>
    <phoneticPr fontId="13"/>
  </si>
  <si>
    <t>２．パーテーション</t>
    <phoneticPr fontId="13"/>
  </si>
  <si>
    <t>基準単価は205,000円/台。</t>
    <rPh sb="0" eb="2">
      <t>キジュン</t>
    </rPh>
    <rPh sb="2" eb="4">
      <t>タンカ</t>
    </rPh>
    <rPh sb="12" eb="13">
      <t>エン</t>
    </rPh>
    <rPh sb="14" eb="15">
      <t>ダイ</t>
    </rPh>
    <phoneticPr fontId="13"/>
  </si>
  <si>
    <t>補助額/台</t>
    <rPh sb="0" eb="2">
      <t>ホジョ</t>
    </rPh>
    <rPh sb="2" eb="3">
      <t>ガク</t>
    </rPh>
    <rPh sb="4" eb="5">
      <t>ダイ</t>
    </rPh>
    <phoneticPr fontId="13"/>
  </si>
  <si>
    <t>３．簡易ベッド</t>
    <rPh sb="2" eb="4">
      <t>カンイ</t>
    </rPh>
    <phoneticPr fontId="13"/>
  </si>
  <si>
    <t>基準単価は51,400円/台。</t>
    <rPh sb="0" eb="2">
      <t>キジュン</t>
    </rPh>
    <rPh sb="2" eb="4">
      <t>タンカ</t>
    </rPh>
    <rPh sb="11" eb="12">
      <t>エン</t>
    </rPh>
    <rPh sb="13" eb="14">
      <t>ダイ</t>
    </rPh>
    <phoneticPr fontId="13"/>
  </si>
  <si>
    <t>陰圧対応可能な室内に設置、壁へのダクト接続での外気へ清浄化した空気の放出による。</t>
    <rPh sb="23" eb="25">
      <t>ガイキ</t>
    </rPh>
    <rPh sb="26" eb="29">
      <t>セイジョウカ</t>
    </rPh>
    <rPh sb="31" eb="33">
      <t>クウキ</t>
    </rPh>
    <rPh sb="34" eb="36">
      <t>ホウシュツ</t>
    </rPh>
    <phoneticPr fontId="13"/>
  </si>
  <si>
    <t>簡易陰圧テントの設置による。</t>
    <rPh sb="0" eb="2">
      <t>カンイ</t>
    </rPh>
    <rPh sb="2" eb="4">
      <t>インアツ</t>
    </rPh>
    <rPh sb="8" eb="10">
      <t>セッチ</t>
    </rPh>
    <phoneticPr fontId="13"/>
  </si>
  <si>
    <t>本体</t>
    <rPh sb="0" eb="2">
      <t>ホンタイ</t>
    </rPh>
    <phoneticPr fontId="13"/>
  </si>
  <si>
    <t>確保病床数</t>
    <rPh sb="0" eb="2">
      <t>カクホ</t>
    </rPh>
    <rPh sb="2" eb="5">
      <t>ビョウショウスウ</t>
    </rPh>
    <phoneticPr fontId="9"/>
  </si>
  <si>
    <t>確保病床の有無</t>
    <rPh sb="0" eb="2">
      <t>カクホ</t>
    </rPh>
    <rPh sb="2" eb="4">
      <t>ビョウショウ</t>
    </rPh>
    <rPh sb="5" eb="7">
      <t>ウム</t>
    </rPh>
    <phoneticPr fontId="9"/>
  </si>
  <si>
    <t>確保病床</t>
    <rPh sb="0" eb="2">
      <t>カクホ</t>
    </rPh>
    <rPh sb="2" eb="4">
      <t>ビョウショウ</t>
    </rPh>
    <phoneticPr fontId="9"/>
  </si>
  <si>
    <t>有</t>
    <rPh sb="0" eb="1">
      <t>アリ</t>
    </rPh>
    <phoneticPr fontId="9"/>
  </si>
  <si>
    <t>無</t>
    <rPh sb="0" eb="1">
      <t>ナ</t>
    </rPh>
    <phoneticPr fontId="9"/>
  </si>
  <si>
    <t>入院医療体制に係る基礎情報</t>
    <rPh sb="0" eb="2">
      <t>ニュウイン</t>
    </rPh>
    <rPh sb="2" eb="4">
      <t>イリョウ</t>
    </rPh>
    <rPh sb="4" eb="6">
      <t>タイセイ</t>
    </rPh>
    <rPh sb="7" eb="8">
      <t>カカ</t>
    </rPh>
    <rPh sb="9" eb="11">
      <t>キソ</t>
    </rPh>
    <rPh sb="11" eb="13">
      <t>ジョウホウ</t>
    </rPh>
    <phoneticPr fontId="9"/>
  </si>
  <si>
    <t>・消毒清掃費：コロナ延入院患者数数＊1,000円/１日１床（ただし、利用病床に限る。）
（単価については、１日１床あたり入院対応における病室消毒にかかる経費等を評価。直営、外部委託による場合いずれも共通。）</t>
    <rPh sb="1" eb="3">
      <t>ショウドク</t>
    </rPh>
    <rPh sb="3" eb="6">
      <t>セイソウヒ</t>
    </rPh>
    <rPh sb="10" eb="11">
      <t>ノベ</t>
    </rPh>
    <rPh sb="11" eb="13">
      <t>ニュウイン</t>
    </rPh>
    <rPh sb="13" eb="16">
      <t>カンジャスウ</t>
    </rPh>
    <rPh sb="16" eb="17">
      <t>スウ</t>
    </rPh>
    <rPh sb="23" eb="24">
      <t>エン</t>
    </rPh>
    <rPh sb="45" eb="47">
      <t>タンカ</t>
    </rPh>
    <rPh sb="54" eb="55">
      <t>ニチ</t>
    </rPh>
    <rPh sb="56" eb="57">
      <t>ユカ</t>
    </rPh>
    <rPh sb="60" eb="62">
      <t>ニュウイン</t>
    </rPh>
    <rPh sb="62" eb="64">
      <t>タイオウ</t>
    </rPh>
    <rPh sb="68" eb="70">
      <t>ビョウシツ</t>
    </rPh>
    <rPh sb="70" eb="72">
      <t>ショウドク</t>
    </rPh>
    <rPh sb="76" eb="78">
      <t>ケイヒ</t>
    </rPh>
    <rPh sb="78" eb="79">
      <t>トウ</t>
    </rPh>
    <rPh sb="80" eb="82">
      <t>ヒョウカ</t>
    </rPh>
    <rPh sb="83" eb="85">
      <t>チョクエイ</t>
    </rPh>
    <rPh sb="86" eb="88">
      <t>ガイブ</t>
    </rPh>
    <rPh sb="88" eb="90">
      <t>イタク</t>
    </rPh>
    <rPh sb="93" eb="95">
      <t>バアイ</t>
    </rPh>
    <rPh sb="99" eb="101">
      <t>キョウツウ</t>
    </rPh>
    <phoneticPr fontId="13"/>
  </si>
  <si>
    <r>
      <t>○１日あたり平均配置員数は、配置員数の勤務時間の合計を１クールあたり開始から終了までの時間数で除した</t>
    </r>
    <r>
      <rPr>
        <b/>
        <u/>
        <sz val="14"/>
        <color rgb="FFFF0000"/>
        <rFont val="Yu Gothic"/>
        <family val="3"/>
        <charset val="128"/>
        <scheme val="minor"/>
      </rPr>
      <t>常勤換算数</t>
    </r>
    <r>
      <rPr>
        <b/>
        <sz val="14"/>
        <color theme="1"/>
        <rFont val="Yu Gothic"/>
        <family val="3"/>
        <charset val="128"/>
        <scheme val="minor"/>
      </rPr>
      <t>により算定します。</t>
    </r>
    <rPh sb="2" eb="3">
      <t>ニチ</t>
    </rPh>
    <rPh sb="6" eb="8">
      <t>ヘイキン</t>
    </rPh>
    <rPh sb="8" eb="10">
      <t>ハイチ</t>
    </rPh>
    <rPh sb="10" eb="12">
      <t>インスウ</t>
    </rPh>
    <rPh sb="14" eb="16">
      <t>ハイチ</t>
    </rPh>
    <rPh sb="16" eb="18">
      <t>インスウ</t>
    </rPh>
    <rPh sb="19" eb="21">
      <t>キンム</t>
    </rPh>
    <rPh sb="21" eb="23">
      <t>ジカン</t>
    </rPh>
    <rPh sb="24" eb="26">
      <t>ゴウケイ</t>
    </rPh>
    <rPh sb="34" eb="36">
      <t>カイシ</t>
    </rPh>
    <rPh sb="38" eb="40">
      <t>シュウリョウ</t>
    </rPh>
    <rPh sb="43" eb="46">
      <t>ジカンスウ</t>
    </rPh>
    <rPh sb="47" eb="48">
      <t>ジョ</t>
    </rPh>
    <rPh sb="50" eb="52">
      <t>ジョウキン</t>
    </rPh>
    <rPh sb="52" eb="54">
      <t>カンサン</t>
    </rPh>
    <rPh sb="54" eb="55">
      <t>スウ</t>
    </rPh>
    <rPh sb="58" eb="60">
      <t>サンテイ</t>
    </rPh>
    <phoneticPr fontId="13"/>
  </si>
  <si>
    <r>
      <t>○個人防護具に係り、</t>
    </r>
    <r>
      <rPr>
        <b/>
        <u/>
        <sz val="14"/>
        <color rgb="FFFF0000"/>
        <rFont val="Yu Gothic"/>
        <family val="3"/>
        <charset val="128"/>
        <scheme val="minor"/>
      </rPr>
      <t>N95マスク及びハイラックマスク</t>
    </r>
    <r>
      <rPr>
        <b/>
        <sz val="14"/>
        <color theme="1"/>
        <rFont val="Yu Gothic"/>
        <family val="3"/>
        <charset val="128"/>
        <scheme val="minor"/>
      </rPr>
      <t>については、国が示す防護具着用の目安に基づき、</t>
    </r>
    <r>
      <rPr>
        <b/>
        <u/>
        <sz val="14"/>
        <color rgb="FFFF0000"/>
        <rFont val="Yu Gothic"/>
        <family val="3"/>
        <charset val="128"/>
        <scheme val="minor"/>
      </rPr>
      <t>エアロゾル排出リスクが高い患者の入院対応の際における着用分のみ補助対象</t>
    </r>
    <r>
      <rPr>
        <b/>
        <sz val="14"/>
        <color theme="1"/>
        <rFont val="Yu Gothic"/>
        <family val="3"/>
        <charset val="128"/>
        <scheme val="minor"/>
      </rPr>
      <t>とします。
（必要と認める際にはカルテ等の写しをご提出いただきます。期日までの説明等のご対応をいただけない場合及び必要数を超えた数量計上の場合は「その他マスク」の補助基準単価を適用します。）</t>
    </r>
    <rPh sb="1" eb="6">
      <t>コジンボウゴグ</t>
    </rPh>
    <rPh sb="7" eb="8">
      <t>カカ</t>
    </rPh>
    <rPh sb="16" eb="17">
      <t>オヨ</t>
    </rPh>
    <rPh sb="32" eb="33">
      <t>クニ</t>
    </rPh>
    <rPh sb="34" eb="35">
      <t>シメ</t>
    </rPh>
    <rPh sb="36" eb="39">
      <t>ボウゴグ</t>
    </rPh>
    <rPh sb="39" eb="41">
      <t>チャクヨウ</t>
    </rPh>
    <rPh sb="42" eb="44">
      <t>メヤス</t>
    </rPh>
    <rPh sb="45" eb="46">
      <t>モト</t>
    </rPh>
    <rPh sb="62" eb="64">
      <t>カンジャ</t>
    </rPh>
    <rPh sb="65" eb="67">
      <t>ニュウイン</t>
    </rPh>
    <rPh sb="67" eb="69">
      <t>タイオウ</t>
    </rPh>
    <rPh sb="70" eb="71">
      <t>サイ</t>
    </rPh>
    <rPh sb="75" eb="78">
      <t>チャクヨウブン</t>
    </rPh>
    <rPh sb="80" eb="84">
      <t>ホジョタイショウ</t>
    </rPh>
    <rPh sb="91" eb="93">
      <t>ヒツヨウ</t>
    </rPh>
    <rPh sb="94" eb="95">
      <t>ミト</t>
    </rPh>
    <rPh sb="97" eb="98">
      <t>サイ</t>
    </rPh>
    <rPh sb="103" eb="104">
      <t>トウ</t>
    </rPh>
    <rPh sb="105" eb="106">
      <t>ウツ</t>
    </rPh>
    <rPh sb="109" eb="111">
      <t>テイシュツ</t>
    </rPh>
    <rPh sb="118" eb="120">
      <t>キジツ</t>
    </rPh>
    <rPh sb="123" eb="125">
      <t>セツメイ</t>
    </rPh>
    <rPh sb="125" eb="126">
      <t>トウ</t>
    </rPh>
    <rPh sb="128" eb="130">
      <t>タイオウ</t>
    </rPh>
    <rPh sb="137" eb="139">
      <t>バアイ</t>
    </rPh>
    <rPh sb="139" eb="140">
      <t>オヨ</t>
    </rPh>
    <rPh sb="141" eb="144">
      <t>ヒツヨウスウ</t>
    </rPh>
    <rPh sb="145" eb="146">
      <t>コ</t>
    </rPh>
    <rPh sb="148" eb="150">
      <t>スウリョウ</t>
    </rPh>
    <rPh sb="150" eb="152">
      <t>ケイジョウ</t>
    </rPh>
    <rPh sb="153" eb="155">
      <t>バアイ</t>
    </rPh>
    <rPh sb="159" eb="160">
      <t>タ</t>
    </rPh>
    <rPh sb="165" eb="171">
      <t>ホジョキジュンタンカ</t>
    </rPh>
    <rPh sb="172" eb="174">
      <t>テキヨウ</t>
    </rPh>
    <phoneticPr fontId="13"/>
  </si>
  <si>
    <t>コロナ入院患者数</t>
    <rPh sb="3" eb="5">
      <t>ニュウイン</t>
    </rPh>
    <rPh sb="5" eb="7">
      <t>カンジャ</t>
    </rPh>
    <rPh sb="7" eb="8">
      <t>スウ</t>
    </rPh>
    <phoneticPr fontId="13"/>
  </si>
  <si>
    <t>○「内、咳症状等を有する患者数」には、上段の入院患者数の内、エアロゾル排出リスクが高い患者（咳嗽がある。喀痰吸引や酸素投与を実施するなど）
　の人数を入力してください。）　（必要と認める際にはカルテ等の写しをご提出いただきます。）</t>
    <rPh sb="19" eb="21">
      <t>ジョウダン</t>
    </rPh>
    <rPh sb="26" eb="27">
      <t>スウ</t>
    </rPh>
    <rPh sb="28" eb="29">
      <t>ウチ</t>
    </rPh>
    <rPh sb="35" eb="37">
      <t>ハイシュツ</t>
    </rPh>
    <rPh sb="41" eb="42">
      <t>タカ</t>
    </rPh>
    <rPh sb="43" eb="45">
      <t>カンジャ</t>
    </rPh>
    <rPh sb="57" eb="59">
      <t>サンソ</t>
    </rPh>
    <rPh sb="59" eb="61">
      <t>トウヨ</t>
    </rPh>
    <rPh sb="72" eb="74">
      <t>ニンズウ</t>
    </rPh>
    <rPh sb="75" eb="77">
      <t>ニュウリョク</t>
    </rPh>
    <phoneticPr fontId="13"/>
  </si>
  <si>
    <t>看護配置割合</t>
    <rPh sb="0" eb="2">
      <t>カンゴ</t>
    </rPh>
    <rPh sb="2" eb="4">
      <t>ハイチ</t>
    </rPh>
    <rPh sb="4" eb="6">
      <t>ワリアイ</t>
    </rPh>
    <phoneticPr fontId="9"/>
  </si>
  <si>
    <t>月</t>
    <rPh sb="0" eb="1">
      <t>ツキ</t>
    </rPh>
    <phoneticPr fontId="9"/>
  </si>
  <si>
    <t>４月</t>
    <rPh sb="1" eb="2">
      <t>ガツ</t>
    </rPh>
    <phoneticPr fontId="9"/>
  </si>
  <si>
    <t>５月</t>
    <rPh sb="1" eb="2">
      <t>ガツ</t>
    </rPh>
    <phoneticPr fontId="9"/>
  </si>
  <si>
    <t>：</t>
    <phoneticPr fontId="9"/>
  </si>
  <si>
    <t>標準勤務時間数</t>
    <rPh sb="0" eb="2">
      <t>ヒョウジュン</t>
    </rPh>
    <rPh sb="2" eb="6">
      <t>キンムジカン</t>
    </rPh>
    <rPh sb="6" eb="7">
      <t>スウ</t>
    </rPh>
    <phoneticPr fontId="13"/>
  </si>
  <si>
    <t>○入院患者１人あたりの使用数量として通常想定されるより多い数量を記載すると赤色で表示されます。
　その際、記載の数量の必要理由について確認させていただきますのであらかじめご了承ください。</t>
    <rPh sb="1" eb="3">
      <t>ニュウイン</t>
    </rPh>
    <rPh sb="3" eb="5">
      <t>カンジャ</t>
    </rPh>
    <rPh sb="6" eb="7">
      <t>ニン</t>
    </rPh>
    <rPh sb="11" eb="13">
      <t>シヨウ</t>
    </rPh>
    <rPh sb="13" eb="15">
      <t>スウリョウ</t>
    </rPh>
    <rPh sb="18" eb="20">
      <t>ツウジョウ</t>
    </rPh>
    <rPh sb="20" eb="22">
      <t>ソウテイ</t>
    </rPh>
    <rPh sb="27" eb="28">
      <t>オオ</t>
    </rPh>
    <rPh sb="29" eb="31">
      <t>スウリョウ</t>
    </rPh>
    <rPh sb="32" eb="34">
      <t>キサイ</t>
    </rPh>
    <rPh sb="37" eb="38">
      <t>アカ</t>
    </rPh>
    <rPh sb="38" eb="39">
      <t>イロ</t>
    </rPh>
    <rPh sb="40" eb="42">
      <t>ヒョウジ</t>
    </rPh>
    <rPh sb="51" eb="52">
      <t>サイ</t>
    </rPh>
    <rPh sb="53" eb="55">
      <t>キサイ</t>
    </rPh>
    <rPh sb="56" eb="58">
      <t>スウリョウ</t>
    </rPh>
    <rPh sb="59" eb="61">
      <t>ヒツヨウ</t>
    </rPh>
    <rPh sb="61" eb="63">
      <t>リユウ</t>
    </rPh>
    <rPh sb="67" eb="69">
      <t>カクニン</t>
    </rPh>
    <rPh sb="86" eb="88">
      <t>リョウショウ</t>
    </rPh>
    <phoneticPr fontId="13"/>
  </si>
  <si>
    <t>平均訪室回数/患者１人１日</t>
    <rPh sb="0" eb="2">
      <t>ヘイキン</t>
    </rPh>
    <rPh sb="2" eb="3">
      <t>ホウ</t>
    </rPh>
    <rPh sb="3" eb="4">
      <t>シツ</t>
    </rPh>
    <rPh sb="4" eb="6">
      <t>カイスウ</t>
    </rPh>
    <phoneticPr fontId="13"/>
  </si>
  <si>
    <t>平均対応員数/患者１人１回</t>
    <rPh sb="0" eb="2">
      <t>ヘイキン</t>
    </rPh>
    <rPh sb="2" eb="4">
      <t>タイオウ</t>
    </rPh>
    <rPh sb="4" eb="6">
      <t>インスウ</t>
    </rPh>
    <rPh sb="7" eb="9">
      <t>カンジャ</t>
    </rPh>
    <rPh sb="10" eb="11">
      <t>ニン</t>
    </rPh>
    <rPh sb="12" eb="13">
      <t>カイ</t>
    </rPh>
    <phoneticPr fontId="13"/>
  </si>
  <si>
    <t>○リユーサブル品の使用数を計上する場合、例えば患者対応100回の頻度で交換する際は0.01（=1÷100）と入力してください。</t>
    <rPh sb="7" eb="8">
      <t>ヒン</t>
    </rPh>
    <rPh sb="9" eb="12">
      <t>シヨウスウ</t>
    </rPh>
    <rPh sb="13" eb="15">
      <t>ケイジョウ</t>
    </rPh>
    <rPh sb="17" eb="19">
      <t>バアイ</t>
    </rPh>
    <rPh sb="20" eb="21">
      <t>タト</t>
    </rPh>
    <rPh sb="23" eb="25">
      <t>カンジャ</t>
    </rPh>
    <rPh sb="25" eb="27">
      <t>タイオウ</t>
    </rPh>
    <rPh sb="30" eb="31">
      <t>カイ</t>
    </rPh>
    <rPh sb="32" eb="34">
      <t>ヒンド</t>
    </rPh>
    <rPh sb="35" eb="37">
      <t>コウカン</t>
    </rPh>
    <rPh sb="39" eb="40">
      <t>サイ</t>
    </rPh>
    <rPh sb="54" eb="56">
      <t>ニュウリョク</t>
    </rPh>
    <phoneticPr fontId="13"/>
  </si>
  <si>
    <t>延べ対応人数/患者１人１日</t>
    <rPh sb="0" eb="1">
      <t>ノ</t>
    </rPh>
    <rPh sb="2" eb="4">
      <t>タイオウ</t>
    </rPh>
    <rPh sb="4" eb="6">
      <t>ニンズウ</t>
    </rPh>
    <rPh sb="7" eb="9">
      <t>カンジャ</t>
    </rPh>
    <rPh sb="10" eb="11">
      <t>ニン</t>
    </rPh>
    <rPh sb="12" eb="13">
      <t>ニチ</t>
    </rPh>
    <phoneticPr fontId="13"/>
  </si>
  <si>
    <t>使用数</t>
    <rPh sb="0" eb="2">
      <t>シヨウ</t>
    </rPh>
    <rPh sb="2" eb="3">
      <t>スウ</t>
    </rPh>
    <phoneticPr fontId="13"/>
  </si>
  <si>
    <t>延べ患者数</t>
    <rPh sb="0" eb="1">
      <t>ノ</t>
    </rPh>
    <rPh sb="2" eb="5">
      <t>カンジャスウ</t>
    </rPh>
    <phoneticPr fontId="13"/>
  </si>
  <si>
    <t>延べ対応人数
/患者１人１日</t>
    <rPh sb="0" eb="1">
      <t>ノ</t>
    </rPh>
    <rPh sb="2" eb="4">
      <t>タイオウ</t>
    </rPh>
    <rPh sb="4" eb="6">
      <t>ニンズウ</t>
    </rPh>
    <rPh sb="8" eb="10">
      <t>カンジャ</t>
    </rPh>
    <rPh sb="11" eb="12">
      <t>ニン</t>
    </rPh>
    <rPh sb="13" eb="14">
      <t>ニチ</t>
    </rPh>
    <phoneticPr fontId="13"/>
  </si>
  <si>
    <t>総使用見込量</t>
    <rPh sb="0" eb="1">
      <t>ソウ</t>
    </rPh>
    <rPh sb="1" eb="3">
      <t>シヨウ</t>
    </rPh>
    <rPh sb="3" eb="5">
      <t>ミコ</t>
    </rPh>
    <rPh sb="5" eb="6">
      <t>リョウ</t>
    </rPh>
    <phoneticPr fontId="9"/>
  </si>
  <si>
    <t>使用数
/患者１人１回</t>
    <rPh sb="0" eb="2">
      <t>シヨウ</t>
    </rPh>
    <rPh sb="2" eb="3">
      <t>スウ</t>
    </rPh>
    <rPh sb="5" eb="7">
      <t>カンジャ</t>
    </rPh>
    <rPh sb="8" eb="9">
      <t>ニン</t>
    </rPh>
    <rPh sb="10" eb="11">
      <t>カイ</t>
    </rPh>
    <phoneticPr fontId="13"/>
  </si>
  <si>
    <t>○「入院患者数」には各日のコロナ入院患者の人数（または見込数）を入力してください。
　（院内で発生したコロナ患者を除く。未入力欄がある場合、患者または職員の配置数を０として算定します。）</t>
    <rPh sb="2" eb="4">
      <t>ニュウイン</t>
    </rPh>
    <rPh sb="10" eb="12">
      <t>カクジツ</t>
    </rPh>
    <rPh sb="16" eb="18">
      <t>ニュウイン</t>
    </rPh>
    <rPh sb="18" eb="20">
      <t>カンジャ</t>
    </rPh>
    <rPh sb="21" eb="23">
      <t>ニンズウ</t>
    </rPh>
    <rPh sb="27" eb="29">
      <t>ミコ</t>
    </rPh>
    <rPh sb="29" eb="30">
      <t>スウ</t>
    </rPh>
    <rPh sb="32" eb="34">
      <t>ニュウリョク</t>
    </rPh>
    <rPh sb="44" eb="46">
      <t>インナイ</t>
    </rPh>
    <rPh sb="47" eb="49">
      <t>ハッセイ</t>
    </rPh>
    <rPh sb="54" eb="56">
      <t>カンジャ</t>
    </rPh>
    <rPh sb="57" eb="58">
      <t>ノゾ</t>
    </rPh>
    <rPh sb="60" eb="63">
      <t>ミニュウリョク</t>
    </rPh>
    <rPh sb="63" eb="64">
      <t>ラン</t>
    </rPh>
    <rPh sb="67" eb="69">
      <t>バアイ</t>
    </rPh>
    <rPh sb="70" eb="72">
      <t>カンジャ</t>
    </rPh>
    <rPh sb="75" eb="77">
      <t>ショクイン</t>
    </rPh>
    <rPh sb="78" eb="80">
      <t>ハイチ</t>
    </rPh>
    <rPh sb="80" eb="81">
      <t>スウ</t>
    </rPh>
    <rPh sb="86" eb="88">
      <t>サンテイ</t>
    </rPh>
    <phoneticPr fontId="13"/>
  </si>
  <si>
    <t>ー</t>
    <phoneticPr fontId="9"/>
  </si>
  <si>
    <t>標準勤務時間/月</t>
    <rPh sb="0" eb="2">
      <t>ヒョウジュン</t>
    </rPh>
    <rPh sb="2" eb="6">
      <t>キンムジカン</t>
    </rPh>
    <rPh sb="7" eb="8">
      <t>ツキ</t>
    </rPh>
    <phoneticPr fontId="13"/>
  </si>
  <si>
    <t>コロナ入院患者の延べ数(月計)</t>
    <rPh sb="3" eb="5">
      <t>ニュウイン</t>
    </rPh>
    <rPh sb="5" eb="7">
      <t>カンジャ</t>
    </rPh>
    <rPh sb="8" eb="9">
      <t>ノ</t>
    </rPh>
    <rPh sb="10" eb="11">
      <t>スウ</t>
    </rPh>
    <rPh sb="12" eb="14">
      <t>ゲッケイ</t>
    </rPh>
    <rPh sb="13" eb="14">
      <t>ケイ</t>
    </rPh>
    <phoneticPr fontId="13"/>
  </si>
  <si>
    <t>内、咳症状等を有する患者の延べ数 (月計)</t>
    <rPh sb="0" eb="1">
      <t>ウチ</t>
    </rPh>
    <rPh sb="2" eb="3">
      <t>セキ</t>
    </rPh>
    <rPh sb="3" eb="5">
      <t>ショウジョウ</t>
    </rPh>
    <rPh sb="5" eb="6">
      <t>トウ</t>
    </rPh>
    <rPh sb="7" eb="8">
      <t>ユウ</t>
    </rPh>
    <rPh sb="10" eb="12">
      <t>カンジャ</t>
    </rPh>
    <rPh sb="13" eb="14">
      <t>ノ</t>
    </rPh>
    <rPh sb="15" eb="16">
      <t>スウ</t>
    </rPh>
    <rPh sb="18" eb="20">
      <t>ゲッケイ</t>
    </rPh>
    <phoneticPr fontId="13"/>
  </si>
  <si>
    <t>コロナ入院患者が１人以上の日(月計)</t>
    <rPh sb="3" eb="5">
      <t>ニュウイン</t>
    </rPh>
    <rPh sb="5" eb="7">
      <t>カンジャ</t>
    </rPh>
    <rPh sb="9" eb="12">
      <t>ニンイジョウ</t>
    </rPh>
    <rPh sb="13" eb="14">
      <t>ヒ</t>
    </rPh>
    <rPh sb="15" eb="17">
      <t>ゲッケイ</t>
    </rPh>
    <rPh sb="16" eb="17">
      <t>ケイ</t>
    </rPh>
    <phoneticPr fontId="13"/>
  </si>
  <si>
    <t>延べ入院患者数</t>
    <rPh sb="0" eb="1">
      <t>ノ</t>
    </rPh>
    <rPh sb="2" eb="7">
      <t>ニュウインカンジャスウ</t>
    </rPh>
    <phoneticPr fontId="13"/>
  </si>
  <si>
    <t>「入院医療体制に係る基礎情報」シートを入力し、基準額の算定基礎数値（疑い患者数）が正しく表示されているか確認してください。
　※補助基準額は補助対象期間内の延べ入院患者数＊基準単価で得られた額</t>
    <rPh sb="1" eb="3">
      <t>ニュウイン</t>
    </rPh>
    <rPh sb="3" eb="5">
      <t>イリョウ</t>
    </rPh>
    <rPh sb="5" eb="7">
      <t>タイセイ</t>
    </rPh>
    <rPh sb="8" eb="9">
      <t>カカ</t>
    </rPh>
    <rPh sb="10" eb="12">
      <t>キソ</t>
    </rPh>
    <rPh sb="12" eb="14">
      <t>ジョウホウ</t>
    </rPh>
    <rPh sb="19" eb="21">
      <t>ニュウリョク</t>
    </rPh>
    <rPh sb="23" eb="25">
      <t>キジュン</t>
    </rPh>
    <rPh sb="25" eb="26">
      <t>ガク</t>
    </rPh>
    <rPh sb="27" eb="29">
      <t>サンテイ</t>
    </rPh>
    <rPh sb="29" eb="31">
      <t>キソ</t>
    </rPh>
    <rPh sb="31" eb="33">
      <t>スウチ</t>
    </rPh>
    <rPh sb="34" eb="35">
      <t>ウタガ</t>
    </rPh>
    <rPh sb="36" eb="39">
      <t>カンジャスウ</t>
    </rPh>
    <rPh sb="41" eb="42">
      <t>タダ</t>
    </rPh>
    <rPh sb="44" eb="46">
      <t>ヒョウジ</t>
    </rPh>
    <rPh sb="52" eb="54">
      <t>カクニン</t>
    </rPh>
    <rPh sb="70" eb="77">
      <t>ホジョタイショウキカンナイ</t>
    </rPh>
    <rPh sb="78" eb="79">
      <t>ノ</t>
    </rPh>
    <rPh sb="80" eb="82">
      <t>ニュウイン</t>
    </rPh>
    <rPh sb="82" eb="85">
      <t>カンジャスウ</t>
    </rPh>
    <phoneticPr fontId="13"/>
  </si>
  <si>
    <t>入院</t>
    <rPh sb="0" eb="2">
      <t>ニュウイン</t>
    </rPh>
    <phoneticPr fontId="9"/>
  </si>
  <si>
    <t>感染</t>
    <rPh sb="0" eb="2">
      <t>カンセン</t>
    </rPh>
    <phoneticPr fontId="9"/>
  </si>
  <si>
    <t>重点</t>
    <rPh sb="0" eb="2">
      <t>ジュウテン</t>
    </rPh>
    <phoneticPr fontId="9"/>
  </si>
  <si>
    <t>１．勤務体制</t>
    <rPh sb="2" eb="4">
      <t>キンム</t>
    </rPh>
    <rPh sb="4" eb="6">
      <t>タイセイ</t>
    </rPh>
    <phoneticPr fontId="13"/>
  </si>
  <si>
    <t>①「基礎情報」の入力</t>
    <rPh sb="2" eb="4">
      <t>キソ</t>
    </rPh>
    <rPh sb="4" eb="6">
      <t>ジョウホウ</t>
    </rPh>
    <rPh sb="8" eb="10">
      <t>ニュウリョク</t>
    </rPh>
    <phoneticPr fontId="13"/>
  </si>
  <si>
    <t>入力いただいた配置割合に基づく基準上の勤務時間数が表示されますので、入力の際の参考にしてください。</t>
    <rPh sb="0" eb="2">
      <t>ニュウリョク</t>
    </rPh>
    <rPh sb="7" eb="9">
      <t>ハイチ</t>
    </rPh>
    <rPh sb="9" eb="11">
      <t>ワリアイ</t>
    </rPh>
    <rPh sb="12" eb="13">
      <t>モト</t>
    </rPh>
    <rPh sb="15" eb="18">
      <t>キジュンジョウ</t>
    </rPh>
    <rPh sb="19" eb="24">
      <t>キンムジカンスウ</t>
    </rPh>
    <rPh sb="25" eb="27">
      <t>ヒョウジ</t>
    </rPh>
    <rPh sb="34" eb="36">
      <t>ニュウリョク</t>
    </rPh>
    <rPh sb="37" eb="38">
      <t>サイ</t>
    </rPh>
    <rPh sb="39" eb="41">
      <t>サンコウ</t>
    </rPh>
    <phoneticPr fontId="13"/>
  </si>
  <si>
    <t>平均の常勤換算数が表示されます。</t>
    <rPh sb="0" eb="2">
      <t>ヘイキン</t>
    </rPh>
    <rPh sb="3" eb="7">
      <t>ジョウキンカンサン</t>
    </rPh>
    <rPh sb="7" eb="8">
      <t>スウ</t>
    </rPh>
    <rPh sb="9" eb="11">
      <t>ヒョウジ</t>
    </rPh>
    <phoneticPr fontId="13"/>
  </si>
  <si>
    <t>マスク</t>
  </si>
  <si>
    <t>紫外線照射装置等
導入経費</t>
    <rPh sb="0" eb="3">
      <t>シガイセン</t>
    </rPh>
    <rPh sb="3" eb="5">
      <t>ショウシャ</t>
    </rPh>
    <rPh sb="5" eb="7">
      <t>ソウチ</t>
    </rPh>
    <rPh sb="7" eb="8">
      <t>トウ</t>
    </rPh>
    <rPh sb="9" eb="11">
      <t>ドウニュウ</t>
    </rPh>
    <rPh sb="11" eb="13">
      <t>ケイヒ</t>
    </rPh>
    <phoneticPr fontId="13"/>
  </si>
  <si>
    <t>総計</t>
    <rPh sb="0" eb="2">
      <t>ソウケイ</t>
    </rPh>
    <phoneticPr fontId="9"/>
  </si>
  <si>
    <t>月</t>
    <phoneticPr fontId="9"/>
  </si>
  <si>
    <t>日</t>
    <phoneticPr fontId="9"/>
  </si>
  <si>
    <t>（例）当院はこれまで確保病床を有する入院医療機関ではなかったがこれまでコロナ入院患者を受け入れてきた。
　　　これまで要請のあった患者の中には人工呼吸器の使用が必要な重症患者が含まれ、当院に既存の人工呼吸器が既に入院している患者に使用していたため
　　　受け入れを断らざるを得ない事態が生じた。（要請を断ったケース実績については添付資料のとおり。）
　　　入院患者の総体として軽症化の傾向があるものの、直近○月においても上記のケースが生じており、今後も引き続き重症患者を受け入れていく方針のもと
　　　受け入れを断らざるを得ない状況とならないよう、新規で１台追加することとしたい。</t>
    <rPh sb="148" eb="150">
      <t>ヨウセイ</t>
    </rPh>
    <rPh sb="151" eb="152">
      <t>コトワ</t>
    </rPh>
    <rPh sb="157" eb="159">
      <t>ジッセキ</t>
    </rPh>
    <rPh sb="164" eb="166">
      <t>テンプ</t>
    </rPh>
    <rPh sb="166" eb="168">
      <t>シリョウ</t>
    </rPh>
    <rPh sb="178" eb="180">
      <t>ニュウイン</t>
    </rPh>
    <rPh sb="180" eb="182">
      <t>カンジャ</t>
    </rPh>
    <rPh sb="183" eb="185">
      <t>ソウタイ</t>
    </rPh>
    <rPh sb="188" eb="191">
      <t>ケイショウカ</t>
    </rPh>
    <rPh sb="192" eb="194">
      <t>ケイコウ</t>
    </rPh>
    <rPh sb="201" eb="203">
      <t>チョッキン</t>
    </rPh>
    <rPh sb="204" eb="205">
      <t>ガツ</t>
    </rPh>
    <rPh sb="210" eb="212">
      <t>ジョウキ</t>
    </rPh>
    <rPh sb="217" eb="218">
      <t>ショウ</t>
    </rPh>
    <rPh sb="223" eb="225">
      <t>コンゴ</t>
    </rPh>
    <rPh sb="226" eb="227">
      <t>ヒ</t>
    </rPh>
    <rPh sb="228" eb="229">
      <t>ツヅ</t>
    </rPh>
    <rPh sb="230" eb="234">
      <t>ジュウショウカンジャ</t>
    </rPh>
    <rPh sb="235" eb="236">
      <t>ウ</t>
    </rPh>
    <rPh sb="237" eb="238">
      <t>イ</t>
    </rPh>
    <rPh sb="242" eb="244">
      <t>ホウシン</t>
    </rPh>
    <rPh sb="251" eb="252">
      <t>ウ</t>
    </rPh>
    <rPh sb="253" eb="254">
      <t>イ</t>
    </rPh>
    <rPh sb="256" eb="257">
      <t>コトワ</t>
    </rPh>
    <rPh sb="261" eb="262">
      <t>エ</t>
    </rPh>
    <rPh sb="264" eb="266">
      <t>ジョウキョウ</t>
    </rPh>
    <rPh sb="274" eb="276">
      <t>シンキ</t>
    </rPh>
    <rPh sb="278" eb="279">
      <t>ダイ</t>
    </rPh>
    <rPh sb="279" eb="281">
      <t>ツイカ</t>
    </rPh>
    <phoneticPr fontId="9"/>
  </si>
  <si>
    <t>日付</t>
    <rPh sb="0" eb="2">
      <t>ヒヅケ</t>
    </rPh>
    <phoneticPr fontId="13"/>
  </si>
  <si>
    <t>【補助対象期間中における看護職員の配置割合の実績及び予定】※入院基本料の算定基礎である配置割合等に基づき入力してください。</t>
    <rPh sb="1" eb="8">
      <t>ホジョタイショウキカンチュウ</t>
    </rPh>
    <rPh sb="12" eb="16">
      <t>カンゴショクイン</t>
    </rPh>
    <rPh sb="17" eb="19">
      <t>ハイチ</t>
    </rPh>
    <rPh sb="19" eb="21">
      <t>ワリアイ</t>
    </rPh>
    <rPh sb="22" eb="24">
      <t>ジッセキ</t>
    </rPh>
    <rPh sb="24" eb="25">
      <t>オヨ</t>
    </rPh>
    <rPh sb="26" eb="28">
      <t>ヨテイ</t>
    </rPh>
    <rPh sb="30" eb="35">
      <t>ニュウインキホンリョウ</t>
    </rPh>
    <rPh sb="36" eb="38">
      <t>サンテイ</t>
    </rPh>
    <rPh sb="38" eb="40">
      <t>キソ</t>
    </rPh>
    <rPh sb="43" eb="45">
      <t>ハイチ</t>
    </rPh>
    <rPh sb="45" eb="47">
      <t>ワリアイ</t>
    </rPh>
    <rPh sb="47" eb="48">
      <t>トウ</t>
    </rPh>
    <rPh sb="49" eb="50">
      <t>モト</t>
    </rPh>
    <rPh sb="52" eb="54">
      <t>ニュウリョク</t>
    </rPh>
    <phoneticPr fontId="9"/>
  </si>
  <si>
    <t>【入院患者受入実績】※当該症状を有する患者が多床室にいる場合は当該室内の患者全員を計上してください。</t>
    <rPh sb="1" eb="5">
      <t>ニュウインカンジャ</t>
    </rPh>
    <rPh sb="5" eb="7">
      <t>ウケイレ</t>
    </rPh>
    <rPh sb="7" eb="9">
      <t>ジッセキ</t>
    </rPh>
    <rPh sb="11" eb="13">
      <t>トウガイ</t>
    </rPh>
    <rPh sb="13" eb="15">
      <t>ショウジョウ</t>
    </rPh>
    <rPh sb="16" eb="17">
      <t>ユウ</t>
    </rPh>
    <rPh sb="19" eb="21">
      <t>カンジャ</t>
    </rPh>
    <rPh sb="22" eb="25">
      <t>タショウシツ</t>
    </rPh>
    <rPh sb="28" eb="30">
      <t>バアイ</t>
    </rPh>
    <rPh sb="31" eb="35">
      <t>トウガイシツナイ</t>
    </rPh>
    <rPh sb="36" eb="38">
      <t>カンジャ</t>
    </rPh>
    <rPh sb="38" eb="40">
      <t>ゼンイン</t>
    </rPh>
    <rPh sb="41" eb="43">
      <t>ケイジョウ</t>
    </rPh>
    <phoneticPr fontId="9"/>
  </si>
  <si>
    <r>
      <t>氏名（員数の適切な算出のため１つの欄に氏名いずれも入力するようにしてください。</t>
    </r>
    <r>
      <rPr>
        <b/>
        <u/>
        <sz val="11"/>
        <color rgb="FFFF0000"/>
        <rFont val="Yu Gothic"/>
        <family val="3"/>
        <charset val="128"/>
        <scheme val="minor"/>
      </rPr>
      <t>姓と名を別欄に入力しないようにすること。</t>
    </r>
    <r>
      <rPr>
        <b/>
        <sz val="11"/>
        <color theme="1"/>
        <rFont val="Yu Gothic"/>
        <family val="3"/>
        <charset val="128"/>
        <scheme val="minor"/>
      </rPr>
      <t>）</t>
    </r>
    <rPh sb="0" eb="2">
      <t>シメイ</t>
    </rPh>
    <rPh sb="3" eb="5">
      <t>インスウ</t>
    </rPh>
    <rPh sb="6" eb="8">
      <t>テキセツ</t>
    </rPh>
    <rPh sb="9" eb="11">
      <t>サンシュツ</t>
    </rPh>
    <rPh sb="17" eb="18">
      <t>ラン</t>
    </rPh>
    <rPh sb="19" eb="21">
      <t>シメイ</t>
    </rPh>
    <rPh sb="25" eb="27">
      <t>ニュウリョク</t>
    </rPh>
    <rPh sb="39" eb="40">
      <t>セイ</t>
    </rPh>
    <rPh sb="41" eb="42">
      <t>メイ</t>
    </rPh>
    <rPh sb="43" eb="45">
      <t>ベツラン</t>
    </rPh>
    <rPh sb="46" eb="48">
      <t>ニュウリョク</t>
    </rPh>
    <phoneticPr fontId="13"/>
  </si>
  <si>
    <t>合計</t>
    <rPh sb="0" eb="1">
      <t>ゴウ</t>
    </rPh>
    <rPh sb="1" eb="2">
      <t>ケイ</t>
    </rPh>
    <phoneticPr fontId="13"/>
  </si>
  <si>
    <t>平均</t>
    <rPh sb="0" eb="2">
      <t>ヘイキン</t>
    </rPh>
    <phoneticPr fontId="13"/>
  </si>
  <si>
    <t>合計</t>
    <rPh sb="0" eb="2">
      <t>ゴウケイ</t>
    </rPh>
    <phoneticPr fontId="9"/>
  </si>
  <si>
    <t>平均</t>
    <rPh sb="0" eb="2">
      <t>ヘイキン</t>
    </rPh>
    <phoneticPr fontId="9"/>
  </si>
  <si>
    <t>コロナ入院患者数</t>
    <rPh sb="3" eb="8">
      <t>ニュウインカンジャスウ</t>
    </rPh>
    <phoneticPr fontId="9"/>
  </si>
  <si>
    <t>有咳症状等患者数</t>
    <rPh sb="1" eb="2">
      <t>セキ</t>
    </rPh>
    <rPh sb="2" eb="4">
      <t>ショウジョウ</t>
    </rPh>
    <rPh sb="4" eb="5">
      <t>トウ</t>
    </rPh>
    <rPh sb="5" eb="8">
      <t>カンジャスウ</t>
    </rPh>
    <phoneticPr fontId="9"/>
  </si>
  <si>
    <t>稼働日数</t>
    <rPh sb="0" eb="4">
      <t>カドウニッスウ</t>
    </rPh>
    <phoneticPr fontId="9"/>
  </si>
  <si>
    <t>－</t>
    <phoneticPr fontId="9"/>
  </si>
  <si>
    <t>○○　○○</t>
    <phoneticPr fontId="13"/>
  </si>
  <si>
    <t>○○　○○</t>
    <phoneticPr fontId="9"/>
  </si>
  <si>
    <t>平均対応員数/訪室１回</t>
    <rPh sb="0" eb="2">
      <t>ヘイキン</t>
    </rPh>
    <rPh sb="2" eb="4">
      <t>タイオウ</t>
    </rPh>
    <rPh sb="4" eb="6">
      <t>インスウ</t>
    </rPh>
    <rPh sb="7" eb="9">
      <t>ホウシツ</t>
    </rPh>
    <rPh sb="10" eb="11">
      <t>カイ</t>
    </rPh>
    <phoneticPr fontId="13"/>
  </si>
  <si>
    <t>○個人防護具の補助基準額は、以下により算定されます。</t>
    <rPh sb="1" eb="3">
      <t>コジン</t>
    </rPh>
    <rPh sb="3" eb="5">
      <t>ボウゴ</t>
    </rPh>
    <rPh sb="5" eb="6">
      <t>グ</t>
    </rPh>
    <rPh sb="7" eb="9">
      <t>ホジョ</t>
    </rPh>
    <rPh sb="9" eb="11">
      <t>キジュン</t>
    </rPh>
    <rPh sb="11" eb="12">
      <t>ガク</t>
    </rPh>
    <rPh sb="14" eb="16">
      <t>イカ</t>
    </rPh>
    <rPh sb="19" eb="21">
      <t>サンテイ</t>
    </rPh>
    <phoneticPr fontId="13"/>
  </si>
  <si>
    <t>診療日数</t>
    <rPh sb="0" eb="2">
      <t>シンリョウ</t>
    </rPh>
    <rPh sb="2" eb="4">
      <t>ニッスウ</t>
    </rPh>
    <phoneticPr fontId="13"/>
  </si>
  <si>
    <t>平均従事人数</t>
    <rPh sb="0" eb="2">
      <t>ヘイキン</t>
    </rPh>
    <rPh sb="2" eb="4">
      <t>ジュウジ</t>
    </rPh>
    <rPh sb="4" eb="6">
      <t>ニンズウ</t>
    </rPh>
    <phoneticPr fontId="13"/>
  </si>
  <si>
    <t>←こちらに税込の単価を入力すると下段に税抜の額が自動で表示されます。</t>
    <phoneticPr fontId="13"/>
  </si>
  <si>
    <t>基準額算定員数</t>
    <rPh sb="0" eb="2">
      <t>キジュン</t>
    </rPh>
    <rPh sb="2" eb="3">
      <t>ガク</t>
    </rPh>
    <rPh sb="3" eb="5">
      <t>サンテイ</t>
    </rPh>
    <rPh sb="5" eb="7">
      <t>インスウ</t>
    </rPh>
    <phoneticPr fontId="13"/>
  </si>
  <si>
    <t>小区分</t>
    <rPh sb="0" eb="3">
      <t>ショウクブン</t>
    </rPh>
    <phoneticPr fontId="13"/>
  </si>
  <si>
    <t>商品名及び品番</t>
    <rPh sb="0" eb="3">
      <t>ショウヒンメイ</t>
    </rPh>
    <rPh sb="3" eb="4">
      <t>オヨ</t>
    </rPh>
    <rPh sb="5" eb="7">
      <t>ヒンバン</t>
    </rPh>
    <phoneticPr fontId="13"/>
  </si>
  <si>
    <t>箱数</t>
    <rPh sb="0" eb="2">
      <t>ハコスウ</t>
    </rPh>
    <phoneticPr fontId="13"/>
  </si>
  <si>
    <t>補助上限額(税込)</t>
    <rPh sb="0" eb="2">
      <t>ホジョ</t>
    </rPh>
    <rPh sb="2" eb="5">
      <t>ジョウゲンガク</t>
    </rPh>
    <rPh sb="6" eb="8">
      <t>ゼイコ</t>
    </rPh>
    <phoneticPr fontId="13"/>
  </si>
  <si>
    <t>補助額(税込)</t>
    <rPh sb="0" eb="3">
      <t>ホジョガク</t>
    </rPh>
    <rPh sb="4" eb="6">
      <t>ゼイコ</t>
    </rPh>
    <phoneticPr fontId="13"/>
  </si>
  <si>
    <t>購入個数</t>
    <rPh sb="0" eb="2">
      <t>コウニュウ</t>
    </rPh>
    <rPh sb="2" eb="4">
      <t>コスウ</t>
    </rPh>
    <phoneticPr fontId="13"/>
  </si>
  <si>
    <t>その他マスク</t>
    <rPh sb="2" eb="3">
      <t>タ</t>
    </rPh>
    <phoneticPr fontId="13"/>
  </si>
  <si>
    <t>ゴーグル</t>
  </si>
  <si>
    <t>①「基礎情報」シートの入力</t>
    <rPh sb="2" eb="4">
      <t>キソ</t>
    </rPh>
    <rPh sb="4" eb="6">
      <t>ジョウホウ</t>
    </rPh>
    <rPh sb="11" eb="13">
      <t>ニュウリョク</t>
    </rPh>
    <phoneticPr fontId="13"/>
  </si>
  <si>
    <t>大分類</t>
    <rPh sb="0" eb="1">
      <t>ダイ</t>
    </rPh>
    <rPh sb="1" eb="3">
      <t>ブンルイ</t>
    </rPh>
    <phoneticPr fontId="13"/>
  </si>
  <si>
    <t>小分類</t>
    <rPh sb="0" eb="3">
      <t>ショウブンルイ</t>
    </rPh>
    <phoneticPr fontId="13"/>
  </si>
  <si>
    <t>補助単価/ヶ</t>
    <rPh sb="0" eb="2">
      <t>ホジョ</t>
    </rPh>
    <rPh sb="2" eb="4">
      <t>タンカ</t>
    </rPh>
    <phoneticPr fontId="13"/>
  </si>
  <si>
    <t>購入量</t>
    <rPh sb="0" eb="3">
      <t>コウニュウリョウ</t>
    </rPh>
    <phoneticPr fontId="13"/>
  </si>
  <si>
    <t>使用見込</t>
    <rPh sb="0" eb="2">
      <t>シヨウ</t>
    </rPh>
    <rPh sb="2" eb="4">
      <t>ミコ</t>
    </rPh>
    <phoneticPr fontId="13"/>
  </si>
  <si>
    <t>差引</t>
    <rPh sb="0" eb="2">
      <t>サシヒキ</t>
    </rPh>
    <phoneticPr fontId="13"/>
  </si>
  <si>
    <t>使用数/患者</t>
    <rPh sb="0" eb="3">
      <t>シヨウスウ</t>
    </rPh>
    <rPh sb="4" eb="6">
      <t>カンジャ</t>
    </rPh>
    <phoneticPr fontId="13"/>
  </si>
  <si>
    <t>シールド付きマスク</t>
    <rPh sb="4" eb="5">
      <t>ツ</t>
    </rPh>
    <phoneticPr fontId="13"/>
  </si>
  <si>
    <t>N95マスク</t>
  </si>
  <si>
    <t>ハイラックマスク</t>
  </si>
  <si>
    <t>レンズ交換型</t>
    <rPh sb="3" eb="6">
      <t>コウカンガタ</t>
    </rPh>
    <phoneticPr fontId="13"/>
  </si>
  <si>
    <t>スペアレンズ</t>
  </si>
  <si>
    <t>アイソレーションガウン</t>
  </si>
  <si>
    <t>プラスチックガウン</t>
  </si>
  <si>
    <t>エプロン</t>
  </si>
  <si>
    <t>ニトリルグローブ</t>
  </si>
  <si>
    <t>プラスチックグローブ等</t>
    <rPh sb="10" eb="11">
      <t>トウ</t>
    </rPh>
    <phoneticPr fontId="13"/>
  </si>
  <si>
    <t>使い捨て一体型</t>
    <rPh sb="0" eb="1">
      <t>ツカ</t>
    </rPh>
    <rPh sb="2" eb="3">
      <t>ス</t>
    </rPh>
    <rPh sb="4" eb="7">
      <t>イッタイガタ</t>
    </rPh>
    <phoneticPr fontId="13"/>
  </si>
  <si>
    <t>フレーム</t>
  </si>
  <si>
    <t>※黄色セルを全て入力してください。配置数が職員数を上回る場合や配置割合に基づく勤務時間数を大きく上回ると赤色で表示されます。</t>
    <rPh sb="1" eb="3">
      <t>キイロ</t>
    </rPh>
    <rPh sb="6" eb="7">
      <t>スベ</t>
    </rPh>
    <rPh sb="8" eb="10">
      <t>ニュウリョク</t>
    </rPh>
    <rPh sb="17" eb="19">
      <t>ハイチ</t>
    </rPh>
    <rPh sb="19" eb="20">
      <t>スウ</t>
    </rPh>
    <rPh sb="21" eb="24">
      <t>ショクインスウ</t>
    </rPh>
    <rPh sb="25" eb="27">
      <t>ウワマワ</t>
    </rPh>
    <rPh sb="28" eb="30">
      <t>バアイ</t>
    </rPh>
    <rPh sb="31" eb="35">
      <t>ハイチワリアイ</t>
    </rPh>
    <rPh sb="36" eb="37">
      <t>モト</t>
    </rPh>
    <rPh sb="39" eb="44">
      <t>キンムジカンスウ</t>
    </rPh>
    <rPh sb="45" eb="46">
      <t>オオ</t>
    </rPh>
    <rPh sb="48" eb="50">
      <t>ウワマワ</t>
    </rPh>
    <rPh sb="52" eb="54">
      <t>アカイロ</t>
    </rPh>
    <rPh sb="55" eb="57">
      <t>ヒョウジ</t>
    </rPh>
    <phoneticPr fontId="13"/>
  </si>
  <si>
    <t>※黄色セルを全て入力してください。配置数が職員数を上回る場合や配置割合に基づく勤務時間数を大きく上回ると赤色で表示されます。</t>
    <phoneticPr fontId="9"/>
  </si>
  <si>
    <t>「入院医療体制に係る基礎情報」シートを入力し、病床稼働日数、平均従事人数（常勤換算）が正しく表示されているか確認してください。</t>
    <rPh sb="19" eb="21">
      <t>ニュウリョク</t>
    </rPh>
    <rPh sb="23" eb="25">
      <t>ビョウショウ</t>
    </rPh>
    <rPh sb="25" eb="27">
      <t>カドウ</t>
    </rPh>
    <rPh sb="27" eb="29">
      <t>ニッスウ</t>
    </rPh>
    <rPh sb="30" eb="32">
      <t>ヘイキン</t>
    </rPh>
    <rPh sb="32" eb="34">
      <t>ジュウジ</t>
    </rPh>
    <rPh sb="34" eb="35">
      <t>ジン</t>
    </rPh>
    <rPh sb="35" eb="36">
      <t>スウ</t>
    </rPh>
    <rPh sb="37" eb="41">
      <t>ジョウキンカンサン</t>
    </rPh>
    <rPh sb="43" eb="44">
      <t>タダ</t>
    </rPh>
    <rPh sb="46" eb="48">
      <t>ヒョウジ</t>
    </rPh>
    <rPh sb="54" eb="56">
      <t>カクニン</t>
    </rPh>
    <phoneticPr fontId="13"/>
  </si>
  <si>
    <t>（例）整備を行う病床は、一般の入院患者を受け入れるにあたり必要限度の調度は用意されている。
　　　しかし、これまでコロナ入院患者を受け入れてきた中で、○○の症状を有する患者が多く、○○がないことによりこれへの対応による負担が生じた。
　　　そのため、今後も受け入れを継続していくにあたり、受け入れを行う病床に○○を設置することとしたい。</t>
    <rPh sb="12" eb="14">
      <t>イッパン</t>
    </rPh>
    <rPh sb="15" eb="17">
      <t>ニュウイン</t>
    </rPh>
    <rPh sb="17" eb="19">
      <t>カンジャ</t>
    </rPh>
    <rPh sb="20" eb="21">
      <t>ウ</t>
    </rPh>
    <rPh sb="22" eb="23">
      <t>イ</t>
    </rPh>
    <rPh sb="29" eb="31">
      <t>ヒツヨウ</t>
    </rPh>
    <rPh sb="31" eb="33">
      <t>ゲンド</t>
    </rPh>
    <rPh sb="34" eb="36">
      <t>チョウド</t>
    </rPh>
    <rPh sb="37" eb="39">
      <t>ヨウイ</t>
    </rPh>
    <rPh sb="60" eb="62">
      <t>ニュウイン</t>
    </rPh>
    <rPh sb="62" eb="64">
      <t>カンジャ</t>
    </rPh>
    <rPh sb="65" eb="66">
      <t>ウ</t>
    </rPh>
    <rPh sb="67" eb="68">
      <t>イ</t>
    </rPh>
    <rPh sb="72" eb="73">
      <t>ナカ</t>
    </rPh>
    <rPh sb="78" eb="80">
      <t>ショウジョウ</t>
    </rPh>
    <rPh sb="81" eb="82">
      <t>ユウ</t>
    </rPh>
    <rPh sb="84" eb="86">
      <t>カンジャ</t>
    </rPh>
    <rPh sb="87" eb="88">
      <t>オオ</t>
    </rPh>
    <rPh sb="104" eb="106">
      <t>タイオウ</t>
    </rPh>
    <rPh sb="109" eb="111">
      <t>フタン</t>
    </rPh>
    <rPh sb="112" eb="113">
      <t>ショウ</t>
    </rPh>
    <rPh sb="125" eb="127">
      <t>コンゴ</t>
    </rPh>
    <rPh sb="128" eb="129">
      <t>ウ</t>
    </rPh>
    <rPh sb="130" eb="131">
      <t>イ</t>
    </rPh>
    <rPh sb="133" eb="135">
      <t>ケイゾク</t>
    </rPh>
    <rPh sb="144" eb="145">
      <t>ウ</t>
    </rPh>
    <rPh sb="146" eb="147">
      <t>イ</t>
    </rPh>
    <rPh sb="149" eb="150">
      <t>オコナ</t>
    </rPh>
    <rPh sb="151" eb="153">
      <t>ビョウショウ</t>
    </rPh>
    <rPh sb="157" eb="159">
      <t>セッチ</t>
    </rPh>
    <phoneticPr fontId="9"/>
  </si>
  <si>
    <t>（例）当院は主として特に重篤な呼吸器不全等の症状を呈する患者の受け入れを行っている。
　　　現行株は毒性が過去のものに比較し弱まっているとはいえ、当院に搬送される患者の多くが高齢者及びコロナ感染が重態化を引き起こしかねない
　　　ステージ○以上のがん患者等で占められている。
　　　当院の近傍にはに受入可能な入院医療機関がなく、既存のECMOでは台数が足りず、遠隔地の入院医療機関への搬送の最中に死亡するケースも生じた。
　　　（該当ケースの日付はじめ経緯については別紙のとおり。）
　　　ついてはこれまで生じた受け入れを断らざるを得なかったケース実績を踏まえ、○台を新たに未整備の確保病床に整備することとしたい。</t>
    <rPh sb="1" eb="2">
      <t>レイ</t>
    </rPh>
    <rPh sb="3" eb="5">
      <t>トウイン</t>
    </rPh>
    <rPh sb="6" eb="7">
      <t>シュ</t>
    </rPh>
    <rPh sb="10" eb="11">
      <t>トク</t>
    </rPh>
    <rPh sb="12" eb="14">
      <t>ジュウトク</t>
    </rPh>
    <rPh sb="15" eb="18">
      <t>コキュウキ</t>
    </rPh>
    <rPh sb="18" eb="20">
      <t>フゼン</t>
    </rPh>
    <rPh sb="20" eb="21">
      <t>トウ</t>
    </rPh>
    <rPh sb="22" eb="24">
      <t>ショウジョウ</t>
    </rPh>
    <rPh sb="25" eb="26">
      <t>テイ</t>
    </rPh>
    <rPh sb="28" eb="30">
      <t>カンジャ</t>
    </rPh>
    <rPh sb="31" eb="32">
      <t>ウ</t>
    </rPh>
    <rPh sb="33" eb="34">
      <t>イ</t>
    </rPh>
    <rPh sb="36" eb="37">
      <t>オコナ</t>
    </rPh>
    <rPh sb="46" eb="48">
      <t>ゲンコウ</t>
    </rPh>
    <rPh sb="48" eb="49">
      <t>カブ</t>
    </rPh>
    <rPh sb="50" eb="52">
      <t>ドクセイ</t>
    </rPh>
    <rPh sb="53" eb="55">
      <t>カコ</t>
    </rPh>
    <rPh sb="59" eb="61">
      <t>ヒカク</t>
    </rPh>
    <rPh sb="62" eb="63">
      <t>ヨワ</t>
    </rPh>
    <rPh sb="73" eb="75">
      <t>トウイン</t>
    </rPh>
    <rPh sb="76" eb="78">
      <t>ハンソウ</t>
    </rPh>
    <rPh sb="81" eb="83">
      <t>カンジャ</t>
    </rPh>
    <rPh sb="84" eb="85">
      <t>オオ</t>
    </rPh>
    <rPh sb="87" eb="90">
      <t>コウレイシャ</t>
    </rPh>
    <rPh sb="90" eb="91">
      <t>オヨ</t>
    </rPh>
    <rPh sb="95" eb="97">
      <t>カンセン</t>
    </rPh>
    <rPh sb="98" eb="100">
      <t>ジュウタイ</t>
    </rPh>
    <rPh sb="100" eb="101">
      <t>カ</t>
    </rPh>
    <rPh sb="102" eb="103">
      <t>ヒ</t>
    </rPh>
    <rPh sb="104" eb="105">
      <t>オ</t>
    </rPh>
    <rPh sb="120" eb="122">
      <t>イジョウ</t>
    </rPh>
    <rPh sb="125" eb="127">
      <t>カンジャ</t>
    </rPh>
    <rPh sb="127" eb="128">
      <t>トウ</t>
    </rPh>
    <rPh sb="129" eb="130">
      <t>シ</t>
    </rPh>
    <rPh sb="141" eb="143">
      <t>トウイン</t>
    </rPh>
    <rPh sb="144" eb="146">
      <t>キンボウ</t>
    </rPh>
    <rPh sb="149" eb="151">
      <t>ウケイレ</t>
    </rPh>
    <rPh sb="151" eb="153">
      <t>カノウ</t>
    </rPh>
    <rPh sb="154" eb="160">
      <t>ニュウインイリョウキカン</t>
    </rPh>
    <rPh sb="164" eb="166">
      <t>キソン</t>
    </rPh>
    <rPh sb="173" eb="175">
      <t>ダイスウ</t>
    </rPh>
    <rPh sb="176" eb="177">
      <t>タ</t>
    </rPh>
    <rPh sb="180" eb="182">
      <t>エンカク</t>
    </rPh>
    <rPh sb="182" eb="183">
      <t>チ</t>
    </rPh>
    <rPh sb="215" eb="217">
      <t>ガイトウ</t>
    </rPh>
    <rPh sb="221" eb="223">
      <t>ヒヅケ</t>
    </rPh>
    <rPh sb="226" eb="228">
      <t>ケイイ</t>
    </rPh>
    <rPh sb="233" eb="235">
      <t>ベッシ</t>
    </rPh>
    <rPh sb="253" eb="254">
      <t>ショウ</t>
    </rPh>
    <rPh sb="256" eb="257">
      <t>ウ</t>
    </rPh>
    <rPh sb="258" eb="259">
      <t>イ</t>
    </rPh>
    <rPh sb="261" eb="262">
      <t>コトワ</t>
    </rPh>
    <rPh sb="266" eb="267">
      <t>エ</t>
    </rPh>
    <rPh sb="274" eb="276">
      <t>ジッセキ</t>
    </rPh>
    <rPh sb="277" eb="278">
      <t>フ</t>
    </rPh>
    <rPh sb="282" eb="283">
      <t>ダイ</t>
    </rPh>
    <rPh sb="284" eb="285">
      <t>アラ</t>
    </rPh>
    <rPh sb="287" eb="290">
      <t>ミセイビ</t>
    </rPh>
    <rPh sb="291" eb="293">
      <t>カクホ</t>
    </rPh>
    <rPh sb="293" eb="295">
      <t>ビョウショウ</t>
    </rPh>
    <rPh sb="296" eb="298">
      <t>セイビ</t>
    </rPh>
    <phoneticPr fontId="9"/>
  </si>
  <si>
    <t>（例）当院では人工呼吸器での装着が必要な重症患者の受入を中心に行っており、超音波画像診断装置を用いた肺炎等の状態の確認が必要不可欠となっている。
　　　今年度に入りこれまで、1日あたり平均○人の患者に対して行う必要性があったが、当院が所在する地域における感染拡大が顕著であり受け入れ要請が
　　　既存機器でもってしては対応しきれず受け入れを断らざるを得ない状況が生じている。
　　　（既存の配備状況、受け入れ状況及び機器整備状況については別紙のとおり。）
　　　今後も同様の状況が生じることが見込まれるため、新たに○人への対応が可能となるよう、○台の整備を行いたい。</t>
    <rPh sb="3" eb="5">
      <t>トウイン</t>
    </rPh>
    <rPh sb="7" eb="12">
      <t>ジンコウコキュウキ</t>
    </rPh>
    <rPh sb="14" eb="16">
      <t>ソウチャク</t>
    </rPh>
    <rPh sb="17" eb="19">
      <t>ヒツヨウ</t>
    </rPh>
    <rPh sb="20" eb="22">
      <t>ジュウショウ</t>
    </rPh>
    <rPh sb="22" eb="24">
      <t>カンジャ</t>
    </rPh>
    <rPh sb="25" eb="27">
      <t>ウケイレ</t>
    </rPh>
    <rPh sb="28" eb="30">
      <t>チュウシン</t>
    </rPh>
    <rPh sb="31" eb="32">
      <t>オコナ</t>
    </rPh>
    <rPh sb="47" eb="48">
      <t>モチ</t>
    </rPh>
    <rPh sb="60" eb="65">
      <t>ヒツヨウフカケツ</t>
    </rPh>
    <rPh sb="76" eb="79">
      <t>コンネンド</t>
    </rPh>
    <rPh sb="80" eb="81">
      <t>ハイ</t>
    </rPh>
    <rPh sb="88" eb="89">
      <t>ニチ</t>
    </rPh>
    <rPh sb="92" eb="94">
      <t>ヘイキン</t>
    </rPh>
    <rPh sb="95" eb="96">
      <t>ニン</t>
    </rPh>
    <rPh sb="97" eb="99">
      <t>カンジャ</t>
    </rPh>
    <rPh sb="100" eb="101">
      <t>タイ</t>
    </rPh>
    <rPh sb="103" eb="104">
      <t>オコナ</t>
    </rPh>
    <rPh sb="105" eb="107">
      <t>ヒツヨウ</t>
    </rPh>
    <rPh sb="107" eb="108">
      <t>セイ</t>
    </rPh>
    <rPh sb="114" eb="116">
      <t>トウイン</t>
    </rPh>
    <rPh sb="117" eb="119">
      <t>ショザイ</t>
    </rPh>
    <rPh sb="121" eb="123">
      <t>チイキ</t>
    </rPh>
    <rPh sb="127" eb="129">
      <t>カンセン</t>
    </rPh>
    <rPh sb="129" eb="131">
      <t>カクダイ</t>
    </rPh>
    <rPh sb="132" eb="134">
      <t>ケンチョ</t>
    </rPh>
    <rPh sb="137" eb="138">
      <t>ウ</t>
    </rPh>
    <rPh sb="139" eb="140">
      <t>イ</t>
    </rPh>
    <rPh sb="141" eb="143">
      <t>ヨウセイ</t>
    </rPh>
    <rPh sb="148" eb="150">
      <t>キソン</t>
    </rPh>
    <rPh sb="150" eb="152">
      <t>キキ</t>
    </rPh>
    <rPh sb="159" eb="161">
      <t>タイオウ</t>
    </rPh>
    <rPh sb="165" eb="166">
      <t>ウ</t>
    </rPh>
    <rPh sb="167" eb="168">
      <t>イ</t>
    </rPh>
    <rPh sb="170" eb="171">
      <t>コトワ</t>
    </rPh>
    <rPh sb="175" eb="176">
      <t>エ</t>
    </rPh>
    <rPh sb="178" eb="180">
      <t>ジョウキョウ</t>
    </rPh>
    <rPh sb="181" eb="182">
      <t>ショウ</t>
    </rPh>
    <rPh sb="192" eb="194">
      <t>キソン</t>
    </rPh>
    <rPh sb="195" eb="197">
      <t>ハイビ</t>
    </rPh>
    <rPh sb="197" eb="199">
      <t>ジョウキョウ</t>
    </rPh>
    <rPh sb="200" eb="201">
      <t>ウ</t>
    </rPh>
    <rPh sb="202" eb="203">
      <t>イ</t>
    </rPh>
    <rPh sb="204" eb="206">
      <t>ジョウキョウ</t>
    </rPh>
    <rPh sb="206" eb="207">
      <t>オヨ</t>
    </rPh>
    <rPh sb="208" eb="210">
      <t>キキ</t>
    </rPh>
    <rPh sb="210" eb="212">
      <t>セイビ</t>
    </rPh>
    <rPh sb="212" eb="214">
      <t>ジョウキョウ</t>
    </rPh>
    <rPh sb="219" eb="221">
      <t>ベッシ</t>
    </rPh>
    <rPh sb="231" eb="233">
      <t>コンゴ</t>
    </rPh>
    <rPh sb="234" eb="236">
      <t>ドウヨウ</t>
    </rPh>
    <rPh sb="237" eb="239">
      <t>ジョウキョウ</t>
    </rPh>
    <rPh sb="240" eb="241">
      <t>ショウ</t>
    </rPh>
    <rPh sb="246" eb="248">
      <t>ミコ</t>
    </rPh>
    <rPh sb="254" eb="255">
      <t>アラ</t>
    </rPh>
    <rPh sb="257" eb="259">
      <t>マルニン</t>
    </rPh>
    <rPh sb="261" eb="263">
      <t>タイオウ</t>
    </rPh>
    <rPh sb="264" eb="266">
      <t>カノウ</t>
    </rPh>
    <rPh sb="273" eb="274">
      <t>ダイ</t>
    </rPh>
    <rPh sb="275" eb="277">
      <t>セイビ</t>
    </rPh>
    <rPh sb="278" eb="279">
      <t>オコナ</t>
    </rPh>
    <phoneticPr fontId="9"/>
  </si>
  <si>
    <t>（例）当院はこれまで主として呼吸器症状が比較的軽度な入院患者の受け入れを行ってきたが、近傍及び圏域内の入院医療機関が慢性的に逼迫している状況
　　　であり、医療機関間の連携協力のありかたについて話し合いの中で、受け入れ体制の強化が課題とされてきた。
　　　当院は受け入れのために確保している病床及び看護要員に一定の余裕があったことから、新たに呼吸器系の専門医を確保することができたため、
　　　重篤な肺炎症状を呈する患者の受け入れを今後積極的に行っていくこととした。
　　　ついては新たに１台を整備することとし、入院受入体制を確保することとしたい。</t>
    <rPh sb="3" eb="5">
      <t>トウイン</t>
    </rPh>
    <rPh sb="10" eb="11">
      <t>シュ</t>
    </rPh>
    <rPh sb="14" eb="17">
      <t>コキュウキ</t>
    </rPh>
    <rPh sb="17" eb="19">
      <t>ショウジョウ</t>
    </rPh>
    <rPh sb="20" eb="23">
      <t>ヒカクテキ</t>
    </rPh>
    <rPh sb="23" eb="25">
      <t>ケイド</t>
    </rPh>
    <rPh sb="26" eb="28">
      <t>ニュウイン</t>
    </rPh>
    <rPh sb="28" eb="30">
      <t>カンジャ</t>
    </rPh>
    <rPh sb="31" eb="32">
      <t>ウ</t>
    </rPh>
    <rPh sb="33" eb="34">
      <t>イ</t>
    </rPh>
    <rPh sb="36" eb="37">
      <t>オコナ</t>
    </rPh>
    <rPh sb="43" eb="45">
      <t>キンボウ</t>
    </rPh>
    <rPh sb="45" eb="46">
      <t>オヨ</t>
    </rPh>
    <rPh sb="47" eb="48">
      <t>ケン</t>
    </rPh>
    <rPh sb="48" eb="50">
      <t>イキナイ</t>
    </rPh>
    <rPh sb="51" eb="53">
      <t>ニュウイン</t>
    </rPh>
    <rPh sb="53" eb="55">
      <t>イリョウ</t>
    </rPh>
    <rPh sb="55" eb="57">
      <t>キカン</t>
    </rPh>
    <rPh sb="58" eb="60">
      <t>マンセイ</t>
    </rPh>
    <rPh sb="60" eb="61">
      <t>テキ</t>
    </rPh>
    <rPh sb="62" eb="64">
      <t>ヒッパク</t>
    </rPh>
    <rPh sb="68" eb="70">
      <t>ジョウキョウ</t>
    </rPh>
    <rPh sb="78" eb="80">
      <t>イリョウ</t>
    </rPh>
    <rPh sb="80" eb="82">
      <t>キカン</t>
    </rPh>
    <rPh sb="82" eb="83">
      <t>カン</t>
    </rPh>
    <rPh sb="84" eb="86">
      <t>レンケイ</t>
    </rPh>
    <rPh sb="86" eb="88">
      <t>キョウリョク</t>
    </rPh>
    <rPh sb="97" eb="98">
      <t>ハナ</t>
    </rPh>
    <rPh sb="99" eb="100">
      <t>ア</t>
    </rPh>
    <rPh sb="102" eb="103">
      <t>ナカ</t>
    </rPh>
    <rPh sb="105" eb="106">
      <t>ウ</t>
    </rPh>
    <rPh sb="107" eb="108">
      <t>イ</t>
    </rPh>
    <rPh sb="109" eb="111">
      <t>タイセイ</t>
    </rPh>
    <rPh sb="112" eb="114">
      <t>キョウカ</t>
    </rPh>
    <rPh sb="115" eb="117">
      <t>カダイ</t>
    </rPh>
    <rPh sb="128" eb="130">
      <t>トウイン</t>
    </rPh>
    <rPh sb="131" eb="132">
      <t>ウ</t>
    </rPh>
    <rPh sb="133" eb="134">
      <t>イ</t>
    </rPh>
    <rPh sb="139" eb="141">
      <t>カクホ</t>
    </rPh>
    <rPh sb="145" eb="147">
      <t>ビョウショウ</t>
    </rPh>
    <rPh sb="147" eb="148">
      <t>オヨ</t>
    </rPh>
    <rPh sb="149" eb="151">
      <t>カンゴ</t>
    </rPh>
    <rPh sb="151" eb="153">
      <t>ヨウイン</t>
    </rPh>
    <rPh sb="154" eb="156">
      <t>イッテイ</t>
    </rPh>
    <rPh sb="157" eb="159">
      <t>ヨユウ</t>
    </rPh>
    <rPh sb="168" eb="169">
      <t>アラ</t>
    </rPh>
    <rPh sb="171" eb="174">
      <t>コキュウキ</t>
    </rPh>
    <rPh sb="174" eb="175">
      <t>ケイ</t>
    </rPh>
    <rPh sb="176" eb="179">
      <t>センモンイ</t>
    </rPh>
    <rPh sb="180" eb="182">
      <t>カクホ</t>
    </rPh>
    <rPh sb="197" eb="199">
      <t>ジュウトク</t>
    </rPh>
    <rPh sb="200" eb="202">
      <t>ハイエン</t>
    </rPh>
    <rPh sb="202" eb="204">
      <t>ショウジョウ</t>
    </rPh>
    <rPh sb="205" eb="206">
      <t>テイ</t>
    </rPh>
    <rPh sb="208" eb="210">
      <t>カンジャ</t>
    </rPh>
    <rPh sb="211" eb="212">
      <t>ウ</t>
    </rPh>
    <rPh sb="213" eb="214">
      <t>イ</t>
    </rPh>
    <rPh sb="216" eb="218">
      <t>コンゴ</t>
    </rPh>
    <rPh sb="218" eb="221">
      <t>セッキョクテキ</t>
    </rPh>
    <rPh sb="222" eb="223">
      <t>オコナ</t>
    </rPh>
    <rPh sb="241" eb="242">
      <t>アラ</t>
    </rPh>
    <rPh sb="245" eb="246">
      <t>ダイ</t>
    </rPh>
    <rPh sb="247" eb="249">
      <t>セイビ</t>
    </rPh>
    <rPh sb="256" eb="258">
      <t>ニュウイン</t>
    </rPh>
    <rPh sb="258" eb="260">
      <t>ウケイ</t>
    </rPh>
    <rPh sb="260" eb="262">
      <t>タイセイ</t>
    </rPh>
    <rPh sb="263" eb="265">
      <t>カクホ</t>
    </rPh>
    <phoneticPr fontId="9"/>
  </si>
  <si>
    <t>（例）これまで確保病床○床に対し、生体情報モニタ○台で対応してきた。
　　　当院が所在する医療圏は確保病床自体が少なく、高齢者人口が多く一度罹患すると重症化するケースが少なくなく、今年度においてもこれまで受入対応
　　　ができず遠隔の医療機関への搬送を余儀なくされたケースがあった。（詳細別紙）
　　　ついては、今後継続的に不足することが見込まれる○台を本事業を活用し整備することとしたい。</t>
    <rPh sb="7" eb="11">
      <t>カクホビョウショウ</t>
    </rPh>
    <rPh sb="12" eb="13">
      <t>ショウ</t>
    </rPh>
    <rPh sb="14" eb="15">
      <t>タイ</t>
    </rPh>
    <rPh sb="17" eb="21">
      <t>セイタイジョウホウ</t>
    </rPh>
    <rPh sb="25" eb="26">
      <t>ダイ</t>
    </rPh>
    <rPh sb="27" eb="29">
      <t>タイオウ</t>
    </rPh>
    <rPh sb="38" eb="40">
      <t>トウイン</t>
    </rPh>
    <rPh sb="41" eb="43">
      <t>ショザイ</t>
    </rPh>
    <rPh sb="45" eb="47">
      <t>イリョウ</t>
    </rPh>
    <rPh sb="47" eb="48">
      <t>ケン</t>
    </rPh>
    <rPh sb="49" eb="51">
      <t>カクホ</t>
    </rPh>
    <rPh sb="51" eb="53">
      <t>ビョウショウ</t>
    </rPh>
    <rPh sb="53" eb="55">
      <t>ジタイ</t>
    </rPh>
    <rPh sb="56" eb="57">
      <t>スク</t>
    </rPh>
    <rPh sb="60" eb="63">
      <t>コウレイシャ</t>
    </rPh>
    <rPh sb="63" eb="65">
      <t>ジンコウ</t>
    </rPh>
    <rPh sb="66" eb="67">
      <t>オオ</t>
    </rPh>
    <rPh sb="68" eb="70">
      <t>イチド</t>
    </rPh>
    <rPh sb="70" eb="72">
      <t>リカン</t>
    </rPh>
    <rPh sb="75" eb="78">
      <t>ジュウショウカ</t>
    </rPh>
    <rPh sb="84" eb="85">
      <t>スク</t>
    </rPh>
    <rPh sb="90" eb="93">
      <t>コンネンド</t>
    </rPh>
    <rPh sb="102" eb="103">
      <t>ウ</t>
    </rPh>
    <rPh sb="103" eb="104">
      <t>イ</t>
    </rPh>
    <rPh sb="104" eb="106">
      <t>タイオウ</t>
    </rPh>
    <rPh sb="114" eb="116">
      <t>エンカク</t>
    </rPh>
    <rPh sb="117" eb="119">
      <t>イリョウ</t>
    </rPh>
    <rPh sb="119" eb="121">
      <t>キカン</t>
    </rPh>
    <rPh sb="123" eb="125">
      <t>ハンソウ</t>
    </rPh>
    <rPh sb="126" eb="128">
      <t>ヨギ</t>
    </rPh>
    <rPh sb="142" eb="144">
      <t>ショウサイ</t>
    </rPh>
    <rPh sb="144" eb="146">
      <t>ベッシ</t>
    </rPh>
    <rPh sb="156" eb="158">
      <t>コンゴ</t>
    </rPh>
    <rPh sb="158" eb="161">
      <t>ケイゾクテキ</t>
    </rPh>
    <rPh sb="162" eb="164">
      <t>フソク</t>
    </rPh>
    <rPh sb="169" eb="171">
      <t>ミコ</t>
    </rPh>
    <rPh sb="175" eb="176">
      <t>ダイ</t>
    </rPh>
    <rPh sb="177" eb="178">
      <t>ホン</t>
    </rPh>
    <rPh sb="178" eb="180">
      <t>ジギョウ</t>
    </rPh>
    <rPh sb="181" eb="183">
      <t>カツヨウ</t>
    </rPh>
    <rPh sb="184" eb="186">
      <t>セイビ</t>
    </rPh>
    <phoneticPr fontId="9"/>
  </si>
  <si>
    <t>（例）当院は重点医療機関として周産期妊婦の入院受け入れを行ってきたが、直近の感染再拡大により、当院が陽性妊婦の受け入れのため確保している
　　　病床数を超える入院受け入れ要請が生じ、近隣の医療機関に受け入れ協力をせざるを得ない状況が生じた。圏域内の一般病床を有する病院及び有床診療所
　　　に陽性妊婦の受入協力を打診したが、そもそも医療機関が少ないことも相まり、調整は不調に終わったケースが生じている。
　　　目下の感染拡大を前に、遠隔の医療機関への搬送及び容態悪化を避けるためにも自院での受け入れ体制の強化が喫緊の課題となっており、新たに○台の
　　　追加整備を行うこととしたい。
　　　（整備台数の検討にあたってのピーク時の陽性患者数の推移及び受け入れ要請を断らざるを得なかったケースの詳細については別紙のとおり。）</t>
    <rPh sb="15" eb="18">
      <t>シュウサンキ</t>
    </rPh>
    <rPh sb="18" eb="20">
      <t>ニンプ</t>
    </rPh>
    <rPh sb="35" eb="37">
      <t>チョッキン</t>
    </rPh>
    <rPh sb="38" eb="40">
      <t>カンセン</t>
    </rPh>
    <rPh sb="40" eb="43">
      <t>サイカクダイ</t>
    </rPh>
    <rPh sb="50" eb="52">
      <t>ヨウセイ</t>
    </rPh>
    <rPh sb="52" eb="54">
      <t>ニンプ</t>
    </rPh>
    <rPh sb="126" eb="128">
      <t>ビョウショウ</t>
    </rPh>
    <rPh sb="129" eb="130">
      <t>ユウ</t>
    </rPh>
    <rPh sb="132" eb="134">
      <t>ビョウイン</t>
    </rPh>
    <rPh sb="134" eb="135">
      <t>オヨ</t>
    </rPh>
    <rPh sb="136" eb="138">
      <t>ユウショウ</t>
    </rPh>
    <rPh sb="138" eb="141">
      <t>シンリョウジョ</t>
    </rPh>
    <rPh sb="146" eb="148">
      <t>ヨウセイ</t>
    </rPh>
    <rPh sb="148" eb="150">
      <t>ニンプ</t>
    </rPh>
    <rPh sb="151" eb="153">
      <t>ウケイレ</t>
    </rPh>
    <rPh sb="153" eb="155">
      <t>キョウリョク</t>
    </rPh>
    <rPh sb="156" eb="158">
      <t>ダシン</t>
    </rPh>
    <rPh sb="166" eb="168">
      <t>イリョウ</t>
    </rPh>
    <rPh sb="168" eb="170">
      <t>キカン</t>
    </rPh>
    <rPh sb="171" eb="172">
      <t>スク</t>
    </rPh>
    <rPh sb="177" eb="178">
      <t>アイ</t>
    </rPh>
    <rPh sb="181" eb="183">
      <t>チョウセイ</t>
    </rPh>
    <rPh sb="184" eb="186">
      <t>フチョウ</t>
    </rPh>
    <rPh sb="187" eb="188">
      <t>オ</t>
    </rPh>
    <rPh sb="195" eb="196">
      <t>ショウ</t>
    </rPh>
    <rPh sb="205" eb="207">
      <t>モッカ</t>
    </rPh>
    <rPh sb="208" eb="210">
      <t>カンセン</t>
    </rPh>
    <rPh sb="210" eb="212">
      <t>カクダイ</t>
    </rPh>
    <rPh sb="213" eb="214">
      <t>マエ</t>
    </rPh>
    <rPh sb="241" eb="243">
      <t>ジイン</t>
    </rPh>
    <rPh sb="245" eb="246">
      <t>ウ</t>
    </rPh>
    <rPh sb="247" eb="248">
      <t>イ</t>
    </rPh>
    <rPh sb="249" eb="251">
      <t>タイセイ</t>
    </rPh>
    <rPh sb="252" eb="254">
      <t>キョウカ</t>
    </rPh>
    <rPh sb="255" eb="257">
      <t>キッキン</t>
    </rPh>
    <rPh sb="258" eb="260">
      <t>カダイ</t>
    </rPh>
    <rPh sb="314" eb="316">
      <t>ヨウセイ</t>
    </rPh>
    <phoneticPr fontId="9"/>
  </si>
  <si>
    <t>（例）当院は重点医療機関として周産期妊婦の入院受け入れを行ってきたが、この度の第７波の感染拡大により、当院が陽性妊婦の受け入れのため確保している
　　　病床数を超える入院受け入れ要請が生じ、近隣の医療機関に受け入れ協力をせざるを得ない状況が生じた。圏域内の一般病床を有する病院及び有床診療所
　　　に陽性妊婦の受入協力を打診したが、そもそも医療機関が少ないことも相まり、調整は不調に終わったケースが生じている。
　　　目下の感染拡大を前に、遠隔の医療機関への搬送及び容態悪化を避けるためにも自院での受け入れ体制の強化が喫緊の課題となっており、分娩監視装置
　　　の追加とともに新生児用のモニタ設備を新たに○台の追加整備を行うこととしたい。（整備台数の検討にあたってのピーク時の陽性患者数の推移及び
　　　受け入れ要請を断らざるを得なかったケースの詳細については別紙のとおり。）</t>
    <rPh sb="54" eb="56">
      <t>ヨウセイ</t>
    </rPh>
    <rPh sb="56" eb="58">
      <t>ニンプ</t>
    </rPh>
    <rPh sb="199" eb="200">
      <t>ショウ</t>
    </rPh>
    <rPh sb="209" eb="211">
      <t>モッカ</t>
    </rPh>
    <rPh sb="271" eb="273">
      <t>ブンベン</t>
    </rPh>
    <rPh sb="273" eb="275">
      <t>カンシ</t>
    </rPh>
    <rPh sb="275" eb="277">
      <t>ソウチ</t>
    </rPh>
    <rPh sb="282" eb="284">
      <t>ツイカ</t>
    </rPh>
    <rPh sb="288" eb="291">
      <t>シンセイジ</t>
    </rPh>
    <rPh sb="291" eb="292">
      <t>ヨウ</t>
    </rPh>
    <rPh sb="296" eb="298">
      <t>セツビ</t>
    </rPh>
    <phoneticPr fontId="9"/>
  </si>
  <si>
    <t>個人防護具の申請においては「４．患者１人あたり対応人数及び品目毎の平均着脱使用枚数」に表示の各品目毎の使用数量を参照の上、
「個人防護具明細」シートに補助対象経費としての使用量を計上してください。（１箱未満の単位で未使用分が生じることは可。ただしそれを超えるとみなされる数量を計上の場合は、県から理由を確認させていただいた上、必要の際には計上から除外いただきます。）</t>
    <rPh sb="0" eb="2">
      <t>コジン</t>
    </rPh>
    <rPh sb="2" eb="4">
      <t>ボウゴ</t>
    </rPh>
    <rPh sb="4" eb="5">
      <t>グ</t>
    </rPh>
    <rPh sb="6" eb="8">
      <t>シンセイ</t>
    </rPh>
    <rPh sb="43" eb="45">
      <t>ヒョウジ</t>
    </rPh>
    <rPh sb="46" eb="49">
      <t>カクヒンモク</t>
    </rPh>
    <rPh sb="49" eb="50">
      <t>ゴト</t>
    </rPh>
    <rPh sb="51" eb="55">
      <t>シヨウスウリョウ</t>
    </rPh>
    <rPh sb="56" eb="58">
      <t>サンショウ</t>
    </rPh>
    <rPh sb="59" eb="60">
      <t>ウエ</t>
    </rPh>
    <rPh sb="63" eb="68">
      <t>コジンボウゴグ</t>
    </rPh>
    <rPh sb="68" eb="70">
      <t>メイサイ</t>
    </rPh>
    <rPh sb="75" eb="81">
      <t>ホジョタイショウケイヒ</t>
    </rPh>
    <rPh sb="85" eb="88">
      <t>シヨウリョウ</t>
    </rPh>
    <rPh sb="89" eb="91">
      <t>ケイジョウ</t>
    </rPh>
    <rPh sb="100" eb="101">
      <t>ハコ</t>
    </rPh>
    <rPh sb="101" eb="103">
      <t>ミマン</t>
    </rPh>
    <rPh sb="104" eb="106">
      <t>タンイ</t>
    </rPh>
    <rPh sb="107" eb="111">
      <t>ミシヨウブン</t>
    </rPh>
    <rPh sb="112" eb="113">
      <t>ショウ</t>
    </rPh>
    <rPh sb="118" eb="119">
      <t>カ</t>
    </rPh>
    <rPh sb="126" eb="127">
      <t>コ</t>
    </rPh>
    <rPh sb="138" eb="140">
      <t>ケイジョウ</t>
    </rPh>
    <rPh sb="141" eb="143">
      <t>バアイ</t>
    </rPh>
    <rPh sb="145" eb="146">
      <t>ケン</t>
    </rPh>
    <rPh sb="148" eb="150">
      <t>リユウ</t>
    </rPh>
    <rPh sb="151" eb="153">
      <t>カクニン</t>
    </rPh>
    <rPh sb="161" eb="162">
      <t>ウエ</t>
    </rPh>
    <rPh sb="163" eb="165">
      <t>ヒツヨウ</t>
    </rPh>
    <phoneticPr fontId="13"/>
  </si>
  <si>
    <t>　整備をリースにより行うか、購入により行うか記入してください。
　なお、購入により整備する場合は、必ずリースによる整備を検討し、購入による整備とせざるを得ないと判断した理由を以下の欄に記入してください。
（リースによる整備を検討していない及び、購入による整備とせざるを得ないとする理由が不十分と判断される場合には公費による整備に親和しないことから、交付しないこととする場合があります。）</t>
    <phoneticPr fontId="9"/>
  </si>
  <si>
    <t>（例）当院は高齢者人口を多く抱える地域に立地し、付近に高齢者施設が複数あることからこれまで、主として高齢患者を多く受け入れる傾向があった。
　　　受入患者には認知症等の老年性の精神症状を呈する者を少なからずおり、その行動特性からゾーニングは難しく、フロア全体をレッドゾーンとして取り
　　　扱わざるを得ず、職員は常にPPEを着用した状態で支援に従事せざるを得ない状況であった。
　　　一方で行動症状を伴わない患者も一定数いること及び、当院の確保病床は２つのフロアに分かれており、一方については全室個室でありかつトイレ・
　　　洗面も備わっていることから当該室を陰圧化し、行動症状が特段見られない患者の受け入れに供することによってフロア内をゾーニングし職員負担の
　　　軽減に繋がるのではと考えた。
　　　ついては、当該フロアの○室の内、受入を行うために供用予定の○室について陰圧機器を設置することで院内感染防止及び職員の安全確保を図ることと
　　　したい。</t>
    <rPh sb="1" eb="2">
      <t>レイ</t>
    </rPh>
    <rPh sb="368" eb="370">
      <t>ウケイレ</t>
    </rPh>
    <rPh sb="371" eb="372">
      <t>オコナ</t>
    </rPh>
    <rPh sb="376" eb="378">
      <t>キョウヨウ</t>
    </rPh>
    <rPh sb="378" eb="380">
      <t>ヨテイ</t>
    </rPh>
    <rPh sb="382" eb="383">
      <t>シツ</t>
    </rPh>
    <rPh sb="387" eb="389">
      <t>インアツ</t>
    </rPh>
    <rPh sb="389" eb="391">
      <t>キキ</t>
    </rPh>
    <rPh sb="392" eb="394">
      <t>セッチ</t>
    </rPh>
    <phoneticPr fontId="9"/>
  </si>
  <si>
    <t>（例）これまで経過観察のための診療は検査機器が配備されている外来棟の一室で行っていたが、建物の構造上、一般患者との動線分けに限界があり、院内
　　　感染のおそれがこれまであったことから、新たにコロナ病棟のための機器一式を整備の上、当該病棟内の倉庫スペースを改修して診察スペースを確保
　　　した。
　　　患者の中には中等症以上であること及び、基礎疾患も相まって座位の保持が難しい者も一定数いることから、臥位での検査を行うため簡易ベッドを
　　　整備することとしたい。</t>
    <rPh sb="1" eb="2">
      <t>レイ</t>
    </rPh>
    <rPh sb="7" eb="9">
      <t>ケイカ</t>
    </rPh>
    <rPh sb="9" eb="11">
      <t>カンサツ</t>
    </rPh>
    <rPh sb="15" eb="17">
      <t>シンリョウ</t>
    </rPh>
    <rPh sb="18" eb="22">
      <t>ケンサキキ</t>
    </rPh>
    <rPh sb="23" eb="25">
      <t>ハイビ</t>
    </rPh>
    <rPh sb="34" eb="36">
      <t>イッシツ</t>
    </rPh>
    <rPh sb="37" eb="38">
      <t>オコナ</t>
    </rPh>
    <rPh sb="44" eb="46">
      <t>タテモノ</t>
    </rPh>
    <rPh sb="47" eb="49">
      <t>コウゾウ</t>
    </rPh>
    <rPh sb="49" eb="50">
      <t>ジョウ</t>
    </rPh>
    <rPh sb="51" eb="53">
      <t>イッパン</t>
    </rPh>
    <rPh sb="53" eb="55">
      <t>カンジャ</t>
    </rPh>
    <rPh sb="57" eb="59">
      <t>ドウセン</t>
    </rPh>
    <rPh sb="59" eb="60">
      <t>ワ</t>
    </rPh>
    <rPh sb="62" eb="64">
      <t>ゲンカイ</t>
    </rPh>
    <rPh sb="68" eb="70">
      <t>インナイ</t>
    </rPh>
    <rPh sb="74" eb="76">
      <t>カンセン</t>
    </rPh>
    <rPh sb="93" eb="94">
      <t>アラ</t>
    </rPh>
    <rPh sb="99" eb="101">
      <t>ビョウトウ</t>
    </rPh>
    <rPh sb="105" eb="107">
      <t>キキ</t>
    </rPh>
    <rPh sb="107" eb="109">
      <t>イッシキ</t>
    </rPh>
    <rPh sb="110" eb="112">
      <t>セイビ</t>
    </rPh>
    <rPh sb="113" eb="114">
      <t>ウエ</t>
    </rPh>
    <rPh sb="115" eb="117">
      <t>トウガイ</t>
    </rPh>
    <rPh sb="117" eb="119">
      <t>ビョウトウ</t>
    </rPh>
    <rPh sb="119" eb="120">
      <t>ナイ</t>
    </rPh>
    <rPh sb="121" eb="123">
      <t>ソウコ</t>
    </rPh>
    <rPh sb="128" eb="130">
      <t>カイシュウ</t>
    </rPh>
    <rPh sb="132" eb="134">
      <t>シンサツ</t>
    </rPh>
    <rPh sb="139" eb="141">
      <t>カクホ</t>
    </rPh>
    <rPh sb="152" eb="154">
      <t>カンジャ</t>
    </rPh>
    <rPh sb="155" eb="156">
      <t>ナカ</t>
    </rPh>
    <rPh sb="158" eb="160">
      <t>チュウトウ</t>
    </rPh>
    <rPh sb="160" eb="161">
      <t>ショウ</t>
    </rPh>
    <rPh sb="161" eb="163">
      <t>イジョウ</t>
    </rPh>
    <rPh sb="168" eb="169">
      <t>オヨ</t>
    </rPh>
    <rPh sb="171" eb="173">
      <t>キソ</t>
    </rPh>
    <rPh sb="173" eb="175">
      <t>シッカン</t>
    </rPh>
    <rPh sb="176" eb="177">
      <t>アイ</t>
    </rPh>
    <rPh sb="180" eb="182">
      <t>ザイ</t>
    </rPh>
    <rPh sb="183" eb="185">
      <t>ホジ</t>
    </rPh>
    <rPh sb="186" eb="187">
      <t>ムズカ</t>
    </rPh>
    <rPh sb="189" eb="190">
      <t>モノ</t>
    </rPh>
    <rPh sb="191" eb="194">
      <t>イッテイスウ</t>
    </rPh>
    <rPh sb="201" eb="203">
      <t>ガイ</t>
    </rPh>
    <rPh sb="205" eb="207">
      <t>ケンサ</t>
    </rPh>
    <rPh sb="208" eb="209">
      <t>オコナ</t>
    </rPh>
    <rPh sb="212" eb="214">
      <t>カンイ</t>
    </rPh>
    <rPh sb="222" eb="224">
      <t>セイビ</t>
    </rPh>
    <phoneticPr fontId="9"/>
  </si>
  <si>
    <t>（例）本院が所在する医療圏は確保病床自体が少なく、都市部から遠隔地であることから、受入対応が難しい際の隣接圏域への搬送に時間を要する事態が生じた
　　　ケースがある。
　　　感染ピークの度に圏域内の確保病床の逼迫が生じたことから、受入可能数を増やす必要性について圏域内の関係医療機関の間で問題共有されていたところ
　　　である。
　　　このことから、本院として今後人員体制を拡充し、入院要請を断ることがないよう○床分の病床を追加で確保するための整備を行うこととしたい。</t>
    <rPh sb="1" eb="2">
      <t>レイ</t>
    </rPh>
    <rPh sb="3" eb="5">
      <t>ホンイン</t>
    </rPh>
    <rPh sb="6" eb="8">
      <t>ショザイ</t>
    </rPh>
    <rPh sb="10" eb="12">
      <t>イリョウ</t>
    </rPh>
    <rPh sb="12" eb="13">
      <t>ケン</t>
    </rPh>
    <rPh sb="14" eb="16">
      <t>カクホ</t>
    </rPh>
    <rPh sb="16" eb="18">
      <t>ビョウショウ</t>
    </rPh>
    <rPh sb="18" eb="20">
      <t>ジタイ</t>
    </rPh>
    <rPh sb="21" eb="22">
      <t>スク</t>
    </rPh>
    <rPh sb="25" eb="28">
      <t>トシブ</t>
    </rPh>
    <rPh sb="30" eb="32">
      <t>エンカク</t>
    </rPh>
    <rPh sb="32" eb="33">
      <t>チ</t>
    </rPh>
    <rPh sb="41" eb="43">
      <t>ウケイレ</t>
    </rPh>
    <rPh sb="43" eb="45">
      <t>タイオウ</t>
    </rPh>
    <rPh sb="46" eb="47">
      <t>ムズカ</t>
    </rPh>
    <rPh sb="49" eb="50">
      <t>サイ</t>
    </rPh>
    <rPh sb="51" eb="53">
      <t>リンセツ</t>
    </rPh>
    <rPh sb="53" eb="55">
      <t>ケンイキ</t>
    </rPh>
    <rPh sb="57" eb="59">
      <t>ハンソウ</t>
    </rPh>
    <rPh sb="60" eb="62">
      <t>ジカン</t>
    </rPh>
    <rPh sb="63" eb="64">
      <t>ヨウ</t>
    </rPh>
    <rPh sb="66" eb="68">
      <t>ジタイ</t>
    </rPh>
    <rPh sb="69" eb="70">
      <t>ショウ</t>
    </rPh>
    <rPh sb="87" eb="89">
      <t>カンセン</t>
    </rPh>
    <rPh sb="93" eb="94">
      <t>タビ</t>
    </rPh>
    <rPh sb="95" eb="96">
      <t>ケン</t>
    </rPh>
    <rPh sb="96" eb="98">
      <t>イキナイ</t>
    </rPh>
    <rPh sb="99" eb="101">
      <t>カクホ</t>
    </rPh>
    <rPh sb="101" eb="103">
      <t>ビョウショウ</t>
    </rPh>
    <rPh sb="104" eb="106">
      <t>ヒッパク</t>
    </rPh>
    <rPh sb="107" eb="108">
      <t>ショウ</t>
    </rPh>
    <rPh sb="115" eb="117">
      <t>ウケイレ</t>
    </rPh>
    <rPh sb="117" eb="119">
      <t>カノウ</t>
    </rPh>
    <rPh sb="119" eb="120">
      <t>スウ</t>
    </rPh>
    <rPh sb="121" eb="122">
      <t>フ</t>
    </rPh>
    <rPh sb="142" eb="143">
      <t>アイダ</t>
    </rPh>
    <rPh sb="144" eb="146">
      <t>モンダイ</t>
    </rPh>
    <rPh sb="146" eb="148">
      <t>キョウユウ</t>
    </rPh>
    <rPh sb="175" eb="177">
      <t>ホンイン</t>
    </rPh>
    <rPh sb="180" eb="182">
      <t>コンゴ</t>
    </rPh>
    <rPh sb="182" eb="184">
      <t>ジンイン</t>
    </rPh>
    <rPh sb="184" eb="186">
      <t>タイセイ</t>
    </rPh>
    <rPh sb="187" eb="189">
      <t>カクジュウ</t>
    </rPh>
    <rPh sb="191" eb="193">
      <t>ニュウイン</t>
    </rPh>
    <rPh sb="193" eb="195">
      <t>ヨウセイ</t>
    </rPh>
    <rPh sb="196" eb="197">
      <t>コトワ</t>
    </rPh>
    <rPh sb="206" eb="207">
      <t>ユカ</t>
    </rPh>
    <rPh sb="207" eb="208">
      <t>ブン</t>
    </rPh>
    <rPh sb="209" eb="211">
      <t>ビョウショウ</t>
    </rPh>
    <rPh sb="212" eb="214">
      <t>ツイカ</t>
    </rPh>
    <rPh sb="215" eb="217">
      <t>カクホ</t>
    </rPh>
    <rPh sb="222" eb="224">
      <t>セイビ</t>
    </rPh>
    <rPh sb="225" eb="226">
      <t>オコナ</t>
    </rPh>
    <phoneticPr fontId="9"/>
  </si>
  <si>
    <t>（例）当院は透析患者の入院受け入れも行っており、これまで透析患者の病床をコロナ病床に転換して対応を行ってきた。
　　　今年度に入りこれまで、当院が透析患者の受け入れのため確保している病床数を超える入院受け入れ要請が生じ、透析専門の有床診療所に受け入れ協力
　　　をせざるを得ない状況が生じ、診療所でクラスターが発生、その際、遠隔の医療機関への搬送事例が生じたことから、こうした事態を未然に防ぐため、
　　　新たに○台の追加整備を行うこととしたい。
　　　（整備台数の検討にあたってのピーク時の陽性患者数の推移及び受け入れ要請を断らざるを得なかったケースの詳細については別紙のとおり。）</t>
    <rPh sb="1" eb="2">
      <t>レイ</t>
    </rPh>
    <rPh sb="6" eb="8">
      <t>トウセキ</t>
    </rPh>
    <rPh sb="8" eb="10">
      <t>カンジャ</t>
    </rPh>
    <rPh sb="11" eb="13">
      <t>ニュウイン</t>
    </rPh>
    <rPh sb="13" eb="14">
      <t>ウ</t>
    </rPh>
    <rPh sb="15" eb="16">
      <t>イ</t>
    </rPh>
    <rPh sb="18" eb="19">
      <t>オコナ</t>
    </rPh>
    <rPh sb="28" eb="30">
      <t>トウセキ</t>
    </rPh>
    <rPh sb="30" eb="32">
      <t>カンジャ</t>
    </rPh>
    <rPh sb="33" eb="35">
      <t>ビョウショウ</t>
    </rPh>
    <rPh sb="39" eb="41">
      <t>ビョウショウ</t>
    </rPh>
    <rPh sb="42" eb="44">
      <t>テンカン</t>
    </rPh>
    <rPh sb="46" eb="48">
      <t>タイオウ</t>
    </rPh>
    <rPh sb="49" eb="50">
      <t>オコナ</t>
    </rPh>
    <rPh sb="59" eb="62">
      <t>コンネンド</t>
    </rPh>
    <rPh sb="63" eb="64">
      <t>ハイ</t>
    </rPh>
    <rPh sb="70" eb="72">
      <t>トウイン</t>
    </rPh>
    <rPh sb="73" eb="75">
      <t>トウセキ</t>
    </rPh>
    <rPh sb="75" eb="77">
      <t>カンジャ</t>
    </rPh>
    <rPh sb="78" eb="79">
      <t>ウ</t>
    </rPh>
    <rPh sb="80" eb="81">
      <t>イ</t>
    </rPh>
    <rPh sb="85" eb="87">
      <t>カクホ</t>
    </rPh>
    <rPh sb="91" eb="93">
      <t>ビョウショウ</t>
    </rPh>
    <rPh sb="93" eb="94">
      <t>スウ</t>
    </rPh>
    <rPh sb="95" eb="96">
      <t>コ</t>
    </rPh>
    <rPh sb="98" eb="100">
      <t>ニュウイン</t>
    </rPh>
    <rPh sb="100" eb="101">
      <t>ウ</t>
    </rPh>
    <rPh sb="102" eb="103">
      <t>イ</t>
    </rPh>
    <rPh sb="104" eb="106">
      <t>ヨウセイ</t>
    </rPh>
    <rPh sb="107" eb="108">
      <t>ショウ</t>
    </rPh>
    <rPh sb="121" eb="122">
      <t>ウ</t>
    </rPh>
    <rPh sb="123" eb="124">
      <t>イ</t>
    </rPh>
    <rPh sb="125" eb="127">
      <t>キョウリョク</t>
    </rPh>
    <rPh sb="136" eb="137">
      <t>エ</t>
    </rPh>
    <rPh sb="139" eb="141">
      <t>ジョウキョウ</t>
    </rPh>
    <rPh sb="142" eb="143">
      <t>ショウ</t>
    </rPh>
    <rPh sb="145" eb="148">
      <t>シンリョウジョ</t>
    </rPh>
    <rPh sb="155" eb="157">
      <t>ハッセイ</t>
    </rPh>
    <rPh sb="160" eb="161">
      <t>サイ</t>
    </rPh>
    <rPh sb="162" eb="164">
      <t>エンカク</t>
    </rPh>
    <rPh sb="165" eb="167">
      <t>イリョウ</t>
    </rPh>
    <rPh sb="167" eb="169">
      <t>キカン</t>
    </rPh>
    <rPh sb="171" eb="173">
      <t>ハンソウ</t>
    </rPh>
    <rPh sb="173" eb="175">
      <t>ジレイ</t>
    </rPh>
    <rPh sb="176" eb="177">
      <t>ショウ</t>
    </rPh>
    <rPh sb="188" eb="190">
      <t>ジタイ</t>
    </rPh>
    <rPh sb="191" eb="193">
      <t>ミゼン</t>
    </rPh>
    <rPh sb="194" eb="195">
      <t>フセ</t>
    </rPh>
    <rPh sb="203" eb="204">
      <t>アラ</t>
    </rPh>
    <rPh sb="207" eb="208">
      <t>ダイ</t>
    </rPh>
    <rPh sb="209" eb="211">
      <t>ツイカ</t>
    </rPh>
    <rPh sb="211" eb="213">
      <t>セイビ</t>
    </rPh>
    <rPh sb="214" eb="215">
      <t>オコナ</t>
    </rPh>
    <rPh sb="228" eb="230">
      <t>セイビ</t>
    </rPh>
    <rPh sb="230" eb="232">
      <t>ダイスウ</t>
    </rPh>
    <rPh sb="233" eb="235">
      <t>ケントウ</t>
    </rPh>
    <rPh sb="244" eb="245">
      <t>ジ</t>
    </rPh>
    <rPh sb="246" eb="248">
      <t>ヨウセイ</t>
    </rPh>
    <rPh sb="248" eb="250">
      <t>カンジャ</t>
    </rPh>
    <rPh sb="250" eb="251">
      <t>スウ</t>
    </rPh>
    <rPh sb="252" eb="254">
      <t>スイイ</t>
    </rPh>
    <rPh sb="254" eb="255">
      <t>オヨ</t>
    </rPh>
    <rPh sb="256" eb="257">
      <t>ウ</t>
    </rPh>
    <rPh sb="258" eb="259">
      <t>イ</t>
    </rPh>
    <rPh sb="260" eb="262">
      <t>ヨウセイ</t>
    </rPh>
    <rPh sb="263" eb="264">
      <t>コトワ</t>
    </rPh>
    <rPh sb="268" eb="269">
      <t>エ</t>
    </rPh>
    <rPh sb="277" eb="279">
      <t>ショウサイ</t>
    </rPh>
    <rPh sb="284" eb="286">
      <t>ベッシ</t>
    </rPh>
    <phoneticPr fontId="9"/>
  </si>
  <si>
    <t>（例）当院は総合病院として１病棟を重点病床として指定を受けているが、入院患者の肺炎・消化器症状を撮影するためのCT撮影装置は確保病床とは別棟に
　　　ある撮影室までの移動を要した。移動にあたっては隔離搬送用のストレッチャーを使用していたが、別棟への移動の負担及び一般入院患者からの院内
　　　感染への懸念の声が上がっているのも事実としてあるため、CT室を新たに重点病床病棟に新設し、コロナ専用CT撮影機を配備することとしたい。</t>
    <rPh sb="1" eb="2">
      <t>レイ</t>
    </rPh>
    <rPh sb="3" eb="5">
      <t>トウイン</t>
    </rPh>
    <rPh sb="6" eb="8">
      <t>ソウゴウ</t>
    </rPh>
    <rPh sb="8" eb="10">
      <t>ビョウイン</t>
    </rPh>
    <rPh sb="14" eb="16">
      <t>ビョウトウ</t>
    </rPh>
    <rPh sb="17" eb="19">
      <t>ジュウテン</t>
    </rPh>
    <rPh sb="19" eb="21">
      <t>ビョウショウ</t>
    </rPh>
    <rPh sb="24" eb="26">
      <t>シテイ</t>
    </rPh>
    <rPh sb="27" eb="28">
      <t>ウ</t>
    </rPh>
    <rPh sb="34" eb="36">
      <t>ニュウイン</t>
    </rPh>
    <rPh sb="36" eb="38">
      <t>カンジャ</t>
    </rPh>
    <rPh sb="39" eb="41">
      <t>ハイエン</t>
    </rPh>
    <rPh sb="42" eb="45">
      <t>ショウカキ</t>
    </rPh>
    <rPh sb="45" eb="47">
      <t>ショウジョウ</t>
    </rPh>
    <rPh sb="48" eb="50">
      <t>サツエイ</t>
    </rPh>
    <rPh sb="57" eb="59">
      <t>サツエイ</t>
    </rPh>
    <rPh sb="59" eb="61">
      <t>ソウチ</t>
    </rPh>
    <rPh sb="62" eb="64">
      <t>カクホ</t>
    </rPh>
    <rPh sb="64" eb="66">
      <t>ビョウショウ</t>
    </rPh>
    <rPh sb="175" eb="176">
      <t>シツ</t>
    </rPh>
    <rPh sb="177" eb="178">
      <t>アラ</t>
    </rPh>
    <rPh sb="180" eb="182">
      <t>ジュウテン</t>
    </rPh>
    <rPh sb="182" eb="184">
      <t>ビョウショウ</t>
    </rPh>
    <rPh sb="184" eb="186">
      <t>ビョウトウ</t>
    </rPh>
    <rPh sb="187" eb="189">
      <t>シンセツ</t>
    </rPh>
    <rPh sb="194" eb="196">
      <t>センヨウ</t>
    </rPh>
    <rPh sb="198" eb="201">
      <t>サツエイキ</t>
    </rPh>
    <rPh sb="202" eb="204">
      <t>ハイビ</t>
    </rPh>
    <phoneticPr fontId="9"/>
  </si>
  <si>
    <t>別紙</t>
    <rPh sb="0" eb="2">
      <t>ベッシ</t>
    </rPh>
    <phoneticPr fontId="9"/>
  </si>
  <si>
    <t>（１）経費所要額内訳書（別紙）</t>
    <rPh sb="3" eb="5">
      <t>ケイヒ</t>
    </rPh>
    <rPh sb="5" eb="7">
      <t>ショヨウ</t>
    </rPh>
    <rPh sb="7" eb="8">
      <t>ガク</t>
    </rPh>
    <rPh sb="8" eb="11">
      <t>ウチワケショ</t>
    </rPh>
    <rPh sb="12" eb="14">
      <t>ベッシ</t>
    </rPh>
    <phoneticPr fontId="9"/>
  </si>
  <si>
    <t>（２）申請書の付属書類（整備に関係する設備に係る明細書）</t>
    <rPh sb="3" eb="6">
      <t>シンセイショ</t>
    </rPh>
    <rPh sb="7" eb="11">
      <t>フゾクショルイ</t>
    </rPh>
    <rPh sb="12" eb="14">
      <t>セイビ</t>
    </rPh>
    <rPh sb="15" eb="17">
      <t>カンケイ</t>
    </rPh>
    <rPh sb="19" eb="21">
      <t>セツビ</t>
    </rPh>
    <rPh sb="22" eb="23">
      <t>カカ</t>
    </rPh>
    <rPh sb="24" eb="27">
      <t>メイサイショ</t>
    </rPh>
    <phoneticPr fontId="9"/>
  </si>
  <si>
    <t>別添のとおり</t>
    <rPh sb="0" eb="2">
      <t>ベッテン</t>
    </rPh>
    <phoneticPr fontId="9"/>
  </si>
  <si>
    <t>新型コロナウイルス感染症入院患者への入院医療の提供を行うために整備するものであること。</t>
    <rPh sb="0" eb="2">
      <t>シンガタ</t>
    </rPh>
    <rPh sb="9" eb="12">
      <t>カンセンショウ</t>
    </rPh>
    <rPh sb="12" eb="14">
      <t>ニュウイン</t>
    </rPh>
    <rPh sb="14" eb="16">
      <t>カンジャ</t>
    </rPh>
    <rPh sb="18" eb="20">
      <t>ニュウイン</t>
    </rPh>
    <rPh sb="20" eb="22">
      <t>イリョウ</t>
    </rPh>
    <rPh sb="23" eb="25">
      <t>テイキョウ</t>
    </rPh>
    <rPh sb="26" eb="27">
      <t>オコナ</t>
    </rPh>
    <phoneticPr fontId="13"/>
  </si>
  <si>
    <t>空気清浄機の設置に伴い、院内感染防止のための陰圧環境を確保していること。</t>
    <rPh sb="0" eb="2">
      <t>クウキ</t>
    </rPh>
    <rPh sb="2" eb="5">
      <t>セイジョウキ</t>
    </rPh>
    <rPh sb="6" eb="8">
      <t>セッチ</t>
    </rPh>
    <rPh sb="9" eb="10">
      <t>トモナ</t>
    </rPh>
    <rPh sb="12" eb="14">
      <t>インナイ</t>
    </rPh>
    <rPh sb="14" eb="16">
      <t>カンセン</t>
    </rPh>
    <rPh sb="16" eb="18">
      <t>ボウシ</t>
    </rPh>
    <rPh sb="22" eb="24">
      <t>インアツ</t>
    </rPh>
    <rPh sb="24" eb="26">
      <t>カンキョウ</t>
    </rPh>
    <rPh sb="27" eb="29">
      <t>カクホ</t>
    </rPh>
    <phoneticPr fontId="13"/>
  </si>
  <si>
    <t>補助上限額は１施設あたり905,000円。（簡易陰圧装置に付帯する場合、当該内訳経費の合計に対して適用されます。）</t>
    <rPh sb="0" eb="2">
      <t>ホジョ</t>
    </rPh>
    <rPh sb="2" eb="5">
      <t>ジョウゲンガク</t>
    </rPh>
    <rPh sb="7" eb="9">
      <t>シセツ</t>
    </rPh>
    <rPh sb="19" eb="20">
      <t>エン</t>
    </rPh>
    <rPh sb="22" eb="24">
      <t>カンイ</t>
    </rPh>
    <rPh sb="24" eb="26">
      <t>インアツ</t>
    </rPh>
    <rPh sb="26" eb="28">
      <t>ソウチ</t>
    </rPh>
    <rPh sb="29" eb="31">
      <t>フタイ</t>
    </rPh>
    <rPh sb="33" eb="35">
      <t>バアイ</t>
    </rPh>
    <rPh sb="36" eb="38">
      <t>トウガイ</t>
    </rPh>
    <rPh sb="38" eb="40">
      <t>ウチワケ</t>
    </rPh>
    <rPh sb="40" eb="42">
      <t>ケイヒ</t>
    </rPh>
    <rPh sb="43" eb="45">
      <t>ゴウケイ</t>
    </rPh>
    <rPh sb="46" eb="47">
      <t>タイ</t>
    </rPh>
    <rPh sb="49" eb="51">
      <t>テキヨウ</t>
    </rPh>
    <phoneticPr fontId="13"/>
  </si>
  <si>
    <t>共用部分</t>
    <rPh sb="0" eb="4">
      <t>キョウヨウブブン</t>
    </rPh>
    <phoneticPr fontId="13"/>
  </si>
  <si>
    <t>病床及び共用部分、あるいはその他</t>
    <rPh sb="0" eb="2">
      <t>ビョウショウ</t>
    </rPh>
    <rPh sb="2" eb="3">
      <t>オヨ</t>
    </rPh>
    <rPh sb="4" eb="8">
      <t>キョウヨウブブン</t>
    </rPh>
    <rPh sb="15" eb="16">
      <t>タ</t>
    </rPh>
    <phoneticPr fontId="9"/>
  </si>
  <si>
    <t>付帯工事費</t>
    <rPh sb="0" eb="5">
      <t>フタイコウジヒ</t>
    </rPh>
    <phoneticPr fontId="9"/>
  </si>
  <si>
    <t>付属備品</t>
    <rPh sb="0" eb="2">
      <t>フゾク</t>
    </rPh>
    <rPh sb="2" eb="4">
      <t>ビヒン</t>
    </rPh>
    <phoneticPr fontId="13"/>
  </si>
  <si>
    <t>新型コロナウイルス感染症入院患者への入院医療の提供を行うために整備するものであること。
（患者移動を目的としたストレッチャー等は補助対象外）</t>
    <rPh sb="26" eb="27">
      <t>オコナ</t>
    </rPh>
    <rPh sb="45" eb="47">
      <t>カンジャ</t>
    </rPh>
    <rPh sb="47" eb="49">
      <t>イドウ</t>
    </rPh>
    <rPh sb="50" eb="52">
      <t>モクテキ</t>
    </rPh>
    <rPh sb="62" eb="63">
      <t>トウ</t>
    </rPh>
    <rPh sb="64" eb="66">
      <t>ホジョ</t>
    </rPh>
    <rPh sb="66" eb="69">
      <t>タイショウガイ</t>
    </rPh>
    <phoneticPr fontId="13"/>
  </si>
  <si>
    <t>番号</t>
    <rPh sb="0" eb="2">
      <t>バンゴウ</t>
    </rPh>
    <phoneticPr fontId="9"/>
  </si>
  <si>
    <t>確認の点</t>
    <rPh sb="0" eb="2">
      <t>カクニン</t>
    </rPh>
    <rPh sb="3" eb="4">
      <t>テン</t>
    </rPh>
    <phoneticPr fontId="9"/>
  </si>
  <si>
    <t>回答</t>
    <rPh sb="0" eb="2">
      <t>カイトウ</t>
    </rPh>
    <phoneticPr fontId="9"/>
  </si>
  <si>
    <t>再確認の点</t>
    <rPh sb="0" eb="1">
      <t>サイ</t>
    </rPh>
    <rPh sb="1" eb="3">
      <t>カクニン</t>
    </rPh>
    <rPh sb="4" eb="5">
      <t>テン</t>
    </rPh>
    <phoneticPr fontId="9"/>
  </si>
  <si>
    <t>再回答</t>
    <rPh sb="0" eb="1">
      <t>サイ</t>
    </rPh>
    <rPh sb="1" eb="3">
      <t>カイトウ</t>
    </rPh>
    <phoneticPr fontId="9"/>
  </si>
  <si>
    <t>←医師の員数が書ききれない場合はこちらに入力</t>
    <rPh sb="1" eb="3">
      <t>イシ</t>
    </rPh>
    <rPh sb="4" eb="6">
      <t>インスウ</t>
    </rPh>
    <rPh sb="7" eb="8">
      <t>カ</t>
    </rPh>
    <rPh sb="13" eb="15">
      <t>バアイ</t>
    </rPh>
    <rPh sb="20" eb="22">
      <t>ニュウリョク</t>
    </rPh>
    <phoneticPr fontId="9"/>
  </si>
  <si>
    <t>看護要員</t>
    <rPh sb="0" eb="2">
      <t>カンゴ</t>
    </rPh>
    <rPh sb="2" eb="4">
      <t>ヨウイン</t>
    </rPh>
    <phoneticPr fontId="13"/>
  </si>
  <si>
    <t>医師
看護要員</t>
    <rPh sb="0" eb="2">
      <t>イシ</t>
    </rPh>
    <rPh sb="3" eb="5">
      <t>カンゴ</t>
    </rPh>
    <rPh sb="5" eb="7">
      <t>ヨウイン</t>
    </rPh>
    <phoneticPr fontId="13"/>
  </si>
  <si>
    <t>看護要員</t>
    <phoneticPr fontId="13"/>
  </si>
  <si>
    <t>←看護要員の員数が書ききれない場合はこちらに入力</t>
    <rPh sb="6" eb="8">
      <t>インスウ</t>
    </rPh>
    <rPh sb="9" eb="10">
      <t>カ</t>
    </rPh>
    <rPh sb="15" eb="17">
      <t>バアイ</t>
    </rPh>
    <rPh sb="22" eb="24">
      <t>ニュウリョク</t>
    </rPh>
    <phoneticPr fontId="9"/>
  </si>
  <si>
    <t>医師
看護要員</t>
    <rPh sb="0" eb="2">
      <t>イシ</t>
    </rPh>
    <phoneticPr fontId="13"/>
  </si>
  <si>
    <t>看護要員</t>
    <phoneticPr fontId="9"/>
  </si>
  <si>
    <t>「２．職員情報」に入力した看護要員の人数の範囲内の平均配置数を入力してください。</t>
    <rPh sb="3" eb="5">
      <t>ショクイン</t>
    </rPh>
    <rPh sb="5" eb="7">
      <t>ジョウホウ</t>
    </rPh>
    <rPh sb="9" eb="11">
      <t>ニュウリョク</t>
    </rPh>
    <rPh sb="18" eb="20">
      <t>ニンズウ</t>
    </rPh>
    <rPh sb="21" eb="24">
      <t>ハンイナイ</t>
    </rPh>
    <rPh sb="25" eb="27">
      <t>ヘイキン</t>
    </rPh>
    <rPh sb="27" eb="29">
      <t>ハイチ</t>
    </rPh>
    <rPh sb="29" eb="30">
      <t>スウ</t>
    </rPh>
    <rPh sb="31" eb="33">
      <t>ニュウリョク</t>
    </rPh>
    <phoneticPr fontId="13"/>
  </si>
  <si>
    <t>当該月の診療時間数の合計を看護要員の平均配置員数で乗じた最大勤務時間数が自動で表示されます。</t>
    <rPh sb="0" eb="3">
      <t>トウガイツキ</t>
    </rPh>
    <rPh sb="4" eb="9">
      <t>シンリョウジカンスウ</t>
    </rPh>
    <rPh sb="10" eb="12">
      <t>ゴウケイ</t>
    </rPh>
    <rPh sb="18" eb="20">
      <t>ヘイキン</t>
    </rPh>
    <rPh sb="20" eb="22">
      <t>ハイチ</t>
    </rPh>
    <rPh sb="22" eb="24">
      <t>インスウ</t>
    </rPh>
    <rPh sb="25" eb="26">
      <t>ジョウ</t>
    </rPh>
    <rPh sb="28" eb="30">
      <t>サイダイ</t>
    </rPh>
    <rPh sb="30" eb="35">
      <t>キンムジカンスウ</t>
    </rPh>
    <rPh sb="36" eb="38">
      <t>ジドウ</t>
    </rPh>
    <rPh sb="39" eb="41">
      <t>ヒョウジ</t>
    </rPh>
    <phoneticPr fontId="13"/>
  </si>
  <si>
    <t>患者１名あたり平均対応員数＊品目毎の医師・看護要員の合計使用数＊前頁「３」で入力の外来患者数の数値が自動で表示されます。（「３」に入力不備があると「－」と表示されます。）</t>
    <rPh sb="0" eb="2">
      <t>カンジャ</t>
    </rPh>
    <rPh sb="3" eb="4">
      <t>メイ</t>
    </rPh>
    <rPh sb="7" eb="11">
      <t>ヘイキンタイオウ</t>
    </rPh>
    <rPh sb="11" eb="13">
      <t>インスウ</t>
    </rPh>
    <rPh sb="14" eb="16">
      <t>ヒンモク</t>
    </rPh>
    <rPh sb="16" eb="17">
      <t>ゴト</t>
    </rPh>
    <rPh sb="18" eb="20">
      <t>イシ</t>
    </rPh>
    <rPh sb="26" eb="28">
      <t>ゴウケイ</t>
    </rPh>
    <rPh sb="28" eb="31">
      <t>シヨウスウ</t>
    </rPh>
    <rPh sb="32" eb="33">
      <t>マエ</t>
    </rPh>
    <rPh sb="33" eb="34">
      <t>ページ</t>
    </rPh>
    <rPh sb="38" eb="40">
      <t>ニュウリョク</t>
    </rPh>
    <rPh sb="41" eb="43">
      <t>ガイライ</t>
    </rPh>
    <rPh sb="43" eb="45">
      <t>カンジャ</t>
    </rPh>
    <rPh sb="45" eb="46">
      <t>スウ</t>
    </rPh>
    <rPh sb="47" eb="49">
      <t>スウチ</t>
    </rPh>
    <rPh sb="50" eb="52">
      <t>ジドウ</t>
    </rPh>
    <rPh sb="53" eb="55">
      <t>ヒョウジ</t>
    </rPh>
    <rPh sb="65" eb="67">
      <t>ニュウリョク</t>
    </rPh>
    <rPh sb="67" eb="69">
      <t>フビ</t>
    </rPh>
    <rPh sb="77" eb="79">
      <t>ヒョウジ</t>
    </rPh>
    <phoneticPr fontId="13"/>
  </si>
  <si>
    <t>振込先通帳写し　貼り付け用台紙
令和５年度　新型コロナウイルス感染症患者等入院医療機関設備整備費補助金</t>
    <rPh sb="0" eb="3">
      <t>フリコミサキ</t>
    </rPh>
    <rPh sb="3" eb="5">
      <t>ツウチョウ</t>
    </rPh>
    <rPh sb="5" eb="6">
      <t>ウツ</t>
    </rPh>
    <rPh sb="8" eb="9">
      <t>ハ</t>
    </rPh>
    <rPh sb="10" eb="11">
      <t>ツ</t>
    </rPh>
    <rPh sb="12" eb="13">
      <t>ヨウ</t>
    </rPh>
    <rPh sb="13" eb="15">
      <t>ダイシ</t>
    </rPh>
    <phoneticPr fontId="9"/>
  </si>
  <si>
    <t>－</t>
    <phoneticPr fontId="9"/>
  </si>
  <si>
    <t>あ</t>
    <phoneticPr fontId="9"/>
  </si>
  <si>
    <t>設備</t>
  </si>
  <si>
    <t>備品</t>
  </si>
  <si>
    <t>い</t>
    <phoneticPr fontId="9"/>
  </si>
  <si>
    <t>う</t>
    <phoneticPr fontId="9"/>
  </si>
  <si>
    <t>補助対象</t>
  </si>
  <si>
    <t>補助対象外</t>
  </si>
  <si>
    <t>あ</t>
    <phoneticPr fontId="9"/>
  </si>
  <si>
    <t>あ</t>
    <phoneticPr fontId="9"/>
  </si>
  <si>
    <t>所要額計：</t>
    <rPh sb="0" eb="3">
      <t>ショヨウガク</t>
    </rPh>
    <rPh sb="3" eb="4">
      <t>ケイ</t>
    </rPh>
    <phoneticPr fontId="9"/>
  </si>
  <si>
    <t>消耗品</t>
    <rPh sb="0" eb="3">
      <t>ショウモウヒン</t>
    </rPh>
    <phoneticPr fontId="9"/>
  </si>
  <si>
    <t>備品</t>
    <rPh sb="0" eb="2">
      <t>ビヒン</t>
    </rPh>
    <phoneticPr fontId="9"/>
  </si>
  <si>
    <t>委託料</t>
    <rPh sb="0" eb="3">
      <t>イタクリョウ</t>
    </rPh>
    <phoneticPr fontId="9"/>
  </si>
  <si>
    <t>人件費</t>
    <rPh sb="0" eb="3">
      <t>ジンケンヒ</t>
    </rPh>
    <phoneticPr fontId="9"/>
  </si>
  <si>
    <t>その他</t>
    <rPh sb="2" eb="3">
      <t>タ</t>
    </rPh>
    <phoneticPr fontId="9"/>
  </si>
  <si>
    <t>（例）当院は確保病床数が○○床と多いこと、入院患者の多くがコロナ罹患以前より移動の際の身体介助あるいは体位変換を必要とする高齢者であり、
　　　入院支援を行う医療スタッフへの負担の状態化が問題となっていた。
　　　上記対応に加えて、飛沫や吐瀉物の消毒作業が大きな負担となっており、これを軽減する上で装置の配備が有効であると判断したことから、
　　　本補助金を活用し消毒用照射装置を新たに○台整備することとしたい。</t>
    <rPh sb="1" eb="2">
      <t>レイ</t>
    </rPh>
    <rPh sb="3" eb="5">
      <t>トウイン</t>
    </rPh>
    <rPh sb="6" eb="8">
      <t>カクホ</t>
    </rPh>
    <rPh sb="8" eb="10">
      <t>ビョウショウ</t>
    </rPh>
    <rPh sb="10" eb="11">
      <t>スウ</t>
    </rPh>
    <rPh sb="14" eb="15">
      <t>ユカ</t>
    </rPh>
    <rPh sb="16" eb="17">
      <t>オオ</t>
    </rPh>
    <rPh sb="21" eb="23">
      <t>ニュウイン</t>
    </rPh>
    <rPh sb="23" eb="25">
      <t>カンジャ</t>
    </rPh>
    <rPh sb="26" eb="27">
      <t>オオ</t>
    </rPh>
    <rPh sb="32" eb="34">
      <t>リカン</t>
    </rPh>
    <rPh sb="34" eb="36">
      <t>イゼン</t>
    </rPh>
    <rPh sb="38" eb="40">
      <t>イドウ</t>
    </rPh>
    <rPh sb="41" eb="42">
      <t>サイ</t>
    </rPh>
    <rPh sb="43" eb="45">
      <t>シンタイ</t>
    </rPh>
    <rPh sb="45" eb="47">
      <t>カイジョ</t>
    </rPh>
    <rPh sb="51" eb="55">
      <t>タイイヘンカン</t>
    </rPh>
    <rPh sb="56" eb="58">
      <t>ヒツヨウ</t>
    </rPh>
    <rPh sb="72" eb="74">
      <t>ニュウイン</t>
    </rPh>
    <rPh sb="74" eb="76">
      <t>シエン</t>
    </rPh>
    <rPh sb="77" eb="78">
      <t>オコナ</t>
    </rPh>
    <rPh sb="79" eb="81">
      <t>イリョウ</t>
    </rPh>
    <rPh sb="87" eb="89">
      <t>フタン</t>
    </rPh>
    <rPh sb="90" eb="92">
      <t>ジョウタイ</t>
    </rPh>
    <rPh sb="92" eb="93">
      <t>カ</t>
    </rPh>
    <rPh sb="94" eb="96">
      <t>モンダイ</t>
    </rPh>
    <rPh sb="107" eb="109">
      <t>ジョウキ</t>
    </rPh>
    <rPh sb="109" eb="111">
      <t>タイオウ</t>
    </rPh>
    <rPh sb="112" eb="113">
      <t>クワ</t>
    </rPh>
    <rPh sb="116" eb="118">
      <t>ヒマツ</t>
    </rPh>
    <rPh sb="119" eb="121">
      <t>トシャ</t>
    </rPh>
    <rPh sb="121" eb="122">
      <t>ブツ</t>
    </rPh>
    <rPh sb="123" eb="125">
      <t>ショウドク</t>
    </rPh>
    <rPh sb="125" eb="127">
      <t>サギョウ</t>
    </rPh>
    <rPh sb="128" eb="129">
      <t>オオ</t>
    </rPh>
    <rPh sb="131" eb="133">
      <t>フタン</t>
    </rPh>
    <rPh sb="143" eb="145">
      <t>ケイゲン</t>
    </rPh>
    <rPh sb="147" eb="148">
      <t>ウエ</t>
    </rPh>
    <rPh sb="149" eb="151">
      <t>ソウチ</t>
    </rPh>
    <rPh sb="152" eb="154">
      <t>ハイビ</t>
    </rPh>
    <rPh sb="155" eb="157">
      <t>ユウコウ</t>
    </rPh>
    <rPh sb="161" eb="163">
      <t>ハンダン</t>
    </rPh>
    <rPh sb="174" eb="175">
      <t>ホン</t>
    </rPh>
    <rPh sb="175" eb="178">
      <t>ホジョキン</t>
    </rPh>
    <rPh sb="179" eb="181">
      <t>カツヨウ</t>
    </rPh>
    <rPh sb="182" eb="185">
      <t>ショウドクヨウ</t>
    </rPh>
    <rPh sb="185" eb="187">
      <t>ショウシャ</t>
    </rPh>
    <rPh sb="187" eb="189">
      <t>ソウチ</t>
    </rPh>
    <rPh sb="190" eb="191">
      <t>アラ</t>
    </rPh>
    <phoneticPr fontId="9"/>
  </si>
  <si>
    <t>ガウン</t>
  </si>
  <si>
    <t>グローブ</t>
  </si>
  <si>
    <t>キャップ</t>
  </si>
  <si>
    <t>リユーサブルゴーグル</t>
    <phoneticPr fontId="13"/>
  </si>
  <si>
    <t>リユーサブルシールド</t>
    <phoneticPr fontId="13"/>
  </si>
  <si>
    <t>←入力不要です。</t>
    <rPh sb="1" eb="5">
      <t>ニュウリョクフヨウ</t>
    </rPh>
    <phoneticPr fontId="13"/>
  </si>
  <si>
    <t>空気清浄機</t>
    <rPh sb="0" eb="5">
      <t>クウキセイジョウキ</t>
    </rPh>
    <phoneticPr fontId="8"/>
  </si>
  <si>
    <t>パーテーション</t>
    <phoneticPr fontId="8"/>
  </si>
  <si>
    <t>申立事項</t>
    <rPh sb="0" eb="2">
      <t>モウシタテ</t>
    </rPh>
    <rPh sb="2" eb="4">
      <t>ジコウ</t>
    </rPh>
    <phoneticPr fontId="9"/>
  </si>
  <si>
    <t>体制情報</t>
    <rPh sb="0" eb="4">
      <t>タイセイジョウホウ</t>
    </rPh>
    <phoneticPr fontId="9"/>
  </si>
  <si>
    <t>（参考書式）</t>
    <rPh sb="1" eb="5">
      <t>サンコウショシキ</t>
    </rPh>
    <phoneticPr fontId="9"/>
  </si>
  <si>
    <t>消毒経費の内の人件費に係る所要額算定書</t>
    <rPh sb="0" eb="2">
      <t>ショウドク</t>
    </rPh>
    <rPh sb="2" eb="4">
      <t>ケイヒ</t>
    </rPh>
    <rPh sb="5" eb="6">
      <t>ウチ</t>
    </rPh>
    <rPh sb="7" eb="10">
      <t>ジンケンヒ</t>
    </rPh>
    <rPh sb="11" eb="12">
      <t>カカ</t>
    </rPh>
    <rPh sb="13" eb="16">
      <t>ショヨウガク</t>
    </rPh>
    <rPh sb="16" eb="18">
      <t>サンテイ</t>
    </rPh>
    <rPh sb="18" eb="19">
      <t>ショ</t>
    </rPh>
    <phoneticPr fontId="9"/>
  </si>
  <si>
    <t>消毒経費として人件費を費用計上する場合の算定のありかたの一例として当該書式をお示しします。
なお、厳密な人件費の算定が可能な場合は当該書式によらず、ご準備いただいた算定書類をご提出いただくことも可能です。</t>
    <rPh sb="0" eb="2">
      <t>ショウドク</t>
    </rPh>
    <rPh sb="2" eb="4">
      <t>ケイヒ</t>
    </rPh>
    <rPh sb="7" eb="10">
      <t>ジンケンヒ</t>
    </rPh>
    <rPh sb="11" eb="15">
      <t>ヒヨウケイジョウ</t>
    </rPh>
    <rPh sb="17" eb="19">
      <t>バアイ</t>
    </rPh>
    <rPh sb="20" eb="22">
      <t>サンテイ</t>
    </rPh>
    <rPh sb="28" eb="30">
      <t>イチレイ</t>
    </rPh>
    <rPh sb="33" eb="35">
      <t>トウガイ</t>
    </rPh>
    <rPh sb="35" eb="37">
      <t>ショシキ</t>
    </rPh>
    <rPh sb="39" eb="40">
      <t>シメ</t>
    </rPh>
    <rPh sb="49" eb="51">
      <t>ゲンミツ</t>
    </rPh>
    <rPh sb="52" eb="55">
      <t>ジンケンヒ</t>
    </rPh>
    <rPh sb="56" eb="58">
      <t>サンテイ</t>
    </rPh>
    <rPh sb="59" eb="61">
      <t>カノウ</t>
    </rPh>
    <rPh sb="62" eb="64">
      <t>バアイ</t>
    </rPh>
    <rPh sb="65" eb="67">
      <t>トウガイ</t>
    </rPh>
    <rPh sb="67" eb="69">
      <t>ショシキ</t>
    </rPh>
    <rPh sb="75" eb="77">
      <t>ジュンビ</t>
    </rPh>
    <rPh sb="82" eb="84">
      <t>サンテイ</t>
    </rPh>
    <rPh sb="84" eb="86">
      <t>ショルイ</t>
    </rPh>
    <rPh sb="88" eb="90">
      <t>テイシュツ</t>
    </rPh>
    <rPh sb="97" eb="99">
      <t>カノウ</t>
    </rPh>
    <phoneticPr fontId="9"/>
  </si>
  <si>
    <t>職種</t>
    <rPh sb="0" eb="2">
      <t>ショクシュ</t>
    </rPh>
    <phoneticPr fontId="9"/>
  </si>
  <si>
    <t>雇用契約書（労働条件通知書）情報</t>
    <rPh sb="0" eb="5">
      <t>コヨウケイヤクショ</t>
    </rPh>
    <rPh sb="6" eb="10">
      <t>ロウドウジョウケン</t>
    </rPh>
    <rPh sb="10" eb="13">
      <t>ツウチショ</t>
    </rPh>
    <rPh sb="14" eb="16">
      <t>ジョウホウ</t>
    </rPh>
    <phoneticPr fontId="9"/>
  </si>
  <si>
    <t>平均時給額</t>
    <rPh sb="0" eb="2">
      <t>ヘイキン</t>
    </rPh>
    <rPh sb="2" eb="5">
      <t>ジキュウガク</t>
    </rPh>
    <phoneticPr fontId="9"/>
  </si>
  <si>
    <t>月例給の場合</t>
    <rPh sb="0" eb="2">
      <t>ゲツレイ</t>
    </rPh>
    <rPh sb="2" eb="3">
      <t>キュウ</t>
    </rPh>
    <rPh sb="4" eb="6">
      <t>バアイ</t>
    </rPh>
    <phoneticPr fontId="9"/>
  </si>
  <si>
    <t>時給雇用の場合</t>
    <rPh sb="0" eb="2">
      <t>ジキュウ</t>
    </rPh>
    <rPh sb="2" eb="4">
      <t>コヨウ</t>
    </rPh>
    <rPh sb="5" eb="7">
      <t>バアイ</t>
    </rPh>
    <phoneticPr fontId="9"/>
  </si>
  <si>
    <t>給与月額</t>
    <rPh sb="0" eb="2">
      <t>キュウヨ</t>
    </rPh>
    <rPh sb="2" eb="4">
      <t>ゲツガク</t>
    </rPh>
    <phoneticPr fontId="9"/>
  </si>
  <si>
    <t>労働時間/月</t>
    <rPh sb="0" eb="2">
      <t>ロウドウ</t>
    </rPh>
    <rPh sb="2" eb="4">
      <t>ジカン</t>
    </rPh>
    <rPh sb="5" eb="6">
      <t>ツキ</t>
    </rPh>
    <phoneticPr fontId="9"/>
  </si>
  <si>
    <t>時給換算額</t>
    <rPh sb="0" eb="2">
      <t>ジキュウ</t>
    </rPh>
    <rPh sb="2" eb="4">
      <t>カンサン</t>
    </rPh>
    <rPh sb="4" eb="5">
      <t>ガク</t>
    </rPh>
    <phoneticPr fontId="9"/>
  </si>
  <si>
    <t>時給額</t>
    <rPh sb="0" eb="3">
      <t>ジキュウガク</t>
    </rPh>
    <phoneticPr fontId="9"/>
  </si>
  <si>
    <t>職員１</t>
    <rPh sb="0" eb="2">
      <t>ショクイン</t>
    </rPh>
    <phoneticPr fontId="9"/>
  </si>
  <si>
    <t>職員２</t>
    <rPh sb="0" eb="2">
      <t>ショクイン</t>
    </rPh>
    <phoneticPr fontId="9"/>
  </si>
  <si>
    <t>看護師</t>
    <rPh sb="0" eb="3">
      <t>カンゴシ</t>
    </rPh>
    <phoneticPr fontId="9"/>
  </si>
  <si>
    <t>職員３</t>
    <rPh sb="0" eb="2">
      <t>ショクイン</t>
    </rPh>
    <phoneticPr fontId="9"/>
  </si>
  <si>
    <t>職員４</t>
    <rPh sb="0" eb="2">
      <t>ショクイン</t>
    </rPh>
    <phoneticPr fontId="9"/>
  </si>
  <si>
    <t>職員５</t>
    <rPh sb="0" eb="2">
      <t>ショクイン</t>
    </rPh>
    <phoneticPr fontId="9"/>
  </si>
  <si>
    <t>職員６</t>
    <rPh sb="0" eb="2">
      <t>ショクイン</t>
    </rPh>
    <phoneticPr fontId="9"/>
  </si>
  <si>
    <t>職員７</t>
    <rPh sb="0" eb="2">
      <t>ショクイン</t>
    </rPh>
    <phoneticPr fontId="9"/>
  </si>
  <si>
    <t>職員８</t>
    <rPh sb="0" eb="2">
      <t>ショクイン</t>
    </rPh>
    <phoneticPr fontId="9"/>
  </si>
  <si>
    <t>職員９</t>
    <rPh sb="0" eb="2">
      <t>ショクイン</t>
    </rPh>
    <phoneticPr fontId="9"/>
  </si>
  <si>
    <t>職員１０</t>
    <rPh sb="0" eb="2">
      <t>ショクイン</t>
    </rPh>
    <phoneticPr fontId="9"/>
  </si>
  <si>
    <t>職員１１</t>
    <rPh sb="0" eb="2">
      <t>ショクイン</t>
    </rPh>
    <phoneticPr fontId="9"/>
  </si>
  <si>
    <t>職員１２</t>
    <rPh sb="0" eb="2">
      <t>ショクイン</t>
    </rPh>
    <phoneticPr fontId="9"/>
  </si>
  <si>
    <t>職員１３</t>
    <rPh sb="0" eb="2">
      <t>ショクイン</t>
    </rPh>
    <phoneticPr fontId="9"/>
  </si>
  <si>
    <t>職員１４</t>
    <rPh sb="0" eb="2">
      <t>ショクイン</t>
    </rPh>
    <phoneticPr fontId="9"/>
  </si>
  <si>
    <t>職員１５</t>
    <rPh sb="0" eb="2">
      <t>ショクイン</t>
    </rPh>
    <phoneticPr fontId="9"/>
  </si>
  <si>
    <t>清掃箇所</t>
    <rPh sb="0" eb="2">
      <t>セイソウ</t>
    </rPh>
    <rPh sb="2" eb="4">
      <t>カショ</t>
    </rPh>
    <phoneticPr fontId="9"/>
  </si>
  <si>
    <t>個所数</t>
    <rPh sb="0" eb="3">
      <t>カショスウ</t>
    </rPh>
    <phoneticPr fontId="9"/>
  </si>
  <si>
    <t>→</t>
    <phoneticPr fontId="9"/>
  </si>
  <si>
    <t>（分単位で入力してください。）</t>
    <rPh sb="1" eb="4">
      <t>フンタンイ</t>
    </rPh>
    <rPh sb="5" eb="7">
      <t>ニュウリョク</t>
    </rPh>
    <phoneticPr fontId="9"/>
  </si>
  <si>
    <t>３．消毒経費実発生（見込）額</t>
    <rPh sb="2" eb="4">
      <t>ショウドク</t>
    </rPh>
    <rPh sb="4" eb="6">
      <t>ケイヒ</t>
    </rPh>
    <rPh sb="6" eb="7">
      <t>ジツ</t>
    </rPh>
    <rPh sb="7" eb="9">
      <t>ハッセイ</t>
    </rPh>
    <rPh sb="10" eb="12">
      <t>ミコミ</t>
    </rPh>
    <rPh sb="13" eb="14">
      <t>ガク</t>
    </rPh>
    <phoneticPr fontId="9"/>
  </si>
  <si>
    <t>所要時間/回</t>
    <rPh sb="0" eb="4">
      <t>ショヨウジカン</t>
    </rPh>
    <rPh sb="5" eb="6">
      <t>カイ</t>
    </rPh>
    <phoneticPr fontId="9"/>
  </si>
  <si>
    <t>作業回数</t>
    <rPh sb="0" eb="4">
      <t>サギョウカイスウ</t>
    </rPh>
    <phoneticPr fontId="9"/>
  </si>
  <si>
    <t>人件費所要（見込）額</t>
    <rPh sb="0" eb="3">
      <t>ジンケンヒ</t>
    </rPh>
    <rPh sb="3" eb="5">
      <t>ショヨウ</t>
    </rPh>
    <rPh sb="6" eb="8">
      <t>ミコミ</t>
    </rPh>
    <rPh sb="9" eb="10">
      <t>ガク</t>
    </rPh>
    <phoneticPr fontId="9"/>
  </si>
  <si>
    <t>×</t>
    <phoneticPr fontId="9"/>
  </si>
  <si>
    <t>÷</t>
    <phoneticPr fontId="9"/>
  </si>
  <si>
    <t>＝</t>
    <phoneticPr fontId="9"/>
  </si>
  <si>
    <t>基礎情報</t>
    <rPh sb="0" eb="4">
      <t>キソジョウホウ</t>
    </rPh>
    <phoneticPr fontId="9"/>
  </si>
  <si>
    <t>交付申請（２次）</t>
    <rPh sb="0" eb="2">
      <t>コウフ</t>
    </rPh>
    <rPh sb="2" eb="4">
      <t>シンセイ</t>
    </rPh>
    <rPh sb="6" eb="7">
      <t>ジ</t>
    </rPh>
    <phoneticPr fontId="9"/>
  </si>
  <si>
    <t>実績報告（１次）</t>
    <rPh sb="0" eb="2">
      <t>ジッセキ</t>
    </rPh>
    <rPh sb="2" eb="4">
      <t>ホウコク</t>
    </rPh>
    <rPh sb="6" eb="7">
      <t>ジ</t>
    </rPh>
    <phoneticPr fontId="9"/>
  </si>
  <si>
    <t>実績報告（２次）</t>
    <rPh sb="0" eb="2">
      <t>ジッセキ</t>
    </rPh>
    <rPh sb="2" eb="4">
      <t>ホウコク</t>
    </rPh>
    <rPh sb="6" eb="7">
      <t>ジ</t>
    </rPh>
    <phoneticPr fontId="9"/>
  </si>
  <si>
    <t>（４）その他参考となる書類</t>
    <phoneticPr fontId="9"/>
  </si>
  <si>
    <t>○同じく個人防護具に係り、入力いただいた職員配置数、月毎の患者数に基づく平均患者数、平均訪室回数及び各品目の着脱使用回数に基づく１日あたり使用量と、納品日毎の在庫数量差引による総使用量と比較し、計上されている使用数が著しく多い場合、計上の理由について県から問合せの上、公費補助整備に親和しないと判断される過剰分については計上から除外いただきます。</t>
    <rPh sb="1" eb="2">
      <t>オナ</t>
    </rPh>
    <rPh sb="4" eb="9">
      <t>コジンボウゴグ</t>
    </rPh>
    <rPh sb="10" eb="11">
      <t>カカ</t>
    </rPh>
    <rPh sb="13" eb="15">
      <t>ニュウリョク</t>
    </rPh>
    <rPh sb="20" eb="25">
      <t>ショクインハイチスウ</t>
    </rPh>
    <rPh sb="26" eb="27">
      <t>ツキ</t>
    </rPh>
    <rPh sb="27" eb="28">
      <t>ゴト</t>
    </rPh>
    <rPh sb="29" eb="32">
      <t>カンジャスウ</t>
    </rPh>
    <rPh sb="33" eb="34">
      <t>モト</t>
    </rPh>
    <rPh sb="36" eb="38">
      <t>ヘイキン</t>
    </rPh>
    <rPh sb="38" eb="41">
      <t>カンジャスウ</t>
    </rPh>
    <rPh sb="42" eb="44">
      <t>ヘイキン</t>
    </rPh>
    <rPh sb="44" eb="45">
      <t>ホウ</t>
    </rPh>
    <rPh sb="45" eb="46">
      <t>シツ</t>
    </rPh>
    <rPh sb="46" eb="48">
      <t>カイスウ</t>
    </rPh>
    <rPh sb="48" eb="49">
      <t>オヨ</t>
    </rPh>
    <rPh sb="50" eb="53">
      <t>カクヒンモク</t>
    </rPh>
    <rPh sb="54" eb="56">
      <t>チャクダツ</t>
    </rPh>
    <rPh sb="56" eb="58">
      <t>シヨウ</t>
    </rPh>
    <rPh sb="58" eb="60">
      <t>カイスウ</t>
    </rPh>
    <rPh sb="61" eb="62">
      <t>モト</t>
    </rPh>
    <rPh sb="65" eb="66">
      <t>ニチ</t>
    </rPh>
    <rPh sb="74" eb="76">
      <t>ノウヒン</t>
    </rPh>
    <rPh sb="76" eb="77">
      <t>ビ</t>
    </rPh>
    <rPh sb="77" eb="78">
      <t>ゴト</t>
    </rPh>
    <rPh sb="79" eb="81">
      <t>ザイコ</t>
    </rPh>
    <rPh sb="81" eb="83">
      <t>スウリョウ</t>
    </rPh>
    <rPh sb="83" eb="84">
      <t>サ</t>
    </rPh>
    <rPh sb="84" eb="85">
      <t>ヒ</t>
    </rPh>
    <rPh sb="88" eb="89">
      <t>ソウ</t>
    </rPh>
    <rPh sb="89" eb="91">
      <t>シヨウ</t>
    </rPh>
    <rPh sb="91" eb="92">
      <t>リョウ</t>
    </rPh>
    <rPh sb="93" eb="95">
      <t>ヒカク</t>
    </rPh>
    <rPh sb="97" eb="102">
      <t>コジンボウゴグ</t>
    </rPh>
    <rPh sb="102" eb="103">
      <t>オヨ</t>
    </rPh>
    <rPh sb="104" eb="106">
      <t>ケイジョウ</t>
    </rPh>
    <rPh sb="111" eb="114">
      <t>シヨウスウ</t>
    </rPh>
    <rPh sb="115" eb="116">
      <t>イチジル</t>
    </rPh>
    <rPh sb="118" eb="119">
      <t>オオ</t>
    </rPh>
    <rPh sb="120" eb="122">
      <t>バアイ</t>
    </rPh>
    <rPh sb="123" eb="125">
      <t>ケイジョウ</t>
    </rPh>
    <rPh sb="126" eb="128">
      <t>リユウ</t>
    </rPh>
    <rPh sb="132" eb="133">
      <t>ケン</t>
    </rPh>
    <rPh sb="135" eb="137">
      <t>トイアワ</t>
    </rPh>
    <rPh sb="139" eb="140">
      <t>ウエ</t>
    </rPh>
    <rPh sb="141" eb="143">
      <t>コウヒ</t>
    </rPh>
    <rPh sb="143" eb="145">
      <t>ホジョ</t>
    </rPh>
    <rPh sb="145" eb="147">
      <t>セイビ</t>
    </rPh>
    <rPh sb="148" eb="150">
      <t>シンワ</t>
    </rPh>
    <rPh sb="154" eb="156">
      <t>ハンダン</t>
    </rPh>
    <rPh sb="159" eb="161">
      <t>カジョウ</t>
    </rPh>
    <rPh sb="161" eb="162">
      <t>ブン</t>
    </rPh>
    <rPh sb="167" eb="169">
      <t>ケイジョウ</t>
    </rPh>
    <rPh sb="171" eb="173">
      <t>ジョガイ</t>
    </rPh>
    <phoneticPr fontId="9"/>
  </si>
  <si>
    <t>－</t>
  </si>
  <si>
    <t>総品目最終納品日</t>
    <rPh sb="0" eb="1">
      <t>ソウ</t>
    </rPh>
    <rPh sb="1" eb="3">
      <t>ヒンモク</t>
    </rPh>
    <rPh sb="3" eb="5">
      <t>サイシュウ</t>
    </rPh>
    <rPh sb="5" eb="8">
      <t>ノウヒンビ</t>
    </rPh>
    <phoneticPr fontId="9"/>
  </si>
  <si>
    <t>年</t>
    <rPh sb="0" eb="1">
      <t>ネン</t>
    </rPh>
    <phoneticPr fontId="9"/>
  </si>
  <si>
    <t>月</t>
    <rPh sb="0" eb="1">
      <t>ツキ</t>
    </rPh>
    <phoneticPr fontId="9"/>
  </si>
  <si>
    <t>日</t>
    <rPh sb="0" eb="1">
      <t>ニチ</t>
    </rPh>
    <phoneticPr fontId="9"/>
  </si>
  <si>
    <t>納品年</t>
    <rPh sb="0" eb="2">
      <t>ノウヒン</t>
    </rPh>
    <rPh sb="2" eb="3">
      <t>ネン</t>
    </rPh>
    <phoneticPr fontId="9"/>
  </si>
  <si>
    <t>納品月</t>
    <rPh sb="0" eb="2">
      <t>ノウヒン</t>
    </rPh>
    <rPh sb="2" eb="3">
      <t>ツキ</t>
    </rPh>
    <phoneticPr fontId="9"/>
  </si>
  <si>
    <t>納品日</t>
    <rPh sb="0" eb="2">
      <t>ノウヒン</t>
    </rPh>
    <rPh sb="2" eb="3">
      <t>ニチ</t>
    </rPh>
    <phoneticPr fontId="9"/>
  </si>
  <si>
    <t>空気清浄機</t>
    <rPh sb="0" eb="5">
      <t>クウキセイジョウキ</t>
    </rPh>
    <phoneticPr fontId="9"/>
  </si>
  <si>
    <t>パーテーション</t>
    <phoneticPr fontId="9"/>
  </si>
  <si>
    <t>令和</t>
    <rPh sb="0" eb="2">
      <t>レイワ</t>
    </rPh>
    <phoneticPr fontId="9"/>
  </si>
  <si>
    <t>年</t>
    <rPh sb="0" eb="1">
      <t>ネン</t>
    </rPh>
    <phoneticPr fontId="9"/>
  </si>
  <si>
    <t>月</t>
    <rPh sb="0" eb="1">
      <t>ガツ</t>
    </rPh>
    <phoneticPr fontId="9"/>
  </si>
  <si>
    <t>日</t>
    <rPh sb="0" eb="1">
      <t>ニチ</t>
    </rPh>
    <phoneticPr fontId="9"/>
  </si>
  <si>
    <t>（３）経費内訳</t>
    <rPh sb="3" eb="5">
      <t>ケイヒ</t>
    </rPh>
    <rPh sb="5" eb="7">
      <t>ウチワケ</t>
    </rPh>
    <phoneticPr fontId="13"/>
  </si>
  <si>
    <t>（１）</t>
    <phoneticPr fontId="9"/>
  </si>
  <si>
    <t>（２）</t>
  </si>
  <si>
    <t>（３）</t>
  </si>
  <si>
    <t>（２）経費内訳</t>
    <phoneticPr fontId="13"/>
  </si>
  <si>
    <t>ー</t>
    <phoneticPr fontId="9"/>
  </si>
  <si>
    <t>納　品
年　月　日</t>
    <rPh sb="0" eb="1">
      <t>オサメ</t>
    </rPh>
    <rPh sb="2" eb="3">
      <t>ヒン</t>
    </rPh>
    <rPh sb="4" eb="5">
      <t>ネン</t>
    </rPh>
    <rPh sb="6" eb="7">
      <t>ツキ</t>
    </rPh>
    <rPh sb="8" eb="9">
      <t>ヒ</t>
    </rPh>
    <phoneticPr fontId="9"/>
  </si>
  <si>
    <t>納品</t>
    <rPh sb="0" eb="2">
      <t>ノウヒン</t>
    </rPh>
    <phoneticPr fontId="9"/>
  </si>
  <si>
    <t>フェイスシールド</t>
  </si>
  <si>
    <t>フェイスシールド</t>
    <phoneticPr fontId="13"/>
  </si>
  <si>
    <t>フェイスシールド</t>
    <phoneticPr fontId="9"/>
  </si>
  <si>
    <t>リユーサブルシールド</t>
  </si>
  <si>
    <t>a</t>
    <phoneticPr fontId="9"/>
  </si>
  <si>
    <t>内容量</t>
    <rPh sb="0" eb="3">
      <t>ナイヨウリョウ</t>
    </rPh>
    <phoneticPr fontId="13"/>
  </si>
  <si>
    <t>※県記入欄
（購入数量）</t>
    <rPh sb="1" eb="2">
      <t>ケン</t>
    </rPh>
    <rPh sb="2" eb="4">
      <t>キニュウ</t>
    </rPh>
    <rPh sb="4" eb="5">
      <t>ラン</t>
    </rPh>
    <rPh sb="7" eb="9">
      <t>コウニュウ</t>
    </rPh>
    <rPh sb="9" eb="11">
      <t>スウリョウ</t>
    </rPh>
    <phoneticPr fontId="13"/>
  </si>
  <si>
    <t>使用数計</t>
    <rPh sb="0" eb="3">
      <t>シヨウスウ</t>
    </rPh>
    <rPh sb="3" eb="4">
      <t>ケイ</t>
    </rPh>
    <phoneticPr fontId="13"/>
  </si>
  <si>
    <t>患者人数</t>
    <rPh sb="0" eb="4">
      <t>カンジャニンズウ</t>
    </rPh>
    <phoneticPr fontId="13"/>
  </si>
  <si>
    <t>購入分</t>
    <rPh sb="0" eb="2">
      <t>コウニュウ</t>
    </rPh>
    <rPh sb="2" eb="3">
      <t>ブン</t>
    </rPh>
    <phoneticPr fontId="13"/>
  </si>
  <si>
    <t>物資配布</t>
    <rPh sb="0" eb="4">
      <t>ブッシハイフ</t>
    </rPh>
    <phoneticPr fontId="13"/>
  </si>
  <si>
    <t>N95マスク・ハイラックマスク</t>
    <phoneticPr fontId="13"/>
  </si>
  <si>
    <t>リユーサブルゴーグル</t>
  </si>
  <si>
    <t>消耗品（消毒液）</t>
    <phoneticPr fontId="13"/>
  </si>
  <si>
    <t>消耗品（ペーパータオル）</t>
    <phoneticPr fontId="13"/>
  </si>
  <si>
    <t>消耗品（ウェットティッシュ）</t>
    <phoneticPr fontId="13"/>
  </si>
  <si>
    <t>消耗品増減差引簿</t>
    <rPh sb="0" eb="3">
      <t>ショウモウヒン</t>
    </rPh>
    <rPh sb="3" eb="5">
      <t>ゾウゲン</t>
    </rPh>
    <rPh sb="5" eb="8">
      <t>サシヒキボ</t>
    </rPh>
    <phoneticPr fontId="13"/>
  </si>
  <si>
    <t>患者1人</t>
    <rPh sb="0" eb="2">
      <t>カンジャ</t>
    </rPh>
    <rPh sb="3" eb="4">
      <t>ニン</t>
    </rPh>
    <phoneticPr fontId="13"/>
  </si>
  <si>
    <t>診療日</t>
  </si>
  <si>
    <t>使用数
/患者１人１日</t>
    <rPh sb="0" eb="2">
      <t>シヨウ</t>
    </rPh>
    <rPh sb="2" eb="3">
      <t>スウ</t>
    </rPh>
    <rPh sb="5" eb="7">
      <t>カンジャ</t>
    </rPh>
    <rPh sb="8" eb="9">
      <t>ニン</t>
    </rPh>
    <rPh sb="10" eb="11">
      <t>ニチ</t>
    </rPh>
    <phoneticPr fontId="13"/>
  </si>
  <si>
    <t>識別番号</t>
    <rPh sb="0" eb="2">
      <t>シキベツ</t>
    </rPh>
    <rPh sb="2" eb="4">
      <t>バンゴウ</t>
    </rPh>
    <phoneticPr fontId="9"/>
  </si>
  <si>
    <t>有咳症状者数</t>
    <rPh sb="0" eb="1">
      <t>ユウ</t>
    </rPh>
    <rPh sb="1" eb="2">
      <t>セキ</t>
    </rPh>
    <rPh sb="2" eb="4">
      <t>ショウジョウ</t>
    </rPh>
    <rPh sb="4" eb="5">
      <t>シャ</t>
    </rPh>
    <rPh sb="5" eb="6">
      <t>スウ</t>
    </rPh>
    <phoneticPr fontId="9"/>
  </si>
  <si>
    <t>（１）整備を行う対象病床数</t>
    <rPh sb="3" eb="5">
      <t>セイビ</t>
    </rPh>
    <rPh sb="6" eb="7">
      <t>オコナ</t>
    </rPh>
    <rPh sb="8" eb="10">
      <t>タイショウ</t>
    </rPh>
    <rPh sb="10" eb="13">
      <t>ビョウショウスウ</t>
    </rPh>
    <phoneticPr fontId="9"/>
  </si>
  <si>
    <t>段階0</t>
    <rPh sb="0" eb="2">
      <t>ダンカイ</t>
    </rPh>
    <phoneticPr fontId="9"/>
  </si>
  <si>
    <t>段階1</t>
    <rPh sb="0" eb="2">
      <t>ダンカイ</t>
    </rPh>
    <phoneticPr fontId="9"/>
  </si>
  <si>
    <t>段階2</t>
    <rPh sb="0" eb="2">
      <t>ダンカイ</t>
    </rPh>
    <phoneticPr fontId="9"/>
  </si>
  <si>
    <t>適切に入力がされました。</t>
    <phoneticPr fontId="9"/>
  </si>
  <si>
    <t>設備整備を行う病床数</t>
    <rPh sb="0" eb="2">
      <t>セツビ</t>
    </rPh>
    <rPh sb="2" eb="4">
      <t>セイビ</t>
    </rPh>
    <rPh sb="5" eb="6">
      <t>オコナ</t>
    </rPh>
    <rPh sb="7" eb="10">
      <t>ビョウショウスウ</t>
    </rPh>
    <phoneticPr fontId="9"/>
  </si>
  <si>
    <t>超音波画像診断装置</t>
  </si>
  <si>
    <t>血液浄化装置</t>
  </si>
  <si>
    <t>気管支鏡</t>
  </si>
  <si>
    <t>CT撮影装置</t>
  </si>
  <si>
    <t>生体情報モニタ</t>
  </si>
  <si>
    <t>分娩監視装置</t>
  </si>
  <si>
    <t>新生児モニタ</t>
  </si>
  <si>
    <t>○</t>
    <phoneticPr fontId="9"/>
  </si>
  <si>
    <t>手続</t>
    <rPh sb="0" eb="2">
      <t>テツヅキ</t>
    </rPh>
    <phoneticPr fontId="9"/>
  </si>
  <si>
    <t>始</t>
    <rPh sb="0" eb="1">
      <t>ハジ</t>
    </rPh>
    <phoneticPr fontId="9"/>
  </si>
  <si>
    <t>終</t>
    <rPh sb="0" eb="1">
      <t>オ</t>
    </rPh>
    <phoneticPr fontId="9"/>
  </si>
  <si>
    <t>－</t>
    <phoneticPr fontId="9"/>
  </si>
  <si>
    <t>口座番号</t>
    <phoneticPr fontId="9"/>
  </si>
  <si>
    <t>E</t>
    <phoneticPr fontId="9"/>
  </si>
  <si>
    <t>F</t>
    <phoneticPr fontId="9"/>
  </si>
  <si>
    <t>G</t>
    <phoneticPr fontId="9"/>
  </si>
  <si>
    <t>県補助額
(G)(1)×10/10
(G)(2)×1/2
(H)</t>
    <phoneticPr fontId="13"/>
  </si>
  <si>
    <t>補助対象
使用量</t>
    <rPh sb="0" eb="4">
      <t>ホジョタイショウ</t>
    </rPh>
    <rPh sb="5" eb="8">
      <t>シヨウリョウ</t>
    </rPh>
    <phoneticPr fontId="9"/>
  </si>
  <si>
    <t>（２）この度、新たに整備を行う必要が生じた理由（フロア毎の対応から病室毎の対応への移行の計画内容）を詳しく記入してください。</t>
    <rPh sb="5" eb="6">
      <t>タビ</t>
    </rPh>
    <rPh sb="7" eb="8">
      <t>アラ</t>
    </rPh>
    <rPh sb="10" eb="12">
      <t>セイビ</t>
    </rPh>
    <rPh sb="13" eb="14">
      <t>オコナ</t>
    </rPh>
    <rPh sb="15" eb="17">
      <t>ヒツヨウ</t>
    </rPh>
    <rPh sb="18" eb="19">
      <t>ショウ</t>
    </rPh>
    <rPh sb="21" eb="23">
      <t>リユウ</t>
    </rPh>
    <rPh sb="27" eb="28">
      <t>ゴト</t>
    </rPh>
    <rPh sb="29" eb="31">
      <t>タイオウ</t>
    </rPh>
    <rPh sb="33" eb="35">
      <t>ビョウシツ</t>
    </rPh>
    <rPh sb="35" eb="36">
      <t>ゴト</t>
    </rPh>
    <rPh sb="37" eb="39">
      <t>タイオウ</t>
    </rPh>
    <rPh sb="41" eb="43">
      <t>イコウ</t>
    </rPh>
    <rPh sb="44" eb="46">
      <t>ケイカク</t>
    </rPh>
    <rPh sb="46" eb="48">
      <t>ナイヨウ</t>
    </rPh>
    <rPh sb="50" eb="51">
      <t>クワ</t>
    </rPh>
    <rPh sb="53" eb="55">
      <t>キニュウ</t>
    </rPh>
    <phoneticPr fontId="9"/>
  </si>
  <si>
    <t>マスク（その他・シールド付）</t>
    <rPh sb="6" eb="7">
      <t>タ</t>
    </rPh>
    <rPh sb="12" eb="13">
      <t>ツ</t>
    </rPh>
    <phoneticPr fontId="13"/>
  </si>
  <si>
    <t>マスク（ハイラック）</t>
    <phoneticPr fontId="13"/>
  </si>
  <si>
    <t>ゴーグル（リユーサブル）</t>
    <phoneticPr fontId="13"/>
  </si>
  <si>
    <t>ゴーグル（レンズ交換型）</t>
    <rPh sb="8" eb="11">
      <t>コウカンガタ</t>
    </rPh>
    <phoneticPr fontId="13"/>
  </si>
  <si>
    <t>ゴーグル（交換用レンズ）</t>
    <rPh sb="5" eb="7">
      <t>コウカン</t>
    </rPh>
    <rPh sb="7" eb="8">
      <t>ヨウ</t>
    </rPh>
    <phoneticPr fontId="13"/>
  </si>
  <si>
    <t>フェイスシールド（使い捨て一体型）</t>
    <rPh sb="9" eb="10">
      <t>ツカ</t>
    </rPh>
    <rPh sb="11" eb="12">
      <t>ス</t>
    </rPh>
    <rPh sb="13" eb="16">
      <t>イッタイガタ</t>
    </rPh>
    <phoneticPr fontId="13"/>
  </si>
  <si>
    <t>フェイスシールド（フレーム）</t>
    <phoneticPr fontId="13"/>
  </si>
  <si>
    <t>フェイスシールド（交換用シールド）</t>
    <rPh sb="9" eb="11">
      <t>コウカン</t>
    </rPh>
    <rPh sb="11" eb="12">
      <t>ヨウ</t>
    </rPh>
    <phoneticPr fontId="13"/>
  </si>
  <si>
    <t>フェイスシールド（リユーサブル）</t>
    <phoneticPr fontId="13"/>
  </si>
  <si>
    <t>総使用見込量
（単純試算）</t>
    <rPh sb="0" eb="1">
      <t>ソウ</t>
    </rPh>
    <rPh sb="1" eb="3">
      <t>シヨウ</t>
    </rPh>
    <rPh sb="3" eb="5">
      <t>ミコ</t>
    </rPh>
    <rPh sb="5" eb="6">
      <t>リョウ</t>
    </rPh>
    <rPh sb="8" eb="12">
      <t>タンジュンシサン</t>
    </rPh>
    <phoneticPr fontId="9"/>
  </si>
  <si>
    <t>使用数
/職員1人1回</t>
    <rPh sb="0" eb="2">
      <t>シヨウ</t>
    </rPh>
    <rPh sb="2" eb="3">
      <t>スウ</t>
    </rPh>
    <rPh sb="5" eb="7">
      <t>ショクイン</t>
    </rPh>
    <rPh sb="8" eb="9">
      <t>ニン</t>
    </rPh>
    <rPh sb="10" eb="11">
      <t>カイ</t>
    </rPh>
    <phoneticPr fontId="13"/>
  </si>
  <si>
    <t xml:space="preserve">
本枠内に振込先口座の通帳の表紙見開きの写しを貼り付けしてください。
挙証資料（品目に係る見積書、カタログ等）とともに
愛知県感染症対策課助成グループへ郵送してください。
（封筒余白に「コロナ入院補助金事前協議」と朱書すること。）
</t>
    <rPh sb="96" eb="98">
      <t>ニュウイン</t>
    </rPh>
    <rPh sb="101" eb="105">
      <t>ジゼンキョウギ</t>
    </rPh>
    <phoneticPr fontId="9"/>
  </si>
  <si>
    <t>通期補助対象使用量</t>
    <rPh sb="0" eb="2">
      <t>ツウキ</t>
    </rPh>
    <rPh sb="2" eb="6">
      <t>ホジョタイショウ</t>
    </rPh>
    <rPh sb="6" eb="9">
      <t>シヨウリョウ</t>
    </rPh>
    <phoneticPr fontId="9"/>
  </si>
  <si>
    <t>期間内購入量</t>
    <rPh sb="0" eb="3">
      <t>キカンナイ</t>
    </rPh>
    <rPh sb="3" eb="6">
      <t>コウニュウリョウ</t>
    </rPh>
    <phoneticPr fontId="9"/>
  </si>
  <si>
    <t>期首備蓄＆国配布分</t>
    <rPh sb="0" eb="2">
      <t>キシュ</t>
    </rPh>
    <rPh sb="2" eb="4">
      <t>ビチク</t>
    </rPh>
    <rPh sb="5" eb="6">
      <t>クニ</t>
    </rPh>
    <rPh sb="6" eb="9">
      <t>ハイフブン</t>
    </rPh>
    <phoneticPr fontId="9"/>
  </si>
  <si>
    <t>空気清浄機</t>
    <rPh sb="0" eb="5">
      <t>クウキセイジョウキ</t>
    </rPh>
    <phoneticPr fontId="7"/>
  </si>
  <si>
    <t>パーテーション</t>
    <phoneticPr fontId="7"/>
  </si>
  <si>
    <t>上半期</t>
    <rPh sb="0" eb="3">
      <t>カミハンキ</t>
    </rPh>
    <phoneticPr fontId="9"/>
  </si>
  <si>
    <t>交付申請兼実績報告</t>
    <rPh sb="0" eb="9">
      <t>コウフシンセイケンジッセキホウコク</t>
    </rPh>
    <phoneticPr fontId="9"/>
  </si>
  <si>
    <t>交付申請</t>
    <rPh sb="0" eb="4">
      <t>コウフシンセイ</t>
    </rPh>
    <phoneticPr fontId="9"/>
  </si>
  <si>
    <t>変更交付</t>
    <rPh sb="0" eb="4">
      <t>ヘンコウコウフ</t>
    </rPh>
    <phoneticPr fontId="9"/>
  </si>
  <si>
    <t>実績報告</t>
    <rPh sb="0" eb="4">
      <t>ジッセキホウコク</t>
    </rPh>
    <phoneticPr fontId="9"/>
  </si>
  <si>
    <t>下半期</t>
    <rPh sb="0" eb="3">
      <t>シモハンキ</t>
    </rPh>
    <phoneticPr fontId="9"/>
  </si>
  <si>
    <t>表紙</t>
    <rPh sb="0" eb="2">
      <t>ヒョウシ</t>
    </rPh>
    <phoneticPr fontId="9"/>
  </si>
  <si>
    <t>経費書</t>
    <rPh sb="0" eb="3">
      <t>ケイヒショ</t>
    </rPh>
    <phoneticPr fontId="9"/>
  </si>
  <si>
    <t>額内訳書</t>
    <rPh sb="0" eb="1">
      <t>ガク</t>
    </rPh>
    <rPh sb="1" eb="4">
      <t>ウチワケショ</t>
    </rPh>
    <phoneticPr fontId="9"/>
  </si>
  <si>
    <t>様式１</t>
    <rPh sb="0" eb="2">
      <t>ヨウシキ</t>
    </rPh>
    <phoneticPr fontId="9"/>
  </si>
  <si>
    <t>様式１－１</t>
    <phoneticPr fontId="9"/>
  </si>
  <si>
    <t>様式１－２</t>
    <phoneticPr fontId="9"/>
  </si>
  <si>
    <t>様式１－３</t>
  </si>
  <si>
    <t>様式１－４</t>
    <phoneticPr fontId="9"/>
  </si>
  <si>
    <t>歳入歳出</t>
    <rPh sb="0" eb="4">
      <t>サイニュウサイシュツ</t>
    </rPh>
    <phoneticPr fontId="9"/>
  </si>
  <si>
    <t>様式２－３</t>
    <rPh sb="0" eb="2">
      <t>ヨウシキ</t>
    </rPh>
    <phoneticPr fontId="9"/>
  </si>
  <si>
    <t>様式２</t>
    <rPh sb="0" eb="2">
      <t>ヨウシキ</t>
    </rPh>
    <phoneticPr fontId="9"/>
  </si>
  <si>
    <t>様式３</t>
    <rPh sb="0" eb="2">
      <t>ヨウシキ</t>
    </rPh>
    <phoneticPr fontId="9"/>
  </si>
  <si>
    <t>様式４</t>
    <rPh sb="0" eb="2">
      <t>ヨウシキ</t>
    </rPh>
    <phoneticPr fontId="9"/>
  </si>
  <si>
    <t>様式２－１</t>
    <phoneticPr fontId="9"/>
  </si>
  <si>
    <t>様式２－２</t>
    <phoneticPr fontId="9"/>
  </si>
  <si>
    <t>様式１－５</t>
    <phoneticPr fontId="9"/>
  </si>
  <si>
    <t>様式２－４</t>
    <phoneticPr fontId="9"/>
  </si>
  <si>
    <t>様式２－５</t>
  </si>
  <si>
    <t>期首備蓄分（国からの配布分を含む）</t>
    <rPh sb="0" eb="2">
      <t>キシュ</t>
    </rPh>
    <rPh sb="2" eb="5">
      <t>ビチクブン</t>
    </rPh>
    <rPh sb="6" eb="7">
      <t>クニ</t>
    </rPh>
    <rPh sb="10" eb="12">
      <t>ハイフ</t>
    </rPh>
    <rPh sb="12" eb="13">
      <t>ブン</t>
    </rPh>
    <rPh sb="14" eb="15">
      <t>フク</t>
    </rPh>
    <phoneticPr fontId="9"/>
  </si>
</sst>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2">
    <numFmt numFmtId="176" formatCode="#,##0&quot;円&quot;"/>
    <numFmt numFmtId="177" formatCode="#,##0&quot;床&quot;"/>
    <numFmt numFmtId="178" formatCode="#,##0_ "/>
    <numFmt numFmtId="179" formatCode="[$-411]ggge&quot;年&quot;m&quot;月&quot;d&quot;日&quot;;@"/>
    <numFmt numFmtId="180" formatCode="0_);[Red]\(0\)"/>
    <numFmt numFmtId="181" formatCode="\4&quot;感&quot;&quot;対&quot;&quot;第1411－&quot;0&quot;号&quot;\ "/>
    <numFmt numFmtId="182" formatCode="#,##0&quot;円&quot;\ "/>
    <numFmt numFmtId="183" formatCode="&quot;診&quot;&quot;検&quot;&quot;第&quot;0&quot;号&quot;"/>
    <numFmt numFmtId="184" formatCode="#,##0&quot;日&quot;"/>
    <numFmt numFmtId="185" formatCode="#,##0&quot;人&quot;"/>
    <numFmt numFmtId="186" formatCode="#,##0.00&quot;円&quot;"/>
    <numFmt numFmtId="187" formatCode="#,##0&quot;行&quot;&quot;目&quot;"/>
    <numFmt numFmtId="188" formatCode="#,##0.0&quot;枚&quot;"/>
    <numFmt numFmtId="189" formatCode="#,##0.0&quot;着&quot;"/>
    <numFmt numFmtId="190" formatCode="#,##0.0&quot;個&quot;"/>
    <numFmt numFmtId="191" formatCode="#,##0&quot;式&quot;"/>
    <numFmt numFmtId="192" formatCode="#,##0&quot;台&quot;"/>
    <numFmt numFmtId="193" formatCode="&quot;延&quot;&quot;べ&quot;#,##0&quot;人&quot;"/>
    <numFmt numFmtId="194" formatCode="#,##0&quot;円&quot;;[Red]\(#,##0\)&quot;円&quot;"/>
    <numFmt numFmtId="195" formatCode="\(#,##0&quot;円&quot;\)"/>
    <numFmt numFmtId="196" formatCode="&quot;@&quot;#,##0&quot;円&quot;"/>
    <numFmt numFmtId="197" formatCode="&quot;¥&quot;#,##0&quot;円&quot;"/>
    <numFmt numFmtId="198" formatCode="#,##0_);[Red]\(#,##0\)"/>
    <numFmt numFmtId="199" formatCode="&quot;金&quot;#,##0&quot;円&quot;"/>
    <numFmt numFmtId="200" formatCode="&quot;金&quot;#,##0&quot;円&quot;;&quot;金&quot;&quot;△ &quot;#,##0&quot;円&quot;"/>
    <numFmt numFmtId="201" formatCode="&quot;入&quot;&quot;院&quot;&quot;第&quot;0&quot;号&quot;"/>
    <numFmt numFmtId="202" formatCode="yyyy&quot;年&quot;m&quot;月&quot;d&quot;日&quot;;@"/>
    <numFmt numFmtId="203" formatCode="&quot;【&quot;#,##0&quot;円&quot;&quot;】&quot;"/>
    <numFmt numFmtId="204" formatCode="[h]:mm"/>
    <numFmt numFmtId="205" formatCode="#,##0.0&quot;時&quot;&quot;間&quot;"/>
    <numFmt numFmtId="206" formatCode="0&quot;円&quot;"/>
    <numFmt numFmtId="207" formatCode="&quot;計&quot;#,##0&quot;日&quot;"/>
    <numFmt numFmtId="208" formatCode="&quot;計&quot;#,##0.0&quot;人&quot;"/>
    <numFmt numFmtId="209" formatCode="#,##0.0"/>
    <numFmt numFmtId="210" formatCode="#,##0&quot;時&quot;&quot;間&quot;"/>
    <numFmt numFmtId="211" formatCode="#,##0.00&quot;人/日&quot;"/>
    <numFmt numFmtId="212" formatCode="0.00&quot;時間/日&quot;"/>
    <numFmt numFmtId="213" formatCode="#,##0&quot;箱&quot;"/>
    <numFmt numFmtId="214" formatCode="#,##0&quot;個&quot;"/>
    <numFmt numFmtId="215" formatCode="#,##0.00&quot;枚&quot;"/>
    <numFmt numFmtId="216" formatCode="0.00&quot;着&quot;"/>
    <numFmt numFmtId="217" formatCode="#,##0.00&quot;個&quot;"/>
    <numFmt numFmtId="218" formatCode="#,##0.00&quot;人&quot;"/>
    <numFmt numFmtId="219" formatCode="&quot;平均&quot;#,##0.00&quot;人/日&quot;"/>
    <numFmt numFmtId="220" formatCode="&quot;平&quot;&quot;均&quot;#,##0.00&quot;人/日&quot;"/>
    <numFmt numFmtId="221" formatCode="0.00&quot;時&quot;&quot;間/月&quot;"/>
    <numFmt numFmtId="222" formatCode="&quot;平&quot;&quot;均&quot;#,##0.00&quot;時間/月&quot;"/>
    <numFmt numFmtId="223" formatCode="0_ "/>
    <numFmt numFmtId="224" formatCode="#,##0.0&quot;円&quot;"/>
    <numFmt numFmtId="225" formatCode="#,##0.0&quot;人&quot;"/>
    <numFmt numFmtId="226" formatCode="#,##0.0&quot;人/日&quot;"/>
    <numFmt numFmtId="227" formatCode="#,##0.0&quot;時間/日&quot;"/>
    <numFmt numFmtId="228" formatCode="#,##0.00&quot;回&quot;&quot;/１日１人&quot;"/>
    <numFmt numFmtId="229" formatCode="#,##0.00&quot;人/１人１回&quot;"/>
    <numFmt numFmtId="230" formatCode="&quot;延&quot;&quot;べ&quot;#,##0.00&quot;人/１人１日&quot;"/>
    <numFmt numFmtId="231" formatCode="0.00&quot;人/１人１日&quot;"/>
    <numFmt numFmtId="232" formatCode="0.00&quot;枚/１人１回&quot;"/>
    <numFmt numFmtId="233" formatCode="0.00&quot;個/１人１回&quot;"/>
    <numFmt numFmtId="234" formatCode="0.00&quot;着/１人１回&quot;"/>
    <numFmt numFmtId="235" formatCode="0.0&quot;時&quot;&quot;間/月&quot;"/>
    <numFmt numFmtId="236" formatCode="#,##0.0&quot;時間/月&quot;"/>
    <numFmt numFmtId="237" formatCode="0.0&quot;時間/日&quot;"/>
    <numFmt numFmtId="238" formatCode="#,##0&quot;日&quot;&quot;稼&quot;&quot;働&quot;"/>
    <numFmt numFmtId="239" formatCode="#,##0&quot;施設&quot;"/>
    <numFmt numFmtId="240" formatCode="0.0&quot;人/日&quot;"/>
    <numFmt numFmtId="241" formatCode="#,##0&quot;ヶ&quot;"/>
    <numFmt numFmtId="242" formatCode="#,##0&quot;枚&quot;"/>
    <numFmt numFmtId="243" formatCode="#,##0.0&quot;枚&quot;;&quot;△ &quot;#,##0.0&quot;枚&quot;"/>
    <numFmt numFmtId="244" formatCode="#,##0.0&quot;個&quot;;&quot;△ &quot;#,##0.0&quot;個&quot;"/>
    <numFmt numFmtId="245" formatCode="#,##0&quot;着&quot;"/>
    <numFmt numFmtId="246" formatCode="#,##0.0&quot;着&quot;;&quot;△ &quot;#,##0.0&quot;着&quot;"/>
    <numFmt numFmtId="247" formatCode="#,##0&quot;時間&quot;"/>
    <numFmt numFmtId="248" formatCode="#,##0&quot;か&quot;&quot;所&quot;"/>
    <numFmt numFmtId="249" formatCode="#,##0&quot;分&quot;"/>
    <numFmt numFmtId="250" formatCode="#,##0&quot;回&quot;"/>
    <numFmt numFmtId="251" formatCode="d"/>
    <numFmt numFmtId="252" formatCode="0&quot;月&quot;"/>
    <numFmt numFmtId="253" formatCode="yyyy/m/d;@"/>
    <numFmt numFmtId="254" formatCode="m/d;@"/>
    <numFmt numFmtId="255" formatCode="#,##0.0_);[Red]\(#,##0.0\)"/>
    <numFmt numFmtId="256" formatCode="0.00&quot;枚/１人１日&quot;"/>
    <numFmt numFmtId="257" formatCode="&quot;段&quot;&quot;階&quot;0"/>
  </numFmts>
  <fonts count="75">
    <font>
      <sz val="11"/>
      <color theme="1"/>
      <name val="Yu Gothic"/>
      <family val="2"/>
      <scheme val="minor"/>
    </font>
    <font>
      <sz val="11"/>
      <color theme="1"/>
      <name val="Yu Gothic"/>
      <family val="2"/>
      <charset val="128"/>
      <scheme val="minor"/>
    </font>
    <font>
      <sz val="11"/>
      <color theme="1"/>
      <name val="Yu Gothic"/>
      <family val="2"/>
      <charset val="128"/>
      <scheme val="minor"/>
    </font>
    <font>
      <sz val="11"/>
      <color theme="1"/>
      <name val="Yu Gothic"/>
      <family val="2"/>
      <charset val="128"/>
      <scheme val="minor"/>
    </font>
    <font>
      <sz val="11"/>
      <color theme="1"/>
      <name val="Yu Gothic"/>
      <family val="2"/>
      <charset val="128"/>
      <scheme val="minor"/>
    </font>
    <font>
      <sz val="11"/>
      <color theme="1"/>
      <name val="Yu Gothic"/>
      <family val="2"/>
      <charset val="128"/>
      <scheme val="minor"/>
    </font>
    <font>
      <sz val="11"/>
      <color theme="1"/>
      <name val="Yu Gothic"/>
      <family val="2"/>
      <charset val="128"/>
      <scheme val="minor"/>
    </font>
    <font>
      <sz val="11"/>
      <color theme="1"/>
      <name val="Yu Gothic"/>
      <family val="2"/>
      <charset val="128"/>
      <scheme val="minor"/>
    </font>
    <font>
      <sz val="11"/>
      <color theme="1"/>
      <name val="Yu Gothic"/>
      <family val="2"/>
      <scheme val="minor"/>
    </font>
    <font>
      <sz val="6"/>
      <name val="Yu Gothic"/>
      <family val="3"/>
      <charset val="128"/>
      <scheme val="minor"/>
    </font>
    <font>
      <b/>
      <sz val="11"/>
      <color theme="1"/>
      <name val="Yu Gothic"/>
      <family val="3"/>
      <charset val="128"/>
      <scheme val="minor"/>
    </font>
    <font>
      <b/>
      <sz val="12"/>
      <color theme="1"/>
      <name val="Yu Gothic"/>
      <family val="3"/>
      <charset val="128"/>
      <scheme val="minor"/>
    </font>
    <font>
      <b/>
      <sz val="10"/>
      <color theme="1"/>
      <name val="Yu Gothic"/>
      <family val="3"/>
      <charset val="128"/>
      <scheme val="minor"/>
    </font>
    <font>
      <sz val="6"/>
      <name val="Yu Gothic"/>
      <family val="2"/>
      <charset val="128"/>
      <scheme val="minor"/>
    </font>
    <font>
      <sz val="12"/>
      <color theme="1"/>
      <name val="Yu Gothic"/>
      <family val="3"/>
      <charset val="128"/>
      <scheme val="minor"/>
    </font>
    <font>
      <b/>
      <sz val="14"/>
      <color theme="1"/>
      <name val="Yu Gothic"/>
      <family val="3"/>
      <charset val="128"/>
      <scheme val="minor"/>
    </font>
    <font>
      <b/>
      <sz val="18"/>
      <color theme="1"/>
      <name val="Yu Gothic"/>
      <family val="3"/>
      <charset val="128"/>
      <scheme val="minor"/>
    </font>
    <font>
      <b/>
      <sz val="13"/>
      <color theme="1"/>
      <name val="Yu Gothic"/>
      <family val="3"/>
      <charset val="128"/>
      <scheme val="minor"/>
    </font>
    <font>
      <sz val="14"/>
      <color theme="1"/>
      <name val="Yu Gothic"/>
      <family val="3"/>
      <charset val="128"/>
      <scheme val="minor"/>
    </font>
    <font>
      <sz val="10"/>
      <color theme="1"/>
      <name val="Yu Gothic"/>
      <family val="3"/>
      <charset val="128"/>
      <scheme val="minor"/>
    </font>
    <font>
      <b/>
      <sz val="10"/>
      <name val="Yu Gothic"/>
      <family val="3"/>
      <charset val="128"/>
      <scheme val="minor"/>
    </font>
    <font>
      <sz val="11"/>
      <color theme="1"/>
      <name val="Yu Gothic"/>
      <family val="3"/>
      <charset val="128"/>
      <scheme val="minor"/>
    </font>
    <font>
      <b/>
      <sz val="11"/>
      <name val="Yu Gothic"/>
      <family val="3"/>
      <charset val="128"/>
      <scheme val="minor"/>
    </font>
    <font>
      <b/>
      <u/>
      <sz val="12"/>
      <color rgb="FFFF0000"/>
      <name val="Yu Gothic"/>
      <family val="3"/>
      <charset val="128"/>
      <scheme val="minor"/>
    </font>
    <font>
      <u/>
      <sz val="11"/>
      <color theme="10"/>
      <name val="Yu Gothic"/>
      <family val="2"/>
      <charset val="128"/>
      <scheme val="minor"/>
    </font>
    <font>
      <b/>
      <sz val="10"/>
      <color rgb="FFFF0000"/>
      <name val="Yu Gothic"/>
      <family val="3"/>
      <charset val="128"/>
      <scheme val="minor"/>
    </font>
    <font>
      <sz val="10"/>
      <color rgb="FFFF0000"/>
      <name val="Yu Gothic"/>
      <family val="3"/>
      <charset val="128"/>
      <scheme val="minor"/>
    </font>
    <font>
      <b/>
      <sz val="8"/>
      <color theme="1"/>
      <name val="Yu Gothic"/>
      <family val="3"/>
      <charset val="128"/>
      <scheme val="minor"/>
    </font>
    <font>
      <sz val="8"/>
      <color theme="1"/>
      <name val="Yu Gothic"/>
      <family val="3"/>
      <charset val="128"/>
      <scheme val="minor"/>
    </font>
    <font>
      <b/>
      <sz val="6"/>
      <color theme="1"/>
      <name val="Yu Gothic"/>
      <family val="3"/>
      <charset val="128"/>
      <scheme val="minor"/>
    </font>
    <font>
      <b/>
      <sz val="12"/>
      <name val="Yu Gothic"/>
      <family val="3"/>
      <charset val="128"/>
      <scheme val="minor"/>
    </font>
    <font>
      <b/>
      <sz val="9"/>
      <color indexed="81"/>
      <name val="MS P ゴシック"/>
      <family val="3"/>
      <charset val="128"/>
    </font>
    <font>
      <b/>
      <u/>
      <sz val="11"/>
      <color rgb="FFFF0000"/>
      <name val="Yu Gothic"/>
      <family val="3"/>
      <charset val="128"/>
      <scheme val="minor"/>
    </font>
    <font>
      <b/>
      <sz val="10"/>
      <color rgb="FFFFFF00"/>
      <name val="Yu Gothic"/>
      <family val="3"/>
      <charset val="128"/>
      <scheme val="minor"/>
    </font>
    <font>
      <b/>
      <sz val="22"/>
      <color theme="1"/>
      <name val="Yu Gothic"/>
      <family val="3"/>
      <charset val="128"/>
      <scheme val="minor"/>
    </font>
    <font>
      <sz val="22"/>
      <color theme="1"/>
      <name val="Yu Gothic"/>
      <family val="3"/>
      <charset val="128"/>
      <scheme val="minor"/>
    </font>
    <font>
      <b/>
      <sz val="36"/>
      <color theme="1"/>
      <name val="Yu Gothic"/>
      <family val="3"/>
      <charset val="128"/>
      <scheme val="minor"/>
    </font>
    <font>
      <sz val="36"/>
      <color theme="1"/>
      <name val="Yu Gothic"/>
      <family val="3"/>
      <charset val="128"/>
      <scheme val="minor"/>
    </font>
    <font>
      <b/>
      <sz val="12"/>
      <color rgb="FFFF0000"/>
      <name val="Yu Gothic"/>
      <family val="3"/>
      <charset val="128"/>
      <scheme val="minor"/>
    </font>
    <font>
      <b/>
      <sz val="16"/>
      <color theme="1"/>
      <name val="Yu Gothic"/>
      <family val="3"/>
      <charset val="128"/>
      <scheme val="minor"/>
    </font>
    <font>
      <b/>
      <u/>
      <sz val="11"/>
      <color theme="10"/>
      <name val="Yu Gothic"/>
      <family val="3"/>
      <charset val="128"/>
      <scheme val="minor"/>
    </font>
    <font>
      <b/>
      <sz val="14"/>
      <name val="Yu Gothic"/>
      <family val="3"/>
      <charset val="128"/>
      <scheme val="minor"/>
    </font>
    <font>
      <sz val="6"/>
      <name val="ＭＳ Ｐゴシック"/>
      <family val="3"/>
      <charset val="128"/>
    </font>
    <font>
      <b/>
      <sz val="14"/>
      <color rgb="FFFF0000"/>
      <name val="Yu Gothic"/>
      <family val="3"/>
      <charset val="128"/>
      <scheme val="minor"/>
    </font>
    <font>
      <b/>
      <sz val="11"/>
      <color rgb="FFFF0000"/>
      <name val="Yu Gothic"/>
      <family val="3"/>
      <charset val="128"/>
      <scheme val="minor"/>
    </font>
    <font>
      <sz val="11"/>
      <name val="ＭＳ Ｐゴシック"/>
      <family val="3"/>
      <charset val="128"/>
    </font>
    <font>
      <b/>
      <sz val="18"/>
      <color theme="1"/>
      <name val="ＭＳ ゴシック"/>
      <family val="3"/>
      <charset val="128"/>
    </font>
    <font>
      <b/>
      <sz val="11"/>
      <color theme="1"/>
      <name val="Yu Gothic"/>
      <family val="2"/>
      <scheme val="minor"/>
    </font>
    <font>
      <b/>
      <u/>
      <sz val="14"/>
      <color rgb="FFFF0000"/>
      <name val="Yu Gothic"/>
      <family val="3"/>
      <charset val="128"/>
      <scheme val="minor"/>
    </font>
    <font>
      <sz val="14"/>
      <color rgb="FFFF0000"/>
      <name val="Yu Gothic"/>
      <family val="3"/>
      <charset val="128"/>
      <scheme val="minor"/>
    </font>
    <font>
      <sz val="11"/>
      <color rgb="FFFF0000"/>
      <name val="Yu Gothic"/>
      <family val="3"/>
      <charset val="128"/>
      <scheme val="minor"/>
    </font>
    <font>
      <b/>
      <sz val="11"/>
      <color theme="0"/>
      <name val="Yu Gothic"/>
      <family val="2"/>
      <scheme val="minor"/>
    </font>
    <font>
      <b/>
      <sz val="11"/>
      <color theme="0"/>
      <name val="Yu Gothic"/>
      <family val="3"/>
      <charset val="128"/>
      <scheme val="minor"/>
    </font>
    <font>
      <b/>
      <sz val="14"/>
      <color theme="1"/>
      <name val="Yu Gothic"/>
      <family val="2"/>
      <scheme val="minor"/>
    </font>
    <font>
      <b/>
      <sz val="16"/>
      <color theme="1"/>
      <name val="Yu Gothic"/>
      <family val="2"/>
      <scheme val="minor"/>
    </font>
    <font>
      <b/>
      <sz val="16"/>
      <color rgb="FFFF0000"/>
      <name val="Yu Gothic"/>
      <family val="3"/>
      <charset val="128"/>
      <scheme val="minor"/>
    </font>
    <font>
      <sz val="16"/>
      <color rgb="FFFF0000"/>
      <name val="Yu Gothic"/>
      <family val="3"/>
      <charset val="128"/>
      <scheme val="minor"/>
    </font>
    <font>
      <b/>
      <sz val="12"/>
      <color theme="1"/>
      <name val="Yu Gothic"/>
      <family val="2"/>
      <scheme val="minor"/>
    </font>
    <font>
      <sz val="12"/>
      <color theme="1"/>
      <name val="Yu Gothic"/>
      <family val="2"/>
      <scheme val="minor"/>
    </font>
    <font>
      <sz val="14"/>
      <color theme="1"/>
      <name val="Yu Gothic"/>
      <family val="2"/>
      <scheme val="minor"/>
    </font>
    <font>
      <sz val="6"/>
      <color theme="1"/>
      <name val="Yu Gothic"/>
      <family val="3"/>
      <charset val="128"/>
      <scheme val="minor"/>
    </font>
    <font>
      <sz val="18"/>
      <color theme="1"/>
      <name val="Yu Gothic"/>
      <family val="3"/>
      <charset val="128"/>
      <scheme val="minor"/>
    </font>
    <font>
      <b/>
      <sz val="11"/>
      <color theme="1"/>
      <name val="游ゴシック"/>
      <family val="3"/>
      <charset val="128"/>
    </font>
    <font>
      <b/>
      <sz val="12"/>
      <color rgb="FFFFFF00"/>
      <name val="Yu Gothic"/>
      <family val="3"/>
      <charset val="128"/>
      <scheme val="minor"/>
    </font>
    <font>
      <b/>
      <sz val="12"/>
      <color rgb="FF444444"/>
      <name val="Yu Gothic"/>
      <family val="3"/>
      <charset val="128"/>
      <scheme val="minor"/>
    </font>
    <font>
      <sz val="16"/>
      <color theme="1"/>
      <name val="Yu Gothic"/>
      <family val="3"/>
      <charset val="128"/>
      <scheme val="minor"/>
    </font>
    <font>
      <b/>
      <sz val="10.5"/>
      <name val="Yu Gothic"/>
      <family val="3"/>
      <charset val="128"/>
      <scheme val="minor"/>
    </font>
    <font>
      <b/>
      <sz val="9"/>
      <color theme="1"/>
      <name val="Yu Gothic"/>
      <family val="3"/>
      <charset val="128"/>
      <scheme val="minor"/>
    </font>
    <font>
      <b/>
      <u/>
      <sz val="11"/>
      <color theme="1"/>
      <name val="Yu Gothic"/>
      <family val="3"/>
      <charset val="128"/>
      <scheme val="minor"/>
    </font>
    <font>
      <b/>
      <sz val="11"/>
      <color rgb="FFFF0000"/>
      <name val="Yu Gothic"/>
      <family val="2"/>
      <scheme val="minor"/>
    </font>
    <font>
      <b/>
      <u/>
      <sz val="10"/>
      <color theme="1"/>
      <name val="Yu Gothic"/>
      <family val="3"/>
      <charset val="128"/>
      <scheme val="minor"/>
    </font>
    <font>
      <u/>
      <sz val="11"/>
      <color theme="1"/>
      <name val="Yu Gothic"/>
      <family val="3"/>
      <charset val="128"/>
      <scheme val="minor"/>
    </font>
    <font>
      <b/>
      <sz val="6"/>
      <name val="Yu Gothic"/>
      <family val="3"/>
      <charset val="128"/>
      <scheme val="minor"/>
    </font>
    <font>
      <b/>
      <sz val="6"/>
      <color rgb="FFFF0000"/>
      <name val="Yu Gothic"/>
      <family val="3"/>
      <charset val="128"/>
      <scheme val="minor"/>
    </font>
    <font>
      <b/>
      <sz val="6"/>
      <color theme="5" tint="0.79998168889431442"/>
      <name val="Yu Gothic"/>
      <family val="3"/>
      <charset val="128"/>
      <scheme val="minor"/>
    </font>
  </fonts>
  <fills count="12">
    <fill>
      <patternFill patternType="none"/>
    </fill>
    <fill>
      <patternFill patternType="gray125"/>
    </fill>
    <fill>
      <patternFill patternType="solid">
        <fgColor theme="7" tint="0.79998168889431442"/>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theme="6"/>
        <bgColor indexed="64"/>
      </patternFill>
    </fill>
    <fill>
      <patternFill patternType="solid">
        <fgColor rgb="FFFFFF00"/>
        <bgColor indexed="64"/>
      </patternFill>
    </fill>
    <fill>
      <patternFill patternType="solid">
        <fgColor theme="5" tint="0.79998168889431442"/>
        <bgColor indexed="64"/>
      </patternFill>
    </fill>
    <fill>
      <patternFill patternType="solid">
        <fgColor rgb="FFFFC000"/>
        <bgColor indexed="64"/>
      </patternFill>
    </fill>
    <fill>
      <patternFill patternType="solid">
        <fgColor theme="8" tint="0.79998168889431442"/>
        <bgColor indexed="64"/>
      </patternFill>
    </fill>
  </fills>
  <borders count="201">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bottom style="thin">
        <color auto="1"/>
      </bottom>
      <diagonal/>
    </border>
    <border>
      <left style="thin">
        <color auto="1"/>
      </left>
      <right style="thin">
        <color auto="1"/>
      </right>
      <top style="double">
        <color auto="1"/>
      </top>
      <bottom style="thin">
        <color auto="1"/>
      </bottom>
      <diagonal/>
    </border>
    <border>
      <left style="thin">
        <color auto="1"/>
      </left>
      <right style="thin">
        <color auto="1"/>
      </right>
      <top style="double">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diagonal/>
    </border>
    <border>
      <left/>
      <right style="thin">
        <color indexed="64"/>
      </right>
      <top/>
      <bottom/>
      <diagonal/>
    </border>
    <border>
      <left style="thin">
        <color indexed="64"/>
      </left>
      <right style="hair">
        <color auto="1"/>
      </right>
      <top style="thin">
        <color indexed="64"/>
      </top>
      <bottom style="thin">
        <color indexed="64"/>
      </bottom>
      <diagonal/>
    </border>
    <border>
      <left style="hair">
        <color auto="1"/>
      </left>
      <right style="hair">
        <color auto="1"/>
      </right>
      <top style="thin">
        <color indexed="64"/>
      </top>
      <bottom style="thin">
        <color indexed="64"/>
      </bottom>
      <diagonal/>
    </border>
    <border>
      <left style="hair">
        <color auto="1"/>
      </left>
      <right style="thin">
        <color indexed="64"/>
      </right>
      <top style="thin">
        <color indexed="64"/>
      </top>
      <bottom style="thin">
        <color indexed="64"/>
      </bottom>
      <diagonal/>
    </border>
    <border>
      <left style="thin">
        <color indexed="64"/>
      </left>
      <right style="thin">
        <color indexed="64"/>
      </right>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thin">
        <color indexed="64"/>
      </right>
      <top style="medium">
        <color indexed="64"/>
      </top>
      <bottom style="hair">
        <color indexed="64"/>
      </bottom>
      <diagonal/>
    </border>
    <border>
      <left style="hair">
        <color indexed="64"/>
      </left>
      <right style="hair">
        <color indexed="64"/>
      </right>
      <top style="medium">
        <color indexed="64"/>
      </top>
      <bottom/>
      <diagonal/>
    </border>
    <border>
      <left style="thin">
        <color indexed="64"/>
      </left>
      <right style="thin">
        <color indexed="64"/>
      </right>
      <top style="thin">
        <color indexed="64"/>
      </top>
      <bottom style="hair">
        <color indexed="64"/>
      </bottom>
      <diagonal/>
    </border>
    <border>
      <left style="medium">
        <color indexed="64"/>
      </left>
      <right style="thin">
        <color indexed="64"/>
      </right>
      <top/>
      <bottom/>
      <diagonal/>
    </border>
    <border>
      <left style="thin">
        <color indexed="64"/>
      </left>
      <right style="hair">
        <color auto="1"/>
      </right>
      <top style="thin">
        <color indexed="64"/>
      </top>
      <bottom/>
      <diagonal/>
    </border>
    <border>
      <left style="hair">
        <color auto="1"/>
      </left>
      <right style="hair">
        <color auto="1"/>
      </right>
      <top style="thin">
        <color indexed="64"/>
      </top>
      <bottom/>
      <diagonal/>
    </border>
    <border>
      <left style="hair">
        <color indexed="64"/>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top style="thin">
        <color indexed="64"/>
      </top>
      <bottom/>
      <diagonal/>
    </border>
    <border>
      <left style="medium">
        <color auto="1"/>
      </left>
      <right/>
      <top/>
      <bottom/>
      <diagonal/>
    </border>
    <border>
      <left style="thin">
        <color indexed="64"/>
      </left>
      <right/>
      <top/>
      <bottom style="double">
        <color indexed="64"/>
      </bottom>
      <diagonal/>
    </border>
    <border>
      <left style="medium">
        <color indexed="64"/>
      </left>
      <right/>
      <top style="double">
        <color indexed="64"/>
      </top>
      <bottom style="medium">
        <color indexed="64"/>
      </bottom>
      <diagonal/>
    </border>
    <border>
      <left/>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right style="thin">
        <color indexed="64"/>
      </right>
      <top style="double">
        <color indexed="64"/>
      </top>
      <bottom style="medium">
        <color indexed="64"/>
      </bottom>
      <diagonal/>
    </border>
    <border>
      <left style="thin">
        <color indexed="64"/>
      </left>
      <right/>
      <top style="double">
        <color indexed="64"/>
      </top>
      <bottom style="medium">
        <color indexed="64"/>
      </bottom>
      <diagonal/>
    </border>
    <border>
      <left/>
      <right style="medium">
        <color indexed="64"/>
      </right>
      <top style="double">
        <color indexed="64"/>
      </top>
      <bottom style="medium">
        <color indexed="64"/>
      </bottom>
      <diagonal/>
    </border>
    <border>
      <left style="thin">
        <color indexed="64"/>
      </left>
      <right style="thin">
        <color indexed="64"/>
      </right>
      <top style="thin">
        <color indexed="64"/>
      </top>
      <bottom style="double">
        <color indexed="64"/>
      </bottom>
      <diagonal/>
    </border>
    <border>
      <left style="thin">
        <color indexed="64"/>
      </left>
      <right style="hair">
        <color indexed="64"/>
      </right>
      <top style="thin">
        <color indexed="64"/>
      </top>
      <bottom style="double">
        <color indexed="64"/>
      </bottom>
      <diagonal/>
    </border>
    <border>
      <left style="hair">
        <color indexed="64"/>
      </left>
      <right style="hair">
        <color indexed="64"/>
      </right>
      <top style="thin">
        <color indexed="64"/>
      </top>
      <bottom style="double">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medium">
        <color indexed="64"/>
      </left>
      <right style="thin">
        <color indexed="64"/>
      </right>
      <top style="thin">
        <color indexed="64"/>
      </top>
      <bottom/>
      <diagonal/>
    </border>
    <border>
      <left style="medium">
        <color indexed="64"/>
      </left>
      <right style="thin">
        <color indexed="64"/>
      </right>
      <top style="double">
        <color indexed="64"/>
      </top>
      <bottom/>
      <diagonal/>
    </border>
    <border>
      <left style="thin">
        <color indexed="64"/>
      </left>
      <right style="medium">
        <color indexed="64"/>
      </right>
      <top style="double">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hair">
        <color auto="1"/>
      </left>
      <right/>
      <top style="hair">
        <color auto="1"/>
      </top>
      <bottom/>
      <diagonal/>
    </border>
    <border>
      <left/>
      <right/>
      <top style="hair">
        <color auto="1"/>
      </top>
      <bottom/>
      <diagonal/>
    </border>
    <border>
      <left/>
      <right style="hair">
        <color auto="1"/>
      </right>
      <top style="hair">
        <color auto="1"/>
      </top>
      <bottom/>
      <diagonal/>
    </border>
    <border>
      <left style="hair">
        <color auto="1"/>
      </left>
      <right/>
      <top/>
      <bottom/>
      <diagonal/>
    </border>
    <border>
      <left/>
      <right style="hair">
        <color auto="1"/>
      </right>
      <top/>
      <bottom/>
      <diagonal/>
    </border>
    <border>
      <left style="hair">
        <color auto="1"/>
      </left>
      <right/>
      <top/>
      <bottom style="hair">
        <color auto="1"/>
      </bottom>
      <diagonal/>
    </border>
    <border>
      <left/>
      <right/>
      <top/>
      <bottom style="hair">
        <color auto="1"/>
      </bottom>
      <diagonal/>
    </border>
    <border>
      <left/>
      <right style="hair">
        <color auto="1"/>
      </right>
      <top/>
      <bottom style="hair">
        <color auto="1"/>
      </bottom>
      <diagonal/>
    </border>
    <border>
      <left style="hair">
        <color auto="1"/>
      </left>
      <right style="thin">
        <color indexed="64"/>
      </right>
      <top style="thin">
        <color indexed="64"/>
      </top>
      <bottom/>
      <diagonal/>
    </border>
    <border>
      <left style="medium">
        <color indexed="64"/>
      </left>
      <right/>
      <top style="medium">
        <color indexed="64"/>
      </top>
      <bottom/>
      <diagonal/>
    </border>
    <border>
      <left/>
      <right/>
      <top style="medium">
        <color auto="1"/>
      </top>
      <bottom/>
      <diagonal/>
    </border>
    <border>
      <left/>
      <right style="medium">
        <color indexed="64"/>
      </right>
      <top style="medium">
        <color indexed="64"/>
      </top>
      <bottom/>
      <diagonal/>
    </border>
    <border>
      <left/>
      <right style="medium">
        <color auto="1"/>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double">
        <color indexed="64"/>
      </left>
      <right style="thin">
        <color indexed="64"/>
      </right>
      <top style="thin">
        <color indexed="64"/>
      </top>
      <bottom style="double">
        <color indexed="64"/>
      </bottom>
      <diagonal/>
    </border>
    <border>
      <left style="thin">
        <color indexed="64"/>
      </left>
      <right/>
      <top style="double">
        <color indexed="64"/>
      </top>
      <bottom/>
      <diagonal/>
    </border>
    <border>
      <left/>
      <right style="thin">
        <color indexed="64"/>
      </right>
      <top style="double">
        <color indexed="64"/>
      </top>
      <bottom/>
      <diagonal/>
    </border>
    <border>
      <left/>
      <right/>
      <top style="double">
        <color indexed="64"/>
      </top>
      <bottom/>
      <diagonal/>
    </border>
    <border>
      <left style="double">
        <color rgb="FFFF0000"/>
      </left>
      <right/>
      <top style="double">
        <color rgb="FFFF0000"/>
      </top>
      <bottom/>
      <diagonal/>
    </border>
    <border>
      <left/>
      <right/>
      <top style="double">
        <color rgb="FFFF0000"/>
      </top>
      <bottom/>
      <diagonal/>
    </border>
    <border>
      <left/>
      <right style="double">
        <color rgb="FFFF0000"/>
      </right>
      <top style="double">
        <color rgb="FFFF0000"/>
      </top>
      <bottom/>
      <diagonal/>
    </border>
    <border>
      <left style="double">
        <color rgb="FFFF0000"/>
      </left>
      <right/>
      <top/>
      <bottom style="double">
        <color rgb="FFFF0000"/>
      </bottom>
      <diagonal/>
    </border>
    <border>
      <left/>
      <right/>
      <top/>
      <bottom style="double">
        <color rgb="FFFF0000"/>
      </bottom>
      <diagonal/>
    </border>
    <border>
      <left/>
      <right style="double">
        <color rgb="FFFF0000"/>
      </right>
      <top/>
      <bottom style="double">
        <color rgb="FFFF0000"/>
      </bottom>
      <diagonal/>
    </border>
    <border>
      <left style="double">
        <color rgb="FFFF0000"/>
      </left>
      <right style="double">
        <color rgb="FFFF0000"/>
      </right>
      <top style="double">
        <color rgb="FFFF0000"/>
      </top>
      <bottom style="thin">
        <color rgb="FFFF0000"/>
      </bottom>
      <diagonal/>
    </border>
    <border>
      <left style="double">
        <color indexed="64"/>
      </left>
      <right/>
      <top style="thin">
        <color indexed="64"/>
      </top>
      <bottom style="thin">
        <color indexed="64"/>
      </bottom>
      <diagonal/>
    </border>
    <border>
      <left style="double">
        <color rgb="FFFF0000"/>
      </left>
      <right style="double">
        <color rgb="FFFF0000"/>
      </right>
      <top style="thin">
        <color rgb="FFFF0000"/>
      </top>
      <bottom style="thin">
        <color rgb="FFFF0000"/>
      </bottom>
      <diagonal/>
    </border>
    <border>
      <left style="double">
        <color rgb="FFFF0000"/>
      </left>
      <right style="double">
        <color rgb="FFFF0000"/>
      </right>
      <top style="thin">
        <color rgb="FFFF0000"/>
      </top>
      <bottom style="double">
        <color rgb="FFFF0000"/>
      </bottom>
      <diagonal/>
    </border>
    <border>
      <left style="double">
        <color indexed="64"/>
      </left>
      <right/>
      <top style="medium">
        <color indexed="64"/>
      </top>
      <bottom style="medium">
        <color auto="1"/>
      </bottom>
      <diagonal/>
    </border>
    <border>
      <left style="double">
        <color rgb="FFFF0000"/>
      </left>
      <right/>
      <top style="double">
        <color rgb="FFFF0000"/>
      </top>
      <bottom style="thin">
        <color rgb="FFFF0000"/>
      </bottom>
      <diagonal/>
    </border>
    <border>
      <left/>
      <right style="double">
        <color rgb="FFFF0000"/>
      </right>
      <top style="double">
        <color rgb="FFFF0000"/>
      </top>
      <bottom style="thin">
        <color rgb="FFFF0000"/>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double">
        <color indexed="64"/>
      </left>
      <right/>
      <top style="medium">
        <color indexed="64"/>
      </top>
      <bottom/>
      <diagonal/>
    </border>
    <border>
      <left style="double">
        <color rgb="FFFF0000"/>
      </left>
      <right/>
      <top style="thin">
        <color rgb="FFFF0000"/>
      </top>
      <bottom/>
      <diagonal/>
    </border>
    <border>
      <left/>
      <right style="double">
        <color rgb="FFFF0000"/>
      </right>
      <top style="thin">
        <color rgb="FFFF0000"/>
      </top>
      <bottom/>
      <diagonal/>
    </border>
    <border>
      <left style="medium">
        <color indexed="64"/>
      </left>
      <right style="thin">
        <color indexed="64"/>
      </right>
      <top style="thin">
        <color indexed="64"/>
      </top>
      <bottom style="thin">
        <color indexed="64"/>
      </bottom>
      <diagonal/>
    </border>
    <border>
      <left style="double">
        <color indexed="64"/>
      </left>
      <right/>
      <top/>
      <bottom/>
      <diagonal/>
    </border>
    <border>
      <left style="double">
        <color rgb="FFFF0000"/>
      </left>
      <right/>
      <top/>
      <bottom/>
      <diagonal/>
    </border>
    <border>
      <left/>
      <right style="double">
        <color rgb="FFFF0000"/>
      </right>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double">
        <color indexed="64"/>
      </left>
      <right/>
      <top/>
      <bottom style="medium">
        <color indexed="64"/>
      </bottom>
      <diagonal/>
    </border>
    <border>
      <left style="double">
        <color rgb="FFFF0000"/>
      </left>
      <right/>
      <top style="medium">
        <color rgb="FFFF0000"/>
      </top>
      <bottom/>
      <diagonal/>
    </border>
    <border>
      <left/>
      <right style="double">
        <color rgb="FFFF0000"/>
      </right>
      <top style="medium">
        <color rgb="FFFF0000"/>
      </top>
      <bottom/>
      <diagonal/>
    </border>
    <border>
      <left/>
      <right style="medium">
        <color indexed="64"/>
      </right>
      <top style="thin">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right/>
      <top/>
      <bottom style="double">
        <color indexed="64"/>
      </bottom>
      <diagonal/>
    </border>
    <border>
      <left/>
      <right style="medium">
        <color indexed="64"/>
      </right>
      <top/>
      <bottom style="double">
        <color indexed="64"/>
      </bottom>
      <diagonal/>
    </border>
    <border>
      <left style="medium">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double">
        <color indexed="64"/>
      </left>
      <right/>
      <top style="thin">
        <color indexed="64"/>
      </top>
      <bottom style="double">
        <color indexed="64"/>
      </bottom>
      <diagonal/>
    </border>
    <border>
      <left style="double">
        <color rgb="FFFF0000"/>
      </left>
      <right style="double">
        <color rgb="FFFF0000"/>
      </right>
      <top style="thin">
        <color rgb="FFFF0000"/>
      </top>
      <bottom/>
      <diagonal/>
    </border>
    <border>
      <left style="medium">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double">
        <color indexed="64"/>
      </left>
      <right/>
      <top style="double">
        <color indexed="64"/>
      </top>
      <bottom style="thin">
        <color indexed="64"/>
      </bottom>
      <diagonal/>
    </border>
    <border>
      <left style="double">
        <color rgb="FFFF0000"/>
      </left>
      <right style="double">
        <color rgb="FFFF0000"/>
      </right>
      <top style="double">
        <color rgb="FFFF0000"/>
      </top>
      <bottom/>
      <diagonal/>
    </border>
    <border>
      <left style="double">
        <color indexed="64"/>
      </left>
      <right/>
      <top style="thin">
        <color indexed="64"/>
      </top>
      <bottom/>
      <diagonal/>
    </border>
    <border>
      <left style="double">
        <color rgb="FFFF0000"/>
      </left>
      <right style="double">
        <color rgb="FFFF0000"/>
      </right>
      <top/>
      <bottom/>
      <diagonal/>
    </border>
    <border>
      <left style="thin">
        <color indexed="64"/>
      </left>
      <right style="double">
        <color indexed="64"/>
      </right>
      <top style="thin">
        <color indexed="64"/>
      </top>
      <bottom style="double">
        <color indexed="64"/>
      </bottom>
      <diagonal/>
    </border>
    <border>
      <left/>
      <right style="double">
        <color rgb="FFFF0000"/>
      </right>
      <top style="thin">
        <color indexed="64"/>
      </top>
      <bottom style="double">
        <color indexed="64"/>
      </bottom>
      <diagonal/>
    </border>
    <border>
      <left style="double">
        <color rgb="FFFF0000"/>
      </left>
      <right style="double">
        <color rgb="FFFF0000"/>
      </right>
      <top/>
      <bottom style="double">
        <color rgb="FFFF0000"/>
      </bottom>
      <diagonal/>
    </border>
    <border>
      <left/>
      <right style="medium">
        <color indexed="64"/>
      </right>
      <top style="thin">
        <color indexed="64"/>
      </top>
      <bottom style="double">
        <color indexed="64"/>
      </bottom>
      <diagonal/>
    </border>
    <border>
      <left style="thin">
        <color indexed="64"/>
      </left>
      <right style="medium">
        <color indexed="64"/>
      </right>
      <top style="thin">
        <color indexed="64"/>
      </top>
      <bottom style="medium">
        <color indexed="64"/>
      </bottom>
      <diagonal/>
    </border>
    <border>
      <left style="double">
        <color indexed="64"/>
      </left>
      <right/>
      <top style="thin">
        <color indexed="64"/>
      </top>
      <bottom style="medium">
        <color indexed="64"/>
      </bottom>
      <diagonal/>
    </border>
    <border>
      <left style="double">
        <color indexed="64"/>
      </left>
      <right/>
      <top style="double">
        <color indexed="64"/>
      </top>
      <bottom/>
      <diagonal/>
    </border>
    <border>
      <left/>
      <right style="double">
        <color auto="1"/>
      </right>
      <top style="double">
        <color auto="1"/>
      </top>
      <bottom/>
      <diagonal/>
    </border>
    <border>
      <left style="double">
        <color rgb="FFFF0000"/>
      </left>
      <right/>
      <top style="thin">
        <color rgb="FFFF0000"/>
      </top>
      <bottom style="thin">
        <color rgb="FFFF0000"/>
      </bottom>
      <diagonal/>
    </border>
    <border>
      <left/>
      <right style="double">
        <color rgb="FFFF0000"/>
      </right>
      <top style="thin">
        <color rgb="FFFF0000"/>
      </top>
      <bottom style="thin">
        <color rgb="FFFF0000"/>
      </bottom>
      <diagonal/>
    </border>
    <border>
      <left/>
      <right style="double">
        <color auto="1"/>
      </right>
      <top/>
      <bottom/>
      <diagonal/>
    </border>
    <border>
      <left style="double">
        <color rgb="FFFF0000"/>
      </left>
      <right/>
      <top style="thin">
        <color rgb="FFFF0000"/>
      </top>
      <bottom style="double">
        <color rgb="FFFF0000"/>
      </bottom>
      <diagonal/>
    </border>
    <border>
      <left/>
      <right style="double">
        <color rgb="FFFF0000"/>
      </right>
      <top style="thin">
        <color rgb="FFFF0000"/>
      </top>
      <bottom style="double">
        <color rgb="FFFF0000"/>
      </bottom>
      <diagonal/>
    </border>
    <border>
      <left style="double">
        <color indexed="64"/>
      </left>
      <right/>
      <top/>
      <bottom style="double">
        <color indexed="64"/>
      </bottom>
      <diagonal/>
    </border>
    <border>
      <left/>
      <right style="double">
        <color auto="1"/>
      </right>
      <top/>
      <bottom style="double">
        <color auto="1"/>
      </bottom>
      <diagonal/>
    </border>
    <border>
      <left/>
      <right style="thin">
        <color indexed="64"/>
      </right>
      <top style="medium">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double">
        <color indexed="64"/>
      </right>
      <top style="medium">
        <color indexed="64"/>
      </top>
      <bottom style="medium">
        <color indexed="64"/>
      </bottom>
      <diagonal/>
    </border>
    <border>
      <left/>
      <right style="medium">
        <color indexed="64"/>
      </right>
      <top style="medium">
        <color indexed="64"/>
      </top>
      <bottom style="thin">
        <color indexed="64"/>
      </bottom>
      <diagonal/>
    </border>
    <border>
      <left style="medium">
        <color indexed="64"/>
      </left>
      <right/>
      <top style="double">
        <color indexed="64"/>
      </top>
      <bottom style="thin">
        <color indexed="64"/>
      </bottom>
      <diagonal/>
    </border>
    <border>
      <left/>
      <right style="medium">
        <color indexed="64"/>
      </right>
      <top style="double">
        <color indexed="64"/>
      </top>
      <bottom style="thin">
        <color indexed="64"/>
      </bottom>
      <diagonal/>
    </border>
    <border>
      <left/>
      <right style="medium">
        <color indexed="64"/>
      </right>
      <top style="thin">
        <color indexed="64"/>
      </top>
      <bottom style="thin">
        <color indexed="64"/>
      </bottom>
      <diagonal/>
    </border>
    <border>
      <left style="dashed">
        <color auto="1"/>
      </left>
      <right/>
      <top style="dashed">
        <color auto="1"/>
      </top>
      <bottom/>
      <diagonal/>
    </border>
    <border>
      <left/>
      <right/>
      <top style="dashed">
        <color auto="1"/>
      </top>
      <bottom/>
      <diagonal/>
    </border>
    <border>
      <left/>
      <right style="dashed">
        <color auto="1"/>
      </right>
      <top style="dashed">
        <color auto="1"/>
      </top>
      <bottom/>
      <diagonal/>
    </border>
    <border>
      <left style="dashed">
        <color auto="1"/>
      </left>
      <right/>
      <top/>
      <bottom/>
      <diagonal/>
    </border>
    <border>
      <left/>
      <right style="dashed">
        <color auto="1"/>
      </right>
      <top/>
      <bottom/>
      <diagonal/>
    </border>
    <border>
      <left style="dashed">
        <color auto="1"/>
      </left>
      <right/>
      <top/>
      <bottom style="dashed">
        <color auto="1"/>
      </bottom>
      <diagonal/>
    </border>
    <border>
      <left/>
      <right/>
      <top/>
      <bottom style="dashed">
        <color auto="1"/>
      </bottom>
      <diagonal/>
    </border>
    <border>
      <left/>
      <right style="dashed">
        <color auto="1"/>
      </right>
      <top/>
      <bottom style="dashed">
        <color auto="1"/>
      </bottom>
      <diagonal/>
    </border>
    <border>
      <left style="thin">
        <color indexed="64"/>
      </left>
      <right style="medium">
        <color indexed="64"/>
      </right>
      <top style="medium">
        <color indexed="64"/>
      </top>
      <bottom style="double">
        <color indexed="64"/>
      </bottom>
      <diagonal/>
    </border>
    <border>
      <left style="thin">
        <color auto="1"/>
      </left>
      <right/>
      <top style="double">
        <color auto="1"/>
      </top>
      <bottom style="double">
        <color auto="1"/>
      </bottom>
      <diagonal/>
    </border>
    <border>
      <left/>
      <right/>
      <top style="double">
        <color auto="1"/>
      </top>
      <bottom style="double">
        <color auto="1"/>
      </bottom>
      <diagonal/>
    </border>
    <border>
      <left/>
      <right style="medium">
        <color indexed="64"/>
      </right>
      <top style="double">
        <color auto="1"/>
      </top>
      <bottom style="double">
        <color auto="1"/>
      </bottom>
      <diagonal/>
    </border>
    <border>
      <left/>
      <right style="double">
        <color rgb="FFFF0000"/>
      </right>
      <top/>
      <bottom style="thin">
        <color auto="1"/>
      </bottom>
      <diagonal/>
    </border>
    <border>
      <left style="thin">
        <color auto="1"/>
      </left>
      <right style="double">
        <color rgb="FFFF0000"/>
      </right>
      <top style="thin">
        <color auto="1"/>
      </top>
      <bottom style="thin">
        <color auto="1"/>
      </bottom>
      <diagonal/>
    </border>
    <border>
      <left style="thin">
        <color auto="1"/>
      </left>
      <right/>
      <top style="double">
        <color rgb="FFFF0000"/>
      </top>
      <bottom/>
      <diagonal/>
    </border>
    <border>
      <left/>
      <right/>
      <top style="double">
        <color rgb="FFFF0000"/>
      </top>
      <bottom style="thin">
        <color rgb="FFFF0000"/>
      </bottom>
      <diagonal/>
    </border>
    <border>
      <left/>
      <right/>
      <top style="thin">
        <color rgb="FFFF0000"/>
      </top>
      <bottom style="thin">
        <color rgb="FFFF0000"/>
      </bottom>
      <diagonal/>
    </border>
    <border>
      <left/>
      <right/>
      <top style="thin">
        <color rgb="FFFF0000"/>
      </top>
      <bottom style="double">
        <color rgb="FFFF0000"/>
      </bottom>
      <diagonal/>
    </border>
    <border>
      <left/>
      <right style="double">
        <color rgb="FFFF0000"/>
      </right>
      <top style="thin">
        <color auto="1"/>
      </top>
      <bottom/>
      <diagonal/>
    </border>
    <border>
      <left/>
      <right style="thin">
        <color indexed="64"/>
      </right>
      <top style="double">
        <color indexed="64"/>
      </top>
      <bottom style="double">
        <color indexed="64"/>
      </bottom>
      <diagonal/>
    </border>
    <border>
      <left style="hair">
        <color auto="1"/>
      </left>
      <right style="hair">
        <color auto="1"/>
      </right>
      <top/>
      <bottom style="thin">
        <color auto="1"/>
      </bottom>
      <diagonal/>
    </border>
    <border>
      <left style="thin">
        <color indexed="64"/>
      </left>
      <right style="hair">
        <color indexed="64"/>
      </right>
      <top style="medium">
        <color indexed="64"/>
      </top>
      <bottom style="medium">
        <color indexed="64"/>
      </bottom>
      <diagonal/>
    </border>
    <border>
      <left style="hair">
        <color indexed="64"/>
      </left>
      <right style="hair">
        <color indexed="64"/>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
      <left style="thin">
        <color indexed="64"/>
      </left>
      <right style="hair">
        <color auto="1"/>
      </right>
      <top/>
      <bottom style="thin">
        <color indexed="64"/>
      </bottom>
      <diagonal/>
    </border>
    <border>
      <left style="medium">
        <color indexed="64"/>
      </left>
      <right style="thin">
        <color indexed="64"/>
      </right>
      <top style="double">
        <color indexed="64"/>
      </top>
      <bottom style="medium">
        <color indexed="64"/>
      </bottom>
      <diagonal/>
    </border>
    <border>
      <left style="thin">
        <color indexed="64"/>
      </left>
      <right style="hair">
        <color indexed="64"/>
      </right>
      <top style="medium">
        <color indexed="64"/>
      </top>
      <bottom style="thin">
        <color indexed="64"/>
      </bottom>
      <diagonal/>
    </border>
    <border>
      <left style="hair">
        <color indexed="64"/>
      </left>
      <right style="hair">
        <color indexed="64"/>
      </right>
      <top style="medium">
        <color indexed="64"/>
      </top>
      <bottom style="thin">
        <color indexed="64"/>
      </bottom>
      <diagonal/>
    </border>
    <border>
      <left style="hair">
        <color indexed="64"/>
      </left>
      <right style="medium">
        <color indexed="64"/>
      </right>
      <top style="medium">
        <color indexed="64"/>
      </top>
      <bottom style="thin">
        <color indexed="64"/>
      </bottom>
      <diagonal/>
    </border>
    <border>
      <left/>
      <right style="double">
        <color rgb="FFFF0000"/>
      </right>
      <top style="medium">
        <color indexed="64"/>
      </top>
      <bottom/>
      <diagonal/>
    </border>
    <border>
      <left/>
      <right style="double">
        <color rgb="FFFF0000"/>
      </right>
      <top style="thin">
        <color indexed="64"/>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medium">
        <color indexed="64"/>
      </left>
      <right/>
      <top style="double">
        <color indexed="64"/>
      </top>
      <bottom/>
      <diagonal/>
    </border>
    <border>
      <left/>
      <right style="medium">
        <color indexed="64"/>
      </right>
      <top style="double">
        <color indexed="64"/>
      </top>
      <bottom/>
      <diagonal/>
    </border>
    <border>
      <left style="hair">
        <color indexed="64"/>
      </left>
      <right style="medium">
        <color indexed="64"/>
      </right>
      <top/>
      <bottom style="thin">
        <color indexed="64"/>
      </bottom>
      <diagonal/>
    </border>
    <border>
      <left style="medium">
        <color indexed="64"/>
      </left>
      <right/>
      <top style="thin">
        <color auto="1"/>
      </top>
      <bottom style="thin">
        <color auto="1"/>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double">
        <color indexed="64"/>
      </bottom>
      <diagonal/>
    </border>
    <border>
      <left style="medium">
        <color indexed="64"/>
      </left>
      <right/>
      <top style="medium">
        <color indexed="64"/>
      </top>
      <bottom style="thin">
        <color indexed="64"/>
      </bottom>
      <diagonal/>
    </border>
    <border>
      <left style="double">
        <color rgb="FFFF0000"/>
      </left>
      <right/>
      <top style="double">
        <color rgb="FFFF0000"/>
      </top>
      <bottom style="double">
        <color rgb="FFFF0000"/>
      </bottom>
      <diagonal/>
    </border>
    <border>
      <left/>
      <right/>
      <top style="double">
        <color rgb="FFFF0000"/>
      </top>
      <bottom style="double">
        <color rgb="FFFF0000"/>
      </bottom>
      <diagonal/>
    </border>
    <border>
      <left/>
      <right style="double">
        <color rgb="FFFF0000"/>
      </right>
      <top style="double">
        <color rgb="FFFF0000"/>
      </top>
      <bottom style="double">
        <color rgb="FFFF0000"/>
      </bottom>
      <diagonal/>
    </border>
    <border>
      <left/>
      <right style="thin">
        <color auto="1"/>
      </right>
      <top/>
      <bottom style="double">
        <color auto="1"/>
      </bottom>
      <diagonal/>
    </border>
    <border>
      <left/>
      <right style="thin">
        <color indexed="64"/>
      </right>
      <top/>
      <bottom style="medium">
        <color indexed="64"/>
      </bottom>
      <diagonal/>
    </border>
    <border>
      <left style="hair">
        <color auto="1"/>
      </left>
      <right/>
      <top style="thin">
        <color auto="1"/>
      </top>
      <bottom style="thin">
        <color auto="1"/>
      </bottom>
      <diagonal/>
    </border>
    <border>
      <left/>
      <right style="hair">
        <color auto="1"/>
      </right>
      <top style="thin">
        <color auto="1"/>
      </top>
      <bottom style="thin">
        <color auto="1"/>
      </bottom>
      <diagonal/>
    </border>
  </borders>
  <cellStyleXfs count="13">
    <xf numFmtId="0" fontId="0" fillId="0" borderId="0"/>
    <xf numFmtId="38" fontId="8" fillId="0" borderId="0" applyFont="0" applyFill="0" applyBorder="0" applyAlignment="0" applyProtection="0">
      <alignment vertical="center"/>
    </xf>
    <xf numFmtId="0" fontId="24" fillId="0" borderId="0" applyNumberFormat="0" applyFill="0" applyBorder="0" applyAlignment="0" applyProtection="0">
      <alignment vertical="center"/>
    </xf>
    <xf numFmtId="0" fontId="7" fillId="0" borderId="0">
      <alignment vertical="center"/>
    </xf>
    <xf numFmtId="0" fontId="6" fillId="0" borderId="0">
      <alignment vertical="center"/>
    </xf>
    <xf numFmtId="0" fontId="5" fillId="0" borderId="0">
      <alignment vertical="center"/>
    </xf>
    <xf numFmtId="38" fontId="5" fillId="0" borderId="0" applyFont="0" applyFill="0" applyBorder="0" applyAlignment="0" applyProtection="0">
      <alignment vertical="center"/>
    </xf>
    <xf numFmtId="0" fontId="45" fillId="0" borderId="0">
      <alignment vertical="center"/>
    </xf>
    <xf numFmtId="0" fontId="8" fillId="0" borderId="0"/>
    <xf numFmtId="0" fontId="4" fillId="0" borderId="0">
      <alignment vertical="center"/>
    </xf>
    <xf numFmtId="0" fontId="3" fillId="0" borderId="0">
      <alignment vertical="center"/>
    </xf>
    <xf numFmtId="0" fontId="2" fillId="0" borderId="0">
      <alignment vertical="center"/>
    </xf>
    <xf numFmtId="0" fontId="1" fillId="0" borderId="0">
      <alignment vertical="center"/>
    </xf>
  </cellStyleXfs>
  <cellXfs count="2162">
    <xf numFmtId="0" fontId="0" fillId="0" borderId="0" xfId="0"/>
    <xf numFmtId="0" fontId="11" fillId="0" borderId="0" xfId="0" applyFont="1" applyAlignment="1">
      <alignment horizontal="center" vertical="center"/>
    </xf>
    <xf numFmtId="0" fontId="11" fillId="0" borderId="0" xfId="0" applyFont="1" applyAlignment="1">
      <alignment vertical="center"/>
    </xf>
    <xf numFmtId="0" fontId="10" fillId="3" borderId="1" xfId="0" applyFont="1" applyFill="1" applyBorder="1" applyAlignment="1" applyProtection="1">
      <alignment horizontal="center" vertical="center" shrinkToFit="1"/>
    </xf>
    <xf numFmtId="176" fontId="22" fillId="0" borderId="1" xfId="0" applyNumberFormat="1" applyFont="1" applyBorder="1" applyAlignment="1" applyProtection="1">
      <alignment vertical="center" shrinkToFit="1"/>
    </xf>
    <xf numFmtId="0" fontId="10" fillId="0" borderId="1" xfId="0" applyFont="1" applyBorder="1" applyAlignment="1" applyProtection="1">
      <alignment horizontal="center" vertical="center" shrinkToFit="1"/>
    </xf>
    <xf numFmtId="0" fontId="22" fillId="2" borderId="1" xfId="0" applyFont="1" applyFill="1" applyBorder="1" applyAlignment="1" applyProtection="1">
      <alignment horizontal="center" vertical="center" shrinkToFit="1"/>
      <protection locked="0"/>
    </xf>
    <xf numFmtId="3" fontId="10" fillId="2" borderId="1" xfId="0" applyNumberFormat="1" applyFont="1" applyFill="1" applyBorder="1" applyAlignment="1" applyProtection="1">
      <alignment horizontal="center" vertical="center" shrinkToFit="1"/>
      <protection locked="0"/>
    </xf>
    <xf numFmtId="176" fontId="10" fillId="2" borderId="1" xfId="0" applyNumberFormat="1" applyFont="1" applyFill="1" applyBorder="1" applyAlignment="1" applyProtection="1">
      <alignment horizontal="right" vertical="center" shrinkToFit="1"/>
      <protection locked="0"/>
    </xf>
    <xf numFmtId="176" fontId="22" fillId="2" borderId="1" xfId="0" applyNumberFormat="1" applyFont="1" applyFill="1" applyBorder="1" applyAlignment="1" applyProtection="1">
      <alignment horizontal="center" vertical="center" shrinkToFit="1"/>
      <protection locked="0"/>
    </xf>
    <xf numFmtId="0" fontId="10" fillId="2" borderId="1" xfId="0" applyFont="1" applyFill="1" applyBorder="1" applyAlignment="1" applyProtection="1">
      <alignment horizontal="left" vertical="center" shrinkToFit="1"/>
      <protection locked="0"/>
    </xf>
    <xf numFmtId="0" fontId="19" fillId="0" borderId="0" xfId="0" applyFont="1" applyAlignment="1">
      <alignment vertical="center" wrapText="1"/>
    </xf>
    <xf numFmtId="0" fontId="10" fillId="0" borderId="0" xfId="0" applyFont="1" applyAlignment="1" applyProtection="1">
      <alignment horizontal="center" vertical="center"/>
    </xf>
    <xf numFmtId="0" fontId="10" fillId="0" borderId="0" xfId="0" applyFont="1" applyAlignment="1" applyProtection="1">
      <alignment horizontal="center" vertical="center" wrapText="1"/>
    </xf>
    <xf numFmtId="0" fontId="10" fillId="0" borderId="0" xfId="0" applyFont="1" applyAlignment="1" applyProtection="1">
      <alignment horizontal="left" vertical="center"/>
    </xf>
    <xf numFmtId="176" fontId="10" fillId="0" borderId="1" xfId="0" applyNumberFormat="1" applyFont="1" applyFill="1" applyBorder="1" applyAlignment="1" applyProtection="1">
      <alignment horizontal="right" vertical="center" shrinkToFit="1"/>
    </xf>
    <xf numFmtId="0" fontId="29" fillId="0" borderId="1" xfId="0" applyFont="1" applyBorder="1" applyAlignment="1" applyProtection="1">
      <alignment vertical="center"/>
    </xf>
    <xf numFmtId="0" fontId="29" fillId="0" borderId="1" xfId="0" applyFont="1" applyBorder="1" applyAlignment="1" applyProtection="1">
      <alignment horizontal="center" vertical="center"/>
    </xf>
    <xf numFmtId="0" fontId="29" fillId="0" borderId="1" xfId="0" applyFont="1" applyBorder="1" applyAlignment="1" applyProtection="1">
      <alignment vertical="center" wrapText="1"/>
    </xf>
    <xf numFmtId="0" fontId="10" fillId="0" borderId="0" xfId="0" applyFont="1" applyAlignment="1" applyProtection="1">
      <alignment vertical="center"/>
    </xf>
    <xf numFmtId="0" fontId="29" fillId="0" borderId="0" xfId="0" applyFont="1"/>
    <xf numFmtId="0" fontId="29" fillId="0" borderId="0" xfId="0" applyFont="1" applyAlignment="1">
      <alignment vertical="center"/>
    </xf>
    <xf numFmtId="0" fontId="29" fillId="0" borderId="0" xfId="0" applyFont="1" applyAlignment="1">
      <alignment vertical="center" wrapText="1"/>
    </xf>
    <xf numFmtId="0" fontId="29" fillId="0" borderId="1" xfId="0" applyFont="1" applyBorder="1" applyAlignment="1">
      <alignment vertical="center" wrapText="1"/>
    </xf>
    <xf numFmtId="0" fontId="29" fillId="0" borderId="0" xfId="0" applyFont="1" applyAlignment="1">
      <alignment horizontal="center" vertical="center"/>
    </xf>
    <xf numFmtId="0" fontId="29" fillId="0" borderId="0" xfId="0" applyFont="1" applyBorder="1" applyAlignment="1">
      <alignment vertical="center" wrapText="1"/>
    </xf>
    <xf numFmtId="0" fontId="29" fillId="0" borderId="0" xfId="0" applyFont="1" applyBorder="1" applyAlignment="1">
      <alignment horizontal="left" vertical="center" wrapText="1" shrinkToFit="1"/>
    </xf>
    <xf numFmtId="0" fontId="29" fillId="0" borderId="1" xfId="0" applyFont="1" applyBorder="1" applyAlignment="1">
      <alignment horizontal="distributed" vertical="center"/>
    </xf>
    <xf numFmtId="0" fontId="29" fillId="0" borderId="1" xfId="0" applyFont="1" applyBorder="1" applyAlignment="1">
      <alignment horizontal="distributed" vertical="center" shrinkToFit="1"/>
    </xf>
    <xf numFmtId="0" fontId="29" fillId="0" borderId="1" xfId="0" applyFont="1" applyBorder="1" applyAlignment="1">
      <alignment horizontal="center" vertical="center"/>
    </xf>
    <xf numFmtId="14" fontId="29" fillId="0" borderId="1" xfId="0" applyNumberFormat="1" applyFont="1" applyBorder="1" applyAlignment="1">
      <alignment horizontal="center" vertical="center"/>
    </xf>
    <xf numFmtId="0" fontId="15" fillId="0" borderId="0" xfId="4" applyFont="1" applyProtection="1">
      <alignment vertical="center"/>
    </xf>
    <xf numFmtId="0" fontId="11" fillId="0" borderId="0" xfId="4" applyFont="1" applyProtection="1">
      <alignment vertical="center"/>
    </xf>
    <xf numFmtId="0" fontId="11" fillId="0" borderId="0" xfId="4" applyFont="1" applyAlignment="1" applyProtection="1">
      <alignment horizontal="center" vertical="center"/>
    </xf>
    <xf numFmtId="0" fontId="11" fillId="0" borderId="0" xfId="4" applyFont="1" applyBorder="1" applyAlignment="1" applyProtection="1">
      <alignment horizontal="center" vertical="center"/>
    </xf>
    <xf numFmtId="0" fontId="11" fillId="0" borderId="0" xfId="4" applyFont="1" applyBorder="1" applyProtection="1">
      <alignment vertical="center"/>
    </xf>
    <xf numFmtId="0" fontId="11" fillId="0" borderId="20" xfId="4" applyFont="1" applyBorder="1" applyAlignment="1" applyProtection="1">
      <alignment horizontal="center" vertical="center"/>
    </xf>
    <xf numFmtId="0" fontId="11" fillId="0" borderId="20" xfId="4" applyFont="1" applyBorder="1" applyAlignment="1" applyProtection="1">
      <alignment horizontal="right" vertical="center"/>
    </xf>
    <xf numFmtId="0" fontId="11" fillId="0" borderId="20" xfId="4" applyFont="1" applyBorder="1" applyAlignment="1" applyProtection="1">
      <alignment horizontal="right" vertical="center" wrapText="1"/>
    </xf>
    <xf numFmtId="0" fontId="11" fillId="0" borderId="22" xfId="4" applyFont="1" applyBorder="1" applyAlignment="1" applyProtection="1">
      <alignment horizontal="center" vertical="center" wrapText="1"/>
    </xf>
    <xf numFmtId="0" fontId="11" fillId="0" borderId="23" xfId="4" applyFont="1" applyFill="1" applyBorder="1" applyAlignment="1" applyProtection="1">
      <alignment horizontal="center" vertical="center" shrinkToFit="1"/>
    </xf>
    <xf numFmtId="0" fontId="11" fillId="0" borderId="6" xfId="4" applyFont="1" applyFill="1" applyBorder="1" applyAlignment="1" applyProtection="1">
      <alignment horizontal="center" vertical="center" shrinkToFit="1"/>
    </xf>
    <xf numFmtId="0" fontId="11" fillId="0" borderId="0" xfId="4" applyFont="1" applyFill="1" applyBorder="1" applyAlignment="1" applyProtection="1">
      <alignment horizontal="center" vertical="center"/>
    </xf>
    <xf numFmtId="0" fontId="11" fillId="0" borderId="1" xfId="4" applyFont="1" applyBorder="1" applyAlignment="1" applyProtection="1">
      <alignment horizontal="center" vertical="center" wrapText="1"/>
    </xf>
    <xf numFmtId="0" fontId="11" fillId="0" borderId="34" xfId="4" applyFont="1" applyBorder="1" applyAlignment="1" applyProtection="1">
      <alignment horizontal="center" vertical="center"/>
    </xf>
    <xf numFmtId="0" fontId="11" fillId="0" borderId="1" xfId="4" applyFont="1" applyFill="1" applyBorder="1" applyAlignment="1" applyProtection="1">
      <alignment horizontal="center" vertical="center" shrinkToFit="1"/>
    </xf>
    <xf numFmtId="0" fontId="11" fillId="0" borderId="40" xfId="4" applyFont="1" applyBorder="1" applyAlignment="1" applyProtection="1">
      <alignment horizontal="center" vertical="center" wrapText="1"/>
    </xf>
    <xf numFmtId="0" fontId="19" fillId="0" borderId="1" xfId="0" applyFont="1" applyBorder="1" applyAlignment="1" applyProtection="1">
      <alignment horizontal="center" vertical="center"/>
    </xf>
    <xf numFmtId="0" fontId="10" fillId="0" borderId="0" xfId="4" applyFont="1" applyProtection="1">
      <alignment vertical="center"/>
    </xf>
    <xf numFmtId="3" fontId="10" fillId="0" borderId="0" xfId="4" applyNumberFormat="1" applyFont="1" applyProtection="1">
      <alignment vertical="center"/>
    </xf>
    <xf numFmtId="0" fontId="10" fillId="0" borderId="0" xfId="4" applyFont="1" applyBorder="1" applyAlignment="1" applyProtection="1">
      <alignment vertical="center"/>
    </xf>
    <xf numFmtId="0" fontId="10" fillId="0" borderId="0" xfId="4" applyFont="1" applyBorder="1" applyProtection="1">
      <alignment vertical="center"/>
    </xf>
    <xf numFmtId="179" fontId="10" fillId="0" borderId="8" xfId="4" applyNumberFormat="1" applyFont="1" applyFill="1" applyBorder="1" applyAlignment="1" applyProtection="1">
      <alignment vertical="center"/>
    </xf>
    <xf numFmtId="0" fontId="10" fillId="0" borderId="1" xfId="4" applyFont="1" applyBorder="1" applyAlignment="1" applyProtection="1">
      <alignment horizontal="center" vertical="center" wrapText="1"/>
    </xf>
    <xf numFmtId="0" fontId="10" fillId="0" borderId="0" xfId="4" applyFont="1" applyAlignment="1" applyProtection="1">
      <alignment vertical="center"/>
    </xf>
    <xf numFmtId="3" fontId="10" fillId="0" borderId="0" xfId="4" applyNumberFormat="1" applyFont="1" applyAlignment="1" applyProtection="1">
      <alignment vertical="center"/>
    </xf>
    <xf numFmtId="0" fontId="10" fillId="0" borderId="6" xfId="4" applyFont="1" applyBorder="1" applyAlignment="1" applyProtection="1">
      <alignment vertical="center"/>
    </xf>
    <xf numFmtId="0" fontId="10" fillId="0" borderId="6" xfId="4" applyFont="1" applyBorder="1" applyAlignment="1" applyProtection="1">
      <alignment horizontal="right" vertical="center"/>
    </xf>
    <xf numFmtId="0" fontId="10" fillId="0" borderId="6" xfId="4" applyFont="1" applyBorder="1" applyAlignment="1" applyProtection="1">
      <alignment horizontal="center" vertical="center"/>
    </xf>
    <xf numFmtId="194" fontId="10" fillId="0" borderId="22" xfId="4" applyNumberFormat="1" applyFont="1" applyBorder="1" applyAlignment="1" applyProtection="1">
      <alignment vertical="top" shrinkToFit="1"/>
    </xf>
    <xf numFmtId="195" fontId="10" fillId="0" borderId="10" xfId="4" applyNumberFormat="1" applyFont="1" applyBorder="1" applyAlignment="1" applyProtection="1">
      <alignment vertical="top" shrinkToFit="1"/>
    </xf>
    <xf numFmtId="3" fontId="10" fillId="0" borderId="0" xfId="4" applyNumberFormat="1" applyFont="1" applyBorder="1" applyProtection="1">
      <alignment vertical="center"/>
    </xf>
    <xf numFmtId="194" fontId="10" fillId="0" borderId="6" xfId="4" applyNumberFormat="1" applyFont="1" applyBorder="1" applyAlignment="1" applyProtection="1">
      <alignment vertical="top" shrinkToFit="1"/>
    </xf>
    <xf numFmtId="0" fontId="29" fillId="0" borderId="0" xfId="0" applyFont="1" applyAlignment="1">
      <alignment horizontal="distributed"/>
    </xf>
    <xf numFmtId="0" fontId="29" fillId="0" borderId="0" xfId="0" applyFont="1" applyAlignment="1">
      <alignment horizontal="center"/>
    </xf>
    <xf numFmtId="0" fontId="29" fillId="0" borderId="1" xfId="0" applyFont="1" applyBorder="1" applyAlignment="1">
      <alignment horizontal="distributed"/>
    </xf>
    <xf numFmtId="0" fontId="29" fillId="0" borderId="1" xfId="0" applyFont="1" applyBorder="1"/>
    <xf numFmtId="0" fontId="29" fillId="0" borderId="1" xfId="0" applyFont="1" applyBorder="1" applyAlignment="1">
      <alignment horizontal="center"/>
    </xf>
    <xf numFmtId="176" fontId="29" fillId="0" borderId="1" xfId="0" applyNumberFormat="1" applyFont="1" applyBorder="1" applyAlignment="1">
      <alignment horizontal="right" shrinkToFit="1"/>
    </xf>
    <xf numFmtId="176" fontId="29" fillId="0" borderId="1" xfId="0" applyNumberFormat="1" applyFont="1" applyBorder="1" applyAlignment="1">
      <alignment horizontal="right"/>
    </xf>
    <xf numFmtId="0" fontId="11" fillId="0" borderId="25" xfId="4" applyFont="1" applyFill="1" applyBorder="1" applyAlignment="1" applyProtection="1">
      <alignment horizontal="center" vertical="center" shrinkToFit="1"/>
    </xf>
    <xf numFmtId="0" fontId="29" fillId="0" borderId="1" xfId="0" applyFont="1" applyBorder="1" applyAlignment="1">
      <alignment horizontal="centerContinuous"/>
    </xf>
    <xf numFmtId="0" fontId="10" fillId="0" borderId="0" xfId="5" applyFont="1" applyProtection="1">
      <alignment vertical="center"/>
    </xf>
    <xf numFmtId="0" fontId="10" fillId="0" borderId="0" xfId="5" applyFont="1" applyBorder="1" applyAlignment="1" applyProtection="1"/>
    <xf numFmtId="0" fontId="15" fillId="0" borderId="0" xfId="5" applyFont="1" applyBorder="1" applyAlignment="1" applyProtection="1">
      <alignment vertical="center"/>
    </xf>
    <xf numFmtId="0" fontId="15" fillId="0" borderId="0" xfId="5" applyFont="1" applyFill="1" applyBorder="1" applyAlignment="1" applyProtection="1">
      <alignment horizontal="center" vertical="center" shrinkToFit="1"/>
    </xf>
    <xf numFmtId="0" fontId="10" fillId="0" borderId="0" xfId="5" applyFont="1" applyBorder="1" applyAlignment="1" applyProtection="1">
      <alignment vertical="center"/>
    </xf>
    <xf numFmtId="0" fontId="10" fillId="0" borderId="0" xfId="5" applyFont="1" applyAlignment="1" applyProtection="1"/>
    <xf numFmtId="0" fontId="11" fillId="0" borderId="0" xfId="5" applyFont="1" applyAlignment="1" applyProtection="1">
      <alignment horizontal="center"/>
    </xf>
    <xf numFmtId="0" fontId="38" fillId="0" borderId="0" xfId="5" applyFont="1" applyAlignment="1" applyProtection="1">
      <alignment horizontal="left"/>
    </xf>
    <xf numFmtId="0" fontId="15" fillId="0" borderId="0" xfId="5" applyFont="1" applyAlignment="1" applyProtection="1"/>
    <xf numFmtId="0" fontId="30" fillId="0" borderId="1" xfId="5" applyFont="1" applyBorder="1" applyAlignment="1" applyProtection="1">
      <alignment horizontal="center"/>
    </xf>
    <xf numFmtId="0" fontId="30" fillId="0" borderId="1" xfId="5" applyFont="1" applyBorder="1" applyAlignment="1" applyProtection="1">
      <alignment horizontal="center" vertical="center"/>
    </xf>
    <xf numFmtId="0" fontId="30" fillId="0" borderId="1" xfId="5" applyFont="1" applyBorder="1" applyAlignment="1" applyProtection="1">
      <alignment horizontal="left" vertical="center" shrinkToFit="1"/>
    </xf>
    <xf numFmtId="0" fontId="22" fillId="0" borderId="1" xfId="5" applyFont="1" applyBorder="1" applyAlignment="1" applyProtection="1"/>
    <xf numFmtId="0" fontId="10" fillId="0" borderId="1" xfId="5" applyFont="1" applyBorder="1" applyAlignment="1" applyProtection="1"/>
    <xf numFmtId="0" fontId="43" fillId="0" borderId="0" xfId="5" applyFont="1" applyAlignment="1" applyProtection="1"/>
    <xf numFmtId="0" fontId="10" fillId="0" borderId="1" xfId="5" applyFont="1" applyBorder="1" applyAlignment="1" applyProtection="1">
      <alignment vertical="center"/>
    </xf>
    <xf numFmtId="0" fontId="15" fillId="0" borderId="3" xfId="5" applyFont="1" applyFill="1" applyBorder="1" applyAlignment="1" applyProtection="1">
      <alignment vertical="center" shrinkToFit="1"/>
    </xf>
    <xf numFmtId="0" fontId="41" fillId="0" borderId="17" xfId="5" applyFont="1" applyFill="1" applyBorder="1" applyAlignment="1" applyProtection="1">
      <alignment horizontal="center" vertical="center"/>
    </xf>
    <xf numFmtId="0" fontId="41" fillId="0" borderId="18" xfId="5" applyFont="1" applyFill="1" applyBorder="1" applyAlignment="1" applyProtection="1">
      <alignment horizontal="center" vertical="center"/>
    </xf>
    <xf numFmtId="0" fontId="41" fillId="0" borderId="19" xfId="5" applyFont="1" applyFill="1" applyBorder="1" applyAlignment="1" applyProtection="1">
      <alignment horizontal="center" vertical="center"/>
    </xf>
    <xf numFmtId="0" fontId="15" fillId="0" borderId="27" xfId="5" applyFont="1" applyFill="1" applyBorder="1" applyAlignment="1" applyProtection="1">
      <alignment horizontal="center" vertical="center" shrinkToFit="1"/>
    </xf>
    <xf numFmtId="0" fontId="15" fillId="0" borderId="28" xfId="5" applyFont="1" applyFill="1" applyBorder="1" applyAlignment="1" applyProtection="1">
      <alignment horizontal="center" vertical="center" shrinkToFit="1"/>
    </xf>
    <xf numFmtId="0" fontId="15" fillId="0" borderId="61" xfId="5" applyFont="1" applyFill="1" applyBorder="1" applyAlignment="1" applyProtection="1">
      <alignment horizontal="center" vertical="center" shrinkToFit="1"/>
    </xf>
    <xf numFmtId="0" fontId="29" fillId="0" borderId="15" xfId="0" applyFont="1" applyBorder="1" applyAlignment="1">
      <alignment vertical="center"/>
    </xf>
    <xf numFmtId="0" fontId="11" fillId="0" borderId="20" xfId="4" applyFont="1" applyBorder="1" applyAlignment="1" applyProtection="1">
      <alignment horizontal="center" vertical="center" wrapText="1"/>
    </xf>
    <xf numFmtId="196" fontId="29" fillId="0" borderId="1" xfId="0" applyNumberFormat="1" applyFont="1" applyBorder="1" applyAlignment="1">
      <alignment horizontal="center" shrinkToFit="1"/>
    </xf>
    <xf numFmtId="197" fontId="29" fillId="2" borderId="1" xfId="0" applyNumberFormat="1" applyFont="1" applyFill="1" applyBorder="1" applyAlignment="1">
      <alignment vertical="center"/>
    </xf>
    <xf numFmtId="0" fontId="29" fillId="0" borderId="1" xfId="0" applyFont="1" applyBorder="1" applyAlignment="1">
      <alignment horizontal="left" vertical="center" shrinkToFit="1"/>
    </xf>
    <xf numFmtId="196" fontId="29" fillId="0" borderId="1" xfId="0" applyNumberFormat="1" applyFont="1" applyBorder="1" applyAlignment="1">
      <alignment horizontal="right" vertical="center" shrinkToFit="1"/>
    </xf>
    <xf numFmtId="0" fontId="29" fillId="0" borderId="0" xfId="0" applyFont="1" applyAlignment="1">
      <alignment horizontal="left" vertical="center" shrinkToFit="1"/>
    </xf>
    <xf numFmtId="176" fontId="29" fillId="0" borderId="1" xfId="0" applyNumberFormat="1" applyFont="1" applyBorder="1"/>
    <xf numFmtId="0" fontId="29" fillId="0" borderId="1" xfId="0" applyFont="1" applyBorder="1" applyAlignment="1">
      <alignment shrinkToFit="1"/>
    </xf>
    <xf numFmtId="0" fontId="29" fillId="6" borderId="1" xfId="0" applyFont="1" applyFill="1" applyBorder="1" applyAlignment="1">
      <alignment horizontal="center"/>
    </xf>
    <xf numFmtId="0" fontId="29" fillId="0" borderId="1" xfId="0" applyFont="1" applyBorder="1" applyAlignment="1">
      <alignment horizontal="center" wrapText="1"/>
    </xf>
    <xf numFmtId="0" fontId="12" fillId="0" borderId="0" xfId="0" applyFont="1" applyAlignment="1" applyProtection="1">
      <alignment horizontal="center" vertical="center" wrapText="1"/>
    </xf>
    <xf numFmtId="0" fontId="19" fillId="0" borderId="1" xfId="0" applyFont="1" applyBorder="1" applyAlignment="1" applyProtection="1">
      <alignment horizontal="center" vertical="center" wrapText="1"/>
    </xf>
    <xf numFmtId="0" fontId="19" fillId="0" borderId="0" xfId="0" applyFont="1" applyBorder="1" applyAlignment="1" applyProtection="1">
      <alignment horizontal="left" vertical="center" wrapText="1" shrinkToFit="1"/>
    </xf>
    <xf numFmtId="0" fontId="12" fillId="0" borderId="19" xfId="0" applyFont="1" applyBorder="1" applyAlignment="1" applyProtection="1">
      <alignment horizontal="center" vertical="center" wrapText="1"/>
    </xf>
    <xf numFmtId="0" fontId="19" fillId="0" borderId="0" xfId="0" applyFont="1" applyAlignment="1" applyProtection="1">
      <alignment horizontal="center" vertical="center" wrapText="1"/>
    </xf>
    <xf numFmtId="0" fontId="19" fillId="0" borderId="0" xfId="0" applyFont="1" applyBorder="1" applyAlignment="1" applyProtection="1">
      <alignment horizontal="left" vertical="center" wrapText="1"/>
    </xf>
    <xf numFmtId="0" fontId="12" fillId="0" borderId="0" xfId="0" applyFont="1" applyFill="1" applyBorder="1" applyAlignment="1" applyProtection="1">
      <alignment vertical="top" wrapText="1" shrinkToFit="1"/>
    </xf>
    <xf numFmtId="0" fontId="19" fillId="0" borderId="0" xfId="0" applyFont="1" applyAlignment="1" applyProtection="1">
      <alignment horizontal="left" vertical="center" wrapText="1"/>
    </xf>
    <xf numFmtId="0" fontId="29" fillId="0" borderId="1" xfId="0" applyFont="1" applyBorder="1" applyAlignment="1">
      <alignment horizontal="right"/>
    </xf>
    <xf numFmtId="0" fontId="29" fillId="0" borderId="1" xfId="0" applyNumberFormat="1" applyFont="1" applyBorder="1"/>
    <xf numFmtId="0" fontId="29" fillId="0" borderId="1" xfId="0" applyFont="1" applyBorder="1" applyAlignment="1">
      <alignment horizontal="left"/>
    </xf>
    <xf numFmtId="176" fontId="10" fillId="0" borderId="6" xfId="4" applyNumberFormat="1" applyFont="1" applyBorder="1" applyAlignment="1" applyProtection="1">
      <alignment horizontal="center" vertical="center"/>
    </xf>
    <xf numFmtId="203" fontId="10" fillId="0" borderId="10" xfId="4" applyNumberFormat="1" applyFont="1" applyBorder="1" applyAlignment="1" applyProtection="1">
      <alignment horizontal="center" vertical="center"/>
    </xf>
    <xf numFmtId="0" fontId="11" fillId="0" borderId="31" xfId="4" applyFont="1" applyBorder="1" applyAlignment="1" applyProtection="1">
      <alignment horizontal="center" vertical="center" wrapText="1"/>
    </xf>
    <xf numFmtId="0" fontId="11" fillId="0" borderId="13" xfId="4" applyFont="1" applyBorder="1" applyAlignment="1" applyProtection="1">
      <alignment horizontal="center" vertical="center" wrapText="1"/>
    </xf>
    <xf numFmtId="0" fontId="11" fillId="0" borderId="6" xfId="4" applyFont="1" applyBorder="1" applyAlignment="1" applyProtection="1">
      <alignment horizontal="center" vertical="center" wrapText="1"/>
    </xf>
    <xf numFmtId="0" fontId="12" fillId="0" borderId="6" xfId="0" applyFont="1" applyBorder="1" applyAlignment="1" applyProtection="1">
      <alignment horizontal="center" vertical="center" wrapText="1" shrinkToFit="1"/>
    </xf>
    <xf numFmtId="0" fontId="22" fillId="2" borderId="1" xfId="9" applyFont="1" applyFill="1" applyBorder="1" applyAlignment="1" applyProtection="1">
      <alignment horizontal="center" vertical="center" shrinkToFit="1"/>
      <protection locked="0"/>
    </xf>
    <xf numFmtId="38" fontId="19" fillId="0" borderId="1" xfId="1" applyFont="1" applyBorder="1" applyAlignment="1" applyProtection="1">
      <alignment horizontal="center" vertical="center" wrapText="1"/>
    </xf>
    <xf numFmtId="0" fontId="19" fillId="0" borderId="1" xfId="0" applyFont="1" applyBorder="1" applyAlignment="1" applyProtection="1">
      <alignment vertical="center" wrapText="1"/>
      <protection locked="0"/>
    </xf>
    <xf numFmtId="0" fontId="60" fillId="0" borderId="0" xfId="0" applyFont="1" applyBorder="1" applyAlignment="1" applyProtection="1">
      <alignment horizontal="center" vertical="center" wrapText="1"/>
    </xf>
    <xf numFmtId="38" fontId="60" fillId="0" borderId="0" xfId="1" applyFont="1" applyBorder="1" applyAlignment="1" applyProtection="1">
      <alignment horizontal="center" vertical="center" wrapText="1"/>
    </xf>
    <xf numFmtId="0" fontId="29" fillId="0" borderId="1" xfId="0" applyFont="1" applyBorder="1" applyAlignment="1" applyProtection="1">
      <alignment vertical="center" wrapText="1" shrinkToFit="1"/>
    </xf>
    <xf numFmtId="0" fontId="60" fillId="0" borderId="0" xfId="0" applyFont="1" applyAlignment="1" applyProtection="1">
      <alignment horizontal="center" vertical="center" wrapText="1"/>
    </xf>
    <xf numFmtId="0" fontId="60" fillId="0" borderId="0" xfId="0" applyFont="1" applyAlignment="1" applyProtection="1">
      <alignment vertical="center" wrapText="1"/>
    </xf>
    <xf numFmtId="0" fontId="29" fillId="0" borderId="0" xfId="0" applyFont="1" applyAlignment="1" applyProtection="1">
      <alignment horizontal="center" vertical="center" wrapText="1"/>
    </xf>
    <xf numFmtId="176" fontId="11" fillId="0" borderId="24" xfId="4" applyNumberFormat="1" applyFont="1" applyFill="1" applyBorder="1" applyAlignment="1" applyProtection="1">
      <alignment horizontal="center" vertical="center" shrinkToFit="1"/>
    </xf>
    <xf numFmtId="176" fontId="11" fillId="0" borderId="17" xfId="4" applyNumberFormat="1" applyFont="1" applyFill="1" applyBorder="1" applyAlignment="1" applyProtection="1">
      <alignment horizontal="center" vertical="center" shrinkToFit="1"/>
    </xf>
    <xf numFmtId="176" fontId="11" fillId="0" borderId="18" xfId="4" applyNumberFormat="1" applyFont="1" applyFill="1" applyBorder="1" applyAlignment="1" applyProtection="1">
      <alignment horizontal="center" vertical="center" shrinkToFit="1"/>
    </xf>
    <xf numFmtId="176" fontId="11" fillId="0" borderId="29" xfId="4" applyNumberFormat="1" applyFont="1" applyFill="1" applyBorder="1" applyAlignment="1" applyProtection="1">
      <alignment horizontal="center" vertical="center" shrinkToFit="1"/>
    </xf>
    <xf numFmtId="176" fontId="11" fillId="0" borderId="41" xfId="4" applyNumberFormat="1" applyFont="1" applyFill="1" applyBorder="1" applyAlignment="1" applyProtection="1">
      <alignment horizontal="center" vertical="center" shrinkToFit="1"/>
    </xf>
    <xf numFmtId="176" fontId="11" fillId="0" borderId="42" xfId="4" applyNumberFormat="1" applyFont="1" applyFill="1" applyBorder="1" applyAlignment="1" applyProtection="1">
      <alignment horizontal="center" vertical="center" shrinkToFit="1"/>
    </xf>
    <xf numFmtId="176" fontId="11" fillId="0" borderId="23" xfId="4" applyNumberFormat="1" applyFont="1" applyFill="1" applyBorder="1" applyAlignment="1" applyProtection="1">
      <alignment vertical="center" shrinkToFit="1"/>
    </xf>
    <xf numFmtId="0" fontId="11" fillId="0" borderId="0" xfId="4" applyFont="1" applyAlignment="1" applyProtection="1">
      <alignment vertical="center"/>
    </xf>
    <xf numFmtId="192" fontId="11" fillId="0" borderId="25" xfId="4" applyNumberFormat="1" applyFont="1" applyFill="1" applyBorder="1" applyAlignment="1" applyProtection="1">
      <alignment vertical="center" wrapText="1"/>
    </xf>
    <xf numFmtId="176" fontId="11" fillId="0" borderId="25" xfId="4" applyNumberFormat="1" applyFont="1" applyFill="1" applyBorder="1" applyAlignment="1" applyProtection="1">
      <alignment vertical="center" shrinkToFit="1"/>
    </xf>
    <xf numFmtId="191" fontId="11" fillId="0" borderId="25" xfId="4" applyNumberFormat="1" applyFont="1" applyFill="1" applyBorder="1" applyAlignment="1" applyProtection="1">
      <alignment vertical="center" wrapText="1"/>
    </xf>
    <xf numFmtId="192" fontId="11" fillId="0" borderId="1" xfId="4" applyNumberFormat="1" applyFont="1" applyFill="1" applyBorder="1" applyAlignment="1" applyProtection="1">
      <alignment vertical="center" wrapText="1"/>
    </xf>
    <xf numFmtId="177" fontId="11" fillId="0" borderId="23" xfId="4" applyNumberFormat="1" applyFont="1" applyFill="1" applyBorder="1" applyAlignment="1" applyProtection="1">
      <alignment vertical="center" wrapText="1"/>
    </xf>
    <xf numFmtId="0" fontId="11" fillId="0" borderId="22" xfId="4" applyFont="1" applyFill="1" applyBorder="1" applyAlignment="1" applyProtection="1">
      <alignment horizontal="center" vertical="center" shrinkToFit="1"/>
    </xf>
    <xf numFmtId="176" fontId="11" fillId="0" borderId="6" xfId="4" applyNumberFormat="1" applyFont="1" applyFill="1" applyBorder="1" applyAlignment="1" applyProtection="1">
      <alignment vertical="center" shrinkToFit="1"/>
    </xf>
    <xf numFmtId="176" fontId="11" fillId="0" borderId="1" xfId="4" applyNumberFormat="1" applyFont="1" applyFill="1" applyBorder="1" applyAlignment="1" applyProtection="1">
      <alignment vertical="center" shrinkToFit="1"/>
    </xf>
    <xf numFmtId="203" fontId="10" fillId="0" borderId="20" xfId="4" applyNumberFormat="1" applyFont="1" applyBorder="1" applyAlignment="1" applyProtection="1">
      <alignment horizontal="center" vertical="center"/>
    </xf>
    <xf numFmtId="0" fontId="11" fillId="0" borderId="43" xfId="4" applyFont="1" applyBorder="1" applyAlignment="1" applyProtection="1">
      <alignment horizontal="center" vertical="center" wrapText="1"/>
    </xf>
    <xf numFmtId="0" fontId="11" fillId="0" borderId="146" xfId="4" applyFont="1" applyBorder="1" applyAlignment="1" applyProtection="1">
      <alignment horizontal="center" vertical="center" wrapText="1"/>
    </xf>
    <xf numFmtId="176" fontId="11" fillId="0" borderId="173" xfId="4" applyNumberFormat="1" applyFont="1" applyFill="1" applyBorder="1" applyAlignment="1" applyProtection="1">
      <alignment horizontal="center" vertical="center" shrinkToFit="1"/>
    </xf>
    <xf numFmtId="176" fontId="11" fillId="0" borderId="174" xfId="4" applyNumberFormat="1" applyFont="1" applyFill="1" applyBorder="1" applyAlignment="1" applyProtection="1">
      <alignment horizontal="center" vertical="center" shrinkToFit="1"/>
    </xf>
    <xf numFmtId="176" fontId="11" fillId="0" borderId="175" xfId="4" applyNumberFormat="1" applyFont="1" applyFill="1" applyBorder="1" applyAlignment="1" applyProtection="1">
      <alignment horizontal="center" vertical="center" shrinkToFit="1"/>
    </xf>
    <xf numFmtId="191" fontId="11" fillId="0" borderId="22" xfId="4" applyNumberFormat="1" applyFont="1" applyFill="1" applyBorder="1" applyAlignment="1" applyProtection="1">
      <alignment vertical="center" wrapText="1"/>
    </xf>
    <xf numFmtId="191" fontId="11" fillId="0" borderId="1" xfId="4" applyNumberFormat="1" applyFont="1" applyFill="1" applyBorder="1" applyAlignment="1" applyProtection="1">
      <alignment vertical="center" wrapText="1"/>
    </xf>
    <xf numFmtId="176" fontId="11" fillId="0" borderId="22" xfId="4" applyNumberFormat="1" applyFont="1" applyFill="1" applyBorder="1" applyAlignment="1" applyProtection="1">
      <alignment vertical="center" shrinkToFit="1"/>
    </xf>
    <xf numFmtId="176" fontId="11" fillId="0" borderId="36" xfId="4" applyNumberFormat="1" applyFont="1" applyFill="1" applyBorder="1" applyAlignment="1" applyProtection="1">
      <alignment vertical="center" shrinkToFit="1"/>
    </xf>
    <xf numFmtId="0" fontId="11" fillId="0" borderId="45" xfId="4" applyFont="1" applyFill="1" applyBorder="1" applyAlignment="1" applyProtection="1">
      <alignment horizontal="center" vertical="center" shrinkToFit="1"/>
    </xf>
    <xf numFmtId="191" fontId="11" fillId="0" borderId="45" xfId="4" applyNumberFormat="1" applyFont="1" applyFill="1" applyBorder="1" applyAlignment="1" applyProtection="1">
      <alignment vertical="center" wrapText="1"/>
    </xf>
    <xf numFmtId="176" fontId="11" fillId="0" borderId="45" xfId="4" applyNumberFormat="1" applyFont="1" applyFill="1" applyBorder="1" applyAlignment="1" applyProtection="1">
      <alignment vertical="center" shrinkToFit="1"/>
    </xf>
    <xf numFmtId="0" fontId="11" fillId="0" borderId="177" xfId="4" applyFont="1" applyBorder="1" applyAlignment="1" applyProtection="1">
      <alignment horizontal="center" vertical="center"/>
    </xf>
    <xf numFmtId="192" fontId="11" fillId="0" borderId="6" xfId="4" applyNumberFormat="1" applyFont="1" applyFill="1" applyBorder="1" applyAlignment="1" applyProtection="1">
      <alignment vertical="center" wrapText="1"/>
    </xf>
    <xf numFmtId="191" fontId="11" fillId="0" borderId="6" xfId="4" applyNumberFormat="1" applyFont="1" applyFill="1" applyBorder="1" applyAlignment="1" applyProtection="1">
      <alignment vertical="center" wrapText="1"/>
    </xf>
    <xf numFmtId="0" fontId="11" fillId="0" borderId="93" xfId="4" applyFont="1" applyFill="1" applyBorder="1" applyAlignment="1" applyProtection="1">
      <alignment horizontal="center" vertical="center" shrinkToFit="1"/>
    </xf>
    <xf numFmtId="0" fontId="11" fillId="0" borderId="40" xfId="4" applyFont="1" applyFill="1" applyBorder="1" applyAlignment="1" applyProtection="1">
      <alignment horizontal="center" vertical="center" shrinkToFit="1"/>
    </xf>
    <xf numFmtId="191" fontId="11" fillId="0" borderId="93" xfId="4" applyNumberFormat="1" applyFont="1" applyFill="1" applyBorder="1" applyAlignment="1" applyProtection="1">
      <alignment vertical="center" wrapText="1"/>
    </xf>
    <xf numFmtId="191" fontId="11" fillId="0" borderId="40" xfId="4" applyNumberFormat="1" applyFont="1" applyFill="1" applyBorder="1" applyAlignment="1" applyProtection="1">
      <alignment vertical="center" wrapText="1"/>
    </xf>
    <xf numFmtId="176" fontId="11" fillId="0" borderId="40" xfId="4" applyNumberFormat="1" applyFont="1" applyFill="1" applyBorder="1" applyAlignment="1" applyProtection="1">
      <alignment vertical="center" shrinkToFit="1"/>
    </xf>
    <xf numFmtId="0" fontId="11" fillId="0" borderId="93" xfId="4" applyFont="1" applyBorder="1" applyAlignment="1" applyProtection="1">
      <alignment horizontal="center" vertical="center" wrapText="1"/>
    </xf>
    <xf numFmtId="176" fontId="11" fillId="0" borderId="93" xfId="4" applyNumberFormat="1" applyFont="1" applyFill="1" applyBorder="1" applyAlignment="1" applyProtection="1">
      <alignment vertical="center" shrinkToFit="1"/>
    </xf>
    <xf numFmtId="176" fontId="11" fillId="0" borderId="178" xfId="4" applyNumberFormat="1" applyFont="1" applyFill="1" applyBorder="1" applyAlignment="1" applyProtection="1">
      <alignment horizontal="center" vertical="center" shrinkToFit="1"/>
    </xf>
    <xf numFmtId="176" fontId="11" fillId="0" borderId="179" xfId="4" applyNumberFormat="1" applyFont="1" applyFill="1" applyBorder="1" applyAlignment="1" applyProtection="1">
      <alignment horizontal="center" vertical="center" shrinkToFit="1"/>
    </xf>
    <xf numFmtId="176" fontId="11" fillId="0" borderId="180" xfId="4" applyNumberFormat="1" applyFont="1" applyFill="1" applyBorder="1" applyAlignment="1" applyProtection="1">
      <alignment horizontal="center" vertical="center" shrinkToFit="1"/>
    </xf>
    <xf numFmtId="0" fontId="11" fillId="0" borderId="0" xfId="4" applyFont="1" applyBorder="1" applyAlignment="1" applyProtection="1">
      <alignment vertical="center"/>
    </xf>
    <xf numFmtId="194" fontId="10" fillId="0" borderId="12" xfId="4" applyNumberFormat="1" applyFont="1" applyFill="1" applyBorder="1" applyAlignment="1" applyProtection="1">
      <alignment vertical="center" shrinkToFit="1"/>
    </xf>
    <xf numFmtId="195" fontId="10" fillId="0" borderId="51" xfId="4" applyNumberFormat="1" applyFont="1" applyFill="1" applyBorder="1" applyAlignment="1" applyProtection="1">
      <alignment vertical="center" shrinkToFit="1"/>
    </xf>
    <xf numFmtId="0" fontId="11" fillId="0" borderId="35" xfId="4" applyFont="1" applyFill="1" applyBorder="1" applyAlignment="1" applyProtection="1">
      <alignment vertical="center"/>
    </xf>
    <xf numFmtId="0" fontId="11" fillId="0" borderId="1" xfId="4" applyFont="1" applyFill="1" applyBorder="1" applyAlignment="1" applyProtection="1">
      <alignment horizontal="center" vertical="center"/>
    </xf>
    <xf numFmtId="0" fontId="11" fillId="0" borderId="1" xfId="4" applyFont="1" applyFill="1" applyBorder="1" applyAlignment="1" applyProtection="1">
      <alignment horizontal="center" vertical="center" wrapText="1"/>
    </xf>
    <xf numFmtId="0" fontId="30" fillId="0" borderId="1" xfId="4" applyFont="1" applyFill="1" applyBorder="1" applyAlignment="1" applyProtection="1">
      <alignment horizontal="center" vertical="center"/>
    </xf>
    <xf numFmtId="0" fontId="11" fillId="0" borderId="186" xfId="4" applyFont="1" applyBorder="1" applyAlignment="1" applyProtection="1">
      <alignment horizontal="center" vertical="center"/>
    </xf>
    <xf numFmtId="0" fontId="11" fillId="0" borderId="78" xfId="4" applyFont="1" applyBorder="1" applyAlignment="1" applyProtection="1">
      <alignment horizontal="center" vertical="center"/>
    </xf>
    <xf numFmtId="0" fontId="11" fillId="0" borderId="78" xfId="4" applyFont="1" applyFill="1" applyBorder="1" applyAlignment="1" applyProtection="1">
      <alignment horizontal="center" vertical="center"/>
    </xf>
    <xf numFmtId="3" fontId="11" fillId="0" borderId="78" xfId="4" applyNumberFormat="1" applyFont="1" applyFill="1" applyBorder="1" applyAlignment="1" applyProtection="1">
      <alignment vertical="center"/>
    </xf>
    <xf numFmtId="176" fontId="11" fillId="0" borderId="78" xfId="4" applyNumberFormat="1" applyFont="1" applyFill="1" applyBorder="1" applyAlignment="1" applyProtection="1">
      <alignment vertical="center" shrinkToFit="1"/>
    </xf>
    <xf numFmtId="176" fontId="11" fillId="0" borderId="12" xfId="4" applyNumberFormat="1" applyFont="1" applyFill="1" applyBorder="1" applyAlignment="1" applyProtection="1">
      <alignment vertical="center" shrinkToFit="1"/>
    </xf>
    <xf numFmtId="0" fontId="11" fillId="0" borderId="78" xfId="4" applyFont="1" applyFill="1" applyBorder="1" applyAlignment="1" applyProtection="1">
      <alignment vertical="center"/>
    </xf>
    <xf numFmtId="176" fontId="11" fillId="0" borderId="77" xfId="4" applyNumberFormat="1" applyFont="1" applyFill="1" applyBorder="1" applyAlignment="1" applyProtection="1">
      <alignment vertical="center" shrinkToFit="1"/>
    </xf>
    <xf numFmtId="0" fontId="11" fillId="0" borderId="35" xfId="4" applyFont="1" applyBorder="1" applyAlignment="1" applyProtection="1">
      <alignment vertical="center"/>
    </xf>
    <xf numFmtId="176" fontId="11" fillId="0" borderId="36" xfId="4" applyNumberFormat="1" applyFont="1" applyFill="1" applyBorder="1" applyAlignment="1" applyProtection="1">
      <alignment vertical="center"/>
    </xf>
    <xf numFmtId="0" fontId="39" fillId="0" borderId="0" xfId="4" applyFont="1" applyProtection="1">
      <alignment vertical="center"/>
    </xf>
    <xf numFmtId="0" fontId="39" fillId="0" borderId="0" xfId="4" applyFont="1" applyBorder="1" applyProtection="1">
      <alignment vertical="center"/>
    </xf>
    <xf numFmtId="194" fontId="10" fillId="0" borderId="22" xfId="4" applyNumberFormat="1" applyFont="1" applyFill="1" applyBorder="1" applyAlignment="1" applyProtection="1">
      <alignment vertical="top" shrinkToFit="1"/>
    </xf>
    <xf numFmtId="195" fontId="10" fillId="0" borderId="10" xfId="4" applyNumberFormat="1" applyFont="1" applyFill="1" applyBorder="1" applyAlignment="1" applyProtection="1">
      <alignment vertical="top" shrinkToFit="1"/>
    </xf>
    <xf numFmtId="194" fontId="10" fillId="0" borderId="6" xfId="4" applyNumberFormat="1" applyFont="1" applyFill="1" applyBorder="1" applyAlignment="1" applyProtection="1">
      <alignment vertical="top" shrinkToFit="1"/>
    </xf>
    <xf numFmtId="195" fontId="10" fillId="0" borderId="20" xfId="4" applyNumberFormat="1" applyFont="1" applyFill="1" applyBorder="1" applyAlignment="1" applyProtection="1">
      <alignment vertical="top" shrinkToFit="1"/>
    </xf>
    <xf numFmtId="176" fontId="11" fillId="0" borderId="176" xfId="4" applyNumberFormat="1" applyFont="1" applyFill="1" applyBorder="1" applyAlignment="1" applyProtection="1">
      <alignment horizontal="center" vertical="center" shrinkToFit="1"/>
    </xf>
    <xf numFmtId="176" fontId="11" fillId="0" borderId="172" xfId="4" applyNumberFormat="1" applyFont="1" applyFill="1" applyBorder="1" applyAlignment="1" applyProtection="1">
      <alignment horizontal="center" vertical="center" shrinkToFit="1"/>
    </xf>
    <xf numFmtId="176" fontId="11" fillId="0" borderId="188" xfId="4" applyNumberFormat="1" applyFont="1" applyFill="1" applyBorder="1" applyAlignment="1" applyProtection="1">
      <alignment horizontal="center" vertical="center" shrinkToFit="1"/>
    </xf>
    <xf numFmtId="3" fontId="11" fillId="0" borderId="179" xfId="4" applyNumberFormat="1" applyFont="1" applyFill="1" applyBorder="1" applyAlignment="1" applyProtection="1">
      <alignment horizontal="center" vertical="center" shrinkToFit="1"/>
    </xf>
    <xf numFmtId="3" fontId="11" fillId="0" borderId="18" xfId="4" applyNumberFormat="1" applyFont="1" applyFill="1" applyBorder="1" applyAlignment="1" applyProtection="1">
      <alignment horizontal="center" vertical="center" shrinkToFit="1"/>
    </xf>
    <xf numFmtId="3" fontId="11" fillId="0" borderId="174" xfId="4" applyNumberFormat="1" applyFont="1" applyFill="1" applyBorder="1" applyAlignment="1" applyProtection="1">
      <alignment horizontal="center" vertical="center" shrinkToFit="1"/>
    </xf>
    <xf numFmtId="3" fontId="11" fillId="0" borderId="172" xfId="4" applyNumberFormat="1" applyFont="1" applyFill="1" applyBorder="1" applyAlignment="1" applyProtection="1">
      <alignment horizontal="center" vertical="center" shrinkToFit="1"/>
    </xf>
    <xf numFmtId="176" fontId="10" fillId="0" borderId="20" xfId="4" applyNumberFormat="1" applyFont="1" applyFill="1" applyBorder="1" applyAlignment="1" applyProtection="1">
      <alignment vertical="top" shrinkToFit="1"/>
    </xf>
    <xf numFmtId="177" fontId="10" fillId="0" borderId="1" xfId="0" applyNumberFormat="1" applyFont="1" applyFill="1" applyBorder="1" applyAlignment="1" applyProtection="1">
      <alignment horizontal="center" vertical="center" shrinkToFit="1"/>
    </xf>
    <xf numFmtId="0" fontId="22" fillId="2" borderId="1" xfId="10" applyFont="1" applyFill="1" applyBorder="1" applyAlignment="1" applyProtection="1">
      <alignment horizontal="center" vertical="center" shrinkToFit="1"/>
      <protection locked="0"/>
    </xf>
    <xf numFmtId="0" fontId="22" fillId="2" borderId="2" xfId="10" applyFont="1" applyFill="1" applyBorder="1" applyAlignment="1" applyProtection="1">
      <alignment horizontal="center" vertical="center" shrinkToFit="1"/>
      <protection locked="0"/>
    </xf>
    <xf numFmtId="178" fontId="10" fillId="2" borderId="1" xfId="10" applyNumberFormat="1" applyFont="1" applyFill="1" applyBorder="1" applyAlignment="1" applyProtection="1">
      <alignment horizontal="center" vertical="center" shrinkToFit="1"/>
      <protection locked="0"/>
    </xf>
    <xf numFmtId="224" fontId="10" fillId="2" borderId="1" xfId="10" applyNumberFormat="1" applyFont="1" applyFill="1" applyBorder="1" applyAlignment="1" applyProtection="1">
      <alignment horizontal="right" vertical="center" shrinkToFit="1"/>
      <protection locked="0"/>
    </xf>
    <xf numFmtId="176" fontId="11" fillId="0" borderId="7" xfId="0" applyNumberFormat="1" applyFont="1" applyBorder="1" applyAlignment="1">
      <alignment vertical="center"/>
    </xf>
    <xf numFmtId="176" fontId="0" fillId="0" borderId="8" xfId="0" applyNumberFormat="1" applyBorder="1" applyAlignment="1">
      <alignment vertical="center"/>
    </xf>
    <xf numFmtId="176" fontId="0" fillId="0" borderId="9" xfId="0" applyNumberFormat="1" applyBorder="1" applyAlignment="1">
      <alignment vertical="center"/>
    </xf>
    <xf numFmtId="0" fontId="29" fillId="0" borderId="1" xfId="0" applyFont="1" applyBorder="1" applyAlignment="1" applyProtection="1">
      <alignment vertical="center" shrinkToFit="1"/>
    </xf>
    <xf numFmtId="0" fontId="19" fillId="0" borderId="0" xfId="0" applyFont="1" applyAlignment="1" applyProtection="1">
      <alignment vertical="center"/>
    </xf>
    <xf numFmtId="0" fontId="12" fillId="0" borderId="1" xfId="0" applyFont="1" applyBorder="1" applyAlignment="1" applyProtection="1">
      <alignment vertical="center"/>
    </xf>
    <xf numFmtId="0" fontId="19" fillId="0" borderId="0" xfId="0" applyFont="1" applyAlignment="1" applyProtection="1">
      <alignment horizontal="center" vertical="center"/>
    </xf>
    <xf numFmtId="0" fontId="12" fillId="0" borderId="6" xfId="0" applyFont="1" applyBorder="1" applyAlignment="1" applyProtection="1">
      <alignment vertical="center"/>
    </xf>
    <xf numFmtId="0" fontId="29" fillId="0" borderId="2" xfId="0" applyFont="1" applyBorder="1" applyAlignment="1" applyProtection="1">
      <alignment vertical="center" shrinkToFit="1"/>
    </xf>
    <xf numFmtId="14" fontId="12" fillId="0" borderId="183" xfId="0" applyNumberFormat="1" applyFont="1" applyBorder="1" applyAlignment="1" applyProtection="1">
      <alignment vertical="center"/>
    </xf>
    <xf numFmtId="14" fontId="12" fillId="0" borderId="184" xfId="0" applyNumberFormat="1" applyFont="1" applyBorder="1" applyAlignment="1" applyProtection="1">
      <alignment vertical="center"/>
    </xf>
    <xf numFmtId="14" fontId="12" fillId="0" borderId="185" xfId="0" applyNumberFormat="1" applyFont="1" applyBorder="1" applyAlignment="1" applyProtection="1">
      <alignment vertical="center"/>
    </xf>
    <xf numFmtId="0" fontId="12" fillId="0" borderId="10" xfId="0" applyFont="1" applyBorder="1" applyAlignment="1" applyProtection="1">
      <alignment vertical="center"/>
    </xf>
    <xf numFmtId="0" fontId="47" fillId="0" borderId="0" xfId="8" applyFont="1" applyAlignment="1" applyProtection="1">
      <alignment horizontal="center"/>
    </xf>
    <xf numFmtId="0" fontId="28" fillId="0" borderId="0" xfId="8" applyFont="1" applyAlignment="1" applyProtection="1">
      <alignment horizontal="center"/>
    </xf>
    <xf numFmtId="0" fontId="47" fillId="0" borderId="0" xfId="8" applyFont="1" applyAlignment="1" applyProtection="1">
      <alignment horizontal="left"/>
    </xf>
    <xf numFmtId="176" fontId="47" fillId="0" borderId="0" xfId="8" applyNumberFormat="1" applyFont="1" applyProtection="1"/>
    <xf numFmtId="206" fontId="47" fillId="0" borderId="0" xfId="8" applyNumberFormat="1" applyFont="1" applyProtection="1"/>
    <xf numFmtId="0" fontId="47" fillId="0" borderId="0" xfId="8" applyFont="1" applyAlignment="1" applyProtection="1">
      <alignment horizontal="center" wrapText="1"/>
    </xf>
    <xf numFmtId="0" fontId="47" fillId="0" borderId="0" xfId="8" applyFont="1" applyAlignment="1" applyProtection="1">
      <alignment wrapText="1"/>
    </xf>
    <xf numFmtId="204" fontId="47" fillId="0" borderId="0" xfId="8" applyNumberFormat="1" applyFont="1" applyProtection="1"/>
    <xf numFmtId="204" fontId="47" fillId="0" borderId="0" xfId="8" applyNumberFormat="1" applyFont="1" applyAlignment="1" applyProtection="1">
      <alignment horizontal="center"/>
    </xf>
    <xf numFmtId="0" fontId="47" fillId="0" borderId="0" xfId="8" applyFont="1" applyAlignment="1" applyProtection="1"/>
    <xf numFmtId="0" fontId="47" fillId="0" borderId="2" xfId="8" applyFont="1" applyBorder="1" applyAlignment="1" applyProtection="1"/>
    <xf numFmtId="0" fontId="0" fillId="0" borderId="0" xfId="0" applyAlignment="1" applyProtection="1">
      <alignment horizontal="left" vertical="center"/>
    </xf>
    <xf numFmtId="0" fontId="50" fillId="0" borderId="0" xfId="9" applyFont="1" applyAlignment="1" applyProtection="1">
      <alignment horizontal="left" wrapText="1"/>
    </xf>
    <xf numFmtId="204" fontId="47" fillId="0" borderId="1" xfId="8" applyNumberFormat="1" applyFont="1" applyBorder="1" applyAlignment="1" applyProtection="1">
      <alignment horizontal="center"/>
    </xf>
    <xf numFmtId="204" fontId="47" fillId="0" borderId="0" xfId="8" applyNumberFormat="1" applyFont="1" applyAlignment="1" applyProtection="1">
      <alignment shrinkToFit="1"/>
    </xf>
    <xf numFmtId="20" fontId="47" fillId="0" borderId="0" xfId="8" applyNumberFormat="1" applyFont="1" applyProtection="1"/>
    <xf numFmtId="0" fontId="15" fillId="0" borderId="0" xfId="8" applyFont="1" applyAlignment="1" applyProtection="1">
      <alignment horizontal="center" vertical="center"/>
    </xf>
    <xf numFmtId="0" fontId="15" fillId="0" borderId="0" xfId="8" applyFont="1" applyAlignment="1" applyProtection="1">
      <alignment horizontal="center"/>
    </xf>
    <xf numFmtId="0" fontId="15" fillId="0" borderId="100" xfId="8" applyFont="1" applyBorder="1" applyAlignment="1" applyProtection="1">
      <alignment horizontal="center" vertical="center" shrinkToFit="1"/>
    </xf>
    <xf numFmtId="0" fontId="15" fillId="0" borderId="114" xfId="8" applyFont="1" applyBorder="1" applyAlignment="1" applyProtection="1">
      <alignment horizontal="center" vertical="center" shrinkToFit="1"/>
    </xf>
    <xf numFmtId="0" fontId="15" fillId="0" borderId="2" xfId="8" applyFont="1" applyBorder="1" applyAlignment="1" applyProtection="1">
      <alignment horizontal="center" vertical="center" shrinkToFit="1"/>
    </xf>
    <xf numFmtId="0" fontId="15" fillId="0" borderId="48" xfId="8" applyFont="1" applyBorder="1" applyAlignment="1" applyProtection="1">
      <alignment horizontal="center" vertical="center" shrinkToFit="1"/>
    </xf>
    <xf numFmtId="0" fontId="15" fillId="0" borderId="6" xfId="8" applyFont="1" applyBorder="1" applyAlignment="1" applyProtection="1">
      <alignment horizontal="center" vertical="center" shrinkToFit="1"/>
    </xf>
    <xf numFmtId="0" fontId="15" fillId="0" borderId="115" xfId="8" applyFont="1" applyBorder="1" applyAlignment="1" applyProtection="1">
      <alignment horizontal="center" vertical="center" shrinkToFit="1"/>
    </xf>
    <xf numFmtId="0" fontId="15" fillId="0" borderId="13" xfId="8" applyFont="1" applyBorder="1" applyAlignment="1" applyProtection="1">
      <alignment horizontal="center" vertical="center" shrinkToFit="1"/>
    </xf>
    <xf numFmtId="0" fontId="15" fillId="0" borderId="118" xfId="8" applyFont="1" applyBorder="1" applyAlignment="1" applyProtection="1">
      <alignment horizontal="center" vertical="center" shrinkToFit="1"/>
    </xf>
    <xf numFmtId="0" fontId="15" fillId="0" borderId="74" xfId="8" applyFont="1" applyBorder="1" applyAlignment="1" applyProtection="1">
      <alignment horizontal="center" vertical="center" shrinkToFit="1"/>
    </xf>
    <xf numFmtId="0" fontId="15" fillId="0" borderId="119" xfId="8" applyFont="1" applyBorder="1" applyAlignment="1" applyProtection="1">
      <alignment horizontal="center" vertical="center" shrinkToFit="1"/>
    </xf>
    <xf numFmtId="0" fontId="15" fillId="0" borderId="72" xfId="8" applyFont="1" applyBorder="1" applyAlignment="1" applyProtection="1">
      <alignment horizontal="center" vertical="center" shrinkToFit="1"/>
    </xf>
    <xf numFmtId="0" fontId="15" fillId="0" borderId="121" xfId="9" applyFont="1" applyBorder="1" applyAlignment="1" applyProtection="1">
      <alignment horizontal="center" vertical="center"/>
    </xf>
    <xf numFmtId="0" fontId="15" fillId="0" borderId="118" xfId="8" applyFont="1" applyFill="1" applyBorder="1" applyAlignment="1" applyProtection="1">
      <alignment horizontal="center" vertical="center" shrinkToFit="1"/>
    </xf>
    <xf numFmtId="0" fontId="15" fillId="0" borderId="40" xfId="8" applyFont="1" applyFill="1" applyBorder="1" applyAlignment="1" applyProtection="1">
      <alignment horizontal="center" vertical="center" shrinkToFit="1"/>
    </xf>
    <xf numFmtId="0" fontId="15" fillId="0" borderId="72" xfId="8" applyFont="1" applyFill="1" applyBorder="1" applyAlignment="1" applyProtection="1">
      <alignment horizontal="center" vertical="center" shrinkToFit="1"/>
    </xf>
    <xf numFmtId="0" fontId="15" fillId="0" borderId="128" xfId="8" applyFont="1" applyFill="1" applyBorder="1" applyAlignment="1" applyProtection="1">
      <alignment horizontal="center" vertical="center" shrinkToFit="1"/>
    </xf>
    <xf numFmtId="209" fontId="15" fillId="4" borderId="48" xfId="8" applyNumberFormat="1" applyFont="1" applyFill="1" applyBorder="1" applyAlignment="1" applyProtection="1">
      <alignment horizontal="center" vertical="center" shrinkToFit="1"/>
    </xf>
    <xf numFmtId="209" fontId="15" fillId="4" borderId="6" xfId="8" applyNumberFormat="1" applyFont="1" applyFill="1" applyBorder="1" applyAlignment="1" applyProtection="1">
      <alignment horizontal="center" vertical="center" shrinkToFit="1"/>
    </xf>
    <xf numFmtId="209" fontId="15" fillId="4" borderId="115" xfId="8" applyNumberFormat="1" applyFont="1" applyFill="1" applyBorder="1" applyAlignment="1" applyProtection="1">
      <alignment horizontal="center" vertical="center" shrinkToFit="1"/>
    </xf>
    <xf numFmtId="209" fontId="15" fillId="4" borderId="13" xfId="8" applyNumberFormat="1" applyFont="1" applyFill="1" applyBorder="1" applyAlignment="1" applyProtection="1">
      <alignment horizontal="center" vertical="center" shrinkToFit="1"/>
    </xf>
    <xf numFmtId="0" fontId="15" fillId="0" borderId="88" xfId="9" applyFont="1" applyBorder="1" applyAlignment="1" applyProtection="1">
      <alignment horizontal="center" vertical="center"/>
    </xf>
    <xf numFmtId="209" fontId="15" fillId="0" borderId="100" xfId="8" applyNumberFormat="1" applyFont="1" applyBorder="1" applyAlignment="1" applyProtection="1">
      <alignment horizontal="center" vertical="center" shrinkToFit="1"/>
    </xf>
    <xf numFmtId="209" fontId="15" fillId="0" borderId="1" xfId="8" applyNumberFormat="1" applyFont="1" applyBorder="1" applyAlignment="1" applyProtection="1">
      <alignment horizontal="center" vertical="center" shrinkToFit="1"/>
    </xf>
    <xf numFmtId="209" fontId="15" fillId="0" borderId="114" xfId="8" applyNumberFormat="1" applyFont="1" applyBorder="1" applyAlignment="1" applyProtection="1">
      <alignment horizontal="center" vertical="center" shrinkToFit="1"/>
    </xf>
    <xf numFmtId="209" fontId="15" fillId="0" borderId="4" xfId="8" applyNumberFormat="1" applyFont="1" applyBorder="1" applyAlignment="1" applyProtection="1">
      <alignment horizontal="center" vertical="center" shrinkToFit="1"/>
    </xf>
    <xf numFmtId="209" fontId="15" fillId="0" borderId="2" xfId="8" applyNumberFormat="1" applyFont="1" applyBorder="1" applyAlignment="1" applyProtection="1">
      <alignment horizontal="center" vertical="center" shrinkToFit="1"/>
    </xf>
    <xf numFmtId="0" fontId="4" fillId="0" borderId="0" xfId="9" applyAlignment="1" applyProtection="1">
      <alignment horizontal="center" shrinkToFit="1"/>
    </xf>
    <xf numFmtId="209" fontId="15" fillId="0" borderId="118" xfId="8" applyNumberFormat="1" applyFont="1" applyFill="1" applyBorder="1" applyAlignment="1" applyProtection="1">
      <alignment horizontal="center" vertical="center" shrinkToFit="1"/>
    </xf>
    <xf numFmtId="209" fontId="15" fillId="0" borderId="40" xfId="8" applyNumberFormat="1" applyFont="1" applyFill="1" applyBorder="1" applyAlignment="1" applyProtection="1">
      <alignment horizontal="center" vertical="center" shrinkToFit="1"/>
    </xf>
    <xf numFmtId="209" fontId="15" fillId="0" borderId="160" xfId="8" applyNumberFormat="1" applyFont="1" applyFill="1" applyBorder="1" applyAlignment="1" applyProtection="1">
      <alignment horizontal="center" vertical="center" shrinkToFit="1"/>
    </xf>
    <xf numFmtId="209" fontId="15" fillId="0" borderId="74" xfId="8" applyNumberFormat="1" applyFont="1" applyFill="1" applyBorder="1" applyAlignment="1" applyProtection="1">
      <alignment horizontal="center" vertical="center" shrinkToFit="1"/>
    </xf>
    <xf numFmtId="14" fontId="47" fillId="0" borderId="0" xfId="8" applyNumberFormat="1" applyFont="1" applyAlignment="1" applyProtection="1">
      <alignment horizontal="justify"/>
    </xf>
    <xf numFmtId="213" fontId="47" fillId="0" borderId="0" xfId="8" applyNumberFormat="1" applyFont="1" applyProtection="1"/>
    <xf numFmtId="214" fontId="47" fillId="0" borderId="0" xfId="8" applyNumberFormat="1" applyFont="1" applyProtection="1"/>
    <xf numFmtId="213" fontId="47" fillId="8" borderId="0" xfId="8" applyNumberFormat="1" applyFont="1" applyFill="1" applyProtection="1"/>
    <xf numFmtId="14" fontId="15" fillId="0" borderId="0" xfId="8" applyNumberFormat="1" applyFont="1" applyAlignment="1" applyProtection="1">
      <alignment horizontal="justify" vertical="center"/>
    </xf>
    <xf numFmtId="176" fontId="15" fillId="0" borderId="0" xfId="8" applyNumberFormat="1" applyFont="1" applyAlignment="1" applyProtection="1">
      <alignment vertical="center"/>
    </xf>
    <xf numFmtId="213" fontId="15" fillId="0" borderId="0" xfId="8" applyNumberFormat="1" applyFont="1" applyAlignment="1" applyProtection="1">
      <alignment vertical="center"/>
    </xf>
    <xf numFmtId="214" fontId="15" fillId="0" borderId="0" xfId="8" applyNumberFormat="1" applyFont="1" applyAlignment="1" applyProtection="1">
      <alignment vertical="center"/>
    </xf>
    <xf numFmtId="213" fontId="15" fillId="8" borderId="0" xfId="8" applyNumberFormat="1" applyFont="1" applyFill="1" applyAlignment="1" applyProtection="1">
      <alignment vertical="center"/>
    </xf>
    <xf numFmtId="0" fontId="4" fillId="0" borderId="0" xfId="9" applyAlignment="1" applyProtection="1"/>
    <xf numFmtId="0" fontId="47" fillId="0" borderId="1" xfId="8" applyFont="1" applyBorder="1" applyProtection="1"/>
    <xf numFmtId="0" fontId="47" fillId="0" borderId="1" xfId="8" applyFont="1" applyBorder="1" applyAlignment="1" applyProtection="1">
      <alignment horizontal="center"/>
    </xf>
    <xf numFmtId="49" fontId="47" fillId="0" borderId="1" xfId="8" applyNumberFormat="1" applyFont="1" applyBorder="1" applyAlignment="1" applyProtection="1">
      <alignment horizontal="center"/>
    </xf>
    <xf numFmtId="14" fontId="47" fillId="0" borderId="1" xfId="8" applyNumberFormat="1" applyFont="1" applyBorder="1" applyAlignment="1" applyProtection="1">
      <alignment horizontal="left"/>
    </xf>
    <xf numFmtId="0" fontId="47" fillId="0" borderId="1" xfId="8" applyFont="1" applyBorder="1" applyAlignment="1" applyProtection="1">
      <alignment horizontal="left"/>
    </xf>
    <xf numFmtId="214" fontId="47" fillId="0" borderId="1" xfId="8" applyNumberFormat="1" applyFont="1" applyBorder="1" applyProtection="1"/>
    <xf numFmtId="20" fontId="47" fillId="0" borderId="1" xfId="8" applyNumberFormat="1" applyFont="1" applyBorder="1" applyProtection="1"/>
    <xf numFmtId="0" fontId="15" fillId="2" borderId="122" xfId="8" applyFont="1" applyFill="1" applyBorder="1" applyAlignment="1" applyProtection="1">
      <alignment horizontal="center" vertical="center" shrinkToFit="1"/>
      <protection locked="0"/>
    </xf>
    <xf numFmtId="0" fontId="15" fillId="2" borderId="11" xfId="8" applyFont="1" applyFill="1" applyBorder="1" applyAlignment="1" applyProtection="1">
      <alignment horizontal="center" vertical="center" shrinkToFit="1"/>
      <protection locked="0"/>
    </xf>
    <xf numFmtId="0" fontId="15" fillId="2" borderId="123" xfId="8" applyFont="1" applyFill="1" applyBorder="1" applyAlignment="1" applyProtection="1">
      <alignment horizontal="center" vertical="center" shrinkToFit="1"/>
      <protection locked="0"/>
    </xf>
    <xf numFmtId="0" fontId="15" fillId="2" borderId="69" xfId="8" applyFont="1" applyFill="1" applyBorder="1" applyAlignment="1" applyProtection="1">
      <alignment horizontal="center" vertical="center" shrinkToFit="1"/>
      <protection locked="0"/>
    </xf>
    <xf numFmtId="0" fontId="15" fillId="2" borderId="48" xfId="8" applyFont="1" applyFill="1" applyBorder="1" applyAlignment="1" applyProtection="1">
      <alignment horizontal="center" vertical="center" shrinkToFit="1"/>
      <protection locked="0"/>
    </xf>
    <xf numFmtId="0" fontId="15" fillId="2" borderId="6" xfId="8" applyFont="1" applyFill="1" applyBorder="1" applyAlignment="1" applyProtection="1">
      <alignment horizontal="center" vertical="center" shrinkToFit="1"/>
      <protection locked="0"/>
    </xf>
    <xf numFmtId="0" fontId="15" fillId="2" borderId="115" xfId="8" applyFont="1" applyFill="1" applyBorder="1" applyAlignment="1" applyProtection="1">
      <alignment horizontal="center" vertical="center" shrinkToFit="1"/>
      <protection locked="0"/>
    </xf>
    <xf numFmtId="0" fontId="15" fillId="2" borderId="13" xfId="8" applyFont="1" applyFill="1" applyBorder="1" applyAlignment="1" applyProtection="1">
      <alignment horizontal="center" vertical="center" shrinkToFit="1"/>
      <protection locked="0"/>
    </xf>
    <xf numFmtId="209" fontId="15" fillId="2" borderId="49" xfId="8" applyNumberFormat="1" applyFont="1" applyFill="1" applyBorder="1" applyAlignment="1" applyProtection="1">
      <alignment horizontal="center" vertical="center" shrinkToFit="1"/>
      <protection locked="0"/>
    </xf>
    <xf numFmtId="209" fontId="15" fillId="2" borderId="12" xfId="8" applyNumberFormat="1" applyFont="1" applyFill="1" applyBorder="1" applyAlignment="1" applyProtection="1">
      <alignment horizontal="center" vertical="center" shrinkToFit="1"/>
      <protection locked="0"/>
    </xf>
    <xf numFmtId="209" fontId="15" fillId="2" borderId="50" xfId="8" applyNumberFormat="1" applyFont="1" applyFill="1" applyBorder="1" applyAlignment="1" applyProtection="1">
      <alignment horizontal="center" vertical="center" shrinkToFit="1"/>
      <protection locked="0"/>
    </xf>
    <xf numFmtId="209" fontId="15" fillId="2" borderId="76" xfId="8" applyNumberFormat="1" applyFont="1" applyFill="1" applyBorder="1" applyAlignment="1" applyProtection="1">
      <alignment horizontal="center" vertical="center" shrinkToFit="1"/>
      <protection locked="0"/>
    </xf>
    <xf numFmtId="209" fontId="15" fillId="2" borderId="104" xfId="8" applyNumberFormat="1" applyFont="1" applyFill="1" applyBorder="1" applyAlignment="1" applyProtection="1">
      <alignment horizontal="center" vertical="center" shrinkToFit="1"/>
      <protection locked="0"/>
    </xf>
    <xf numFmtId="209" fontId="15" fillId="2" borderId="105" xfId="8" applyNumberFormat="1" applyFont="1" applyFill="1" applyBorder="1" applyAlignment="1" applyProtection="1">
      <alignment horizontal="center" vertical="center" shrinkToFit="1"/>
      <protection locked="0"/>
    </xf>
    <xf numFmtId="209" fontId="15" fillId="2" borderId="132" xfId="8" applyNumberFormat="1" applyFont="1" applyFill="1" applyBorder="1" applyAlignment="1" applyProtection="1">
      <alignment horizontal="center" vertical="center" shrinkToFit="1"/>
      <protection locked="0"/>
    </xf>
    <xf numFmtId="209" fontId="15" fillId="2" borderId="106" xfId="8" applyNumberFormat="1" applyFont="1" applyFill="1" applyBorder="1" applyAlignment="1" applyProtection="1">
      <alignment horizontal="center" vertical="center" shrinkToFit="1"/>
      <protection locked="0"/>
    </xf>
    <xf numFmtId="0" fontId="10" fillId="2" borderId="122" xfId="8" applyFont="1" applyFill="1" applyBorder="1" applyAlignment="1" applyProtection="1">
      <alignment horizontal="center" vertical="center" shrinkToFit="1"/>
      <protection locked="0"/>
    </xf>
    <xf numFmtId="0" fontId="10" fillId="2" borderId="11" xfId="8" applyFont="1" applyFill="1" applyBorder="1" applyAlignment="1" applyProtection="1">
      <alignment horizontal="center" vertical="center" shrinkToFit="1"/>
      <protection locked="0"/>
    </xf>
    <xf numFmtId="0" fontId="10" fillId="2" borderId="69" xfId="8" applyFont="1" applyFill="1" applyBorder="1" applyAlignment="1" applyProtection="1">
      <alignment horizontal="center" vertical="center" shrinkToFit="1"/>
      <protection locked="0"/>
    </xf>
    <xf numFmtId="0" fontId="10" fillId="2" borderId="123" xfId="8" applyFont="1" applyFill="1" applyBorder="1" applyAlignment="1" applyProtection="1">
      <alignment horizontal="center" vertical="center" shrinkToFit="1"/>
      <protection locked="0"/>
    </xf>
    <xf numFmtId="0" fontId="10" fillId="2" borderId="48" xfId="8" applyFont="1" applyFill="1" applyBorder="1" applyAlignment="1" applyProtection="1">
      <alignment horizontal="center" vertical="center" shrinkToFit="1"/>
      <protection locked="0"/>
    </xf>
    <xf numFmtId="0" fontId="10" fillId="2" borderId="6" xfId="8" applyFont="1" applyFill="1" applyBorder="1" applyAlignment="1" applyProtection="1">
      <alignment horizontal="center" vertical="center" shrinkToFit="1"/>
      <protection locked="0"/>
    </xf>
    <xf numFmtId="0" fontId="10" fillId="2" borderId="13" xfId="8" applyFont="1" applyFill="1" applyBorder="1" applyAlignment="1" applyProtection="1">
      <alignment horizontal="center" vertical="center" shrinkToFit="1"/>
      <protection locked="0"/>
    </xf>
    <xf numFmtId="0" fontId="10" fillId="2" borderId="115" xfId="8" applyFont="1" applyFill="1" applyBorder="1" applyAlignment="1" applyProtection="1">
      <alignment horizontal="center" vertical="center" shrinkToFit="1"/>
      <protection locked="0"/>
    </xf>
    <xf numFmtId="0" fontId="19" fillId="0" borderId="0" xfId="8" applyFont="1" applyAlignment="1" applyProtection="1">
      <alignment horizontal="center" vertical="center"/>
    </xf>
    <xf numFmtId="0" fontId="47" fillId="0" borderId="0" xfId="8" applyFont="1" applyAlignment="1" applyProtection="1">
      <alignment vertical="center"/>
    </xf>
    <xf numFmtId="0" fontId="47" fillId="0" borderId="0" xfId="8" applyFont="1" applyAlignment="1" applyProtection="1">
      <alignment vertical="center" wrapText="1"/>
    </xf>
    <xf numFmtId="0" fontId="47" fillId="0" borderId="0" xfId="8" applyFont="1" applyBorder="1" applyAlignment="1" applyProtection="1">
      <alignment horizontal="center" vertical="center"/>
    </xf>
    <xf numFmtId="0" fontId="4" fillId="0" borderId="0" xfId="9" applyFill="1" applyBorder="1" applyAlignment="1" applyProtection="1">
      <alignment horizontal="left" wrapText="1"/>
    </xf>
    <xf numFmtId="0" fontId="50" fillId="0" borderId="0" xfId="9" applyFont="1" applyFill="1" applyBorder="1" applyAlignment="1" applyProtection="1">
      <alignment horizontal="left" wrapText="1"/>
    </xf>
    <xf numFmtId="0" fontId="51" fillId="0" borderId="0" xfId="8" applyFont="1" applyAlignment="1" applyProtection="1">
      <alignment horizontal="center"/>
    </xf>
    <xf numFmtId="0" fontId="47" fillId="0" borderId="0" xfId="8" applyFont="1" applyFill="1" applyBorder="1" applyAlignment="1" applyProtection="1">
      <alignment horizontal="center"/>
    </xf>
    <xf numFmtId="0" fontId="52" fillId="0" borderId="0" xfId="8" applyFont="1" applyAlignment="1" applyProtection="1">
      <alignment horizontal="center"/>
    </xf>
    <xf numFmtId="0" fontId="10" fillId="0" borderId="48" xfId="8" applyFont="1" applyBorder="1" applyAlignment="1" applyProtection="1">
      <alignment horizontal="center" vertical="center" shrinkToFit="1"/>
    </xf>
    <xf numFmtId="0" fontId="10" fillId="0" borderId="6" xfId="8" applyFont="1" applyBorder="1" applyAlignment="1" applyProtection="1">
      <alignment horizontal="center" vertical="center" shrinkToFit="1"/>
    </xf>
    <xf numFmtId="0" fontId="4" fillId="0" borderId="0" xfId="9" applyFill="1" applyBorder="1" applyAlignment="1" applyProtection="1">
      <alignment horizontal="center"/>
    </xf>
    <xf numFmtId="0" fontId="10" fillId="0" borderId="104" xfId="8" applyFont="1" applyFill="1" applyBorder="1" applyAlignment="1" applyProtection="1">
      <alignment horizontal="center" vertical="center" shrinkToFit="1"/>
    </xf>
    <xf numFmtId="0" fontId="10" fillId="0" borderId="132" xfId="8" applyFont="1" applyFill="1" applyBorder="1" applyAlignment="1" applyProtection="1">
      <alignment horizontal="center" vertical="center" shrinkToFit="1"/>
    </xf>
    <xf numFmtId="0" fontId="11" fillId="0" borderId="0" xfId="8" applyFont="1" applyFill="1" applyBorder="1" applyAlignment="1" applyProtection="1">
      <alignment horizontal="center"/>
    </xf>
    <xf numFmtId="0" fontId="11" fillId="0" borderId="0" xfId="9" applyFont="1" applyFill="1" applyBorder="1" applyAlignment="1" applyProtection="1"/>
    <xf numFmtId="0" fontId="11" fillId="0" borderId="0" xfId="8" applyFont="1" applyFill="1" applyBorder="1" applyAlignment="1" applyProtection="1">
      <alignment horizontal="center" shrinkToFit="1"/>
    </xf>
    <xf numFmtId="0" fontId="11" fillId="0" borderId="0" xfId="9" applyFont="1" applyFill="1" applyBorder="1" applyAlignment="1" applyProtection="1">
      <alignment horizontal="center" shrinkToFit="1"/>
    </xf>
    <xf numFmtId="204" fontId="11" fillId="0" borderId="0" xfId="8" applyNumberFormat="1" applyFont="1" applyFill="1" applyBorder="1" applyAlignment="1" applyProtection="1">
      <alignment horizontal="center" shrinkToFit="1"/>
    </xf>
    <xf numFmtId="204" fontId="14" fillId="0" borderId="0" xfId="9" applyNumberFormat="1" applyFont="1" applyFill="1" applyBorder="1" applyAlignment="1" applyProtection="1">
      <alignment horizontal="center" shrinkToFit="1"/>
    </xf>
    <xf numFmtId="204" fontId="11" fillId="0" borderId="0" xfId="8" applyNumberFormat="1" applyFont="1" applyFill="1" applyBorder="1" applyAlignment="1" applyProtection="1">
      <alignment horizontal="center" vertical="center" shrinkToFit="1"/>
    </xf>
    <xf numFmtId="204" fontId="14" fillId="0" borderId="0" xfId="9" applyNumberFormat="1" applyFont="1" applyFill="1" applyBorder="1" applyAlignment="1" applyProtection="1">
      <alignment horizontal="center" vertical="center" shrinkToFit="1"/>
    </xf>
    <xf numFmtId="0" fontId="15" fillId="0" borderId="0" xfId="8" applyFont="1" applyFill="1" applyBorder="1" applyAlignment="1" applyProtection="1">
      <alignment horizontal="center"/>
    </xf>
    <xf numFmtId="205" fontId="15" fillId="0" borderId="0" xfId="8" applyNumberFormat="1" applyFont="1" applyFill="1" applyBorder="1" applyAlignment="1" applyProtection="1">
      <alignment horizontal="center"/>
    </xf>
    <xf numFmtId="205" fontId="18" fillId="0" borderId="0" xfId="9" applyNumberFormat="1" applyFont="1" applyFill="1" applyBorder="1" applyAlignment="1" applyProtection="1">
      <alignment horizontal="center"/>
    </xf>
    <xf numFmtId="0" fontId="18" fillId="0" borderId="0" xfId="9" applyFont="1" applyFill="1" applyBorder="1" applyAlignment="1" applyProtection="1">
      <alignment horizontal="center"/>
    </xf>
    <xf numFmtId="0" fontId="4" fillId="0" borderId="0" xfId="9" applyFill="1" applyAlignment="1" applyProtection="1">
      <alignment horizontal="center" vertical="center"/>
    </xf>
    <xf numFmtId="0" fontId="21" fillId="0" borderId="1" xfId="9" applyFont="1" applyFill="1" applyBorder="1" applyAlignment="1" applyProtection="1">
      <alignment horizontal="center" vertical="center"/>
    </xf>
    <xf numFmtId="0" fontId="41" fillId="0" borderId="0" xfId="8" applyFont="1" applyBorder="1" applyAlignment="1" applyProtection="1">
      <alignment horizontal="left" vertical="center"/>
    </xf>
    <xf numFmtId="0" fontId="4" fillId="0" borderId="0" xfId="9" applyBorder="1" applyProtection="1">
      <alignment vertical="center"/>
    </xf>
    <xf numFmtId="0" fontId="56" fillId="0" borderId="0" xfId="9" applyFont="1" applyBorder="1" applyProtection="1">
      <alignment vertical="center"/>
    </xf>
    <xf numFmtId="0" fontId="22" fillId="0" borderId="0" xfId="7" applyFont="1" applyProtection="1">
      <alignment vertical="center"/>
    </xf>
    <xf numFmtId="0" fontId="22" fillId="0" borderId="0" xfId="7" applyFont="1" applyAlignment="1" applyProtection="1">
      <alignment horizontal="right" vertical="center"/>
    </xf>
    <xf numFmtId="0" fontId="22" fillId="0" borderId="0" xfId="7" applyFont="1" applyAlignment="1" applyProtection="1">
      <alignment vertical="center"/>
    </xf>
    <xf numFmtId="0" fontId="10" fillId="0" borderId="0" xfId="5" applyFont="1" applyFill="1" applyBorder="1" applyAlignment="1" applyProtection="1">
      <alignment vertical="center" wrapText="1" shrinkToFit="1"/>
    </xf>
    <xf numFmtId="176" fontId="10" fillId="0" borderId="0" xfId="0" applyNumberFormat="1" applyFont="1" applyFill="1" applyBorder="1" applyAlignment="1" applyProtection="1">
      <alignment shrinkToFit="1"/>
    </xf>
    <xf numFmtId="0" fontId="10" fillId="0" borderId="0" xfId="5" applyFont="1" applyFill="1" applyBorder="1" applyAlignment="1" applyProtection="1">
      <alignment vertical="center" wrapText="1"/>
    </xf>
    <xf numFmtId="3" fontId="66" fillId="0" borderId="0" xfId="7" applyNumberFormat="1" applyFont="1" applyAlignment="1" applyProtection="1">
      <alignment horizontal="right" vertical="center"/>
    </xf>
    <xf numFmtId="0" fontId="22" fillId="0" borderId="3" xfId="7" applyFont="1" applyBorder="1" applyAlignment="1" applyProtection="1">
      <alignment horizontal="center" vertical="center"/>
    </xf>
    <xf numFmtId="0" fontId="66" fillId="0" borderId="0" xfId="7" applyFont="1" applyAlignment="1" applyProtection="1">
      <alignment horizontal="right" vertical="center"/>
    </xf>
    <xf numFmtId="3" fontId="66" fillId="0" borderId="0" xfId="7" applyNumberFormat="1" applyFont="1" applyProtection="1">
      <alignment vertical="center"/>
    </xf>
    <xf numFmtId="179" fontId="22" fillId="0" borderId="0" xfId="7" applyNumberFormat="1" applyFont="1" applyAlignment="1" applyProtection="1">
      <alignment horizontal="distributed" vertical="center"/>
    </xf>
    <xf numFmtId="0" fontId="22" fillId="0" borderId="0" xfId="7" applyFont="1" applyAlignment="1" applyProtection="1">
      <alignment horizontal="distributed" vertical="center"/>
    </xf>
    <xf numFmtId="0" fontId="22" fillId="0" borderId="0" xfId="7" applyFont="1" applyAlignment="1" applyProtection="1"/>
    <xf numFmtId="3" fontId="22" fillId="0" borderId="0" xfId="7" applyNumberFormat="1" applyFont="1" applyProtection="1">
      <alignment vertical="center"/>
    </xf>
    <xf numFmtId="176" fontId="10" fillId="0" borderId="1" xfId="0" applyNumberFormat="1" applyFont="1" applyBorder="1" applyAlignment="1" applyProtection="1">
      <alignment vertical="center" shrinkToFit="1"/>
    </xf>
    <xf numFmtId="0" fontId="10" fillId="0" borderId="0" xfId="0" applyFont="1" applyFill="1" applyBorder="1" applyAlignment="1" applyProtection="1">
      <alignment vertical="center" wrapText="1"/>
    </xf>
    <xf numFmtId="0" fontId="21" fillId="0" borderId="0" xfId="0" applyFont="1" applyBorder="1" applyAlignment="1" applyProtection="1">
      <alignment vertical="center" wrapText="1"/>
    </xf>
    <xf numFmtId="0" fontId="21" fillId="0" borderId="0" xfId="0" applyFont="1" applyBorder="1" applyAlignment="1" applyProtection="1">
      <alignment vertical="center"/>
    </xf>
    <xf numFmtId="0" fontId="12" fillId="0" borderId="0" xfId="11" applyFont="1" applyAlignment="1">
      <alignment horizontal="left"/>
    </xf>
    <xf numFmtId="0" fontId="12" fillId="0" borderId="0" xfId="11" applyFont="1" applyAlignment="1">
      <alignment horizontal="left" vertical="top"/>
    </xf>
    <xf numFmtId="0" fontId="12" fillId="0" borderId="0" xfId="11" applyFont="1" applyAlignment="1">
      <alignment horizontal="right" vertical="center"/>
    </xf>
    <xf numFmtId="0" fontId="11" fillId="0" borderId="1" xfId="11" applyFont="1" applyBorder="1" applyAlignment="1">
      <alignment horizontal="center"/>
    </xf>
    <xf numFmtId="0" fontId="11" fillId="0" borderId="1" xfId="11" applyFont="1" applyBorder="1" applyAlignment="1">
      <alignment horizontal="center" vertical="top"/>
    </xf>
    <xf numFmtId="0" fontId="12" fillId="0" borderId="0" xfId="11" applyFont="1" applyAlignment="1">
      <alignment horizontal="center"/>
    </xf>
    <xf numFmtId="0" fontId="11" fillId="0" borderId="1" xfId="11" applyFont="1" applyBorder="1" applyAlignment="1">
      <alignment horizontal="center" vertical="top" wrapText="1"/>
    </xf>
    <xf numFmtId="0" fontId="11" fillId="0" borderId="1" xfId="11" applyFont="1" applyBorder="1" applyAlignment="1">
      <alignment horizontal="left" vertical="top" wrapText="1"/>
    </xf>
    <xf numFmtId="0" fontId="12" fillId="0" borderId="0" xfId="11" applyFont="1" applyAlignment="1">
      <alignment horizontal="left" vertical="top" wrapText="1"/>
    </xf>
    <xf numFmtId="0" fontId="11" fillId="0" borderId="1" xfId="11" applyFont="1" applyBorder="1" applyAlignment="1">
      <alignment horizontal="center" vertical="center"/>
    </xf>
    <xf numFmtId="0" fontId="11" fillId="0" borderId="1" xfId="11" applyFont="1" applyBorder="1" applyAlignment="1">
      <alignment horizontal="left"/>
    </xf>
    <xf numFmtId="0" fontId="10" fillId="0" borderId="1" xfId="0" applyFont="1" applyBorder="1" applyAlignment="1" applyProtection="1">
      <alignment horizontal="center" vertical="center" wrapText="1"/>
    </xf>
    <xf numFmtId="0" fontId="10" fillId="0" borderId="1" xfId="0" applyFont="1" applyBorder="1" applyAlignment="1" applyProtection="1">
      <alignment horizontal="center" vertical="center"/>
    </xf>
    <xf numFmtId="0" fontId="15" fillId="0" borderId="1" xfId="8" applyFont="1" applyBorder="1" applyAlignment="1" applyProtection="1">
      <alignment horizontal="center" vertical="center" shrinkToFit="1"/>
    </xf>
    <xf numFmtId="0" fontId="10" fillId="0" borderId="15" xfId="9" applyFont="1" applyBorder="1" applyAlignment="1" applyProtection="1">
      <alignment horizontal="center" vertical="center"/>
    </xf>
    <xf numFmtId="0" fontId="10" fillId="0" borderId="0" xfId="9" applyFont="1" applyAlignment="1" applyProtection="1">
      <alignment horizontal="center" vertical="center"/>
    </xf>
    <xf numFmtId="0" fontId="46" fillId="0" borderId="0" xfId="8" applyFont="1" applyAlignment="1" applyProtection="1">
      <alignment horizontal="center"/>
    </xf>
    <xf numFmtId="0" fontId="4" fillId="0" borderId="0" xfId="9" applyAlignment="1" applyProtection="1">
      <alignment horizontal="center"/>
    </xf>
    <xf numFmtId="0" fontId="15" fillId="0" borderId="0" xfId="8" applyFont="1" applyAlignment="1" applyProtection="1">
      <alignment horizontal="left" vertical="center" wrapText="1"/>
    </xf>
    <xf numFmtId="0" fontId="4" fillId="0" borderId="0" xfId="9" applyAlignment="1" applyProtection="1">
      <alignment horizontal="left" vertical="center" wrapText="1"/>
    </xf>
    <xf numFmtId="0" fontId="4" fillId="0" borderId="3" xfId="9" applyBorder="1" applyAlignment="1" applyProtection="1"/>
    <xf numFmtId="0" fontId="4" fillId="0" borderId="4" xfId="9" applyBorder="1" applyAlignment="1" applyProtection="1"/>
    <xf numFmtId="0" fontId="4" fillId="0" borderId="0" xfId="9" applyAlignment="1" applyProtection="1">
      <alignment horizontal="center" vertical="center"/>
    </xf>
    <xf numFmtId="0" fontId="47" fillId="0" borderId="0" xfId="8" applyFont="1" applyProtection="1"/>
    <xf numFmtId="0" fontId="15" fillId="0" borderId="0" xfId="8" applyFont="1" applyAlignment="1" applyProtection="1">
      <alignment vertical="center"/>
    </xf>
    <xf numFmtId="0" fontId="47" fillId="0" borderId="0" xfId="8" applyFont="1" applyAlignment="1" applyProtection="1">
      <alignment horizontal="center" vertical="center"/>
    </xf>
    <xf numFmtId="0" fontId="16" fillId="0" borderId="0" xfId="5" applyFont="1" applyBorder="1" applyAlignment="1" applyProtection="1">
      <alignment horizontal="center" vertical="center"/>
    </xf>
    <xf numFmtId="0" fontId="10" fillId="0" borderId="0" xfId="4" applyFont="1" applyAlignment="1" applyProtection="1">
      <alignment horizontal="center" vertical="center"/>
    </xf>
    <xf numFmtId="0" fontId="10" fillId="0" borderId="0" xfId="5" applyFont="1" applyAlignment="1" applyProtection="1">
      <alignment horizontal="distributed" vertical="center"/>
    </xf>
    <xf numFmtId="0" fontId="22" fillId="0" borderId="1" xfId="7" applyFont="1" applyBorder="1" applyAlignment="1" applyProtection="1">
      <alignment horizontal="center" vertical="center"/>
    </xf>
    <xf numFmtId="0" fontId="10" fillId="0" borderId="0" xfId="0" applyFont="1" applyAlignment="1" applyProtection="1">
      <alignment vertical="center" wrapText="1"/>
    </xf>
    <xf numFmtId="0" fontId="10" fillId="4" borderId="0" xfId="0" applyFont="1" applyFill="1" applyAlignment="1" applyProtection="1">
      <alignment vertical="center"/>
    </xf>
    <xf numFmtId="0" fontId="0" fillId="0" borderId="0" xfId="0" applyAlignment="1" applyProtection="1">
      <alignment vertical="center"/>
    </xf>
    <xf numFmtId="0" fontId="10" fillId="0" borderId="1" xfId="0" applyFont="1" applyBorder="1" applyAlignment="1" applyProtection="1">
      <alignment vertical="center"/>
    </xf>
    <xf numFmtId="0" fontId="11" fillId="0" borderId="0" xfId="0" applyFont="1" applyAlignment="1" applyProtection="1">
      <alignment horizontal="center" vertical="center"/>
    </xf>
    <xf numFmtId="0" fontId="11" fillId="0" borderId="0" xfId="0" applyFont="1" applyAlignment="1" applyProtection="1">
      <alignment vertical="center"/>
    </xf>
    <xf numFmtId="0" fontId="12" fillId="0" borderId="0" xfId="5" applyFont="1" applyAlignment="1" applyProtection="1">
      <alignment vertical="top"/>
    </xf>
    <xf numFmtId="0" fontId="33" fillId="7" borderId="0" xfId="5" applyFont="1" applyFill="1" applyBorder="1" applyAlignment="1" applyProtection="1">
      <alignment horizontal="center" vertical="top" wrapText="1" shrinkToFit="1"/>
    </xf>
    <xf numFmtId="198" fontId="33" fillId="7" borderId="0" xfId="5" applyNumberFormat="1" applyFont="1" applyFill="1" applyBorder="1" applyAlignment="1" applyProtection="1">
      <alignment horizontal="center" vertical="top" wrapText="1"/>
    </xf>
    <xf numFmtId="38" fontId="12" fillId="0" borderId="0" xfId="6" applyFont="1" applyBorder="1" applyAlignment="1" applyProtection="1">
      <alignment vertical="top"/>
    </xf>
    <xf numFmtId="0" fontId="11" fillId="0" borderId="0" xfId="0" applyFont="1" applyAlignment="1" applyProtection="1">
      <alignment horizontal="distributed" vertical="center"/>
    </xf>
    <xf numFmtId="0" fontId="14" fillId="0" borderId="0" xfId="0" applyFont="1" applyAlignment="1" applyProtection="1">
      <alignment horizontal="distributed" vertical="center"/>
    </xf>
    <xf numFmtId="0" fontId="11" fillId="0" borderId="0" xfId="0" applyFont="1" applyAlignment="1" applyProtection="1">
      <alignment vertical="center" shrinkToFit="1"/>
    </xf>
    <xf numFmtId="0" fontId="14" fillId="0" borderId="0" xfId="0" applyFont="1" applyAlignment="1" applyProtection="1">
      <alignment vertical="center" shrinkToFit="1"/>
    </xf>
    <xf numFmtId="0" fontId="17" fillId="0" borderId="0" xfId="0" applyFont="1" applyAlignment="1" applyProtection="1">
      <alignment horizontal="center" vertical="center" shrinkToFit="1"/>
    </xf>
    <xf numFmtId="0" fontId="0" fillId="0" borderId="0" xfId="0" applyAlignment="1" applyProtection="1">
      <alignment vertical="center" shrinkToFit="1"/>
    </xf>
    <xf numFmtId="0" fontId="0" fillId="0" borderId="0" xfId="0" applyAlignment="1" applyProtection="1">
      <alignment horizontal="distributed" vertical="center"/>
    </xf>
    <xf numFmtId="0" fontId="11" fillId="0" borderId="0" xfId="0" applyFont="1" applyAlignment="1" applyProtection="1">
      <alignment vertical="center" wrapText="1"/>
    </xf>
    <xf numFmtId="0" fontId="12" fillId="0" borderId="53" xfId="5" applyFont="1" applyBorder="1" applyAlignment="1" applyProtection="1">
      <alignment vertical="top"/>
    </xf>
    <xf numFmtId="0" fontId="12" fillId="0" borderId="54" xfId="5" applyFont="1" applyBorder="1" applyAlignment="1" applyProtection="1">
      <alignment vertical="top"/>
    </xf>
    <xf numFmtId="0" fontId="12" fillId="0" borderId="55" xfId="5" applyFont="1" applyBorder="1" applyAlignment="1" applyProtection="1">
      <alignment vertical="top"/>
    </xf>
    <xf numFmtId="0" fontId="12" fillId="0" borderId="56" xfId="5" applyFont="1" applyBorder="1" applyAlignment="1" applyProtection="1">
      <alignment vertical="top"/>
    </xf>
    <xf numFmtId="0" fontId="12" fillId="0" borderId="0" xfId="5" applyFont="1" applyBorder="1" applyAlignment="1" applyProtection="1">
      <alignment vertical="top"/>
    </xf>
    <xf numFmtId="0" fontId="12" fillId="0" borderId="57" xfId="5" applyFont="1" applyBorder="1" applyAlignment="1" applyProtection="1">
      <alignment vertical="top"/>
    </xf>
    <xf numFmtId="0" fontId="11" fillId="0" borderId="56" xfId="5" applyFont="1" applyBorder="1" applyAlignment="1" applyProtection="1">
      <alignment horizontal="center" vertical="center" shrinkToFit="1"/>
    </xf>
    <xf numFmtId="0" fontId="14" fillId="0" borderId="57" xfId="5" applyFont="1" applyBorder="1" applyAlignment="1" applyProtection="1">
      <alignment horizontal="center" vertical="center" shrinkToFit="1"/>
    </xf>
    <xf numFmtId="0" fontId="14" fillId="0" borderId="56" xfId="5" applyFont="1" applyBorder="1" applyAlignment="1" applyProtection="1">
      <alignment horizontal="center" vertical="center" shrinkToFit="1"/>
    </xf>
    <xf numFmtId="0" fontId="14" fillId="0" borderId="56" xfId="5" applyFont="1" applyBorder="1" applyAlignment="1" applyProtection="1">
      <alignment horizontal="center" vertical="top"/>
    </xf>
    <xf numFmtId="0" fontId="14" fillId="0" borderId="0" xfId="5" applyFont="1" applyAlignment="1" applyProtection="1">
      <alignment horizontal="center" vertical="top"/>
    </xf>
    <xf numFmtId="0" fontId="14" fillId="0" borderId="57" xfId="5" applyFont="1" applyBorder="1" applyAlignment="1" applyProtection="1">
      <alignment horizontal="center" vertical="top"/>
    </xf>
    <xf numFmtId="0" fontId="12" fillId="0" borderId="58" xfId="5" applyFont="1" applyBorder="1" applyAlignment="1" applyProtection="1">
      <alignment vertical="top"/>
    </xf>
    <xf numFmtId="0" fontId="12" fillId="0" borderId="59" xfId="5" applyFont="1" applyBorder="1" applyAlignment="1" applyProtection="1">
      <alignment vertical="top"/>
    </xf>
    <xf numFmtId="0" fontId="12" fillId="0" borderId="60" xfId="5" applyFont="1" applyBorder="1" applyAlignment="1" applyProtection="1">
      <alignment vertical="top"/>
    </xf>
    <xf numFmtId="0" fontId="11" fillId="0" borderId="1" xfId="0" applyFont="1" applyBorder="1" applyAlignment="1" applyProtection="1">
      <alignment horizontal="center" vertical="center"/>
      <protection locked="0"/>
    </xf>
    <xf numFmtId="0" fontId="63" fillId="7" borderId="0" xfId="5" applyFont="1" applyFill="1" applyBorder="1" applyAlignment="1" applyProtection="1">
      <alignment horizontal="center" vertical="center" wrapText="1" shrinkToFit="1"/>
    </xf>
    <xf numFmtId="38" fontId="11" fillId="0" borderId="0" xfId="5" applyNumberFormat="1" applyFont="1" applyBorder="1" applyAlignment="1" applyProtection="1">
      <alignment vertical="center"/>
    </xf>
    <xf numFmtId="38" fontId="11" fillId="0" borderId="0" xfId="6" applyFont="1" applyBorder="1" applyAlignment="1" applyProtection="1">
      <alignment vertical="center"/>
    </xf>
    <xf numFmtId="0" fontId="64" fillId="0" borderId="0" xfId="5" applyFont="1" applyBorder="1" applyAlignment="1" applyProtection="1">
      <alignment vertical="center"/>
    </xf>
    <xf numFmtId="0" fontId="11" fillId="0" borderId="0" xfId="5" applyFont="1" applyBorder="1" applyAlignment="1" applyProtection="1">
      <alignment horizontal="center" vertical="center"/>
    </xf>
    <xf numFmtId="0" fontId="30" fillId="0" borderId="0" xfId="5" applyFont="1" applyAlignment="1" applyProtection="1">
      <alignment vertical="center"/>
    </xf>
    <xf numFmtId="0" fontId="38" fillId="0" borderId="0" xfId="5" applyFont="1" applyAlignment="1" applyProtection="1">
      <alignment vertical="center"/>
    </xf>
    <xf numFmtId="0" fontId="11" fillId="0" borderId="53" xfId="5" applyFont="1" applyBorder="1" applyAlignment="1" applyProtection="1">
      <alignment vertical="center"/>
    </xf>
    <xf numFmtId="0" fontId="11" fillId="0" borderId="54" xfId="5" applyFont="1" applyBorder="1" applyAlignment="1" applyProtection="1">
      <alignment vertical="center"/>
    </xf>
    <xf numFmtId="0" fontId="11" fillId="0" borderId="55" xfId="5" applyFont="1" applyBorder="1" applyAlignment="1" applyProtection="1">
      <alignment vertical="center"/>
    </xf>
    <xf numFmtId="0" fontId="11" fillId="0" borderId="56" xfId="5" applyFont="1" applyBorder="1" applyAlignment="1" applyProtection="1">
      <alignment vertical="center"/>
    </xf>
    <xf numFmtId="0" fontId="11" fillId="0" borderId="57" xfId="5" applyFont="1" applyBorder="1" applyAlignment="1" applyProtection="1">
      <alignment vertical="center"/>
    </xf>
    <xf numFmtId="0" fontId="14" fillId="0" borderId="56" xfId="5" applyFont="1" applyBorder="1" applyAlignment="1" applyProtection="1">
      <alignment horizontal="center" vertical="center"/>
    </xf>
    <xf numFmtId="0" fontId="14" fillId="0" borderId="0" xfId="5" applyFont="1" applyAlignment="1" applyProtection="1">
      <alignment horizontal="center" vertical="center"/>
    </xf>
    <xf numFmtId="0" fontId="14" fillId="0" borderId="57" xfId="5" applyFont="1" applyBorder="1" applyAlignment="1" applyProtection="1">
      <alignment horizontal="center" vertical="center"/>
    </xf>
    <xf numFmtId="0" fontId="11" fillId="0" borderId="58" xfId="5" applyFont="1" applyBorder="1" applyAlignment="1" applyProtection="1">
      <alignment vertical="center"/>
    </xf>
    <xf numFmtId="0" fontId="11" fillId="0" borderId="59" xfId="5" applyFont="1" applyBorder="1" applyAlignment="1" applyProtection="1">
      <alignment vertical="center"/>
    </xf>
    <xf numFmtId="0" fontId="11" fillId="0" borderId="60" xfId="5" applyFont="1" applyBorder="1" applyAlignment="1" applyProtection="1">
      <alignment vertical="center"/>
    </xf>
    <xf numFmtId="0" fontId="11" fillId="0" borderId="1" xfId="5" applyFont="1" applyBorder="1" applyAlignment="1" applyProtection="1">
      <alignment horizontal="center" vertical="center"/>
      <protection locked="0"/>
    </xf>
    <xf numFmtId="185" fontId="47" fillId="0" borderId="1" xfId="8" applyNumberFormat="1" applyFont="1" applyBorder="1" applyAlignment="1" applyProtection="1">
      <alignment horizontal="center"/>
      <protection locked="0"/>
    </xf>
    <xf numFmtId="0" fontId="34" fillId="0" borderId="0" xfId="5" applyFont="1" applyProtection="1">
      <alignment vertical="center"/>
    </xf>
    <xf numFmtId="0" fontId="34" fillId="0" borderId="0" xfId="5" applyFont="1" applyBorder="1" applyAlignment="1" applyProtection="1">
      <alignment horizontal="center" vertical="center"/>
    </xf>
    <xf numFmtId="0" fontId="34" fillId="0" borderId="0" xfId="5" applyFont="1" applyAlignment="1" applyProtection="1">
      <alignment horizontal="right" vertical="center"/>
    </xf>
    <xf numFmtId="0" fontId="34" fillId="0" borderId="0" xfId="5" applyFont="1" applyAlignment="1" applyProtection="1">
      <alignment horizontal="distributed" vertical="center"/>
    </xf>
    <xf numFmtId="0" fontId="16" fillId="0" borderId="0" xfId="5" applyFont="1" applyBorder="1" applyAlignment="1" applyProtection="1">
      <alignment horizontal="left" vertical="center" wrapText="1"/>
    </xf>
    <xf numFmtId="0" fontId="5" fillId="0" borderId="0" xfId="5" applyBorder="1" applyAlignment="1" applyProtection="1">
      <alignment horizontal="center" vertical="center"/>
    </xf>
    <xf numFmtId="0" fontId="5" fillId="0" borderId="0" xfId="5" applyBorder="1" applyAlignment="1" applyProtection="1">
      <alignment horizontal="left" vertical="center" wrapText="1"/>
    </xf>
    <xf numFmtId="0" fontId="10" fillId="0" borderId="0" xfId="4" applyFont="1" applyBorder="1" applyAlignment="1" applyProtection="1">
      <alignment horizontal="distributed" vertical="center"/>
    </xf>
    <xf numFmtId="0" fontId="10" fillId="0" borderId="8" xfId="4" applyFont="1" applyBorder="1" applyAlignment="1" applyProtection="1">
      <alignment horizontal="distributed" vertical="center"/>
    </xf>
    <xf numFmtId="0" fontId="15" fillId="0" borderId="0" xfId="10" applyFont="1" applyAlignment="1" applyProtection="1">
      <alignment horizontal="center" vertical="center"/>
    </xf>
    <xf numFmtId="0" fontId="15" fillId="0" borderId="0" xfId="10" applyFont="1" applyAlignment="1" applyProtection="1">
      <alignment horizontal="left" vertical="center" shrinkToFit="1"/>
    </xf>
    <xf numFmtId="0" fontId="15" fillId="0" borderId="0" xfId="10" applyFont="1" applyAlignment="1" applyProtection="1">
      <alignment vertical="center" wrapText="1"/>
    </xf>
    <xf numFmtId="0" fontId="15" fillId="0" borderId="0" xfId="10" applyFont="1" applyAlignment="1" applyProtection="1">
      <alignment horizontal="center" vertical="center" wrapText="1"/>
    </xf>
    <xf numFmtId="0" fontId="15" fillId="0" borderId="0" xfId="10" applyFont="1" applyProtection="1">
      <alignment vertical="center"/>
    </xf>
    <xf numFmtId="0" fontId="15" fillId="0" borderId="0" xfId="10" applyFont="1" applyAlignment="1" applyProtection="1">
      <alignment horizontal="right" vertical="center"/>
    </xf>
    <xf numFmtId="0" fontId="10" fillId="0" borderId="0" xfId="10" applyFont="1" applyAlignment="1" applyProtection="1">
      <alignment horizontal="center" vertical="center"/>
    </xf>
    <xf numFmtId="0" fontId="15" fillId="0" borderId="0" xfId="10" applyFont="1" applyAlignment="1" applyProtection="1">
      <alignment horizontal="left" vertical="center"/>
    </xf>
    <xf numFmtId="0" fontId="10" fillId="0" borderId="0" xfId="10" applyFont="1" applyAlignment="1" applyProtection="1">
      <alignment horizontal="left" vertical="center"/>
    </xf>
    <xf numFmtId="0" fontId="10" fillId="0" borderId="0" xfId="10" applyFont="1" applyAlignment="1" applyProtection="1">
      <alignment horizontal="center" vertical="center" wrapText="1"/>
    </xf>
    <xf numFmtId="0" fontId="10" fillId="0" borderId="0" xfId="10" applyFont="1" applyProtection="1">
      <alignment vertical="center"/>
    </xf>
    <xf numFmtId="0" fontId="3" fillId="0" borderId="0" xfId="10" applyAlignment="1" applyProtection="1">
      <alignment horizontal="center" vertical="center" shrinkToFit="1"/>
    </xf>
    <xf numFmtId="0" fontId="10" fillId="0" borderId="1" xfId="10" applyFont="1" applyBorder="1" applyAlignment="1" applyProtection="1">
      <alignment horizontal="center" vertical="center"/>
    </xf>
    <xf numFmtId="0" fontId="10" fillId="0" borderId="0" xfId="10" applyFont="1" applyAlignment="1" applyProtection="1">
      <alignment horizontal="right" vertical="center"/>
    </xf>
    <xf numFmtId="176" fontId="10" fillId="0" borderId="0" xfId="10" applyNumberFormat="1" applyFont="1" applyAlignment="1" applyProtection="1">
      <alignment horizontal="center" vertical="center" shrinkToFit="1"/>
    </xf>
    <xf numFmtId="0" fontId="10" fillId="4" borderId="0" xfId="10" applyFont="1" applyFill="1" applyAlignment="1" applyProtection="1">
      <alignment horizontal="left" vertical="center"/>
    </xf>
    <xf numFmtId="0" fontId="10" fillId="4" borderId="0" xfId="10" applyFont="1" applyFill="1" applyAlignment="1" applyProtection="1">
      <alignment vertical="center" wrapText="1"/>
    </xf>
    <xf numFmtId="0" fontId="10" fillId="4" borderId="0" xfId="10" applyFont="1" applyFill="1" applyAlignment="1" applyProtection="1">
      <alignment horizontal="center" vertical="center" wrapText="1"/>
    </xf>
    <xf numFmtId="0" fontId="10" fillId="4" borderId="0" xfId="10" applyFont="1" applyFill="1" applyAlignment="1" applyProtection="1">
      <alignment horizontal="center" vertical="center"/>
    </xf>
    <xf numFmtId="176" fontId="10" fillId="4" borderId="0" xfId="10" applyNumberFormat="1" applyFont="1" applyFill="1" applyAlignment="1" applyProtection="1">
      <alignment horizontal="center" vertical="center" shrinkToFit="1"/>
    </xf>
    <xf numFmtId="0" fontId="10" fillId="0" borderId="1" xfId="10" applyFont="1" applyBorder="1" applyProtection="1">
      <alignment vertical="center"/>
    </xf>
    <xf numFmtId="184" fontId="10" fillId="0" borderId="1" xfId="10" applyNumberFormat="1" applyFont="1" applyBorder="1" applyAlignment="1" applyProtection="1">
      <alignment horizontal="right" vertical="center" shrinkToFit="1"/>
    </xf>
    <xf numFmtId="0" fontId="52" fillId="0" borderId="0" xfId="10" applyFont="1" applyAlignment="1" applyProtection="1">
      <alignment horizontal="left" vertical="center" shrinkToFit="1"/>
    </xf>
    <xf numFmtId="218" fontId="10" fillId="0" borderId="1" xfId="10" applyNumberFormat="1" applyFont="1" applyBorder="1" applyAlignment="1" applyProtection="1">
      <alignment horizontal="right" vertical="center" shrinkToFit="1"/>
    </xf>
    <xf numFmtId="0" fontId="3" fillId="0" borderId="0" xfId="10" applyProtection="1">
      <alignment vertical="center"/>
    </xf>
    <xf numFmtId="0" fontId="10" fillId="0" borderId="1" xfId="10" applyFont="1" applyBorder="1" applyAlignment="1" applyProtection="1">
      <alignment vertical="center" wrapText="1"/>
    </xf>
    <xf numFmtId="225" fontId="10" fillId="0" borderId="1" xfId="10" applyNumberFormat="1" applyFont="1" applyBorder="1" applyAlignment="1" applyProtection="1">
      <alignment horizontal="right" vertical="center" shrinkToFit="1"/>
    </xf>
    <xf numFmtId="0" fontId="10" fillId="0" borderId="0" xfId="10" applyFont="1" applyAlignment="1" applyProtection="1">
      <alignment horizontal="left" vertical="center" shrinkToFit="1"/>
    </xf>
    <xf numFmtId="0" fontId="10" fillId="0" borderId="5" xfId="10" applyFont="1" applyBorder="1" applyAlignment="1" applyProtection="1">
      <alignment horizontal="center" vertical="center"/>
    </xf>
    <xf numFmtId="0" fontId="10" fillId="0" borderId="5" xfId="10" applyFont="1" applyBorder="1" applyAlignment="1" applyProtection="1">
      <alignment vertical="center" wrapText="1"/>
    </xf>
    <xf numFmtId="185" fontId="10" fillId="0" borderId="0" xfId="10" applyNumberFormat="1" applyFont="1" applyAlignment="1" applyProtection="1">
      <alignment vertical="center" shrinkToFit="1"/>
    </xf>
    <xf numFmtId="0" fontId="67" fillId="0" borderId="0" xfId="10" applyFont="1" applyAlignment="1" applyProtection="1">
      <alignment horizontal="left" vertical="center"/>
    </xf>
    <xf numFmtId="0" fontId="10" fillId="0" borderId="0" xfId="10" applyFont="1" applyAlignment="1" applyProtection="1">
      <alignment horizontal="right" vertical="center" wrapText="1"/>
    </xf>
    <xf numFmtId="0" fontId="21" fillId="0" borderId="0" xfId="10" applyFont="1" applyAlignment="1" applyProtection="1">
      <alignment horizontal="right" vertical="center"/>
    </xf>
    <xf numFmtId="0" fontId="68" fillId="4" borderId="0" xfId="10" applyFont="1" applyFill="1" applyAlignment="1" applyProtection="1">
      <alignment horizontal="left" vertical="center"/>
    </xf>
    <xf numFmtId="0" fontId="10" fillId="4" borderId="0" xfId="10" applyFont="1" applyFill="1" applyProtection="1">
      <alignment vertical="center"/>
    </xf>
    <xf numFmtId="0" fontId="10" fillId="5" borderId="1" xfId="10" applyFont="1" applyFill="1" applyBorder="1" applyAlignment="1" applyProtection="1">
      <alignment horizontal="center" vertical="center"/>
    </xf>
    <xf numFmtId="0" fontId="10" fillId="5" borderId="1" xfId="10" applyFont="1" applyFill="1" applyBorder="1" applyAlignment="1" applyProtection="1">
      <alignment horizontal="center" vertical="center" wrapText="1"/>
    </xf>
    <xf numFmtId="0" fontId="10" fillId="0" borderId="15" xfId="10" applyFont="1" applyBorder="1" applyAlignment="1" applyProtection="1">
      <alignment horizontal="center" vertical="center"/>
    </xf>
    <xf numFmtId="0" fontId="10" fillId="0" borderId="0" xfId="10" applyFont="1" applyAlignment="1" applyProtection="1">
      <alignment horizontal="center" vertical="center" shrinkToFit="1"/>
    </xf>
    <xf numFmtId="176" fontId="10" fillId="0" borderId="1" xfId="10" applyNumberFormat="1" applyFont="1" applyBorder="1" applyAlignment="1" applyProtection="1">
      <alignment horizontal="right" vertical="center" shrinkToFit="1"/>
    </xf>
    <xf numFmtId="176" fontId="22" fillId="0" borderId="1" xfId="10" applyNumberFormat="1" applyFont="1" applyBorder="1" applyAlignment="1" applyProtection="1">
      <alignment vertical="center" shrinkToFit="1"/>
    </xf>
    <xf numFmtId="241" fontId="22" fillId="0" borderId="1" xfId="10" applyNumberFormat="1" applyFont="1" applyBorder="1" applyAlignment="1" applyProtection="1">
      <alignment horizontal="right" vertical="center" shrinkToFit="1"/>
    </xf>
    <xf numFmtId="0" fontId="10" fillId="0" borderId="1" xfId="10" applyFont="1" applyBorder="1" applyAlignment="1" applyProtection="1">
      <alignment horizontal="center" vertical="center" shrinkToFit="1"/>
    </xf>
    <xf numFmtId="187" fontId="10" fillId="0" borderId="1" xfId="10" applyNumberFormat="1" applyFont="1" applyBorder="1" applyAlignment="1" applyProtection="1">
      <alignment horizontal="center" vertical="center"/>
    </xf>
    <xf numFmtId="0" fontId="10" fillId="0" borderId="1" xfId="10" applyFont="1" applyBorder="1" applyAlignment="1" applyProtection="1">
      <alignment vertical="center" shrinkToFit="1"/>
    </xf>
    <xf numFmtId="0" fontId="10" fillId="10" borderId="1" xfId="10" applyFont="1" applyFill="1" applyBorder="1" applyAlignment="1" applyProtection="1">
      <alignment horizontal="center" vertical="center" shrinkToFit="1"/>
    </xf>
    <xf numFmtId="176" fontId="10" fillId="10" borderId="1" xfId="10" applyNumberFormat="1" applyFont="1" applyFill="1" applyBorder="1" applyAlignment="1" applyProtection="1">
      <alignment vertical="center" shrinkToFit="1"/>
    </xf>
    <xf numFmtId="242" fontId="10" fillId="0" borderId="1" xfId="10" applyNumberFormat="1" applyFont="1" applyBorder="1" applyProtection="1">
      <alignment vertical="center"/>
    </xf>
    <xf numFmtId="242" fontId="10" fillId="0" borderId="1" xfId="10" applyNumberFormat="1" applyFont="1" applyBorder="1" applyAlignment="1" applyProtection="1">
      <alignment vertical="center" shrinkToFit="1"/>
    </xf>
    <xf numFmtId="188" fontId="10" fillId="0" borderId="1" xfId="10" applyNumberFormat="1" applyFont="1" applyBorder="1" applyAlignment="1" applyProtection="1">
      <alignment vertical="center" shrinkToFit="1"/>
    </xf>
    <xf numFmtId="176" fontId="10" fillId="10" borderId="6" xfId="10" applyNumberFormat="1" applyFont="1" applyFill="1" applyBorder="1" applyAlignment="1" applyProtection="1">
      <alignment vertical="center" shrinkToFit="1"/>
    </xf>
    <xf numFmtId="242" fontId="10" fillId="0" borderId="6" xfId="10" applyNumberFormat="1" applyFont="1" applyBorder="1" applyProtection="1">
      <alignment vertical="center"/>
    </xf>
    <xf numFmtId="214" fontId="10" fillId="0" borderId="1" xfId="10" applyNumberFormat="1" applyFont="1" applyBorder="1" applyProtection="1">
      <alignment vertical="center"/>
    </xf>
    <xf numFmtId="214" fontId="10" fillId="0" borderId="1" xfId="10" applyNumberFormat="1" applyFont="1" applyBorder="1" applyAlignment="1" applyProtection="1">
      <alignment vertical="center" shrinkToFit="1"/>
    </xf>
    <xf numFmtId="245" fontId="10" fillId="0" borderId="1" xfId="10" applyNumberFormat="1" applyFont="1" applyBorder="1" applyProtection="1">
      <alignment vertical="center"/>
    </xf>
    <xf numFmtId="0" fontId="10" fillId="0" borderId="0" xfId="9" applyFont="1" applyAlignment="1" applyProtection="1">
      <alignment horizontal="left" vertical="center" shrinkToFit="1"/>
    </xf>
    <xf numFmtId="0" fontId="10" fillId="0" borderId="0" xfId="9" applyFont="1" applyAlignment="1" applyProtection="1">
      <alignment vertical="center" wrapText="1"/>
    </xf>
    <xf numFmtId="0" fontId="10" fillId="0" borderId="0" xfId="9" applyFont="1" applyProtection="1">
      <alignment vertical="center"/>
    </xf>
    <xf numFmtId="0" fontId="10" fillId="0" borderId="0" xfId="9" applyFont="1" applyAlignment="1" applyProtection="1">
      <alignment horizontal="right" vertical="center"/>
    </xf>
    <xf numFmtId="0" fontId="15" fillId="0" borderId="0" xfId="9" applyFont="1" applyAlignment="1" applyProtection="1">
      <alignment horizontal="left" vertical="center"/>
    </xf>
    <xf numFmtId="0" fontId="10" fillId="0" borderId="0" xfId="9" applyFont="1" applyAlignment="1" applyProtection="1">
      <alignment horizontal="left" vertical="center"/>
    </xf>
    <xf numFmtId="0" fontId="10" fillId="0" borderId="1" xfId="9" applyFont="1" applyBorder="1" applyAlignment="1" applyProtection="1">
      <alignment horizontal="center" vertical="center"/>
    </xf>
    <xf numFmtId="0" fontId="0" fillId="0" borderId="0" xfId="0" applyAlignment="1" applyProtection="1">
      <alignment horizontal="right" vertical="center"/>
    </xf>
    <xf numFmtId="0" fontId="10" fillId="0" borderId="1" xfId="9" applyFont="1" applyBorder="1" applyProtection="1">
      <alignment vertical="center"/>
    </xf>
    <xf numFmtId="185" fontId="10" fillId="0" borderId="1" xfId="9" applyNumberFormat="1" applyFont="1" applyBorder="1" applyAlignment="1" applyProtection="1">
      <alignment horizontal="right" vertical="center" shrinkToFit="1"/>
    </xf>
    <xf numFmtId="0" fontId="52" fillId="0" borderId="0" xfId="9" applyFont="1" applyAlignment="1" applyProtection="1">
      <alignment horizontal="left" vertical="center" shrinkToFit="1"/>
    </xf>
    <xf numFmtId="176" fontId="10" fillId="0" borderId="1" xfId="9" applyNumberFormat="1" applyFont="1" applyBorder="1" applyAlignment="1" applyProtection="1">
      <alignment horizontal="right" vertical="center" shrinkToFit="1"/>
    </xf>
    <xf numFmtId="0" fontId="10" fillId="0" borderId="1" xfId="9" applyFont="1" applyBorder="1" applyAlignment="1" applyProtection="1">
      <alignment horizontal="center" vertical="center" wrapText="1"/>
    </xf>
    <xf numFmtId="0" fontId="10" fillId="0" borderId="0" xfId="9" applyFont="1" applyAlignment="1" applyProtection="1">
      <alignment horizontal="center" vertical="center" wrapText="1"/>
    </xf>
    <xf numFmtId="0" fontId="10" fillId="0" borderId="1" xfId="9" applyFont="1" applyBorder="1" applyAlignment="1" applyProtection="1">
      <alignment vertical="center" wrapText="1"/>
    </xf>
    <xf numFmtId="0" fontId="10" fillId="0" borderId="5" xfId="9" applyFont="1" applyBorder="1" applyAlignment="1" applyProtection="1">
      <alignment horizontal="left" vertical="center"/>
    </xf>
    <xf numFmtId="0" fontId="10" fillId="0" borderId="5" xfId="9" applyFont="1" applyBorder="1" applyAlignment="1" applyProtection="1">
      <alignment vertical="center" wrapText="1"/>
    </xf>
    <xf numFmtId="185" fontId="10" fillId="0" borderId="0" xfId="9" applyNumberFormat="1" applyFont="1" applyAlignment="1" applyProtection="1">
      <alignment vertical="center" shrinkToFit="1"/>
    </xf>
    <xf numFmtId="0" fontId="21" fillId="0" borderId="0" xfId="9" applyFont="1" applyAlignment="1" applyProtection="1">
      <alignment horizontal="right" vertical="center"/>
    </xf>
    <xf numFmtId="0" fontId="12" fillId="5" borderId="1" xfId="9" applyFont="1" applyFill="1" applyBorder="1" applyAlignment="1" applyProtection="1">
      <alignment horizontal="center" vertical="center" shrinkToFit="1"/>
    </xf>
    <xf numFmtId="0" fontId="10" fillId="5" borderId="1" xfId="9" applyFont="1" applyFill="1" applyBorder="1" applyAlignment="1" applyProtection="1">
      <alignment horizontal="center" vertical="center"/>
    </xf>
    <xf numFmtId="0" fontId="10" fillId="5" borderId="1" xfId="9" applyFont="1" applyFill="1" applyBorder="1" applyAlignment="1" applyProtection="1">
      <alignment horizontal="center" vertical="center" wrapText="1"/>
    </xf>
    <xf numFmtId="0" fontId="10" fillId="0" borderId="0" xfId="9" applyFont="1" applyBorder="1" applyAlignment="1" applyProtection="1">
      <alignment horizontal="center" vertical="center"/>
    </xf>
    <xf numFmtId="0" fontId="10" fillId="0" borderId="0" xfId="9" applyFont="1" applyAlignment="1" applyProtection="1">
      <alignment horizontal="center" vertical="center" shrinkToFit="1"/>
    </xf>
    <xf numFmtId="176" fontId="22" fillId="0" borderId="1" xfId="9" applyNumberFormat="1" applyFont="1" applyBorder="1" applyAlignment="1" applyProtection="1">
      <alignment vertical="center" shrinkToFit="1"/>
    </xf>
    <xf numFmtId="0" fontId="10" fillId="0" borderId="1" xfId="9" applyFont="1" applyBorder="1" applyAlignment="1" applyProtection="1">
      <alignment horizontal="center" vertical="center" shrinkToFit="1"/>
    </xf>
    <xf numFmtId="187" fontId="10" fillId="0" borderId="1" xfId="9" applyNumberFormat="1" applyFont="1" applyBorder="1" applyAlignment="1" applyProtection="1">
      <alignment horizontal="center" vertical="center"/>
    </xf>
    <xf numFmtId="0" fontId="10" fillId="0" borderId="0" xfId="9" applyFont="1" applyBorder="1" applyProtection="1">
      <alignment vertical="center"/>
    </xf>
    <xf numFmtId="0" fontId="10" fillId="0" borderId="1" xfId="9" applyFont="1" applyBorder="1" applyAlignment="1" applyProtection="1">
      <alignment vertical="center" shrinkToFit="1"/>
    </xf>
    <xf numFmtId="0" fontId="10" fillId="0" borderId="2" xfId="9" applyFont="1" applyBorder="1" applyAlignment="1" applyProtection="1">
      <alignment horizontal="center" vertical="center"/>
    </xf>
    <xf numFmtId="224" fontId="10" fillId="2" borderId="1" xfId="0" applyNumberFormat="1" applyFont="1" applyFill="1" applyBorder="1" applyAlignment="1" applyProtection="1">
      <alignment horizontal="right" vertical="center" shrinkToFit="1"/>
      <protection locked="0"/>
    </xf>
    <xf numFmtId="0" fontId="16" fillId="0" borderId="0" xfId="9" applyFont="1" applyAlignment="1" applyProtection="1">
      <alignment vertical="center" shrinkToFit="1"/>
    </xf>
    <xf numFmtId="0" fontId="15" fillId="0" borderId="0" xfId="9" applyFont="1" applyAlignment="1" applyProtection="1">
      <alignment horizontal="center" vertical="center"/>
    </xf>
    <xf numFmtId="0" fontId="15" fillId="0" borderId="1" xfId="9" applyFont="1" applyBorder="1" applyAlignment="1" applyProtection="1">
      <alignment vertical="center" shrinkToFit="1"/>
    </xf>
    <xf numFmtId="0" fontId="15" fillId="4" borderId="0" xfId="9" applyFont="1" applyFill="1" applyProtection="1">
      <alignment vertical="center"/>
    </xf>
    <xf numFmtId="0" fontId="15" fillId="0" borderId="152" xfId="9" applyFont="1" applyBorder="1" applyProtection="1">
      <alignment vertical="center"/>
    </xf>
    <xf numFmtId="0" fontId="15" fillId="0" borderId="155" xfId="9" applyFont="1" applyBorder="1" applyProtection="1">
      <alignment vertical="center"/>
    </xf>
    <xf numFmtId="0" fontId="15" fillId="0" borderId="157" xfId="9" applyFont="1" applyBorder="1" applyProtection="1">
      <alignment vertical="center"/>
    </xf>
    <xf numFmtId="0" fontId="15" fillId="0" borderId="6" xfId="9" applyFont="1" applyBorder="1" applyAlignment="1" applyProtection="1">
      <alignment vertical="center" shrinkToFit="1"/>
    </xf>
    <xf numFmtId="0" fontId="15" fillId="0" borderId="11" xfId="9" applyFont="1" applyBorder="1" applyAlignment="1" applyProtection="1">
      <alignment horizontal="center" vertical="center"/>
    </xf>
    <xf numFmtId="0" fontId="15" fillId="0" borderId="11" xfId="9" applyFont="1" applyBorder="1" applyAlignment="1" applyProtection="1">
      <alignment vertical="center" shrinkToFit="1"/>
    </xf>
    <xf numFmtId="0" fontId="15" fillId="0" borderId="158" xfId="9" applyFont="1" applyBorder="1" applyProtection="1">
      <alignment vertical="center"/>
    </xf>
    <xf numFmtId="0" fontId="15" fillId="0" borderId="159" xfId="9" applyFont="1" applyBorder="1" applyProtection="1">
      <alignment vertical="center"/>
    </xf>
    <xf numFmtId="0" fontId="15" fillId="0" borderId="152" xfId="9" applyFont="1" applyBorder="1" applyAlignment="1" applyProtection="1">
      <alignment vertical="top"/>
    </xf>
    <xf numFmtId="0" fontId="12" fillId="0" borderId="1" xfId="0" applyFont="1" applyBorder="1" applyAlignment="1" applyProtection="1">
      <alignment vertical="center"/>
      <protection locked="0"/>
    </xf>
    <xf numFmtId="0" fontId="15" fillId="0" borderId="0" xfId="9" applyFont="1" applyAlignment="1" applyProtection="1">
      <alignment horizontal="right" vertical="center" shrinkToFit="1"/>
    </xf>
    <xf numFmtId="0" fontId="4" fillId="0" borderId="0" xfId="9" applyAlignment="1" applyProtection="1">
      <alignment horizontal="right" vertical="center" shrinkToFit="1"/>
    </xf>
    <xf numFmtId="0" fontId="10" fillId="0" borderId="1" xfId="0" applyFont="1" applyBorder="1" applyAlignment="1" applyProtection="1">
      <alignment horizontal="center" vertical="center" wrapText="1"/>
    </xf>
    <xf numFmtId="176" fontId="11" fillId="0" borderId="1" xfId="0" applyNumberFormat="1" applyFont="1" applyBorder="1" applyAlignment="1">
      <alignment vertical="center"/>
    </xf>
    <xf numFmtId="176" fontId="0" fillId="0" borderId="1" xfId="0" applyNumberFormat="1" applyBorder="1" applyAlignment="1">
      <alignment vertical="center"/>
    </xf>
    <xf numFmtId="0" fontId="47" fillId="0" borderId="0" xfId="8" applyFont="1" applyBorder="1" applyAlignment="1" applyProtection="1">
      <alignment horizontal="center"/>
    </xf>
    <xf numFmtId="0" fontId="47" fillId="0" borderId="0" xfId="8" applyFont="1" applyBorder="1" applyAlignment="1" applyProtection="1">
      <alignment vertical="center"/>
    </xf>
    <xf numFmtId="0" fontId="47" fillId="0" borderId="0" xfId="8" applyFont="1" applyBorder="1" applyProtection="1"/>
    <xf numFmtId="0" fontId="12" fillId="2" borderId="1" xfId="0" applyNumberFormat="1" applyFont="1" applyFill="1" applyBorder="1" applyAlignment="1" applyProtection="1">
      <alignment horizontal="center" vertical="center" wrapText="1"/>
      <protection locked="0"/>
    </xf>
    <xf numFmtId="0" fontId="12" fillId="4" borderId="1" xfId="0" applyFont="1" applyFill="1" applyBorder="1" applyAlignment="1" applyProtection="1">
      <alignment vertical="center" textRotation="255" wrapText="1"/>
    </xf>
    <xf numFmtId="178" fontId="12" fillId="2" borderId="1" xfId="0" applyNumberFormat="1" applyFont="1" applyFill="1" applyBorder="1" applyAlignment="1" applyProtection="1">
      <alignment horizontal="center" vertical="center" wrapText="1" shrinkToFit="1"/>
      <protection locked="0"/>
    </xf>
    <xf numFmtId="185" fontId="47" fillId="0" borderId="1" xfId="8" applyNumberFormat="1" applyFont="1" applyBorder="1" applyAlignment="1" applyProtection="1">
      <alignment horizontal="center"/>
    </xf>
    <xf numFmtId="0" fontId="10" fillId="0" borderId="0" xfId="5" applyFont="1" applyBorder="1" applyAlignment="1" applyProtection="1">
      <alignment horizontal="right" vertical="center"/>
    </xf>
    <xf numFmtId="0" fontId="0" fillId="0" borderId="0" xfId="0" applyAlignment="1">
      <alignment vertical="center" shrinkToFit="1"/>
    </xf>
    <xf numFmtId="0" fontId="0" fillId="0" borderId="0" xfId="0" applyAlignment="1">
      <alignment horizontal="center" vertical="center" shrinkToFit="1"/>
    </xf>
    <xf numFmtId="0" fontId="10" fillId="0" borderId="0" xfId="0" applyFont="1" applyAlignment="1">
      <alignment horizontal="center" shrinkToFit="1"/>
    </xf>
    <xf numFmtId="0" fontId="10" fillId="0" borderId="0" xfId="0" applyFont="1" applyAlignment="1">
      <alignment shrinkToFit="1"/>
    </xf>
    <xf numFmtId="0" fontId="11" fillId="0" borderId="0" xfId="0" applyFont="1" applyAlignment="1">
      <alignment horizontal="center" vertical="center" shrinkToFit="1"/>
    </xf>
    <xf numFmtId="0" fontId="0" fillId="0" borderId="0" xfId="0" applyAlignment="1">
      <alignment shrinkToFit="1"/>
    </xf>
    <xf numFmtId="0" fontId="11" fillId="0" borderId="0" xfId="0" applyFont="1" applyAlignment="1">
      <alignment shrinkToFit="1"/>
    </xf>
    <xf numFmtId="0" fontId="10" fillId="0" borderId="0" xfId="0" applyFont="1" applyAlignment="1">
      <alignment horizontal="center" vertical="center" shrinkToFit="1"/>
    </xf>
    <xf numFmtId="0" fontId="10" fillId="0" borderId="0" xfId="0" applyFont="1" applyAlignment="1">
      <alignment vertical="center" shrinkToFit="1"/>
    </xf>
    <xf numFmtId="251" fontId="10" fillId="0" borderId="100" xfId="8" applyNumberFormat="1" applyFont="1" applyBorder="1" applyAlignment="1" applyProtection="1">
      <alignment horizontal="center" vertical="center" shrinkToFit="1"/>
    </xf>
    <xf numFmtId="251" fontId="10" fillId="0" borderId="1" xfId="8" applyNumberFormat="1" applyFont="1" applyBorder="1" applyAlignment="1" applyProtection="1">
      <alignment horizontal="center" vertical="center" shrinkToFit="1"/>
    </xf>
    <xf numFmtId="0" fontId="10" fillId="0" borderId="118" xfId="8" applyFont="1" applyBorder="1" applyAlignment="1" applyProtection="1">
      <alignment horizontal="center" vertical="center" shrinkToFit="1"/>
    </xf>
    <xf numFmtId="0" fontId="10" fillId="0" borderId="40" xfId="8" applyFont="1" applyBorder="1" applyAlignment="1" applyProtection="1">
      <alignment horizontal="center" vertical="center" shrinkToFit="1"/>
    </xf>
    <xf numFmtId="0" fontId="10" fillId="0" borderId="119" xfId="8" applyFont="1" applyBorder="1" applyAlignment="1" applyProtection="1">
      <alignment horizontal="center" vertical="center" shrinkToFit="1"/>
    </xf>
    <xf numFmtId="0" fontId="10" fillId="0" borderId="6" xfId="8" applyFont="1" applyFill="1" applyBorder="1" applyAlignment="1" applyProtection="1">
      <alignment horizontal="center" vertical="center" shrinkToFit="1"/>
    </xf>
    <xf numFmtId="206" fontId="47" fillId="0" borderId="0" xfId="8" applyNumberFormat="1" applyFont="1" applyAlignment="1" applyProtection="1">
      <alignment vertical="center"/>
    </xf>
    <xf numFmtId="0" fontId="15" fillId="0" borderId="0" xfId="8" applyFont="1" applyAlignment="1" applyProtection="1">
      <alignment horizontal="left" vertical="center"/>
    </xf>
    <xf numFmtId="0" fontId="10" fillId="0" borderId="100" xfId="8" applyFont="1" applyBorder="1" applyProtection="1"/>
    <xf numFmtId="0" fontId="10" fillId="0" borderId="1" xfId="8" applyFont="1" applyBorder="1" applyProtection="1"/>
    <xf numFmtId="0" fontId="10" fillId="0" borderId="1" xfId="8" applyFont="1" applyBorder="1" applyAlignment="1" applyProtection="1"/>
    <xf numFmtId="0" fontId="10" fillId="0" borderId="1" xfId="8" applyFont="1" applyFill="1" applyBorder="1" applyProtection="1"/>
    <xf numFmtId="0" fontId="10" fillId="0" borderId="1" xfId="8" applyFont="1" applyBorder="1" applyAlignment="1" applyProtection="1">
      <alignment wrapText="1"/>
    </xf>
    <xf numFmtId="0" fontId="10" fillId="0" borderId="114" xfId="8" applyFont="1" applyBorder="1" applyProtection="1"/>
    <xf numFmtId="211" fontId="10" fillId="0" borderId="1" xfId="8" applyNumberFormat="1" applyFont="1" applyFill="1" applyBorder="1" applyAlignment="1" applyProtection="1">
      <alignment horizontal="center" vertical="center" shrinkToFit="1"/>
    </xf>
    <xf numFmtId="211" fontId="21" fillId="0" borderId="1" xfId="9" applyNumberFormat="1" applyFont="1" applyFill="1" applyBorder="1" applyAlignment="1" applyProtection="1">
      <alignment horizontal="center" vertical="center" shrinkToFit="1"/>
    </xf>
    <xf numFmtId="0" fontId="10" fillId="0" borderId="1" xfId="8" applyFont="1" applyFill="1" applyBorder="1" applyAlignment="1" applyProtection="1">
      <alignment horizontal="center" vertical="center" wrapText="1"/>
    </xf>
    <xf numFmtId="221" fontId="22" fillId="0" borderId="1" xfId="8" applyNumberFormat="1" applyFont="1" applyFill="1" applyBorder="1" applyAlignment="1" applyProtection="1">
      <alignment horizontal="center" vertical="center" shrinkToFit="1"/>
    </xf>
    <xf numFmtId="221" fontId="21" fillId="0" borderId="1" xfId="9" applyNumberFormat="1" applyFont="1" applyFill="1" applyBorder="1" applyAlignment="1" applyProtection="1">
      <alignment horizontal="center" vertical="center" shrinkToFit="1"/>
    </xf>
    <xf numFmtId="221" fontId="10" fillId="0" borderId="1" xfId="8" applyNumberFormat="1" applyFont="1" applyFill="1" applyBorder="1" applyAlignment="1" applyProtection="1">
      <alignment horizontal="center" vertical="center" shrinkToFit="1"/>
    </xf>
    <xf numFmtId="0" fontId="11" fillId="0" borderId="1" xfId="4" applyFont="1" applyBorder="1" applyAlignment="1" applyProtection="1">
      <alignment vertical="center"/>
    </xf>
    <xf numFmtId="14" fontId="11" fillId="0" borderId="1" xfId="4" applyNumberFormat="1" applyFont="1" applyBorder="1" applyAlignment="1" applyProtection="1">
      <alignment horizontal="center" vertical="center" shrinkToFit="1"/>
    </xf>
    <xf numFmtId="0" fontId="10" fillId="0" borderId="0" xfId="0" applyFont="1" applyBorder="1" applyAlignment="1" applyProtection="1">
      <alignment horizontal="center" vertical="center" shrinkToFit="1"/>
    </xf>
    <xf numFmtId="176" fontId="10" fillId="0" borderId="0" xfId="0" applyNumberFormat="1" applyFont="1" applyBorder="1" applyAlignment="1" applyProtection="1">
      <alignment vertical="center" shrinkToFit="1"/>
    </xf>
    <xf numFmtId="0" fontId="10" fillId="0" borderId="4" xfId="0" applyFont="1" applyBorder="1" applyAlignment="1" applyProtection="1">
      <alignment vertical="center"/>
    </xf>
    <xf numFmtId="0" fontId="10" fillId="0" borderId="3" xfId="0" applyFont="1" applyBorder="1" applyAlignment="1" applyProtection="1">
      <alignment vertical="center"/>
    </xf>
    <xf numFmtId="0" fontId="29" fillId="0" borderId="0" xfId="0" applyFont="1" applyBorder="1" applyAlignment="1">
      <alignment horizontal="center" vertical="center"/>
    </xf>
    <xf numFmtId="14" fontId="29" fillId="0" borderId="0" xfId="0" applyNumberFormat="1" applyFont="1" applyBorder="1" applyAlignment="1">
      <alignment horizontal="center" vertical="center"/>
    </xf>
    <xf numFmtId="0" fontId="29" fillId="0" borderId="1" xfId="0" applyFont="1" applyBorder="1" applyAlignment="1">
      <alignment vertical="center"/>
    </xf>
    <xf numFmtId="0" fontId="29" fillId="0" borderId="1" xfId="0" applyFont="1" applyFill="1" applyBorder="1" applyAlignment="1">
      <alignment horizontal="center" vertical="center"/>
    </xf>
    <xf numFmtId="0" fontId="29" fillId="0" borderId="1" xfId="0" applyFont="1" applyFill="1" applyBorder="1" applyAlignment="1">
      <alignment vertical="center"/>
    </xf>
    <xf numFmtId="178" fontId="22" fillId="2" borderId="1" xfId="0" applyNumberFormat="1" applyFont="1" applyFill="1" applyBorder="1" applyAlignment="1" applyProtection="1">
      <alignment horizontal="center" vertical="center" shrinkToFit="1"/>
      <protection locked="0"/>
    </xf>
    <xf numFmtId="253" fontId="10" fillId="0" borderId="4" xfId="0" applyNumberFormat="1" applyFont="1" applyBorder="1" applyAlignment="1" applyProtection="1">
      <alignment vertical="center"/>
    </xf>
    <xf numFmtId="0" fontId="15" fillId="0" borderId="0" xfId="9" applyFont="1" applyBorder="1" applyAlignment="1" applyProtection="1">
      <alignment horizontal="center" vertical="center"/>
    </xf>
    <xf numFmtId="0" fontId="10" fillId="0" borderId="1" xfId="9" applyFont="1" applyBorder="1" applyAlignment="1" applyProtection="1">
      <alignment horizontal="center" vertical="center"/>
    </xf>
    <xf numFmtId="0" fontId="10" fillId="0" borderId="5" xfId="0" applyFont="1" applyBorder="1" applyAlignment="1" applyProtection="1">
      <alignment horizontal="center" vertical="center" shrinkToFit="1"/>
    </xf>
    <xf numFmtId="0" fontId="10" fillId="0" borderId="1" xfId="0" applyFont="1" applyBorder="1" applyAlignment="1" applyProtection="1">
      <alignment horizontal="center" vertical="center"/>
    </xf>
    <xf numFmtId="0" fontId="10" fillId="0" borderId="0" xfId="9" applyFont="1" applyAlignment="1" applyProtection="1">
      <alignment vertical="center" wrapText="1"/>
    </xf>
    <xf numFmtId="0" fontId="10" fillId="0" borderId="2" xfId="9" applyFont="1" applyBorder="1" applyAlignment="1" applyProtection="1">
      <alignment horizontal="center" vertical="center" wrapText="1"/>
    </xf>
    <xf numFmtId="0" fontId="15" fillId="0" borderId="0" xfId="9" applyFont="1" applyBorder="1" applyAlignment="1" applyProtection="1">
      <alignment horizontal="left" vertical="center"/>
    </xf>
    <xf numFmtId="0" fontId="15" fillId="0" borderId="3" xfId="9" applyFont="1" applyBorder="1" applyAlignment="1" applyProtection="1">
      <alignment vertical="center" shrinkToFit="1"/>
    </xf>
    <xf numFmtId="0" fontId="15" fillId="0" borderId="0" xfId="9" applyFont="1" applyBorder="1" applyProtection="1">
      <alignment vertical="center"/>
    </xf>
    <xf numFmtId="0" fontId="15" fillId="0" borderId="0" xfId="9" applyFont="1" applyBorder="1" applyAlignment="1" applyProtection="1">
      <alignment vertical="center" shrinkToFit="1"/>
    </xf>
    <xf numFmtId="49" fontId="15" fillId="0" borderId="1" xfId="9" applyNumberFormat="1" applyFont="1" applyBorder="1" applyAlignment="1" applyProtection="1">
      <alignment horizontal="center" vertical="center"/>
    </xf>
    <xf numFmtId="0" fontId="11" fillId="0" borderId="6" xfId="4" applyFont="1" applyFill="1" applyBorder="1" applyAlignment="1" applyProtection="1">
      <alignment horizontal="center" vertical="center" wrapText="1"/>
    </xf>
    <xf numFmtId="239" fontId="11" fillId="0" borderId="1" xfId="4" applyNumberFormat="1" applyFont="1" applyFill="1" applyBorder="1" applyAlignment="1" applyProtection="1">
      <alignment vertical="center" shrinkToFit="1"/>
    </xf>
    <xf numFmtId="192" fontId="11" fillId="0" borderId="1" xfId="4" applyNumberFormat="1" applyFont="1" applyFill="1" applyBorder="1" applyAlignment="1" applyProtection="1">
      <alignment vertical="center" shrinkToFit="1"/>
    </xf>
    <xf numFmtId="178" fontId="22" fillId="2" borderId="1" xfId="10" applyNumberFormat="1" applyFont="1" applyFill="1" applyBorder="1" applyAlignment="1" applyProtection="1">
      <alignment vertical="center" shrinkToFit="1"/>
    </xf>
    <xf numFmtId="225" fontId="11" fillId="0" borderId="25" xfId="4" applyNumberFormat="1" applyFont="1" applyFill="1" applyBorder="1" applyAlignment="1" applyProtection="1">
      <alignment vertical="center" wrapText="1"/>
    </xf>
    <xf numFmtId="3" fontId="11" fillId="0" borderId="18" xfId="4" applyNumberFormat="1" applyFont="1" applyFill="1" applyBorder="1" applyAlignment="1" applyProtection="1">
      <alignment horizontal="center" vertical="center" wrapText="1" shrinkToFit="1"/>
    </xf>
    <xf numFmtId="0" fontId="11" fillId="0" borderId="0" xfId="0" applyFont="1" applyFill="1" applyBorder="1" applyAlignment="1" applyProtection="1">
      <alignment vertical="center" wrapText="1" shrinkToFit="1"/>
    </xf>
    <xf numFmtId="0" fontId="10" fillId="0" borderId="1" xfId="9" applyFont="1" applyBorder="1" applyAlignment="1" applyProtection="1">
      <alignment horizontal="center" vertical="center" shrinkToFit="1"/>
    </xf>
    <xf numFmtId="3" fontId="22" fillId="2" borderId="4" xfId="9" applyNumberFormat="1" applyFont="1" applyFill="1" applyBorder="1" applyAlignment="1" applyProtection="1">
      <alignment horizontal="right" vertical="center" shrinkToFit="1"/>
      <protection locked="0"/>
    </xf>
    <xf numFmtId="0" fontId="12" fillId="5" borderId="1" xfId="9" applyFont="1" applyFill="1" applyBorder="1" applyAlignment="1" applyProtection="1">
      <alignment horizontal="center" vertical="center" wrapText="1" shrinkToFit="1"/>
    </xf>
    <xf numFmtId="3" fontId="10" fillId="0" borderId="1" xfId="9" applyNumberFormat="1" applyFont="1" applyBorder="1" applyAlignment="1" applyProtection="1">
      <alignment horizontal="right" vertical="center" shrinkToFit="1"/>
    </xf>
    <xf numFmtId="0" fontId="29" fillId="0" borderId="0" xfId="12" applyFont="1">
      <alignment vertical="center"/>
    </xf>
    <xf numFmtId="0" fontId="72" fillId="0" borderId="0" xfId="12" applyFont="1" applyAlignment="1">
      <alignment vertical="center" shrinkToFit="1"/>
    </xf>
    <xf numFmtId="0" fontId="72" fillId="0" borderId="0" xfId="12" applyFont="1" applyAlignment="1">
      <alignment horizontal="center" vertical="center" shrinkToFit="1"/>
    </xf>
    <xf numFmtId="0" fontId="72" fillId="0" borderId="16" xfId="12" applyFont="1" applyFill="1" applyBorder="1" applyAlignment="1">
      <alignment vertical="center" shrinkToFit="1"/>
    </xf>
    <xf numFmtId="254" fontId="72" fillId="0" borderId="1" xfId="12" applyNumberFormat="1" applyFont="1" applyBorder="1" applyAlignment="1">
      <alignment horizontal="center" vertical="center" shrinkToFit="1"/>
    </xf>
    <xf numFmtId="0" fontId="73" fillId="0" borderId="16" xfId="12" applyFont="1" applyFill="1" applyBorder="1" applyAlignment="1">
      <alignment vertical="center" shrinkToFit="1"/>
    </xf>
    <xf numFmtId="0" fontId="73" fillId="9" borderId="10" xfId="12" applyFont="1" applyFill="1" applyBorder="1" applyAlignment="1">
      <alignment horizontal="center" vertical="center" shrinkToFit="1"/>
    </xf>
    <xf numFmtId="225" fontId="73" fillId="9" borderId="1" xfId="12" applyNumberFormat="1" applyFont="1" applyFill="1" applyBorder="1" applyAlignment="1">
      <alignment horizontal="center" vertical="center" shrinkToFit="1"/>
    </xf>
    <xf numFmtId="0" fontId="73" fillId="4" borderId="1" xfId="12" applyFont="1" applyFill="1" applyBorder="1" applyAlignment="1">
      <alignment vertical="center" shrinkToFit="1"/>
    </xf>
    <xf numFmtId="255" fontId="73" fillId="4" borderId="1" xfId="12" applyNumberFormat="1" applyFont="1" applyFill="1" applyBorder="1" applyAlignment="1">
      <alignment vertical="center" shrinkToFit="1"/>
    </xf>
    <xf numFmtId="0" fontId="73" fillId="2" borderId="1" xfId="12" applyFont="1" applyFill="1" applyBorder="1" applyAlignment="1">
      <alignment vertical="center" shrinkToFit="1"/>
    </xf>
    <xf numFmtId="255" fontId="73" fillId="2" borderId="1" xfId="12" applyNumberFormat="1" applyFont="1" applyFill="1" applyBorder="1" applyAlignment="1">
      <alignment vertical="center" shrinkToFit="1"/>
    </xf>
    <xf numFmtId="0" fontId="29" fillId="2" borderId="0" xfId="12" applyFont="1" applyFill="1">
      <alignment vertical="center"/>
    </xf>
    <xf numFmtId="0" fontId="73" fillId="11" borderId="1" xfId="12" applyFont="1" applyFill="1" applyBorder="1" applyAlignment="1">
      <alignment vertical="center" shrinkToFit="1"/>
    </xf>
    <xf numFmtId="255" fontId="73" fillId="11" borderId="1" xfId="12" applyNumberFormat="1" applyFont="1" applyFill="1" applyBorder="1" applyAlignment="1">
      <alignment vertical="center" shrinkToFit="1"/>
    </xf>
    <xf numFmtId="0" fontId="73" fillId="9" borderId="1" xfId="12" applyFont="1" applyFill="1" applyBorder="1" applyAlignment="1">
      <alignment vertical="center" shrinkToFit="1"/>
    </xf>
    <xf numFmtId="255" fontId="73" fillId="9" borderId="1" xfId="12" applyNumberFormat="1" applyFont="1" applyFill="1" applyBorder="1" applyAlignment="1">
      <alignment vertical="center" shrinkToFit="1"/>
    </xf>
    <xf numFmtId="0" fontId="72" fillId="0" borderId="6" xfId="12" applyFont="1" applyBorder="1" applyAlignment="1">
      <alignment horizontal="center" vertical="center" shrinkToFit="1"/>
    </xf>
    <xf numFmtId="0" fontId="72" fillId="0" borderId="10" xfId="12" applyFont="1" applyBorder="1" applyAlignment="1">
      <alignment vertical="center" shrinkToFit="1"/>
    </xf>
    <xf numFmtId="0" fontId="72" fillId="0" borderId="1" xfId="12" applyFont="1" applyBorder="1" applyAlignment="1">
      <alignment vertical="center" shrinkToFit="1"/>
    </xf>
    <xf numFmtId="255" fontId="73" fillId="4" borderId="1" xfId="12" applyNumberFormat="1" applyFont="1" applyFill="1" applyBorder="1" applyAlignment="1">
      <alignment vertical="center" wrapText="1" shrinkToFit="1"/>
    </xf>
    <xf numFmtId="0" fontId="73" fillId="2" borderId="16" xfId="12" applyFont="1" applyFill="1" applyBorder="1" applyAlignment="1">
      <alignment vertical="center" shrinkToFit="1"/>
    </xf>
    <xf numFmtId="0" fontId="29" fillId="4" borderId="0" xfId="12" applyFont="1" applyFill="1">
      <alignment vertical="center"/>
    </xf>
    <xf numFmtId="0" fontId="73" fillId="4" borderId="16" xfId="12" applyFont="1" applyFill="1" applyBorder="1" applyAlignment="1">
      <alignment vertical="center" shrinkToFit="1"/>
    </xf>
    <xf numFmtId="188" fontId="10" fillId="0" borderId="1" xfId="10" applyNumberFormat="1" applyFont="1" applyFill="1" applyBorder="1" applyAlignment="1" applyProtection="1">
      <alignment vertical="center" shrinkToFit="1"/>
    </xf>
    <xf numFmtId="243" fontId="10" fillId="0" borderId="1" xfId="10" applyNumberFormat="1" applyFont="1" applyFill="1" applyBorder="1" applyAlignment="1" applyProtection="1">
      <alignment vertical="center" shrinkToFit="1"/>
    </xf>
    <xf numFmtId="190" fontId="10" fillId="0" borderId="1" xfId="10" applyNumberFormat="1" applyFont="1" applyFill="1" applyBorder="1" applyAlignment="1" applyProtection="1">
      <alignment vertical="center" shrinkToFit="1"/>
    </xf>
    <xf numFmtId="244" fontId="10" fillId="0" borderId="1" xfId="10" applyNumberFormat="1" applyFont="1" applyFill="1" applyBorder="1" applyAlignment="1" applyProtection="1">
      <alignment vertical="center" shrinkToFit="1"/>
    </xf>
    <xf numFmtId="192" fontId="11" fillId="0" borderId="93" xfId="4" applyNumberFormat="1" applyFont="1" applyFill="1" applyBorder="1" applyAlignment="1" applyProtection="1">
      <alignment vertical="center" wrapText="1"/>
    </xf>
    <xf numFmtId="192" fontId="11" fillId="0" borderId="40" xfId="4" applyNumberFormat="1" applyFont="1" applyFill="1" applyBorder="1" applyAlignment="1" applyProtection="1">
      <alignment vertical="center" wrapText="1"/>
    </xf>
    <xf numFmtId="0" fontId="29" fillId="0" borderId="1" xfId="0" applyFont="1" applyBorder="1" applyAlignment="1">
      <alignment horizontal="center" vertical="center" shrinkToFit="1"/>
    </xf>
    <xf numFmtId="0" fontId="12" fillId="0" borderId="1" xfId="0" applyFont="1" applyBorder="1" applyAlignment="1" applyProtection="1">
      <alignment vertical="center" wrapText="1" shrinkToFit="1"/>
    </xf>
    <xf numFmtId="0" fontId="12" fillId="0" borderId="1" xfId="0" applyFont="1" applyBorder="1" applyAlignment="1" applyProtection="1">
      <alignment vertical="center" shrinkToFit="1"/>
    </xf>
    <xf numFmtId="0" fontId="19" fillId="0" borderId="1" xfId="0" applyFont="1" applyBorder="1" applyAlignment="1" applyProtection="1">
      <alignment vertical="center" wrapText="1"/>
    </xf>
    <xf numFmtId="0" fontId="12" fillId="0" borderId="1" xfId="0" applyFont="1" applyBorder="1" applyAlignment="1" applyProtection="1">
      <alignment horizontal="left" vertical="center"/>
    </xf>
    <xf numFmtId="0" fontId="12" fillId="0" borderId="0" xfId="0" applyFont="1" applyBorder="1" applyAlignment="1" applyProtection="1">
      <alignment vertical="center" wrapText="1" shrinkToFit="1"/>
    </xf>
    <xf numFmtId="0" fontId="19" fillId="0" borderId="0" xfId="0" applyFont="1" applyBorder="1" applyAlignment="1" applyProtection="1">
      <alignment vertical="center" wrapText="1" shrinkToFit="1"/>
    </xf>
    <xf numFmtId="0" fontId="12" fillId="0" borderId="0" xfId="0" applyFont="1" applyBorder="1" applyAlignment="1" applyProtection="1">
      <alignment vertical="center" wrapText="1"/>
    </xf>
    <xf numFmtId="0" fontId="19" fillId="0" borderId="0" xfId="0" applyFont="1" applyBorder="1" applyAlignment="1" applyProtection="1">
      <alignment vertical="center" wrapText="1"/>
    </xf>
    <xf numFmtId="0" fontId="12" fillId="0" borderId="0" xfId="0" applyFont="1" applyBorder="1" applyAlignment="1" applyProtection="1">
      <alignment horizontal="center" vertical="center" wrapText="1"/>
    </xf>
    <xf numFmtId="0" fontId="19" fillId="0" borderId="0" xfId="0" applyFont="1" applyBorder="1" applyAlignment="1" applyProtection="1">
      <alignment horizontal="center" vertical="center" wrapText="1"/>
    </xf>
    <xf numFmtId="0" fontId="12" fillId="0" borderId="1" xfId="0" applyFont="1" applyBorder="1" applyAlignment="1" applyProtection="1">
      <alignment horizontal="center" vertical="center" wrapText="1"/>
    </xf>
    <xf numFmtId="0" fontId="12" fillId="2" borderId="1" xfId="0" applyFont="1" applyFill="1" applyBorder="1" applyAlignment="1" applyProtection="1">
      <alignment horizontal="center" vertical="center"/>
      <protection locked="0"/>
    </xf>
    <xf numFmtId="49" fontId="12" fillId="2" borderId="1" xfId="0" applyNumberFormat="1" applyFont="1" applyFill="1" applyBorder="1" applyAlignment="1" applyProtection="1">
      <alignment horizontal="center" vertical="center" shrinkToFit="1"/>
      <protection locked="0"/>
    </xf>
    <xf numFmtId="0" fontId="0" fillId="0" borderId="0" xfId="0" applyAlignment="1" applyProtection="1">
      <alignment vertical="center"/>
    </xf>
    <xf numFmtId="0" fontId="0" fillId="0" borderId="0" xfId="0" applyBorder="1" applyAlignment="1" applyProtection="1">
      <alignment vertical="center" wrapText="1"/>
    </xf>
    <xf numFmtId="0" fontId="47" fillId="0" borderId="1" xfId="8" applyFont="1" applyBorder="1" applyAlignment="1" applyProtection="1">
      <alignment horizontal="center" vertical="center"/>
    </xf>
    <xf numFmtId="0" fontId="47" fillId="0" borderId="0" xfId="8" applyFont="1" applyProtection="1"/>
    <xf numFmtId="0" fontId="15" fillId="0" borderId="0" xfId="8" applyFont="1" applyAlignment="1" applyProtection="1">
      <alignment vertical="center"/>
    </xf>
    <xf numFmtId="0" fontId="18" fillId="0" borderId="0" xfId="9" applyFont="1" applyAlignment="1" applyProtection="1"/>
    <xf numFmtId="0" fontId="15" fillId="0" borderId="0" xfId="8" applyFont="1" applyAlignment="1" applyProtection="1">
      <alignment horizontal="left" wrapText="1"/>
    </xf>
    <xf numFmtId="0" fontId="15" fillId="0" borderId="0" xfId="8" applyFont="1" applyAlignment="1" applyProtection="1">
      <alignment horizontal="left" vertical="center" wrapText="1"/>
    </xf>
    <xf numFmtId="0" fontId="4" fillId="0" borderId="0" xfId="9" applyAlignment="1" applyProtection="1">
      <alignment horizontal="center" vertical="center"/>
    </xf>
    <xf numFmtId="0" fontId="4" fillId="0" borderId="0" xfId="9" applyAlignment="1" applyProtection="1">
      <alignment horizontal="left" vertical="center" wrapText="1"/>
    </xf>
    <xf numFmtId="0" fontId="46" fillId="0" borderId="0" xfId="8" applyFont="1" applyAlignment="1" applyProtection="1">
      <alignment horizontal="center"/>
    </xf>
    <xf numFmtId="0" fontId="4" fillId="0" borderId="0" xfId="9" applyAlignment="1" applyProtection="1">
      <alignment horizontal="center"/>
    </xf>
    <xf numFmtId="0" fontId="10" fillId="0" borderId="1" xfId="8" applyFont="1" applyBorder="1" applyAlignment="1" applyProtection="1">
      <alignment horizontal="center" vertical="center"/>
    </xf>
    <xf numFmtId="0" fontId="47" fillId="0" borderId="0" xfId="8" applyFont="1" applyAlignment="1" applyProtection="1">
      <alignment horizontal="center" vertical="center"/>
    </xf>
    <xf numFmtId="0" fontId="10" fillId="0" borderId="105" xfId="8" applyFont="1" applyFill="1" applyBorder="1" applyAlignment="1" applyProtection="1">
      <alignment horizontal="center" vertical="center" shrinkToFit="1"/>
    </xf>
    <xf numFmtId="0" fontId="10" fillId="0" borderId="1" xfId="8" applyFont="1" applyFill="1" applyBorder="1" applyAlignment="1" applyProtection="1">
      <alignment horizontal="center" vertical="center" shrinkToFit="1"/>
    </xf>
    <xf numFmtId="0" fontId="11" fillId="0" borderId="0" xfId="5" applyFont="1" applyAlignment="1" applyProtection="1">
      <alignment horizontal="center" vertical="center"/>
    </xf>
    <xf numFmtId="198" fontId="63" fillId="7" borderId="0" xfId="5" applyNumberFormat="1" applyFont="1" applyFill="1" applyBorder="1" applyAlignment="1" applyProtection="1">
      <alignment horizontal="center" vertical="center" wrapText="1"/>
    </xf>
    <xf numFmtId="0" fontId="11" fillId="0" borderId="0" xfId="5" applyFont="1" applyAlignment="1" applyProtection="1">
      <alignment vertical="center"/>
    </xf>
    <xf numFmtId="0" fontId="11" fillId="0" borderId="0" xfId="5" applyFont="1" applyAlignment="1" applyProtection="1">
      <alignment horizontal="left" vertical="center" wrapText="1"/>
    </xf>
    <xf numFmtId="0" fontId="11" fillId="0" borderId="0" xfId="5" applyFont="1" applyAlignment="1" applyProtection="1">
      <alignment vertical="center" wrapText="1"/>
    </xf>
    <xf numFmtId="199" fontId="11" fillId="0" borderId="0" xfId="5" applyNumberFormat="1" applyFont="1" applyAlignment="1" applyProtection="1">
      <alignment horizontal="left" vertical="center" wrapText="1"/>
    </xf>
    <xf numFmtId="0" fontId="11" fillId="0" borderId="0" xfId="5" applyFont="1" applyBorder="1" applyAlignment="1" applyProtection="1">
      <alignment vertical="center"/>
    </xf>
    <xf numFmtId="0" fontId="10" fillId="0" borderId="5" xfId="0" applyFont="1" applyBorder="1" applyAlignment="1" applyProtection="1">
      <alignment horizontal="center" vertical="center" shrinkToFit="1"/>
    </xf>
    <xf numFmtId="0" fontId="10" fillId="0" borderId="1" xfId="0" applyFont="1" applyBorder="1" applyAlignment="1" applyProtection="1">
      <alignment horizontal="center" vertical="center"/>
    </xf>
    <xf numFmtId="0" fontId="10" fillId="0" borderId="1" xfId="0" applyFont="1" applyBorder="1" applyAlignment="1" applyProtection="1">
      <alignment vertical="center"/>
    </xf>
    <xf numFmtId="0" fontId="10" fillId="0" borderId="0" xfId="0" applyFont="1" applyAlignment="1" applyProtection="1">
      <alignment vertical="center" wrapText="1"/>
    </xf>
    <xf numFmtId="0" fontId="10" fillId="3" borderId="1" xfId="0" applyFont="1" applyFill="1" applyBorder="1" applyAlignment="1" applyProtection="1">
      <alignment horizontal="center" vertical="center" shrinkToFit="1"/>
    </xf>
    <xf numFmtId="0" fontId="10" fillId="4" borderId="0" xfId="0" applyFont="1" applyFill="1" applyAlignment="1" applyProtection="1">
      <alignment vertical="center"/>
    </xf>
    <xf numFmtId="255" fontId="73" fillId="4" borderId="4" xfId="12" applyNumberFormat="1" applyFont="1" applyFill="1" applyBorder="1" applyAlignment="1">
      <alignment vertical="center" shrinkToFit="1"/>
    </xf>
    <xf numFmtId="255" fontId="73" fillId="2" borderId="4" xfId="12" applyNumberFormat="1" applyFont="1" applyFill="1" applyBorder="1" applyAlignment="1">
      <alignment vertical="center" shrinkToFit="1"/>
    </xf>
    <xf numFmtId="0" fontId="10" fillId="0" borderId="0" xfId="10" applyFont="1" applyAlignment="1" applyProtection="1">
      <alignment vertical="center" wrapText="1"/>
    </xf>
    <xf numFmtId="0" fontId="21" fillId="0" borderId="0" xfId="10" applyFont="1" applyAlignment="1" applyProtection="1">
      <alignment horizontal="left" vertical="center" wrapText="1"/>
    </xf>
    <xf numFmtId="0" fontId="10" fillId="0" borderId="1" xfId="10" applyFont="1" applyBorder="1" applyAlignment="1" applyProtection="1">
      <alignment horizontal="center" vertical="center" wrapText="1"/>
    </xf>
    <xf numFmtId="0" fontId="3" fillId="0" borderId="0" xfId="10" applyAlignment="1" applyProtection="1">
      <alignment vertical="center" wrapText="1"/>
    </xf>
    <xf numFmtId="0" fontId="11" fillId="4" borderId="0" xfId="10" applyFont="1" applyFill="1" applyAlignment="1" applyProtection="1">
      <alignment horizontal="left" vertical="center"/>
    </xf>
    <xf numFmtId="0" fontId="14" fillId="4" borderId="0" xfId="10" applyFont="1" applyFill="1" applyAlignment="1" applyProtection="1">
      <alignment horizontal="left" vertical="center"/>
    </xf>
    <xf numFmtId="0" fontId="12" fillId="0" borderId="0" xfId="0" applyFont="1" applyAlignment="1" applyProtection="1">
      <alignment vertical="center" wrapText="1"/>
    </xf>
    <xf numFmtId="0" fontId="19" fillId="0" borderId="0" xfId="0" applyFont="1" applyAlignment="1" applyProtection="1">
      <alignment vertical="center" wrapText="1"/>
    </xf>
    <xf numFmtId="193" fontId="11" fillId="0" borderId="45" xfId="4" applyNumberFormat="1" applyFont="1" applyFill="1" applyBorder="1" applyAlignment="1" applyProtection="1">
      <alignment vertical="center" wrapText="1" shrinkToFit="1"/>
    </xf>
    <xf numFmtId="0" fontId="11" fillId="0" borderId="0" xfId="4" applyFont="1" applyAlignment="1" applyProtection="1">
      <alignment vertical="center" wrapText="1"/>
    </xf>
    <xf numFmtId="253" fontId="29" fillId="0" borderId="1" xfId="0" applyNumberFormat="1" applyFont="1" applyBorder="1" applyAlignment="1">
      <alignment horizontal="center" vertical="center"/>
    </xf>
    <xf numFmtId="0" fontId="14" fillId="0" borderId="0" xfId="0" applyFont="1" applyBorder="1" applyAlignment="1" applyProtection="1">
      <alignment vertical="center" wrapText="1"/>
    </xf>
    <xf numFmtId="0" fontId="19" fillId="0" borderId="0" xfId="0" applyFont="1" applyBorder="1" applyAlignment="1" applyProtection="1">
      <alignment vertical="top" wrapText="1"/>
    </xf>
    <xf numFmtId="0" fontId="12" fillId="0" borderId="0" xfId="0" applyFont="1" applyBorder="1" applyAlignment="1" applyProtection="1">
      <alignment horizontal="center" vertical="center" wrapText="1" shrinkToFit="1"/>
    </xf>
    <xf numFmtId="0" fontId="19" fillId="0" borderId="0" xfId="0" applyFont="1" applyBorder="1" applyAlignment="1" applyProtection="1">
      <alignment horizontal="center" vertical="center" wrapText="1" shrinkToFit="1"/>
    </xf>
    <xf numFmtId="0" fontId="25" fillId="0" borderId="0" xfId="0" applyFont="1" applyBorder="1" applyAlignment="1" applyProtection="1">
      <alignment horizontal="center" vertical="center" wrapText="1"/>
    </xf>
    <xf numFmtId="0" fontId="26" fillId="0" borderId="0" xfId="0" applyFont="1" applyBorder="1" applyAlignment="1" applyProtection="1">
      <alignment horizontal="center" vertical="center" wrapText="1"/>
    </xf>
    <xf numFmtId="0" fontId="19" fillId="0" borderId="0" xfId="0" applyFont="1" applyFill="1" applyBorder="1" applyAlignment="1" applyProtection="1">
      <alignment horizontal="center" vertical="center" wrapText="1"/>
    </xf>
    <xf numFmtId="0" fontId="12" fillId="0" borderId="0" xfId="0" applyFont="1" applyFill="1" applyBorder="1" applyAlignment="1" applyProtection="1">
      <alignment vertical="center" wrapText="1"/>
    </xf>
    <xf numFmtId="0" fontId="19" fillId="0" borderId="0" xfId="0" applyFont="1" applyFill="1" applyBorder="1" applyAlignment="1" applyProtection="1">
      <alignment vertical="center" wrapText="1"/>
    </xf>
    <xf numFmtId="195" fontId="10" fillId="0" borderId="20" xfId="4" applyNumberFormat="1" applyFont="1" applyFill="1" applyBorder="1" applyAlignment="1" applyProtection="1">
      <alignment vertical="center" shrinkToFit="1"/>
    </xf>
    <xf numFmtId="194" fontId="10" fillId="0" borderId="50" xfId="4" applyNumberFormat="1" applyFont="1" applyFill="1" applyBorder="1" applyAlignment="1" applyProtection="1">
      <alignment vertical="center" shrinkToFit="1"/>
    </xf>
    <xf numFmtId="195" fontId="10" fillId="0" borderId="52" xfId="4" applyNumberFormat="1" applyFont="1" applyFill="1" applyBorder="1" applyAlignment="1" applyProtection="1">
      <alignment vertical="center" shrinkToFit="1"/>
    </xf>
    <xf numFmtId="0" fontId="10" fillId="0" borderId="2" xfId="10" applyFont="1" applyBorder="1" applyAlignment="1" applyProtection="1">
      <alignment horizontal="center" vertical="center"/>
    </xf>
    <xf numFmtId="257" fontId="72" fillId="0" borderId="1" xfId="12" applyNumberFormat="1" applyFont="1" applyBorder="1" applyAlignment="1">
      <alignment horizontal="center" vertical="center" shrinkToFit="1"/>
    </xf>
    <xf numFmtId="252" fontId="72" fillId="0" borderId="1" xfId="12" applyNumberFormat="1" applyFont="1" applyBorder="1" applyAlignment="1">
      <alignment horizontal="center" vertical="center" shrinkToFit="1"/>
    </xf>
    <xf numFmtId="190" fontId="72" fillId="0" borderId="1" xfId="12" applyNumberFormat="1" applyFont="1" applyBorder="1" applyAlignment="1">
      <alignment vertical="center" shrinkToFit="1"/>
    </xf>
    <xf numFmtId="257" fontId="29" fillId="0" borderId="1" xfId="12" applyNumberFormat="1" applyFont="1" applyBorder="1" applyAlignment="1">
      <alignment horizontal="center" vertical="center"/>
    </xf>
    <xf numFmtId="178" fontId="29" fillId="0" borderId="1" xfId="12" applyNumberFormat="1" applyFont="1" applyBorder="1">
      <alignment vertical="center"/>
    </xf>
    <xf numFmtId="253" fontId="12" fillId="0" borderId="1" xfId="0" applyNumberFormat="1" applyFont="1" applyBorder="1" applyAlignment="1" applyProtection="1">
      <alignment vertical="center"/>
    </xf>
    <xf numFmtId="0" fontId="12" fillId="0" borderId="1" xfId="0" applyFont="1" applyBorder="1" applyAlignment="1" applyProtection="1">
      <alignment horizontal="center" vertical="center"/>
    </xf>
    <xf numFmtId="0" fontId="15" fillId="0" borderId="1" xfId="9" applyFont="1" applyBorder="1" applyAlignment="1" applyProtection="1">
      <alignment horizontal="center" vertical="center" shrinkToFit="1"/>
    </xf>
    <xf numFmtId="0" fontId="10" fillId="0" borderId="1" xfId="9" applyFont="1" applyBorder="1" applyAlignment="1" applyProtection="1">
      <alignment horizontal="center" vertical="center"/>
    </xf>
    <xf numFmtId="0" fontId="15" fillId="0" borderId="1" xfId="9" applyFont="1" applyBorder="1" applyAlignment="1" applyProtection="1">
      <alignment horizontal="center" vertical="center"/>
    </xf>
    <xf numFmtId="0" fontId="16" fillId="0" borderId="0" xfId="9" applyFont="1" applyProtection="1">
      <alignment vertical="center"/>
    </xf>
    <xf numFmtId="0" fontId="15" fillId="0" borderId="0" xfId="9" applyFont="1" applyAlignment="1" applyProtection="1">
      <alignment vertical="center" shrinkToFit="1"/>
    </xf>
    <xf numFmtId="0" fontId="4" fillId="0" borderId="0" xfId="9" applyAlignment="1" applyProtection="1">
      <alignment vertical="center" shrinkToFit="1"/>
    </xf>
    <xf numFmtId="0" fontId="15" fillId="0" borderId="6" xfId="9" applyFont="1" applyBorder="1" applyAlignment="1" applyProtection="1">
      <alignment horizontal="center" vertical="center"/>
    </xf>
    <xf numFmtId="0" fontId="15" fillId="0" borderId="0" xfId="9" applyFont="1" applyProtection="1">
      <alignment vertical="center"/>
    </xf>
    <xf numFmtId="0" fontId="15" fillId="0" borderId="3" xfId="9" applyFont="1" applyBorder="1" applyAlignment="1" applyProtection="1">
      <alignment horizontal="center" vertical="center"/>
    </xf>
    <xf numFmtId="0" fontId="4" fillId="0" borderId="70" xfId="9" applyBorder="1" applyAlignment="1" applyProtection="1">
      <alignment vertical="center" shrinkToFit="1"/>
    </xf>
    <xf numFmtId="0" fontId="4" fillId="0" borderId="71" xfId="9" applyBorder="1" applyAlignment="1" applyProtection="1">
      <alignment vertical="center" shrinkToFit="1"/>
    </xf>
    <xf numFmtId="0" fontId="4" fillId="0" borderId="69" xfId="9" applyBorder="1" applyAlignment="1" applyProtection="1">
      <alignment horizontal="right" vertical="center" shrinkToFit="1"/>
    </xf>
    <xf numFmtId="3" fontId="12" fillId="0" borderId="18" xfId="0" applyNumberFormat="1" applyFont="1" applyFill="1" applyBorder="1" applyAlignment="1" applyProtection="1">
      <alignment horizontal="center" vertical="center"/>
    </xf>
    <xf numFmtId="179" fontId="12" fillId="0" borderId="1" xfId="0" applyNumberFormat="1"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wrapText="1"/>
    </xf>
    <xf numFmtId="0" fontId="19" fillId="0" borderId="1" xfId="0" applyFont="1" applyFill="1" applyBorder="1" applyAlignment="1" applyProtection="1">
      <alignment horizontal="left" vertical="center" wrapText="1"/>
    </xf>
    <xf numFmtId="181" fontId="12" fillId="0" borderId="1" xfId="0" applyNumberFormat="1" applyFont="1" applyBorder="1" applyAlignment="1" applyProtection="1">
      <alignment horizontal="center" vertical="center"/>
    </xf>
    <xf numFmtId="182" fontId="12" fillId="0" borderId="2" xfId="0" applyNumberFormat="1" applyFont="1" applyBorder="1" applyAlignment="1" applyProtection="1">
      <alignment horizontal="center" vertical="center"/>
    </xf>
    <xf numFmtId="182" fontId="12" fillId="0" borderId="3" xfId="0" applyNumberFormat="1" applyFont="1" applyBorder="1" applyAlignment="1" applyProtection="1">
      <alignment horizontal="center" vertical="center"/>
    </xf>
    <xf numFmtId="182" fontId="12" fillId="0" borderId="4" xfId="0" applyNumberFormat="1" applyFont="1" applyBorder="1" applyAlignment="1" applyProtection="1">
      <alignment horizontal="center" vertical="center"/>
    </xf>
    <xf numFmtId="0" fontId="12" fillId="9" borderId="1" xfId="0" applyFont="1" applyFill="1" applyBorder="1" applyAlignment="1" applyProtection="1">
      <alignment horizontal="center" vertical="center"/>
    </xf>
    <xf numFmtId="204" fontId="47" fillId="0" borderId="10" xfId="8" applyNumberFormat="1" applyFont="1" applyBorder="1" applyAlignment="1" applyProtection="1">
      <alignment horizontal="center"/>
    </xf>
    <xf numFmtId="252" fontId="10" fillId="0" borderId="1" xfId="8" applyNumberFormat="1" applyFont="1" applyBorder="1" applyAlignment="1" applyProtection="1">
      <alignment horizontal="center" vertical="center"/>
    </xf>
    <xf numFmtId="252" fontId="10" fillId="0" borderId="1" xfId="0" applyNumberFormat="1" applyFont="1" applyBorder="1" applyAlignment="1" applyProtection="1">
      <alignment horizontal="center" vertical="center"/>
    </xf>
    <xf numFmtId="252" fontId="10" fillId="0" borderId="1" xfId="8" applyNumberFormat="1" applyFont="1" applyBorder="1" applyAlignment="1" applyProtection="1">
      <alignment horizontal="center"/>
    </xf>
    <xf numFmtId="0" fontId="47" fillId="0" borderId="4" xfId="8" applyFont="1" applyBorder="1" applyAlignment="1" applyProtection="1">
      <alignment horizontal="center"/>
    </xf>
    <xf numFmtId="0" fontId="0" fillId="0" borderId="4" xfId="0" applyBorder="1" applyAlignment="1" applyProtection="1">
      <alignment horizontal="center"/>
    </xf>
    <xf numFmtId="206" fontId="47" fillId="0" borderId="1" xfId="8" applyNumberFormat="1" applyFont="1" applyBorder="1" applyAlignment="1" applyProtection="1">
      <alignment horizontal="center" shrinkToFit="1"/>
    </xf>
    <xf numFmtId="0" fontId="67" fillId="2" borderId="1" xfId="0" applyFont="1" applyFill="1" applyBorder="1" applyAlignment="1" applyProtection="1">
      <alignment horizontal="center" vertical="center" shrinkToFit="1"/>
      <protection locked="0"/>
    </xf>
    <xf numFmtId="255" fontId="73" fillId="4" borderId="2" xfId="12" applyNumberFormat="1" applyFont="1" applyFill="1" applyBorder="1" applyAlignment="1">
      <alignment vertical="center"/>
    </xf>
    <xf numFmtId="255" fontId="73" fillId="2" borderId="2" xfId="12" applyNumberFormat="1" applyFont="1" applyFill="1" applyBorder="1" applyAlignment="1">
      <alignment vertical="center"/>
    </xf>
    <xf numFmtId="255" fontId="73" fillId="4" borderId="13" xfId="12" applyNumberFormat="1" applyFont="1" applyFill="1" applyBorder="1" applyAlignment="1">
      <alignment vertical="center"/>
    </xf>
    <xf numFmtId="0" fontId="73" fillId="9" borderId="4" xfId="12" applyFont="1" applyFill="1" applyBorder="1" applyAlignment="1">
      <alignment horizontal="center" vertical="center" shrinkToFit="1"/>
    </xf>
    <xf numFmtId="0" fontId="73" fillId="9" borderId="9" xfId="12" applyFont="1" applyFill="1" applyBorder="1" applyAlignment="1">
      <alignment horizontal="center" vertical="center" shrinkToFit="1"/>
    </xf>
    <xf numFmtId="255" fontId="73" fillId="4" borderId="3" xfId="12" applyNumberFormat="1" applyFont="1" applyFill="1" applyBorder="1" applyAlignment="1">
      <alignment vertical="center" shrinkToFit="1"/>
    </xf>
    <xf numFmtId="255" fontId="73" fillId="2" borderId="3" xfId="12" applyNumberFormat="1" applyFont="1" applyFill="1" applyBorder="1" applyAlignment="1">
      <alignment vertical="center" shrinkToFit="1"/>
    </xf>
    <xf numFmtId="255" fontId="73" fillId="4" borderId="5" xfId="12" applyNumberFormat="1" applyFont="1" applyFill="1" applyBorder="1" applyAlignment="1">
      <alignment vertical="center" shrinkToFit="1"/>
    </xf>
    <xf numFmtId="0" fontId="29" fillId="0" borderId="2" xfId="0" applyFont="1" applyBorder="1" applyAlignment="1">
      <alignment horizontal="distributed" vertical="center"/>
    </xf>
    <xf numFmtId="0" fontId="29" fillId="0" borderId="2" xfId="0" applyFont="1" applyBorder="1" applyAlignment="1">
      <alignment horizontal="distributed" vertical="center" shrinkToFit="1"/>
    </xf>
    <xf numFmtId="0" fontId="29" fillId="0" borderId="1" xfId="0" applyFont="1" applyBorder="1" applyAlignment="1">
      <alignment horizontal="centerContinuous" vertical="center" shrinkToFit="1"/>
    </xf>
    <xf numFmtId="0" fontId="29" fillId="0" borderId="6" xfId="0" applyFont="1" applyBorder="1" applyAlignment="1">
      <alignment vertical="center"/>
    </xf>
    <xf numFmtId="0" fontId="29" fillId="0" borderId="10" xfId="0" applyFont="1" applyBorder="1" applyAlignment="1">
      <alignment vertical="center"/>
    </xf>
    <xf numFmtId="14" fontId="11" fillId="0" borderId="1" xfId="4" applyNumberFormat="1" applyFont="1" applyBorder="1" applyAlignment="1" applyProtection="1">
      <alignment horizontal="left" vertical="center" shrinkToFit="1"/>
    </xf>
    <xf numFmtId="0" fontId="11" fillId="0" borderId="0" xfId="4" applyFont="1" applyAlignment="1" applyProtection="1">
      <alignment horizontal="left" vertical="center"/>
    </xf>
    <xf numFmtId="14" fontId="11" fillId="0" borderId="1" xfId="4" applyNumberFormat="1" applyFont="1" applyBorder="1" applyAlignment="1" applyProtection="1">
      <alignment horizontal="left" vertical="center" wrapText="1" shrinkToFit="1"/>
    </xf>
    <xf numFmtId="0" fontId="12" fillId="5" borderId="6" xfId="10" applyFont="1" applyFill="1" applyBorder="1" applyAlignment="1" applyProtection="1">
      <alignment horizontal="center" vertical="center" shrinkToFit="1"/>
    </xf>
    <xf numFmtId="0" fontId="12" fillId="5" borderId="13" xfId="10" applyFont="1" applyFill="1" applyBorder="1" applyAlignment="1" applyProtection="1">
      <alignment horizontal="center" vertical="center" shrinkToFit="1"/>
    </xf>
    <xf numFmtId="0" fontId="22" fillId="2" borderId="10" xfId="10" applyFont="1" applyFill="1" applyBorder="1" applyAlignment="1" applyProtection="1">
      <alignment horizontal="center" vertical="center" shrinkToFit="1"/>
      <protection locked="0"/>
    </xf>
    <xf numFmtId="0" fontId="22" fillId="2" borderId="7" xfId="10" applyFont="1" applyFill="1" applyBorder="1" applyAlignment="1" applyProtection="1">
      <alignment horizontal="center" vertical="center" shrinkToFit="1"/>
      <protection locked="0"/>
    </xf>
    <xf numFmtId="178" fontId="10" fillId="2" borderId="10" xfId="10" applyNumberFormat="1" applyFont="1" applyFill="1" applyBorder="1" applyAlignment="1" applyProtection="1">
      <alignment horizontal="center" vertical="center" shrinkToFit="1"/>
      <protection locked="0"/>
    </xf>
    <xf numFmtId="224" fontId="10" fillId="2" borderId="10" xfId="10" applyNumberFormat="1" applyFont="1" applyFill="1" applyBorder="1" applyAlignment="1" applyProtection="1">
      <alignment horizontal="right" vertical="center" shrinkToFit="1"/>
      <protection locked="0"/>
    </xf>
    <xf numFmtId="176" fontId="10" fillId="0" borderId="10" xfId="10" applyNumberFormat="1" applyFont="1" applyBorder="1" applyAlignment="1" applyProtection="1">
      <alignment horizontal="right" vertical="center" shrinkToFit="1"/>
    </xf>
    <xf numFmtId="176" fontId="22" fillId="0" borderId="10" xfId="10" applyNumberFormat="1" applyFont="1" applyBorder="1" applyAlignment="1" applyProtection="1">
      <alignment vertical="center" shrinkToFit="1"/>
    </xf>
    <xf numFmtId="241" fontId="22" fillId="0" borderId="10" xfId="10" applyNumberFormat="1" applyFont="1" applyBorder="1" applyAlignment="1" applyProtection="1">
      <alignment horizontal="right" vertical="center" shrinkToFit="1"/>
    </xf>
    <xf numFmtId="0" fontId="10" fillId="0" borderId="10" xfId="10" applyFont="1" applyBorder="1" applyAlignment="1" applyProtection="1">
      <alignment horizontal="center" vertical="center" shrinkToFit="1"/>
    </xf>
    <xf numFmtId="176" fontId="10" fillId="0" borderId="93" xfId="10" applyNumberFormat="1" applyFont="1" applyBorder="1" applyAlignment="1" applyProtection="1">
      <alignment horizontal="right" vertical="center" shrinkToFit="1"/>
    </xf>
    <xf numFmtId="176" fontId="22" fillId="0" borderId="93" xfId="10" applyNumberFormat="1" applyFont="1" applyBorder="1" applyAlignment="1" applyProtection="1">
      <alignment vertical="center" shrinkToFit="1"/>
    </xf>
    <xf numFmtId="241" fontId="22" fillId="0" borderId="93" xfId="10" applyNumberFormat="1" applyFont="1" applyBorder="1" applyAlignment="1" applyProtection="1">
      <alignment horizontal="right" vertical="center" shrinkToFit="1"/>
    </xf>
    <xf numFmtId="0" fontId="10" fillId="0" borderId="93" xfId="10" applyFont="1" applyBorder="1" applyAlignment="1" applyProtection="1">
      <alignment horizontal="center" vertical="center" shrinkToFit="1"/>
    </xf>
    <xf numFmtId="0" fontId="10" fillId="0" borderId="113" xfId="10" applyFont="1" applyBorder="1" applyAlignment="1" applyProtection="1">
      <alignment horizontal="center" vertical="center" shrinkToFit="1"/>
    </xf>
    <xf numFmtId="0" fontId="10" fillId="0" borderId="114" xfId="10" applyFont="1" applyBorder="1" applyAlignment="1" applyProtection="1">
      <alignment horizontal="center" vertical="center" shrinkToFit="1"/>
    </xf>
    <xf numFmtId="176" fontId="10" fillId="0" borderId="105" xfId="10" applyNumberFormat="1" applyFont="1" applyBorder="1" applyAlignment="1" applyProtection="1">
      <alignment horizontal="right" vertical="center" shrinkToFit="1"/>
    </xf>
    <xf numFmtId="176" fontId="22" fillId="0" borderId="105" xfId="10" applyNumberFormat="1" applyFont="1" applyBorder="1" applyAlignment="1" applyProtection="1">
      <alignment vertical="center" shrinkToFit="1"/>
    </xf>
    <xf numFmtId="241" fontId="22" fillId="0" borderId="105" xfId="10" applyNumberFormat="1" applyFont="1" applyBorder="1" applyAlignment="1" applyProtection="1">
      <alignment horizontal="right" vertical="center" shrinkToFit="1"/>
    </xf>
    <xf numFmtId="0" fontId="10" fillId="0" borderId="105" xfId="10" applyFont="1" applyBorder="1" applyAlignment="1" applyProtection="1">
      <alignment horizontal="center" vertical="center" shrinkToFit="1"/>
    </xf>
    <xf numFmtId="0" fontId="10" fillId="0" borderId="132" xfId="10" applyFont="1" applyBorder="1" applyAlignment="1" applyProtection="1">
      <alignment horizontal="center" vertical="center" shrinkToFit="1"/>
    </xf>
    <xf numFmtId="178" fontId="22" fillId="2" borderId="1" xfId="10" applyNumberFormat="1" applyFont="1" applyFill="1" applyBorder="1" applyAlignment="1" applyProtection="1">
      <alignment vertical="center" shrinkToFit="1"/>
      <protection locked="0"/>
    </xf>
    <xf numFmtId="178" fontId="22" fillId="2" borderId="10" xfId="10" applyNumberFormat="1" applyFont="1" applyFill="1" applyBorder="1" applyAlignment="1" applyProtection="1">
      <alignment vertical="center" shrinkToFit="1"/>
      <protection locked="0"/>
    </xf>
    <xf numFmtId="196" fontId="29" fillId="0" borderId="2" xfId="0" applyNumberFormat="1" applyFont="1" applyBorder="1" applyAlignment="1">
      <alignment horizontal="right" vertical="center" shrinkToFit="1"/>
    </xf>
    <xf numFmtId="0" fontId="0" fillId="0" borderId="3" xfId="0" applyBorder="1" applyAlignment="1">
      <alignment vertical="center"/>
    </xf>
    <xf numFmtId="0" fontId="0" fillId="0" borderId="4" xfId="0" applyBorder="1" applyAlignment="1">
      <alignment vertical="center"/>
    </xf>
    <xf numFmtId="197" fontId="29" fillId="2" borderId="2" xfId="0" applyNumberFormat="1" applyFont="1" applyFill="1" applyBorder="1" applyAlignment="1">
      <alignment vertical="center"/>
    </xf>
    <xf numFmtId="0" fontId="29" fillId="0" borderId="1" xfId="0" applyFont="1" applyBorder="1" applyAlignment="1">
      <alignment horizontal="center" vertical="center" shrinkToFit="1"/>
    </xf>
    <xf numFmtId="0" fontId="0" fillId="0" borderId="1" xfId="0" applyBorder="1" applyAlignment="1">
      <alignment vertical="center"/>
    </xf>
    <xf numFmtId="0" fontId="12" fillId="0" borderId="6" xfId="0" applyFont="1" applyBorder="1" applyAlignment="1" applyProtection="1">
      <alignment horizontal="center" vertical="center"/>
    </xf>
    <xf numFmtId="0" fontId="19" fillId="0" borderId="20" xfId="0" applyFont="1" applyBorder="1" applyAlignment="1" applyProtection="1">
      <alignment horizontal="center" vertical="center"/>
    </xf>
    <xf numFmtId="0" fontId="19" fillId="0" borderId="10" xfId="0" applyFont="1" applyBorder="1" applyAlignment="1" applyProtection="1">
      <alignment horizontal="center" vertical="center"/>
    </xf>
    <xf numFmtId="223" fontId="12" fillId="9" borderId="1" xfId="0" applyNumberFormat="1" applyFont="1" applyFill="1" applyBorder="1" applyAlignment="1" applyProtection="1">
      <alignment vertical="center" textRotation="255" shrinkToFit="1"/>
    </xf>
    <xf numFmtId="223" fontId="0" fillId="9" borderId="1" xfId="0" applyNumberFormat="1" applyFill="1" applyBorder="1" applyAlignment="1" applyProtection="1">
      <alignment vertical="center" textRotation="255" shrinkToFit="1"/>
    </xf>
    <xf numFmtId="0" fontId="0" fillId="0" borderId="1" xfId="0" applyBorder="1" applyAlignment="1" applyProtection="1">
      <alignment vertical="center" textRotation="255" shrinkToFit="1"/>
    </xf>
    <xf numFmtId="0" fontId="12" fillId="0" borderId="1" xfId="0" applyFont="1" applyBorder="1" applyAlignment="1" applyProtection="1">
      <alignment vertical="center" wrapText="1" shrinkToFit="1"/>
    </xf>
    <xf numFmtId="0" fontId="0" fillId="0" borderId="1" xfId="0" applyBorder="1" applyAlignment="1" applyProtection="1">
      <alignment vertical="center" shrinkToFit="1"/>
    </xf>
    <xf numFmtId="0" fontId="12" fillId="0" borderId="1" xfId="0" applyFont="1" applyBorder="1" applyAlignment="1" applyProtection="1">
      <alignment vertical="center" shrinkToFit="1"/>
    </xf>
    <xf numFmtId="0" fontId="12" fillId="4" borderId="1" xfId="0" applyFont="1" applyFill="1" applyBorder="1" applyAlignment="1" applyProtection="1">
      <alignment vertical="center" textRotation="255"/>
    </xf>
    <xf numFmtId="0" fontId="12" fillId="9" borderId="1" xfId="0" applyFont="1" applyFill="1" applyBorder="1" applyAlignment="1" applyProtection="1">
      <alignment vertical="center" textRotation="255"/>
    </xf>
    <xf numFmtId="0" fontId="0" fillId="4" borderId="1" xfId="0" applyFill="1" applyBorder="1" applyAlignment="1" applyProtection="1">
      <alignment vertical="center" textRotation="255"/>
    </xf>
    <xf numFmtId="0" fontId="12" fillId="4" borderId="1" xfId="0" applyFont="1" applyFill="1" applyBorder="1" applyAlignment="1" applyProtection="1">
      <alignment horizontal="center" vertical="center" shrinkToFit="1"/>
    </xf>
    <xf numFmtId="0" fontId="0" fillId="4" borderId="1" xfId="0" applyFill="1" applyBorder="1" applyAlignment="1" applyProtection="1">
      <alignment horizontal="center" vertical="center" shrinkToFit="1"/>
    </xf>
    <xf numFmtId="0" fontId="12" fillId="4" borderId="1" xfId="0" applyFont="1" applyFill="1" applyBorder="1" applyAlignment="1" applyProtection="1">
      <alignment horizontal="left" vertical="center"/>
    </xf>
    <xf numFmtId="0" fontId="10" fillId="4" borderId="1" xfId="0" applyFont="1" applyFill="1" applyBorder="1" applyAlignment="1" applyProtection="1">
      <alignment horizontal="left" vertical="center"/>
    </xf>
    <xf numFmtId="182" fontId="12" fillId="0" borderId="1" xfId="0" applyNumberFormat="1" applyFont="1" applyBorder="1" applyAlignment="1" applyProtection="1">
      <alignment horizontal="left" vertical="center" wrapText="1"/>
    </xf>
    <xf numFmtId="0" fontId="0" fillId="0" borderId="1" xfId="0" applyBorder="1" applyAlignment="1" applyProtection="1">
      <alignment horizontal="left" vertical="center" wrapText="1"/>
    </xf>
    <xf numFmtId="0" fontId="12" fillId="0" borderId="1" xfId="0" applyFont="1" applyBorder="1" applyAlignment="1" applyProtection="1">
      <alignment horizontal="center" vertical="center" wrapText="1" shrinkToFit="1"/>
    </xf>
    <xf numFmtId="0" fontId="0" fillId="0" borderId="1" xfId="0" applyBorder="1" applyAlignment="1" applyProtection="1">
      <alignment horizontal="center" vertical="center" wrapText="1"/>
    </xf>
    <xf numFmtId="0" fontId="24" fillId="2" borderId="1" xfId="2" applyNumberFormat="1" applyFill="1" applyBorder="1" applyAlignment="1" applyProtection="1">
      <alignment horizontal="left" vertical="center" wrapText="1"/>
      <protection locked="0"/>
    </xf>
    <xf numFmtId="0" fontId="12" fillId="2" borderId="1" xfId="0" applyFont="1" applyFill="1" applyBorder="1" applyAlignment="1" applyProtection="1">
      <alignment horizontal="left" vertical="center" wrapText="1"/>
      <protection locked="0"/>
    </xf>
    <xf numFmtId="0" fontId="19" fillId="0" borderId="1" xfId="0" applyFont="1" applyBorder="1" applyAlignment="1" applyProtection="1">
      <alignment vertical="center" wrapText="1" shrinkToFit="1"/>
    </xf>
    <xf numFmtId="0" fontId="19" fillId="0" borderId="1" xfId="0" applyFont="1" applyBorder="1" applyAlignment="1" applyProtection="1">
      <alignment vertical="center" wrapText="1"/>
    </xf>
    <xf numFmtId="0" fontId="12" fillId="4" borderId="1" xfId="0" applyFont="1" applyFill="1" applyBorder="1" applyAlignment="1" applyProtection="1">
      <alignment horizontal="center" vertical="center" wrapText="1"/>
    </xf>
    <xf numFmtId="0" fontId="19" fillId="4" borderId="1" xfId="0" applyFont="1" applyFill="1" applyBorder="1" applyAlignment="1" applyProtection="1">
      <alignment horizontal="center" vertical="center" wrapText="1"/>
    </xf>
    <xf numFmtId="0" fontId="12" fillId="9" borderId="1" xfId="0" applyFont="1" applyFill="1" applyBorder="1" applyAlignment="1" applyProtection="1">
      <alignment vertical="center" textRotation="255" wrapText="1"/>
    </xf>
    <xf numFmtId="0" fontId="10" fillId="9" borderId="1" xfId="0" applyFont="1" applyFill="1" applyBorder="1" applyAlignment="1" applyProtection="1">
      <alignment vertical="center" textRotation="255" wrapText="1"/>
    </xf>
    <xf numFmtId="182" fontId="12" fillId="0" borderId="1" xfId="0" applyNumberFormat="1" applyFont="1" applyBorder="1" applyAlignment="1" applyProtection="1">
      <alignment horizontal="left" vertical="center"/>
    </xf>
    <xf numFmtId="0" fontId="0" fillId="0" borderId="1" xfId="0" applyBorder="1" applyAlignment="1" applyProtection="1">
      <alignment horizontal="left" vertical="center"/>
    </xf>
    <xf numFmtId="0" fontId="0" fillId="0" borderId="1" xfId="0" applyBorder="1" applyAlignment="1" applyProtection="1">
      <alignment vertical="center"/>
    </xf>
    <xf numFmtId="0" fontId="12" fillId="0" borderId="1" xfId="0" applyFont="1" applyBorder="1" applyAlignment="1" applyProtection="1">
      <alignment horizontal="left" vertical="center"/>
    </xf>
    <xf numFmtId="0" fontId="19" fillId="0" borderId="1" xfId="0" applyFont="1" applyBorder="1" applyAlignment="1" applyProtection="1">
      <alignment horizontal="left" vertical="center"/>
    </xf>
    <xf numFmtId="0" fontId="12" fillId="9" borderId="1" xfId="0" applyFont="1" applyFill="1" applyBorder="1" applyAlignment="1" applyProtection="1">
      <alignment horizontal="center" vertical="center" wrapText="1"/>
    </xf>
    <xf numFmtId="0" fontId="19" fillId="9" borderId="1" xfId="0" applyFont="1" applyFill="1" applyBorder="1" applyAlignment="1" applyProtection="1">
      <alignment horizontal="center" vertical="center"/>
    </xf>
    <xf numFmtId="0" fontId="19" fillId="0" borderId="1" xfId="0" applyFont="1" applyBorder="1" applyAlignment="1" applyProtection="1">
      <alignment horizontal="center" vertical="center"/>
    </xf>
    <xf numFmtId="0" fontId="12" fillId="2" borderId="1" xfId="0" applyFont="1" applyFill="1" applyBorder="1" applyAlignment="1" applyProtection="1">
      <alignment horizontal="left" vertical="center"/>
      <protection locked="0"/>
    </xf>
    <xf numFmtId="0" fontId="19" fillId="2" borderId="1" xfId="0" applyFont="1" applyFill="1" applyBorder="1" applyAlignment="1" applyProtection="1">
      <alignment horizontal="left" vertical="center"/>
      <protection locked="0"/>
    </xf>
    <xf numFmtId="0" fontId="10" fillId="0" borderId="1" xfId="0" applyFont="1" applyBorder="1" applyAlignment="1" applyProtection="1">
      <alignment vertical="center" shrinkToFit="1"/>
    </xf>
    <xf numFmtId="0" fontId="12" fillId="9" borderId="2" xfId="0" applyFont="1" applyFill="1" applyBorder="1" applyAlignment="1" applyProtection="1">
      <alignment horizontal="center" vertical="center" wrapText="1"/>
    </xf>
    <xf numFmtId="0" fontId="0" fillId="0" borderId="3" xfId="0" applyBorder="1" applyAlignment="1" applyProtection="1">
      <alignment horizontal="center" vertical="center" wrapText="1"/>
    </xf>
    <xf numFmtId="0" fontId="0" fillId="0" borderId="4" xfId="0" applyBorder="1" applyAlignment="1" applyProtection="1">
      <alignment horizontal="center" vertical="center" wrapText="1"/>
    </xf>
    <xf numFmtId="0" fontId="12" fillId="0" borderId="0" xfId="0" applyFont="1" applyBorder="1" applyAlignment="1" applyProtection="1">
      <alignment vertical="center" wrapText="1" shrinkToFit="1"/>
    </xf>
    <xf numFmtId="0" fontId="19" fillId="0" borderId="0" xfId="0" applyFont="1" applyBorder="1" applyAlignment="1" applyProtection="1">
      <alignment vertical="center" wrapText="1" shrinkToFit="1"/>
    </xf>
    <xf numFmtId="0" fontId="12" fillId="0" borderId="0" xfId="0" applyFont="1" applyBorder="1" applyAlignment="1" applyProtection="1">
      <alignment horizontal="left" vertical="center" wrapText="1"/>
    </xf>
    <xf numFmtId="0" fontId="12" fillId="0" borderId="0" xfId="0" applyFont="1" applyBorder="1" applyAlignment="1" applyProtection="1">
      <alignment vertical="center" wrapText="1"/>
    </xf>
    <xf numFmtId="0" fontId="19" fillId="0" borderId="0" xfId="0" applyFont="1" applyBorder="1" applyAlignment="1" applyProtection="1">
      <alignment vertical="center" wrapText="1"/>
    </xf>
    <xf numFmtId="0" fontId="12" fillId="0" borderId="0" xfId="0" applyFont="1" applyBorder="1" applyAlignment="1" applyProtection="1">
      <alignment horizontal="center" vertical="center" wrapText="1"/>
    </xf>
    <xf numFmtId="0" fontId="19" fillId="0" borderId="0" xfId="0" applyFont="1" applyBorder="1" applyAlignment="1" applyProtection="1">
      <alignment horizontal="center" vertical="center" wrapText="1"/>
    </xf>
    <xf numFmtId="0" fontId="12" fillId="0" borderId="1" xfId="0" applyFont="1" applyBorder="1" applyAlignment="1" applyProtection="1">
      <alignment horizontal="center" vertical="center" wrapText="1"/>
    </xf>
    <xf numFmtId="0" fontId="10" fillId="0" borderId="1" xfId="0" applyFont="1" applyBorder="1" applyAlignment="1" applyProtection="1">
      <alignment horizontal="center" vertical="center"/>
    </xf>
    <xf numFmtId="180" fontId="12" fillId="2" borderId="1" xfId="0" applyNumberFormat="1" applyFont="1" applyFill="1" applyBorder="1" applyAlignment="1" applyProtection="1">
      <alignment horizontal="center" vertical="center" shrinkToFit="1"/>
      <protection locked="0"/>
    </xf>
    <xf numFmtId="180" fontId="10" fillId="2" borderId="1" xfId="0" applyNumberFormat="1" applyFont="1" applyFill="1" applyBorder="1" applyAlignment="1" applyProtection="1">
      <alignment horizontal="center" vertical="center" shrinkToFit="1"/>
      <protection locked="0"/>
    </xf>
    <xf numFmtId="0" fontId="29" fillId="0" borderId="6" xfId="0" applyFont="1" applyBorder="1" applyAlignment="1" applyProtection="1">
      <alignment vertical="center" wrapText="1" shrinkToFit="1"/>
    </xf>
    <xf numFmtId="0" fontId="60" fillId="0" borderId="20" xfId="0" applyFont="1" applyBorder="1" applyAlignment="1" applyProtection="1">
      <alignment vertical="center" wrapText="1"/>
    </xf>
    <xf numFmtId="0" fontId="60" fillId="0" borderId="10" xfId="0" applyFont="1" applyBorder="1" applyAlignment="1" applyProtection="1">
      <alignment vertical="center" wrapText="1"/>
    </xf>
    <xf numFmtId="0" fontId="12" fillId="2" borderId="20" xfId="0" applyFont="1" applyFill="1" applyBorder="1" applyAlignment="1" applyProtection="1">
      <alignment horizontal="left" vertical="center" wrapText="1"/>
    </xf>
    <xf numFmtId="0" fontId="12" fillId="2" borderId="10" xfId="0" applyFont="1" applyFill="1" applyBorder="1" applyAlignment="1" applyProtection="1">
      <alignment horizontal="left" vertical="center" wrapText="1"/>
    </xf>
    <xf numFmtId="0" fontId="12" fillId="9" borderId="1" xfId="0" applyFont="1" applyFill="1" applyBorder="1" applyAlignment="1" applyProtection="1">
      <alignment horizontal="center" vertical="center"/>
    </xf>
    <xf numFmtId="0" fontId="19" fillId="4" borderId="1" xfId="0" applyFont="1" applyFill="1" applyBorder="1" applyAlignment="1" applyProtection="1">
      <alignment vertical="center" wrapText="1"/>
    </xf>
    <xf numFmtId="0" fontId="19" fillId="2" borderId="1" xfId="0" applyFont="1" applyFill="1" applyBorder="1" applyAlignment="1" applyProtection="1">
      <alignment horizontal="left" vertical="center" wrapText="1"/>
      <protection locked="0"/>
    </xf>
    <xf numFmtId="0" fontId="12" fillId="0" borderId="1" xfId="0" applyFont="1" applyBorder="1" applyAlignment="1" applyProtection="1">
      <alignment horizontal="center" vertical="center"/>
    </xf>
    <xf numFmtId="182" fontId="12" fillId="2" borderId="1" xfId="0" applyNumberFormat="1" applyFont="1" applyFill="1" applyBorder="1" applyAlignment="1" applyProtection="1">
      <alignment horizontal="left" vertical="center"/>
      <protection locked="0"/>
    </xf>
    <xf numFmtId="182" fontId="19" fillId="2" borderId="1" xfId="0" applyNumberFormat="1" applyFont="1" applyFill="1" applyBorder="1" applyAlignment="1" applyProtection="1">
      <alignment horizontal="left" vertical="center"/>
      <protection locked="0"/>
    </xf>
    <xf numFmtId="0" fontId="19" fillId="9" borderId="1" xfId="0" applyFont="1" applyFill="1" applyBorder="1" applyAlignment="1" applyProtection="1">
      <alignment vertical="center" wrapText="1"/>
    </xf>
    <xf numFmtId="0" fontId="12" fillId="2" borderId="6" xfId="0" applyFont="1" applyFill="1" applyBorder="1" applyAlignment="1" applyProtection="1">
      <alignment horizontal="left" vertical="center" wrapText="1"/>
    </xf>
    <xf numFmtId="0" fontId="12" fillId="2" borderId="1" xfId="0" applyFont="1" applyFill="1" applyBorder="1" applyAlignment="1" applyProtection="1">
      <alignment horizontal="center" vertical="center"/>
      <protection locked="0"/>
    </xf>
    <xf numFmtId="0" fontId="19" fillId="2" borderId="1" xfId="0" applyFont="1" applyFill="1" applyBorder="1" applyAlignment="1" applyProtection="1">
      <alignment horizontal="center" vertical="center"/>
      <protection locked="0"/>
    </xf>
    <xf numFmtId="0" fontId="11" fillId="0" borderId="8" xfId="0" applyFont="1" applyBorder="1" applyAlignment="1" applyProtection="1">
      <alignment vertical="center" wrapText="1"/>
    </xf>
    <xf numFmtId="0" fontId="12" fillId="0" borderId="13" xfId="0" applyFont="1" applyBorder="1" applyAlignment="1" applyProtection="1">
      <alignment horizontal="center" vertical="center" wrapText="1"/>
    </xf>
    <xf numFmtId="0" fontId="19" fillId="0" borderId="5" xfId="0" applyFont="1" applyBorder="1" applyAlignment="1" applyProtection="1">
      <alignment horizontal="center" vertical="center" wrapText="1"/>
    </xf>
    <xf numFmtId="0" fontId="19" fillId="0" borderId="14" xfId="0" applyFont="1" applyBorder="1" applyAlignment="1" applyProtection="1">
      <alignment horizontal="center" vertical="center" wrapText="1"/>
    </xf>
    <xf numFmtId="0" fontId="12" fillId="0" borderId="13" xfId="0" applyFont="1" applyFill="1" applyBorder="1" applyAlignment="1" applyProtection="1">
      <alignment horizontal="center" vertical="center" wrapText="1"/>
    </xf>
    <xf numFmtId="0" fontId="19" fillId="0" borderId="5" xfId="0" applyFont="1" applyBorder="1" applyAlignment="1" applyProtection="1">
      <alignment vertical="center" wrapText="1"/>
    </xf>
    <xf numFmtId="0" fontId="19" fillId="0" borderId="14" xfId="0" applyFont="1" applyBorder="1" applyAlignment="1" applyProtection="1">
      <alignment vertical="center" wrapText="1"/>
    </xf>
    <xf numFmtId="0" fontId="19" fillId="2" borderId="6" xfId="0" applyFont="1" applyFill="1" applyBorder="1" applyAlignment="1" applyProtection="1">
      <alignment horizontal="left" vertical="center" wrapText="1"/>
    </xf>
    <xf numFmtId="0" fontId="12" fillId="0" borderId="1" xfId="0" applyFont="1" applyBorder="1" applyAlignment="1" applyProtection="1">
      <alignment horizontal="left" vertical="center" wrapText="1" shrinkToFit="1"/>
    </xf>
    <xf numFmtId="0" fontId="19" fillId="0" borderId="1" xfId="0" applyFont="1" applyBorder="1" applyAlignment="1" applyProtection="1">
      <alignment horizontal="left" vertical="center" wrapText="1" shrinkToFit="1"/>
    </xf>
    <xf numFmtId="0" fontId="20" fillId="0" borderId="1" xfId="0" applyFont="1" applyBorder="1" applyAlignment="1" applyProtection="1">
      <alignment horizontal="left" vertical="center" wrapText="1" shrinkToFit="1"/>
    </xf>
    <xf numFmtId="0" fontId="29" fillId="0" borderId="1" xfId="0" applyFont="1" applyBorder="1" applyAlignment="1" applyProtection="1">
      <alignment horizontal="left" vertical="center" wrapText="1" shrinkToFit="1"/>
    </xf>
    <xf numFmtId="0" fontId="19" fillId="2" borderId="20" xfId="0" applyFont="1" applyFill="1" applyBorder="1" applyAlignment="1" applyProtection="1">
      <alignment horizontal="left" vertical="center" wrapText="1"/>
    </xf>
    <xf numFmtId="0" fontId="19" fillId="2" borderId="10" xfId="0" applyFont="1" applyFill="1" applyBorder="1" applyAlignment="1" applyProtection="1">
      <alignment horizontal="left" vertical="center" wrapText="1"/>
    </xf>
    <xf numFmtId="0" fontId="12" fillId="0" borderId="17" xfId="0" applyFont="1" applyBorder="1" applyAlignment="1" applyProtection="1">
      <alignment horizontal="center" vertical="center" wrapText="1"/>
    </xf>
    <xf numFmtId="0" fontId="12" fillId="0" borderId="18" xfId="0" applyFont="1" applyBorder="1" applyAlignment="1" applyProtection="1">
      <alignment horizontal="center" vertical="center" wrapText="1"/>
    </xf>
    <xf numFmtId="0" fontId="0" fillId="0" borderId="1" xfId="0" applyBorder="1" applyAlignment="1" applyProtection="1">
      <alignment horizontal="left" vertical="center" wrapText="1" shrinkToFit="1"/>
    </xf>
    <xf numFmtId="0" fontId="19" fillId="9" borderId="1" xfId="0" applyFont="1" applyFill="1" applyBorder="1" applyAlignment="1" applyProtection="1">
      <alignment horizontal="center" vertical="center" wrapText="1"/>
    </xf>
    <xf numFmtId="0" fontId="0" fillId="9" borderId="1" xfId="0" applyFill="1" applyBorder="1" applyAlignment="1" applyProtection="1">
      <alignment vertical="center"/>
    </xf>
    <xf numFmtId="0" fontId="10" fillId="9" borderId="1" xfId="0" applyFont="1" applyFill="1" applyBorder="1" applyAlignment="1" applyProtection="1">
      <alignment horizontal="center" vertical="center" wrapText="1"/>
    </xf>
    <xf numFmtId="0" fontId="10" fillId="9" borderId="1" xfId="0" applyFont="1" applyFill="1" applyBorder="1" applyAlignment="1" applyProtection="1">
      <alignment horizontal="center" vertical="center"/>
    </xf>
    <xf numFmtId="0" fontId="12" fillId="2" borderId="1" xfId="0" applyFont="1" applyFill="1" applyBorder="1" applyAlignment="1" applyProtection="1">
      <alignment horizontal="center" vertical="center" wrapText="1"/>
      <protection locked="0"/>
    </xf>
    <xf numFmtId="0" fontId="0" fillId="0" borderId="1" xfId="0" applyBorder="1" applyAlignment="1" applyProtection="1">
      <alignment horizontal="center" vertical="center" wrapText="1"/>
      <protection locked="0"/>
    </xf>
    <xf numFmtId="49" fontId="12" fillId="2" borderId="1" xfId="0" applyNumberFormat="1" applyFont="1" applyFill="1" applyBorder="1" applyAlignment="1" applyProtection="1">
      <alignment horizontal="center" vertical="center" shrinkToFit="1"/>
      <protection locked="0"/>
    </xf>
    <xf numFmtId="49" fontId="10" fillId="0" borderId="1" xfId="0" applyNumberFormat="1" applyFont="1" applyBorder="1" applyAlignment="1" applyProtection="1">
      <alignment horizontal="center" vertical="center" shrinkToFit="1"/>
      <protection locked="0"/>
    </xf>
    <xf numFmtId="0" fontId="70" fillId="9" borderId="1" xfId="0" applyFont="1" applyFill="1" applyBorder="1" applyAlignment="1" applyProtection="1">
      <alignment horizontal="center" vertical="center"/>
    </xf>
    <xf numFmtId="0" fontId="71" fillId="0" borderId="1" xfId="0" applyFont="1" applyBorder="1" applyAlignment="1" applyProtection="1">
      <alignment horizontal="center" vertical="center"/>
    </xf>
    <xf numFmtId="0" fontId="0" fillId="0" borderId="1" xfId="0" applyBorder="1" applyAlignment="1" applyProtection="1">
      <alignment horizontal="center" vertical="center"/>
    </xf>
    <xf numFmtId="0" fontId="15" fillId="0" borderId="0" xfId="0" applyFont="1" applyAlignment="1" applyProtection="1">
      <alignment horizontal="distributed" vertical="center"/>
    </xf>
    <xf numFmtId="0" fontId="18" fillId="0" borderId="0" xfId="0" applyFont="1" applyAlignment="1" applyProtection="1">
      <alignment horizontal="distributed" vertical="center"/>
    </xf>
    <xf numFmtId="0" fontId="11" fillId="0" borderId="0" xfId="0" applyFont="1" applyAlignment="1" applyProtection="1">
      <alignment horizontal="left" vertical="center" shrinkToFit="1"/>
    </xf>
    <xf numFmtId="0" fontId="0" fillId="0" borderId="0" xfId="0" applyAlignment="1" applyProtection="1">
      <alignment horizontal="left" vertical="center" shrinkToFit="1"/>
    </xf>
    <xf numFmtId="0" fontId="11" fillId="0" borderId="0" xfId="0" applyFont="1" applyAlignment="1" applyProtection="1">
      <alignment horizontal="distributed" vertical="center"/>
    </xf>
    <xf numFmtId="0" fontId="14" fillId="0" borderId="0" xfId="0" applyFont="1" applyAlignment="1" applyProtection="1">
      <alignment horizontal="distributed" vertical="center"/>
    </xf>
    <xf numFmtId="0" fontId="14" fillId="0" borderId="0" xfId="0" applyFont="1" applyAlignment="1" applyProtection="1">
      <alignment horizontal="left" vertical="center" shrinkToFit="1"/>
    </xf>
    <xf numFmtId="0" fontId="11" fillId="0" borderId="0" xfId="0" applyFont="1" applyAlignment="1" applyProtection="1">
      <alignment vertical="center" shrinkToFit="1"/>
    </xf>
    <xf numFmtId="0" fontId="14" fillId="0" borderId="0" xfId="0" applyFont="1" applyAlignment="1" applyProtection="1">
      <alignment vertical="center" shrinkToFit="1"/>
    </xf>
    <xf numFmtId="199" fontId="11" fillId="0" borderId="0" xfId="0" applyNumberFormat="1" applyFont="1" applyAlignment="1" applyProtection="1">
      <alignment horizontal="distributed" vertical="center"/>
    </xf>
    <xf numFmtId="199" fontId="0" fillId="0" borderId="0" xfId="0" applyNumberFormat="1" applyAlignment="1" applyProtection="1">
      <alignment horizontal="distributed" vertical="center"/>
    </xf>
    <xf numFmtId="0" fontId="0" fillId="0" borderId="0" xfId="0" applyAlignment="1" applyProtection="1">
      <alignment horizontal="distributed" vertical="center"/>
    </xf>
    <xf numFmtId="0" fontId="16" fillId="0" borderId="0" xfId="0" applyFont="1" applyAlignment="1" applyProtection="1">
      <alignment horizontal="distributed" vertical="center"/>
    </xf>
    <xf numFmtId="0" fontId="15" fillId="0" borderId="0" xfId="0" applyFont="1" applyAlignment="1" applyProtection="1">
      <alignment horizontal="center" vertical="center" shrinkToFit="1"/>
    </xf>
    <xf numFmtId="198" fontId="33" fillId="7" borderId="0" xfId="5" applyNumberFormat="1" applyFont="1" applyFill="1" applyBorder="1" applyAlignment="1" applyProtection="1">
      <alignment horizontal="center" vertical="top" wrapText="1"/>
    </xf>
    <xf numFmtId="0" fontId="11" fillId="0" borderId="0" xfId="5" applyFont="1" applyAlignment="1" applyProtection="1">
      <alignment horizontal="distributed" shrinkToFit="1"/>
    </xf>
    <xf numFmtId="0" fontId="10" fillId="0" borderId="0" xfId="5" applyFont="1" applyAlignment="1" applyProtection="1">
      <alignment horizontal="distributed" shrinkToFit="1"/>
    </xf>
    <xf numFmtId="0" fontId="11" fillId="0" borderId="0" xfId="0" applyFont="1" applyAlignment="1" applyProtection="1">
      <alignment horizontal="distributed" vertical="center" shrinkToFit="1"/>
    </xf>
    <xf numFmtId="0" fontId="0" fillId="0" borderId="0" xfId="0" applyAlignment="1" applyProtection="1">
      <alignment horizontal="distributed" vertical="center" shrinkToFit="1"/>
    </xf>
    <xf numFmtId="0" fontId="27" fillId="0" borderId="0" xfId="0" applyFont="1" applyAlignment="1" applyProtection="1">
      <alignment vertical="center" wrapText="1"/>
    </xf>
    <xf numFmtId="0" fontId="28" fillId="0" borderId="0" xfId="0" applyFont="1" applyAlignment="1" applyProtection="1">
      <alignment vertical="center" wrapText="1"/>
    </xf>
    <xf numFmtId="0" fontId="11" fillId="0" borderId="0" xfId="0" applyFont="1" applyAlignment="1" applyProtection="1">
      <alignment vertical="center" wrapText="1"/>
    </xf>
    <xf numFmtId="0" fontId="0" fillId="0" borderId="0" xfId="0" applyAlignment="1" applyProtection="1">
      <alignment vertical="center" wrapText="1"/>
    </xf>
    <xf numFmtId="0" fontId="0" fillId="0" borderId="0" xfId="0" applyAlignment="1" applyProtection="1">
      <alignment vertical="center"/>
    </xf>
    <xf numFmtId="0" fontId="10" fillId="0" borderId="13" xfId="0" applyFont="1" applyBorder="1" applyAlignment="1" applyProtection="1">
      <alignment vertical="center" wrapText="1"/>
    </xf>
    <xf numFmtId="0" fontId="0" fillId="0" borderId="5" xfId="0" applyBorder="1" applyAlignment="1" applyProtection="1">
      <alignment vertical="center" wrapText="1"/>
    </xf>
    <xf numFmtId="0" fontId="0" fillId="0" borderId="14" xfId="0" applyBorder="1" applyAlignment="1" applyProtection="1">
      <alignment vertical="center" wrapText="1"/>
    </xf>
    <xf numFmtId="0" fontId="0" fillId="0" borderId="15" xfId="0" applyBorder="1" applyAlignment="1" applyProtection="1">
      <alignment vertical="center" wrapText="1"/>
    </xf>
    <xf numFmtId="0" fontId="0" fillId="0" borderId="0" xfId="0" applyBorder="1" applyAlignment="1" applyProtection="1">
      <alignment vertical="center" wrapText="1"/>
    </xf>
    <xf numFmtId="0" fontId="0" fillId="0" borderId="16" xfId="0" applyBorder="1" applyAlignment="1" applyProtection="1">
      <alignment vertical="center" wrapText="1"/>
    </xf>
    <xf numFmtId="0" fontId="0" fillId="0" borderId="7" xfId="0" applyBorder="1" applyAlignment="1" applyProtection="1">
      <alignment vertical="center" wrapText="1"/>
    </xf>
    <xf numFmtId="0" fontId="0" fillId="0" borderId="8" xfId="0" applyBorder="1" applyAlignment="1" applyProtection="1">
      <alignment vertical="center" wrapText="1"/>
    </xf>
    <xf numFmtId="0" fontId="0" fillId="0" borderId="9" xfId="0" applyBorder="1" applyAlignment="1" applyProtection="1">
      <alignment vertical="center" wrapText="1"/>
    </xf>
    <xf numFmtId="0" fontId="15" fillId="0" borderId="2" xfId="0" applyFont="1" applyBorder="1" applyAlignment="1">
      <alignment horizontal="distributed" vertical="center"/>
    </xf>
    <xf numFmtId="0" fontId="11" fillId="0" borderId="2" xfId="0" applyFont="1" applyBorder="1" applyAlignment="1">
      <alignment horizontal="center" vertical="center" shrinkToFit="1"/>
    </xf>
    <xf numFmtId="0" fontId="11" fillId="0" borderId="3" xfId="0" applyFont="1" applyBorder="1" applyAlignment="1">
      <alignment horizontal="center" vertical="center" shrinkToFit="1"/>
    </xf>
    <xf numFmtId="0" fontId="11" fillId="0" borderId="4" xfId="0" applyFont="1" applyBorder="1" applyAlignment="1">
      <alignment horizontal="center" vertical="center" shrinkToFit="1"/>
    </xf>
    <xf numFmtId="176" fontId="11" fillId="0" borderId="2" xfId="0" applyNumberFormat="1" applyFont="1" applyBorder="1" applyAlignment="1">
      <alignment vertical="center"/>
    </xf>
    <xf numFmtId="176" fontId="11" fillId="0" borderId="3" xfId="0" applyNumberFormat="1" applyFont="1" applyBorder="1" applyAlignment="1">
      <alignment vertical="center"/>
    </xf>
    <xf numFmtId="176" fontId="11" fillId="0" borderId="4" xfId="0" applyNumberFormat="1" applyFont="1" applyBorder="1" applyAlignment="1">
      <alignment vertical="center"/>
    </xf>
    <xf numFmtId="0" fontId="11" fillId="0" borderId="2" xfId="0" applyFont="1" applyBorder="1" applyAlignment="1">
      <alignment horizontal="distributed" vertical="center" shrinkToFit="1"/>
    </xf>
    <xf numFmtId="0" fontId="0" fillId="0" borderId="3" xfId="0" applyBorder="1" applyAlignment="1">
      <alignment horizontal="distributed" vertical="center" shrinkToFit="1"/>
    </xf>
    <xf numFmtId="0" fontId="0" fillId="0" borderId="4" xfId="0" applyBorder="1" applyAlignment="1">
      <alignment horizontal="distributed" vertical="center" shrinkToFit="1"/>
    </xf>
    <xf numFmtId="176" fontId="11" fillId="0" borderId="2" xfId="0" applyNumberFormat="1" applyFont="1" applyBorder="1" applyAlignment="1">
      <alignment horizontal="right" vertical="center" shrinkToFit="1"/>
    </xf>
    <xf numFmtId="176" fontId="0" fillId="0" borderId="3" xfId="0" applyNumberFormat="1" applyBorder="1" applyAlignment="1">
      <alignment horizontal="right" vertical="center" shrinkToFit="1"/>
    </xf>
    <xf numFmtId="176" fontId="0" fillId="0" borderId="4" xfId="0" applyNumberFormat="1" applyBorder="1" applyAlignment="1">
      <alignment horizontal="right" vertical="center" shrinkToFit="1"/>
    </xf>
    <xf numFmtId="176" fontId="11" fillId="2" borderId="2" xfId="0" applyNumberFormat="1" applyFont="1" applyFill="1" applyBorder="1" applyAlignment="1" applyProtection="1">
      <alignment vertical="center"/>
    </xf>
    <xf numFmtId="176" fontId="11" fillId="2" borderId="3" xfId="0" applyNumberFormat="1" applyFont="1" applyFill="1" applyBorder="1" applyAlignment="1" applyProtection="1">
      <alignment vertical="center"/>
    </xf>
    <xf numFmtId="176" fontId="11" fillId="2" borderId="4" xfId="0" applyNumberFormat="1" applyFont="1" applyFill="1" applyBorder="1" applyAlignment="1" applyProtection="1">
      <alignment vertical="center"/>
    </xf>
    <xf numFmtId="0" fontId="11" fillId="0" borderId="13" xfId="0" applyFont="1" applyBorder="1" applyAlignment="1">
      <alignment horizontal="center" vertical="center" shrinkToFit="1"/>
    </xf>
    <xf numFmtId="0" fontId="0" fillId="0" borderId="5" xfId="0" applyBorder="1" applyAlignment="1">
      <alignment horizontal="center" vertical="center" shrinkToFit="1"/>
    </xf>
    <xf numFmtId="0" fontId="0" fillId="0" borderId="14" xfId="0" applyBorder="1" applyAlignment="1">
      <alignment horizontal="center" vertical="center" shrinkToFit="1"/>
    </xf>
    <xf numFmtId="0" fontId="0" fillId="0" borderId="15" xfId="0" applyBorder="1" applyAlignment="1">
      <alignment vertical="center" shrinkToFit="1"/>
    </xf>
    <xf numFmtId="0" fontId="0" fillId="0" borderId="0" xfId="0" applyAlignment="1">
      <alignment vertical="center" shrinkToFit="1"/>
    </xf>
    <xf numFmtId="0" fontId="0" fillId="0" borderId="16" xfId="0" applyBorder="1" applyAlignment="1">
      <alignment vertical="center" shrinkToFit="1"/>
    </xf>
    <xf numFmtId="0" fontId="0" fillId="0" borderId="7" xfId="0" applyBorder="1" applyAlignment="1">
      <alignment vertical="center" shrinkToFit="1"/>
    </xf>
    <xf numFmtId="0" fontId="0" fillId="0" borderId="8" xfId="0" applyBorder="1" applyAlignment="1">
      <alignment vertical="center" shrinkToFit="1"/>
    </xf>
    <xf numFmtId="0" fontId="0" fillId="0" borderId="9" xfId="0" applyBorder="1" applyAlignment="1">
      <alignment vertical="center" shrinkToFit="1"/>
    </xf>
    <xf numFmtId="0" fontId="39" fillId="0" borderId="0" xfId="0" applyFont="1" applyAlignment="1">
      <alignment horizontal="center" vertical="center"/>
    </xf>
    <xf numFmtId="0" fontId="65" fillId="0" borderId="0" xfId="0" applyFont="1" applyAlignment="1">
      <alignment horizontal="center" vertical="center"/>
    </xf>
    <xf numFmtId="0" fontId="11" fillId="0" borderId="1" xfId="0" applyFont="1" applyBorder="1" applyAlignment="1">
      <alignment horizontal="center" vertical="center" shrinkToFit="1"/>
    </xf>
    <xf numFmtId="0" fontId="0" fillId="0" borderId="1" xfId="0" applyBorder="1" applyAlignment="1">
      <alignment horizontal="center" vertical="center" shrinkToFit="1"/>
    </xf>
    <xf numFmtId="176" fontId="11" fillId="0" borderId="1" xfId="0" applyNumberFormat="1" applyFont="1" applyBorder="1" applyAlignment="1">
      <alignment vertical="center"/>
    </xf>
    <xf numFmtId="176" fontId="0" fillId="0" borderId="1" xfId="0" applyNumberFormat="1" applyBorder="1" applyAlignment="1">
      <alignment vertical="center"/>
    </xf>
    <xf numFmtId="176" fontId="11" fillId="0" borderId="6" xfId="0" applyNumberFormat="1" applyFont="1" applyBorder="1" applyAlignment="1">
      <alignment vertical="center"/>
    </xf>
    <xf numFmtId="176" fontId="0" fillId="0" borderId="6" xfId="0" applyNumberFormat="1" applyBorder="1" applyAlignment="1">
      <alignment vertical="center"/>
    </xf>
    <xf numFmtId="176" fontId="11" fillId="0" borderId="11" xfId="0" applyNumberFormat="1" applyFont="1" applyBorder="1" applyAlignment="1">
      <alignment vertical="center"/>
    </xf>
    <xf numFmtId="176" fontId="0" fillId="0" borderId="11" xfId="0" applyNumberFormat="1" applyBorder="1" applyAlignment="1">
      <alignment vertical="center"/>
    </xf>
    <xf numFmtId="0" fontId="11" fillId="0" borderId="1" xfId="0" applyFont="1" applyBorder="1" applyAlignment="1">
      <alignment horizontal="center" vertical="center"/>
    </xf>
    <xf numFmtId="0" fontId="0" fillId="0" borderId="1" xfId="0" applyBorder="1" applyAlignment="1">
      <alignment horizontal="center" vertical="center"/>
    </xf>
    <xf numFmtId="176" fontId="11" fillId="2" borderId="1" xfId="0" applyNumberFormat="1" applyFont="1" applyFill="1" applyBorder="1" applyAlignment="1" applyProtection="1">
      <alignment vertical="center"/>
    </xf>
    <xf numFmtId="176" fontId="0" fillId="2" borderId="1" xfId="0" applyNumberFormat="1" applyFill="1" applyBorder="1" applyAlignment="1" applyProtection="1">
      <alignment vertical="center"/>
    </xf>
    <xf numFmtId="0" fontId="11" fillId="0" borderId="1" xfId="0" applyFont="1" applyBorder="1" applyAlignment="1">
      <alignment horizontal="distributed" vertical="center"/>
    </xf>
    <xf numFmtId="0" fontId="0" fillId="0" borderId="1" xfId="0" applyBorder="1" applyAlignment="1">
      <alignment horizontal="distributed" vertical="center"/>
    </xf>
    <xf numFmtId="176" fontId="11" fillId="2" borderId="2" xfId="0" applyNumberFormat="1" applyFont="1" applyFill="1" applyBorder="1" applyAlignment="1">
      <alignment vertical="center"/>
    </xf>
    <xf numFmtId="176" fontId="11" fillId="2" borderId="3" xfId="0" applyNumberFormat="1" applyFont="1" applyFill="1" applyBorder="1" applyAlignment="1">
      <alignment vertical="center"/>
    </xf>
    <xf numFmtId="176" fontId="11" fillId="2" borderId="4" xfId="0" applyNumberFormat="1" applyFont="1" applyFill="1" applyBorder="1" applyAlignment="1">
      <alignment vertical="center"/>
    </xf>
    <xf numFmtId="176" fontId="11" fillId="0" borderId="72" xfId="0" applyNumberFormat="1" applyFont="1" applyBorder="1" applyAlignment="1">
      <alignment vertical="center"/>
    </xf>
    <xf numFmtId="176" fontId="11" fillId="0" borderId="73" xfId="0" applyNumberFormat="1" applyFont="1" applyBorder="1" applyAlignment="1">
      <alignment vertical="center"/>
    </xf>
    <xf numFmtId="176" fontId="11" fillId="0" borderId="74" xfId="0" applyNumberFormat="1" applyFont="1" applyBorder="1" applyAlignment="1">
      <alignment vertical="center"/>
    </xf>
    <xf numFmtId="176" fontId="11" fillId="2" borderId="72" xfId="0" applyNumberFormat="1" applyFont="1" applyFill="1" applyBorder="1" applyAlignment="1">
      <alignment vertical="center"/>
    </xf>
    <xf numFmtId="176" fontId="11" fillId="2" borderId="73" xfId="0" applyNumberFormat="1" applyFont="1" applyFill="1" applyBorder="1" applyAlignment="1">
      <alignment vertical="center"/>
    </xf>
    <xf numFmtId="176" fontId="11" fillId="2" borderId="74" xfId="0" applyNumberFormat="1" applyFont="1" applyFill="1" applyBorder="1" applyAlignment="1">
      <alignment vertical="center"/>
    </xf>
    <xf numFmtId="0" fontId="11" fillId="0" borderId="2" xfId="0" applyFont="1" applyBorder="1" applyAlignment="1">
      <alignment horizontal="distributed" vertical="center"/>
    </xf>
    <xf numFmtId="0" fontId="11" fillId="0" borderId="3" xfId="0" applyFont="1" applyBorder="1" applyAlignment="1">
      <alignment horizontal="distributed" vertical="center"/>
    </xf>
    <xf numFmtId="0" fontId="11" fillId="0" borderId="4" xfId="0" applyFont="1" applyBorder="1" applyAlignment="1">
      <alignment horizontal="distributed" vertical="center"/>
    </xf>
    <xf numFmtId="0" fontId="11" fillId="0" borderId="161" xfId="0" applyFont="1" applyBorder="1" applyAlignment="1">
      <alignment vertical="center" shrinkToFit="1"/>
    </xf>
    <xf numFmtId="0" fontId="11" fillId="0" borderId="162" xfId="0" applyFont="1" applyBorder="1" applyAlignment="1">
      <alignment vertical="center" shrinkToFit="1"/>
    </xf>
    <xf numFmtId="0" fontId="11" fillId="0" borderId="171" xfId="0" applyFont="1" applyBorder="1" applyAlignment="1">
      <alignment vertical="center" shrinkToFit="1"/>
    </xf>
    <xf numFmtId="0" fontId="11" fillId="0" borderId="11" xfId="0" applyFont="1" applyBorder="1" applyAlignment="1">
      <alignment horizontal="center" vertical="center"/>
    </xf>
    <xf numFmtId="0" fontId="0" fillId="0" borderId="11" xfId="0" applyBorder="1" applyAlignment="1">
      <alignment horizontal="center" vertical="center"/>
    </xf>
    <xf numFmtId="0" fontId="11" fillId="0" borderId="11" xfId="0" applyFont="1" applyBorder="1" applyAlignment="1">
      <alignment vertical="center" shrinkToFit="1"/>
    </xf>
    <xf numFmtId="0" fontId="0" fillId="0" borderId="11" xfId="0" applyBorder="1" applyAlignment="1">
      <alignment vertical="center" shrinkToFit="1"/>
    </xf>
    <xf numFmtId="0" fontId="11" fillId="0" borderId="72" xfId="0" applyFont="1" applyBorder="1" applyAlignment="1">
      <alignment horizontal="center" vertical="center" shrinkToFit="1"/>
    </xf>
    <xf numFmtId="0" fontId="11" fillId="0" borderId="73" xfId="0" applyFont="1" applyBorder="1" applyAlignment="1">
      <alignment horizontal="center" vertical="center" shrinkToFit="1"/>
    </xf>
    <xf numFmtId="0" fontId="11" fillId="0" borderId="74" xfId="0" applyFont="1" applyBorder="1" applyAlignment="1">
      <alignment horizontal="center" vertical="center" shrinkToFit="1"/>
    </xf>
    <xf numFmtId="176" fontId="11" fillId="0" borderId="161" xfId="0" applyNumberFormat="1" applyFont="1" applyBorder="1" applyAlignment="1">
      <alignment vertical="center"/>
    </xf>
    <xf numFmtId="176" fontId="11" fillId="0" borderId="162" xfId="0" applyNumberFormat="1" applyFont="1" applyBorder="1" applyAlignment="1">
      <alignment vertical="center"/>
    </xf>
    <xf numFmtId="176" fontId="11" fillId="0" borderId="171" xfId="0" applyNumberFormat="1" applyFont="1" applyBorder="1" applyAlignment="1">
      <alignment vertical="center"/>
    </xf>
    <xf numFmtId="0" fontId="11" fillId="0" borderId="72" xfId="0" applyFont="1" applyBorder="1" applyAlignment="1">
      <alignment horizontal="distributed" vertical="center"/>
    </xf>
    <xf numFmtId="0" fontId="11" fillId="0" borderId="73" xfId="0" applyFont="1" applyBorder="1" applyAlignment="1">
      <alignment horizontal="distributed" vertical="center"/>
    </xf>
    <xf numFmtId="0" fontId="11" fillId="0" borderId="74" xfId="0" applyFont="1" applyBorder="1" applyAlignment="1">
      <alignment horizontal="distributed" vertical="center"/>
    </xf>
    <xf numFmtId="0" fontId="11" fillId="0" borderId="13" xfId="0" applyFont="1" applyBorder="1" applyAlignment="1">
      <alignment vertical="center" textRotation="255" shrinkToFit="1"/>
    </xf>
    <xf numFmtId="0" fontId="11" fillId="0" borderId="5" xfId="0" applyFont="1" applyBorder="1" applyAlignment="1">
      <alignment vertical="center" textRotation="255" shrinkToFit="1"/>
    </xf>
    <xf numFmtId="0" fontId="11" fillId="0" borderId="14" xfId="0" applyFont="1" applyBorder="1" applyAlignment="1">
      <alignment vertical="center" textRotation="255" shrinkToFit="1"/>
    </xf>
    <xf numFmtId="0" fontId="11" fillId="0" borderId="15" xfId="0" applyFont="1" applyBorder="1" applyAlignment="1">
      <alignment vertical="center" textRotation="255" shrinkToFit="1"/>
    </xf>
    <xf numFmtId="0" fontId="11" fillId="0" borderId="0" xfId="0" applyFont="1" applyBorder="1" applyAlignment="1">
      <alignment vertical="center" textRotation="255" shrinkToFit="1"/>
    </xf>
    <xf numFmtId="0" fontId="11" fillId="0" borderId="16" xfId="0" applyFont="1" applyBorder="1" applyAlignment="1">
      <alignment vertical="center" textRotation="255" shrinkToFit="1"/>
    </xf>
    <xf numFmtId="0" fontId="11" fillId="0" borderId="33" xfId="0" applyFont="1" applyBorder="1" applyAlignment="1">
      <alignment vertical="center" textRotation="255" shrinkToFit="1"/>
    </xf>
    <xf numFmtId="0" fontId="11" fillId="0" borderId="116" xfId="0" applyFont="1" applyBorder="1" applyAlignment="1">
      <alignment vertical="center" textRotation="255" shrinkToFit="1"/>
    </xf>
    <xf numFmtId="0" fontId="11" fillId="0" borderId="197" xfId="0" applyFont="1" applyBorder="1" applyAlignment="1">
      <alignment vertical="center" textRotation="255" shrinkToFit="1"/>
    </xf>
    <xf numFmtId="0" fontId="11" fillId="0" borderId="161" xfId="0" applyFont="1" applyBorder="1" applyAlignment="1">
      <alignment horizontal="center" vertical="center"/>
    </xf>
    <xf numFmtId="0" fontId="11" fillId="0" borderId="162" xfId="0" applyFont="1" applyBorder="1" applyAlignment="1">
      <alignment horizontal="center" vertical="center"/>
    </xf>
    <xf numFmtId="0" fontId="11" fillId="0" borderId="171" xfId="0" applyFont="1" applyBorder="1" applyAlignment="1">
      <alignment horizontal="center" vertical="center"/>
    </xf>
    <xf numFmtId="0" fontId="11" fillId="0" borderId="3" xfId="0" applyFont="1" applyBorder="1" applyAlignment="1">
      <alignment horizontal="distributed" vertical="center" shrinkToFit="1"/>
    </xf>
    <xf numFmtId="0" fontId="11" fillId="0" borderId="4" xfId="0" applyFont="1" applyBorder="1" applyAlignment="1">
      <alignment horizontal="distributed" vertical="center" shrinkToFit="1"/>
    </xf>
    <xf numFmtId="0" fontId="11" fillId="0" borderId="1" xfId="0" applyFont="1" applyBorder="1" applyAlignment="1">
      <alignment horizontal="center" vertical="center" wrapText="1"/>
    </xf>
    <xf numFmtId="0" fontId="0" fillId="0" borderId="1" xfId="0" applyBorder="1" applyAlignment="1">
      <alignment horizontal="center" vertical="center" wrapText="1"/>
    </xf>
    <xf numFmtId="0" fontId="11" fillId="0" borderId="6" xfId="0" applyFont="1" applyBorder="1" applyAlignment="1">
      <alignment horizontal="distributed" vertical="center"/>
    </xf>
    <xf numFmtId="0" fontId="0" fillId="0" borderId="6" xfId="0" applyBorder="1" applyAlignment="1">
      <alignment horizontal="distributed" vertical="center"/>
    </xf>
    <xf numFmtId="0" fontId="47" fillId="0" borderId="1" xfId="8" applyFont="1" applyBorder="1" applyAlignment="1" applyProtection="1">
      <alignment horizontal="center" vertical="center"/>
    </xf>
    <xf numFmtId="0" fontId="0" fillId="0" borderId="1" xfId="0" applyBorder="1" applyAlignment="1" applyProtection="1">
      <alignment horizontal="center"/>
    </xf>
    <xf numFmtId="0" fontId="47" fillId="2" borderId="1" xfId="8" applyFont="1" applyFill="1" applyBorder="1" applyAlignment="1" applyProtection="1">
      <alignment horizontal="center" vertical="center" shrinkToFit="1"/>
      <protection locked="0"/>
    </xf>
    <xf numFmtId="0" fontId="0" fillId="2" borderId="2" xfId="0" applyFill="1" applyBorder="1" applyAlignment="1" applyProtection="1">
      <alignment horizontal="center" vertical="center" shrinkToFit="1"/>
      <protection locked="0"/>
    </xf>
    <xf numFmtId="0" fontId="0" fillId="2" borderId="1" xfId="0" applyFill="1" applyBorder="1" applyAlignment="1" applyProtection="1">
      <alignment horizontal="center" vertical="center" shrinkToFit="1"/>
      <protection locked="0"/>
    </xf>
    <xf numFmtId="0" fontId="47" fillId="0" borderId="4" xfId="8" applyFont="1" applyBorder="1" applyAlignment="1" applyProtection="1">
      <alignment horizontal="center" vertical="center"/>
    </xf>
    <xf numFmtId="0" fontId="0" fillId="0" borderId="4" xfId="0" applyBorder="1" applyAlignment="1" applyProtection="1">
      <alignment horizontal="center" vertical="center"/>
    </xf>
    <xf numFmtId="0" fontId="0" fillId="0" borderId="28" xfId="0" applyBorder="1" applyAlignment="1" applyProtection="1">
      <alignment horizontal="center" vertical="center"/>
    </xf>
    <xf numFmtId="0" fontId="0" fillId="0" borderId="172" xfId="0" applyBorder="1" applyAlignment="1" applyProtection="1">
      <alignment horizontal="center" vertical="center"/>
    </xf>
    <xf numFmtId="0" fontId="10" fillId="0" borderId="2" xfId="9" applyFont="1" applyBorder="1" applyAlignment="1" applyProtection="1">
      <alignment horizontal="left" vertical="center" shrinkToFit="1"/>
    </xf>
    <xf numFmtId="0" fontId="10" fillId="0" borderId="3" xfId="9" applyFont="1" applyBorder="1" applyAlignment="1" applyProtection="1">
      <alignment horizontal="left" vertical="center" shrinkToFit="1"/>
    </xf>
    <xf numFmtId="0" fontId="0" fillId="0" borderId="3" xfId="0" applyBorder="1" applyAlignment="1" applyProtection="1">
      <alignment horizontal="left" shrinkToFit="1"/>
    </xf>
    <xf numFmtId="0" fontId="0" fillId="0" borderId="4" xfId="0" applyBorder="1" applyAlignment="1" applyProtection="1">
      <alignment horizontal="left" shrinkToFit="1"/>
    </xf>
    <xf numFmtId="0" fontId="10" fillId="0" borderId="136" xfId="9" applyFont="1" applyBorder="1" applyAlignment="1" applyProtection="1">
      <alignment horizontal="center" vertical="center"/>
    </xf>
    <xf numFmtId="0" fontId="10" fillId="0" borderId="168" xfId="9" applyFont="1" applyBorder="1" applyAlignment="1" applyProtection="1">
      <alignment horizontal="center" vertical="center"/>
    </xf>
    <xf numFmtId="0" fontId="0" fillId="0" borderId="168" xfId="0" applyBorder="1" applyAlignment="1" applyProtection="1">
      <alignment horizontal="center"/>
    </xf>
    <xf numFmtId="0" fontId="0" fillId="0" borderId="137" xfId="0" applyBorder="1" applyAlignment="1" applyProtection="1">
      <alignment horizontal="center"/>
    </xf>
    <xf numFmtId="233" fontId="47" fillId="0" borderId="2" xfId="8" applyNumberFormat="1" applyFont="1" applyBorder="1" applyAlignment="1" applyProtection="1">
      <alignment horizontal="right" vertical="center"/>
    </xf>
    <xf numFmtId="233" fontId="4" fillId="0" borderId="3" xfId="9" applyNumberFormat="1" applyBorder="1" applyAlignment="1" applyProtection="1">
      <alignment horizontal="right" vertical="center"/>
    </xf>
    <xf numFmtId="233" fontId="0" fillId="0" borderId="3" xfId="0" applyNumberFormat="1" applyBorder="1" applyAlignment="1" applyProtection="1"/>
    <xf numFmtId="233" fontId="0" fillId="0" borderId="4" xfId="0" applyNumberFormat="1" applyBorder="1" applyAlignment="1" applyProtection="1"/>
    <xf numFmtId="233" fontId="4" fillId="0" borderId="2" xfId="9" applyNumberFormat="1" applyBorder="1" applyAlignment="1" applyProtection="1">
      <alignment horizontal="right" vertical="center"/>
    </xf>
    <xf numFmtId="232" fontId="47" fillId="0" borderId="2" xfId="8" applyNumberFormat="1" applyFont="1" applyBorder="1" applyAlignment="1" applyProtection="1">
      <alignment horizontal="right" vertical="center"/>
    </xf>
    <xf numFmtId="232" fontId="4" fillId="0" borderId="3" xfId="9" applyNumberFormat="1" applyBorder="1" applyAlignment="1" applyProtection="1">
      <alignment horizontal="right" vertical="center"/>
    </xf>
    <xf numFmtId="232" fontId="0" fillId="0" borderId="3" xfId="0" applyNumberFormat="1" applyBorder="1" applyAlignment="1" applyProtection="1"/>
    <xf numFmtId="232" fontId="0" fillId="0" borderId="4" xfId="0" applyNumberFormat="1" applyBorder="1" applyAlignment="1" applyProtection="1"/>
    <xf numFmtId="232" fontId="4" fillId="0" borderId="2" xfId="9" applyNumberFormat="1" applyBorder="1" applyAlignment="1" applyProtection="1">
      <alignment horizontal="right" vertical="center"/>
    </xf>
    <xf numFmtId="0" fontId="10" fillId="0" borderId="139" xfId="9" applyFont="1" applyBorder="1" applyAlignment="1" applyProtection="1">
      <alignment horizontal="center" vertical="center"/>
    </xf>
    <xf numFmtId="0" fontId="10" fillId="0" borderId="169" xfId="9" applyFont="1" applyBorder="1" applyAlignment="1" applyProtection="1">
      <alignment horizontal="center" vertical="center"/>
    </xf>
    <xf numFmtId="0" fontId="0" fillId="0" borderId="169" xfId="0" applyBorder="1" applyAlignment="1" applyProtection="1">
      <alignment horizontal="center"/>
    </xf>
    <xf numFmtId="0" fontId="0" fillId="0" borderId="140" xfId="0" applyBorder="1" applyAlignment="1" applyProtection="1">
      <alignment horizontal="center"/>
    </xf>
    <xf numFmtId="0" fontId="47" fillId="2" borderId="13" xfId="8" applyFont="1" applyFill="1" applyBorder="1" applyAlignment="1" applyProtection="1">
      <alignment horizontal="left" vertical="center"/>
      <protection locked="0"/>
    </xf>
    <xf numFmtId="0" fontId="0" fillId="0" borderId="5" xfId="0" applyBorder="1" applyAlignment="1" applyProtection="1">
      <alignment horizontal="left"/>
      <protection locked="0"/>
    </xf>
    <xf numFmtId="0" fontId="0" fillId="0" borderId="170" xfId="0" applyBorder="1" applyAlignment="1" applyProtection="1">
      <alignment horizontal="left"/>
      <protection locked="0"/>
    </xf>
    <xf numFmtId="0" fontId="0" fillId="0" borderId="7" xfId="0" applyBorder="1" applyAlignment="1" applyProtection="1">
      <alignment horizontal="left"/>
      <protection locked="0"/>
    </xf>
    <xf numFmtId="0" fontId="0" fillId="0" borderId="8" xfId="0" applyBorder="1" applyAlignment="1" applyProtection="1">
      <alignment horizontal="left"/>
      <protection locked="0"/>
    </xf>
    <xf numFmtId="0" fontId="0" fillId="0" borderId="164" xfId="0" applyBorder="1" applyAlignment="1" applyProtection="1">
      <alignment horizontal="left"/>
      <protection locked="0"/>
    </xf>
    <xf numFmtId="0" fontId="10" fillId="0" borderId="2" xfId="8" applyFont="1" applyBorder="1" applyAlignment="1" applyProtection="1">
      <alignment horizontal="left" vertical="center" shrinkToFit="1"/>
    </xf>
    <xf numFmtId="234" fontId="47" fillId="0" borderId="2" xfId="8" applyNumberFormat="1" applyFont="1" applyBorder="1" applyAlignment="1" applyProtection="1">
      <alignment horizontal="right" vertical="center"/>
    </xf>
    <xf numFmtId="234" fontId="4" fillId="0" borderId="3" xfId="9" applyNumberFormat="1" applyBorder="1" applyAlignment="1" applyProtection="1">
      <alignment horizontal="right" vertical="center"/>
    </xf>
    <xf numFmtId="234" fontId="0" fillId="0" borderId="3" xfId="0" applyNumberFormat="1" applyBorder="1" applyAlignment="1" applyProtection="1"/>
    <xf numFmtId="234" fontId="0" fillId="0" borderId="4" xfId="0" applyNumberFormat="1" applyBorder="1" applyAlignment="1" applyProtection="1"/>
    <xf numFmtId="234" fontId="4" fillId="0" borderId="2" xfId="9" applyNumberFormat="1" applyBorder="1" applyAlignment="1" applyProtection="1">
      <alignment horizontal="right" vertical="center"/>
    </xf>
    <xf numFmtId="0" fontId="10" fillId="0" borderId="90" xfId="9" applyFont="1" applyBorder="1" applyAlignment="1" applyProtection="1">
      <alignment horizontal="center" vertical="center"/>
    </xf>
    <xf numFmtId="0" fontId="10" fillId="0" borderId="167" xfId="0" applyFont="1" applyBorder="1" applyAlignment="1" applyProtection="1">
      <alignment horizontal="center" vertical="center"/>
    </xf>
    <xf numFmtId="0" fontId="0" fillId="0" borderId="167" xfId="0" applyBorder="1" applyAlignment="1" applyProtection="1">
      <alignment horizontal="center"/>
    </xf>
    <xf numFmtId="0" fontId="0" fillId="0" borderId="91" xfId="0" applyBorder="1" applyAlignment="1" applyProtection="1">
      <alignment horizontal="center"/>
    </xf>
    <xf numFmtId="0" fontId="10" fillId="0" borderId="136" xfId="0" applyFont="1" applyBorder="1" applyAlignment="1" applyProtection="1">
      <alignment horizontal="center" vertical="center"/>
    </xf>
    <xf numFmtId="0" fontId="10" fillId="0" borderId="168" xfId="0" applyFont="1" applyBorder="1" applyAlignment="1" applyProtection="1">
      <alignment horizontal="center" vertical="center"/>
    </xf>
    <xf numFmtId="0" fontId="47" fillId="0" borderId="13" xfId="8" applyFont="1" applyBorder="1" applyAlignment="1" applyProtection="1">
      <alignment horizontal="center" vertical="center"/>
    </xf>
    <xf numFmtId="0" fontId="4" fillId="0" borderId="5" xfId="9" applyBorder="1" applyAlignment="1" applyProtection="1">
      <alignment horizontal="center" vertical="center"/>
    </xf>
    <xf numFmtId="0" fontId="0" fillId="0" borderId="5" xfId="0" applyBorder="1" applyAlignment="1" applyProtection="1">
      <alignment horizontal="center" vertical="center"/>
    </xf>
    <xf numFmtId="0" fontId="0" fillId="0" borderId="14" xfId="0" applyBorder="1" applyAlignment="1" applyProtection="1">
      <alignment horizontal="center" vertical="center"/>
    </xf>
    <xf numFmtId="0" fontId="4" fillId="0" borderId="7" xfId="9" applyBorder="1" applyAlignment="1" applyProtection="1">
      <alignment horizontal="center" vertical="center"/>
    </xf>
    <xf numFmtId="0" fontId="4" fillId="0" borderId="8" xfId="9" applyBorder="1" applyAlignment="1" applyProtection="1">
      <alignment horizontal="center" vertical="center"/>
    </xf>
    <xf numFmtId="0" fontId="0" fillId="0" borderId="8" xfId="0" applyBorder="1" applyAlignment="1" applyProtection="1">
      <alignment horizontal="center" vertical="center"/>
    </xf>
    <xf numFmtId="0" fontId="0" fillId="0" borderId="9" xfId="0" applyBorder="1" applyAlignment="1" applyProtection="1">
      <alignment horizontal="center" vertical="center"/>
    </xf>
    <xf numFmtId="0" fontId="10" fillId="0" borderId="2" xfId="8" applyFont="1" applyBorder="1" applyAlignment="1" applyProtection="1">
      <alignment horizontal="center" vertical="center"/>
    </xf>
    <xf numFmtId="0" fontId="21" fillId="0" borderId="3" xfId="0" applyFont="1" applyBorder="1" applyAlignment="1" applyProtection="1">
      <alignment horizontal="center" vertical="center"/>
    </xf>
    <xf numFmtId="0" fontId="21" fillId="0" borderId="3" xfId="0" applyFont="1" applyBorder="1" applyAlignment="1" applyProtection="1">
      <alignment horizontal="center"/>
    </xf>
    <xf numFmtId="0" fontId="21" fillId="0" borderId="4" xfId="0" applyFont="1" applyBorder="1" applyAlignment="1" applyProtection="1">
      <alignment horizontal="center"/>
    </xf>
    <xf numFmtId="0" fontId="21" fillId="0" borderId="2" xfId="0" applyFont="1" applyBorder="1" applyAlignment="1" applyProtection="1">
      <alignment horizontal="center" vertical="center"/>
    </xf>
    <xf numFmtId="0" fontId="10" fillId="0" borderId="13" xfId="9" applyFont="1" applyBorder="1" applyAlignment="1" applyProtection="1">
      <alignment horizontal="center" vertical="center"/>
    </xf>
    <xf numFmtId="0" fontId="0" fillId="0" borderId="170" xfId="0" applyBorder="1" applyAlignment="1" applyProtection="1">
      <alignment horizontal="center" vertical="center"/>
    </xf>
    <xf numFmtId="0" fontId="0" fillId="0" borderId="7" xfId="0" applyBorder="1" applyAlignment="1" applyProtection="1">
      <alignment horizontal="center" vertical="center"/>
    </xf>
    <xf numFmtId="0" fontId="0" fillId="0" borderId="164" xfId="0" applyBorder="1" applyAlignment="1" applyProtection="1">
      <alignment horizontal="center" vertical="center"/>
    </xf>
    <xf numFmtId="0" fontId="10" fillId="0" borderId="136" xfId="8" applyFont="1" applyBorder="1" applyAlignment="1" applyProtection="1">
      <alignment horizontal="center" vertical="center"/>
    </xf>
    <xf numFmtId="0" fontId="21" fillId="0" borderId="137" xfId="9" applyFont="1" applyBorder="1" applyAlignment="1" applyProtection="1">
      <alignment horizontal="center" vertical="center"/>
    </xf>
    <xf numFmtId="0" fontId="21" fillId="0" borderId="139" xfId="9" applyFont="1" applyBorder="1" applyAlignment="1" applyProtection="1">
      <alignment horizontal="center" vertical="center"/>
    </xf>
    <xf numFmtId="0" fontId="21" fillId="0" borderId="140" xfId="9" applyFont="1" applyBorder="1" applyAlignment="1" applyProtection="1">
      <alignment horizontal="center" vertical="center"/>
    </xf>
    <xf numFmtId="0" fontId="10" fillId="0" borderId="3" xfId="8" applyFont="1" applyBorder="1" applyAlignment="1" applyProtection="1">
      <alignment horizontal="left" vertical="center" wrapText="1"/>
    </xf>
    <xf numFmtId="0" fontId="21" fillId="0" borderId="3" xfId="9" applyFont="1" applyBorder="1" applyAlignment="1" applyProtection="1">
      <alignment horizontal="left" vertical="center" wrapText="1"/>
    </xf>
    <xf numFmtId="0" fontId="21" fillId="0" borderId="3" xfId="9" applyFont="1" applyBorder="1" applyAlignment="1" applyProtection="1">
      <alignment horizontal="left" vertical="center"/>
    </xf>
    <xf numFmtId="0" fontId="21" fillId="0" borderId="3" xfId="9" applyFont="1" applyBorder="1" applyProtection="1">
      <alignment vertical="center"/>
    </xf>
    <xf numFmtId="0" fontId="21" fillId="0" borderId="4" xfId="9" applyFont="1" applyBorder="1" applyProtection="1">
      <alignment vertical="center"/>
    </xf>
    <xf numFmtId="0" fontId="53" fillId="0" borderId="8" xfId="8" applyFont="1" applyBorder="1" applyAlignment="1" applyProtection="1">
      <alignment horizontal="left"/>
    </xf>
    <xf numFmtId="0" fontId="4" fillId="0" borderId="8" xfId="9" applyBorder="1" applyAlignment="1" applyProtection="1"/>
    <xf numFmtId="0" fontId="4" fillId="0" borderId="0" xfId="9" applyBorder="1" applyAlignment="1" applyProtection="1"/>
    <xf numFmtId="0" fontId="10" fillId="0" borderId="13" xfId="8" applyFont="1" applyBorder="1" applyAlignment="1" applyProtection="1">
      <alignment horizontal="center" vertical="center" wrapText="1"/>
    </xf>
    <xf numFmtId="0" fontId="10" fillId="0" borderId="5" xfId="9" applyFont="1" applyBorder="1" applyAlignment="1" applyProtection="1">
      <alignment horizontal="center" vertical="center"/>
    </xf>
    <xf numFmtId="0" fontId="10" fillId="0" borderId="14" xfId="9" applyFont="1" applyBorder="1" applyAlignment="1" applyProtection="1">
      <alignment horizontal="center" vertical="center"/>
    </xf>
    <xf numFmtId="0" fontId="10" fillId="0" borderId="15" xfId="9" applyFont="1" applyBorder="1" applyAlignment="1" applyProtection="1">
      <alignment horizontal="center" vertical="center"/>
    </xf>
    <xf numFmtId="0" fontId="10" fillId="0" borderId="0" xfId="9" applyFont="1" applyAlignment="1" applyProtection="1">
      <alignment horizontal="center" vertical="center"/>
    </xf>
    <xf numFmtId="0" fontId="10" fillId="0" borderId="16" xfId="9" applyFont="1" applyBorder="1" applyAlignment="1" applyProtection="1">
      <alignment horizontal="center" vertical="center"/>
    </xf>
    <xf numFmtId="0" fontId="10" fillId="0" borderId="7" xfId="9" applyFont="1" applyBorder="1" applyAlignment="1" applyProtection="1">
      <alignment horizontal="center" vertical="center"/>
    </xf>
    <xf numFmtId="0" fontId="10" fillId="0" borderId="8" xfId="9" applyFont="1" applyBorder="1" applyAlignment="1" applyProtection="1">
      <alignment horizontal="center" vertical="center"/>
    </xf>
    <xf numFmtId="0" fontId="10" fillId="0" borderId="9" xfId="9" applyFont="1" applyBorder="1" applyAlignment="1" applyProtection="1">
      <alignment horizontal="center" vertical="center"/>
    </xf>
    <xf numFmtId="232" fontId="10" fillId="2" borderId="1" xfId="8" applyNumberFormat="1" applyFont="1" applyFill="1" applyBorder="1" applyAlignment="1" applyProtection="1">
      <alignment horizontal="right" vertical="center" shrinkToFit="1"/>
      <protection locked="0"/>
    </xf>
    <xf numFmtId="232" fontId="21" fillId="0" borderId="1" xfId="9" applyNumberFormat="1" applyFont="1" applyBorder="1" applyAlignment="1" applyProtection="1">
      <alignment horizontal="right" vertical="center" shrinkToFit="1"/>
      <protection locked="0"/>
    </xf>
    <xf numFmtId="193" fontId="10" fillId="0" borderId="1" xfId="8" applyNumberFormat="1" applyFont="1" applyFill="1" applyBorder="1" applyAlignment="1" applyProtection="1">
      <alignment horizontal="right" vertical="center" shrinkToFit="1"/>
    </xf>
    <xf numFmtId="193" fontId="21" fillId="0" borderId="1" xfId="9" applyNumberFormat="1" applyFont="1" applyFill="1" applyBorder="1" applyAlignment="1" applyProtection="1">
      <alignment vertical="center" shrinkToFit="1"/>
    </xf>
    <xf numFmtId="231" fontId="10" fillId="0" borderId="1" xfId="8" applyNumberFormat="1" applyFont="1" applyBorder="1" applyAlignment="1" applyProtection="1">
      <alignment horizontal="right" vertical="center" shrinkToFit="1"/>
    </xf>
    <xf numFmtId="231" fontId="21" fillId="0" borderId="1" xfId="9" applyNumberFormat="1" applyFont="1" applyBorder="1" applyAlignment="1" applyProtection="1">
      <alignment vertical="center" shrinkToFit="1"/>
    </xf>
    <xf numFmtId="215" fontId="10" fillId="0" borderId="1" xfId="8" applyNumberFormat="1" applyFont="1" applyBorder="1" applyAlignment="1" applyProtection="1">
      <alignment vertical="center" shrinkToFit="1"/>
    </xf>
    <xf numFmtId="0" fontId="21" fillId="0" borderId="1" xfId="9" applyFont="1" applyBorder="1" applyAlignment="1" applyProtection="1">
      <alignment vertical="center" shrinkToFit="1"/>
    </xf>
    <xf numFmtId="0" fontId="21" fillId="0" borderId="2" xfId="9" applyFont="1" applyBorder="1" applyAlignment="1" applyProtection="1">
      <alignment vertical="center" shrinkToFit="1"/>
    </xf>
    <xf numFmtId="0" fontId="10" fillId="0" borderId="13" xfId="9" applyFont="1" applyBorder="1" applyAlignment="1" applyProtection="1">
      <alignment horizontal="center" vertical="center" wrapText="1"/>
    </xf>
    <xf numFmtId="233" fontId="10" fillId="2" borderId="1" xfId="8" applyNumberFormat="1" applyFont="1" applyFill="1" applyBorder="1" applyAlignment="1" applyProtection="1">
      <alignment horizontal="right" vertical="center" shrinkToFit="1"/>
      <protection locked="0"/>
    </xf>
    <xf numFmtId="233" fontId="21" fillId="0" borderId="1" xfId="9" applyNumberFormat="1" applyFont="1" applyBorder="1" applyAlignment="1" applyProtection="1">
      <alignment horizontal="right" vertical="center" shrinkToFit="1"/>
      <protection locked="0"/>
    </xf>
    <xf numFmtId="217" fontId="10" fillId="0" borderId="1" xfId="8" applyNumberFormat="1" applyFont="1" applyBorder="1" applyAlignment="1" applyProtection="1">
      <alignment vertical="center" shrinkToFit="1"/>
    </xf>
    <xf numFmtId="0" fontId="10" fillId="0" borderId="15" xfId="8" applyFont="1" applyBorder="1" applyAlignment="1" applyProtection="1">
      <alignment horizontal="center" vertical="center"/>
    </xf>
    <xf numFmtId="0" fontId="21" fillId="0" borderId="136" xfId="9" applyFont="1" applyBorder="1" applyAlignment="1" applyProtection="1">
      <alignment horizontal="center" vertical="center"/>
    </xf>
    <xf numFmtId="0" fontId="10" fillId="0" borderId="13" xfId="8" applyFont="1" applyBorder="1" applyAlignment="1" applyProtection="1">
      <alignment horizontal="center" vertical="center"/>
    </xf>
    <xf numFmtId="234" fontId="10" fillId="2" borderId="13" xfId="8" applyNumberFormat="1" applyFont="1" applyFill="1" applyBorder="1" applyAlignment="1" applyProtection="1">
      <alignment horizontal="right" vertical="center" shrinkToFit="1"/>
      <protection locked="0"/>
    </xf>
    <xf numFmtId="234" fontId="21" fillId="0" borderId="5" xfId="9" applyNumberFormat="1" applyFont="1" applyBorder="1" applyAlignment="1" applyProtection="1">
      <alignment horizontal="right" vertical="center" shrinkToFit="1"/>
      <protection locked="0"/>
    </xf>
    <xf numFmtId="234" fontId="21" fillId="0" borderId="14" xfId="9" applyNumberFormat="1" applyFont="1" applyBorder="1" applyAlignment="1" applyProtection="1">
      <alignment horizontal="right" vertical="center" shrinkToFit="1"/>
      <protection locked="0"/>
    </xf>
    <xf numFmtId="234" fontId="10" fillId="2" borderId="15" xfId="8" applyNumberFormat="1" applyFont="1" applyFill="1" applyBorder="1" applyAlignment="1" applyProtection="1">
      <alignment horizontal="right" vertical="center" shrinkToFit="1"/>
      <protection locked="0"/>
    </xf>
    <xf numFmtId="234" fontId="21" fillId="0" borderId="0" xfId="9" applyNumberFormat="1" applyFont="1" applyBorder="1" applyAlignment="1" applyProtection="1">
      <alignment horizontal="right" vertical="center" shrinkToFit="1"/>
      <protection locked="0"/>
    </xf>
    <xf numFmtId="234" fontId="21" fillId="0" borderId="16" xfId="9" applyNumberFormat="1" applyFont="1" applyBorder="1" applyAlignment="1" applyProtection="1">
      <alignment horizontal="right" vertical="center" shrinkToFit="1"/>
      <protection locked="0"/>
    </xf>
    <xf numFmtId="234" fontId="21" fillId="0" borderId="7" xfId="9" applyNumberFormat="1" applyFont="1" applyBorder="1" applyAlignment="1" applyProtection="1">
      <alignment horizontal="right" vertical="center" shrinkToFit="1"/>
      <protection locked="0"/>
    </xf>
    <xf numFmtId="234" fontId="21" fillId="0" borderId="8" xfId="9" applyNumberFormat="1" applyFont="1" applyBorder="1" applyAlignment="1" applyProtection="1">
      <alignment horizontal="right" vertical="center" shrinkToFit="1"/>
      <protection locked="0"/>
    </xf>
    <xf numFmtId="234" fontId="21" fillId="0" borderId="9" xfId="9" applyNumberFormat="1" applyFont="1" applyBorder="1" applyAlignment="1" applyProtection="1">
      <alignment horizontal="right" vertical="center" shrinkToFit="1"/>
      <protection locked="0"/>
    </xf>
    <xf numFmtId="193" fontId="10" fillId="0" borderId="13" xfId="8" applyNumberFormat="1" applyFont="1" applyFill="1" applyBorder="1" applyAlignment="1" applyProtection="1">
      <alignment horizontal="right" vertical="center" shrinkToFit="1"/>
    </xf>
    <xf numFmtId="193" fontId="21" fillId="0" borderId="5" xfId="9" applyNumberFormat="1" applyFont="1" applyFill="1" applyBorder="1" applyAlignment="1" applyProtection="1">
      <alignment vertical="center" shrinkToFit="1"/>
    </xf>
    <xf numFmtId="193" fontId="21" fillId="0" borderId="14" xfId="9" applyNumberFormat="1" applyFont="1" applyFill="1" applyBorder="1" applyAlignment="1" applyProtection="1">
      <alignment vertical="center" shrinkToFit="1"/>
    </xf>
    <xf numFmtId="193" fontId="10" fillId="0" borderId="15" xfId="8" applyNumberFormat="1" applyFont="1" applyFill="1" applyBorder="1" applyAlignment="1" applyProtection="1">
      <alignment horizontal="right" vertical="center" shrinkToFit="1"/>
    </xf>
    <xf numFmtId="193" fontId="21" fillId="0" borderId="0" xfId="9" applyNumberFormat="1" applyFont="1" applyFill="1" applyBorder="1" applyAlignment="1" applyProtection="1">
      <alignment vertical="center" shrinkToFit="1"/>
    </xf>
    <xf numFmtId="193" fontId="21" fillId="0" borderId="16" xfId="9" applyNumberFormat="1" applyFont="1" applyFill="1" applyBorder="1" applyAlignment="1" applyProtection="1">
      <alignment vertical="center" shrinkToFit="1"/>
    </xf>
    <xf numFmtId="193" fontId="21" fillId="0" borderId="7" xfId="9" applyNumberFormat="1" applyFont="1" applyFill="1" applyBorder="1" applyAlignment="1" applyProtection="1">
      <alignment vertical="center" shrinkToFit="1"/>
    </xf>
    <xf numFmtId="193" fontId="21" fillId="0" borderId="8" xfId="9" applyNumberFormat="1" applyFont="1" applyFill="1" applyBorder="1" applyAlignment="1" applyProtection="1">
      <alignment vertical="center" shrinkToFit="1"/>
    </xf>
    <xf numFmtId="193" fontId="21" fillId="0" borderId="9" xfId="9" applyNumberFormat="1" applyFont="1" applyFill="1" applyBorder="1" applyAlignment="1" applyProtection="1">
      <alignment vertical="center" shrinkToFit="1"/>
    </xf>
    <xf numFmtId="216" fontId="10" fillId="0" borderId="1" xfId="8" applyNumberFormat="1" applyFont="1" applyBorder="1" applyAlignment="1" applyProtection="1">
      <alignment vertical="center" shrinkToFit="1"/>
    </xf>
    <xf numFmtId="232" fontId="10" fillId="2" borderId="13" xfId="8" applyNumberFormat="1" applyFont="1" applyFill="1" applyBorder="1" applyAlignment="1" applyProtection="1">
      <alignment horizontal="right" vertical="center" shrinkToFit="1"/>
      <protection locked="0"/>
    </xf>
    <xf numFmtId="232" fontId="21" fillId="0" borderId="5" xfId="9" applyNumberFormat="1" applyFont="1" applyBorder="1" applyAlignment="1" applyProtection="1">
      <alignment horizontal="right" vertical="center" shrinkToFit="1"/>
      <protection locked="0"/>
    </xf>
    <xf numFmtId="232" fontId="21" fillId="0" borderId="14" xfId="9" applyNumberFormat="1" applyFont="1" applyBorder="1" applyAlignment="1" applyProtection="1">
      <alignment horizontal="right" vertical="center" shrinkToFit="1"/>
      <protection locked="0"/>
    </xf>
    <xf numFmtId="232" fontId="10" fillId="2" borderId="15" xfId="8" applyNumberFormat="1" applyFont="1" applyFill="1" applyBorder="1" applyAlignment="1" applyProtection="1">
      <alignment horizontal="right" vertical="center" shrinkToFit="1"/>
      <protection locked="0"/>
    </xf>
    <xf numFmtId="232" fontId="21" fillId="0" borderId="0" xfId="9" applyNumberFormat="1" applyFont="1" applyBorder="1" applyAlignment="1" applyProtection="1">
      <alignment horizontal="right" vertical="center" shrinkToFit="1"/>
      <protection locked="0"/>
    </xf>
    <xf numFmtId="232" fontId="21" fillId="0" borderId="16" xfId="9" applyNumberFormat="1" applyFont="1" applyBorder="1" applyAlignment="1" applyProtection="1">
      <alignment horizontal="right" vertical="center" shrinkToFit="1"/>
      <protection locked="0"/>
    </xf>
    <xf numFmtId="232" fontId="21" fillId="0" borderId="7" xfId="9" applyNumberFormat="1" applyFont="1" applyBorder="1" applyAlignment="1" applyProtection="1">
      <alignment horizontal="right" vertical="center" shrinkToFit="1"/>
      <protection locked="0"/>
    </xf>
    <xf numFmtId="232" fontId="21" fillId="0" borderId="8" xfId="9" applyNumberFormat="1" applyFont="1" applyBorder="1" applyAlignment="1" applyProtection="1">
      <alignment horizontal="right" vertical="center" shrinkToFit="1"/>
      <protection locked="0"/>
    </xf>
    <xf numFmtId="232" fontId="21" fillId="0" borderId="9" xfId="9" applyNumberFormat="1" applyFont="1" applyBorder="1" applyAlignment="1" applyProtection="1">
      <alignment horizontal="right" vertical="center" shrinkToFit="1"/>
      <protection locked="0"/>
    </xf>
    <xf numFmtId="0" fontId="47" fillId="0" borderId="0" xfId="8" applyFont="1" applyProtection="1"/>
    <xf numFmtId="0" fontId="15" fillId="0" borderId="90" xfId="8" applyFont="1" applyBorder="1" applyAlignment="1" applyProtection="1">
      <alignment horizontal="center"/>
    </xf>
    <xf numFmtId="0" fontId="18" fillId="0" borderId="91" xfId="9" applyFont="1" applyBorder="1" applyAlignment="1" applyProtection="1">
      <alignment horizontal="center"/>
    </xf>
    <xf numFmtId="0" fontId="15" fillId="0" borderId="1" xfId="8" applyFont="1" applyBorder="1" applyAlignment="1" applyProtection="1">
      <alignment horizontal="center" vertical="center" shrinkToFit="1"/>
    </xf>
    <xf numFmtId="0" fontId="18" fillId="0" borderId="1" xfId="9" applyFont="1" applyBorder="1" applyAlignment="1" applyProtection="1">
      <alignment horizontal="center" vertical="center" shrinkToFit="1"/>
    </xf>
    <xf numFmtId="0" fontId="57" fillId="0" borderId="134" xfId="8" applyFont="1" applyBorder="1" applyAlignment="1" applyProtection="1">
      <alignment vertical="center" wrapText="1"/>
    </xf>
    <xf numFmtId="0" fontId="58" fillId="0" borderId="78" xfId="9" applyFont="1" applyBorder="1" applyAlignment="1" applyProtection="1">
      <alignment vertical="center" wrapText="1"/>
    </xf>
    <xf numFmtId="0" fontId="58" fillId="0" borderId="135" xfId="9" applyFont="1" applyBorder="1" applyAlignment="1" applyProtection="1">
      <alignment vertical="center" wrapText="1"/>
    </xf>
    <xf numFmtId="0" fontId="58" fillId="0" borderId="101" xfId="9" applyFont="1" applyBorder="1" applyAlignment="1" applyProtection="1">
      <alignment vertical="center" wrapText="1"/>
    </xf>
    <xf numFmtId="0" fontId="58" fillId="0" borderId="0" xfId="9" applyFont="1" applyAlignment="1" applyProtection="1">
      <alignment vertical="center" wrapText="1"/>
    </xf>
    <xf numFmtId="0" fontId="58" fillId="0" borderId="138" xfId="9" applyFont="1" applyBorder="1" applyAlignment="1" applyProtection="1">
      <alignment vertical="center" wrapText="1"/>
    </xf>
    <xf numFmtId="0" fontId="58" fillId="0" borderId="141" xfId="9" applyFont="1" applyBorder="1" applyAlignment="1" applyProtection="1">
      <alignment vertical="center" wrapText="1"/>
    </xf>
    <xf numFmtId="0" fontId="58" fillId="0" borderId="116" xfId="9" applyFont="1" applyBorder="1" applyAlignment="1" applyProtection="1">
      <alignment vertical="center" wrapText="1"/>
    </xf>
    <xf numFmtId="0" fontId="58" fillId="0" borderId="142" xfId="9" applyFont="1" applyBorder="1" applyAlignment="1" applyProtection="1">
      <alignment vertical="center" wrapText="1"/>
    </xf>
    <xf numFmtId="0" fontId="11" fillId="0" borderId="3" xfId="9" applyFont="1" applyBorder="1" applyAlignment="1" applyProtection="1">
      <alignment horizontal="center" vertical="center"/>
    </xf>
    <xf numFmtId="0" fontId="14" fillId="0" borderId="3" xfId="9" applyFont="1" applyBorder="1" applyAlignment="1" applyProtection="1">
      <alignment horizontal="center" vertical="center"/>
    </xf>
    <xf numFmtId="0" fontId="14" fillId="0" borderId="4" xfId="9" applyFont="1" applyBorder="1" applyAlignment="1" applyProtection="1">
      <alignment horizontal="center" vertical="center"/>
    </xf>
    <xf numFmtId="0" fontId="10" fillId="0" borderId="15" xfId="8" applyFont="1" applyBorder="1" applyAlignment="1" applyProtection="1">
      <alignment horizontal="center" vertical="center" wrapText="1"/>
    </xf>
    <xf numFmtId="0" fontId="21" fillId="0" borderId="0" xfId="9" applyFont="1" applyBorder="1" applyAlignment="1" applyProtection="1">
      <alignment horizontal="center" vertical="center"/>
    </xf>
    <xf numFmtId="0" fontId="21" fillId="0" borderId="16" xfId="9" applyFont="1" applyBorder="1" applyAlignment="1" applyProtection="1">
      <alignment horizontal="center" vertical="center"/>
    </xf>
    <xf numFmtId="0" fontId="21" fillId="0" borderId="7" xfId="9" applyFont="1" applyBorder="1" applyAlignment="1" applyProtection="1">
      <alignment horizontal="center" vertical="center"/>
    </xf>
    <xf numFmtId="0" fontId="21" fillId="0" borderId="8" xfId="9" applyFont="1" applyBorder="1" applyAlignment="1" applyProtection="1">
      <alignment horizontal="center" vertical="center"/>
    </xf>
    <xf numFmtId="0" fontId="21" fillId="0" borderId="9" xfId="9" applyFont="1" applyBorder="1" applyAlignment="1" applyProtection="1">
      <alignment horizontal="center" vertical="center"/>
    </xf>
    <xf numFmtId="0" fontId="53" fillId="0" borderId="136" xfId="8" applyFont="1" applyBorder="1" applyAlignment="1" applyProtection="1">
      <alignment horizontal="center" vertical="center"/>
    </xf>
    <xf numFmtId="0" fontId="59" fillId="0" borderId="137" xfId="9" applyFont="1" applyBorder="1" applyAlignment="1" applyProtection="1">
      <alignment horizontal="center" vertical="center"/>
    </xf>
    <xf numFmtId="0" fontId="59" fillId="0" borderId="139" xfId="9" applyFont="1" applyBorder="1" applyAlignment="1" applyProtection="1">
      <alignment horizontal="center" vertical="center"/>
    </xf>
    <xf numFmtId="0" fontId="59" fillId="0" borderId="140" xfId="9" applyFont="1" applyBorder="1" applyAlignment="1" applyProtection="1">
      <alignment horizontal="center" vertical="center"/>
    </xf>
    <xf numFmtId="193" fontId="53" fillId="0" borderId="1" xfId="8" applyNumberFormat="1" applyFont="1" applyBorder="1" applyAlignment="1" applyProtection="1">
      <alignment horizontal="center" vertical="center" shrinkToFit="1"/>
    </xf>
    <xf numFmtId="193" fontId="59" fillId="0" borderId="1" xfId="9" applyNumberFormat="1" applyFont="1" applyBorder="1" applyAlignment="1" applyProtection="1">
      <alignment horizontal="center" vertical="center" shrinkToFit="1"/>
    </xf>
    <xf numFmtId="0" fontId="10" fillId="0" borderId="90" xfId="8" applyFont="1" applyBorder="1" applyAlignment="1" applyProtection="1">
      <alignment horizontal="center" vertical="center"/>
    </xf>
    <xf numFmtId="0" fontId="10" fillId="0" borderId="91" xfId="9" applyFont="1" applyBorder="1" applyAlignment="1" applyProtection="1">
      <alignment horizontal="center" vertical="center"/>
    </xf>
    <xf numFmtId="0" fontId="10" fillId="0" borderId="137" xfId="9" applyFont="1" applyBorder="1" applyAlignment="1" applyProtection="1">
      <alignment horizontal="center" vertical="center"/>
    </xf>
    <xf numFmtId="0" fontId="44" fillId="0" borderId="79" xfId="8" applyFont="1" applyBorder="1" applyAlignment="1" applyProtection="1">
      <alignment horizontal="center" vertical="center"/>
    </xf>
    <xf numFmtId="0" fontId="21" fillId="0" borderId="80" xfId="9" applyFont="1" applyBorder="1" applyAlignment="1" applyProtection="1">
      <alignment horizontal="center" vertical="center"/>
    </xf>
    <xf numFmtId="0" fontId="0" fillId="0" borderId="80" xfId="0" applyBorder="1" applyAlignment="1" applyProtection="1">
      <alignment horizontal="center" vertical="center"/>
    </xf>
    <xf numFmtId="0" fontId="0" fillId="0" borderId="81" xfId="0" applyBorder="1" applyAlignment="1" applyProtection="1">
      <alignment horizontal="center" vertical="center"/>
    </xf>
    <xf numFmtId="0" fontId="21" fillId="0" borderId="82" xfId="9" applyFont="1" applyBorder="1" applyAlignment="1" applyProtection="1">
      <alignment horizontal="center" vertical="center"/>
    </xf>
    <xf numFmtId="0" fontId="21" fillId="0" borderId="83" xfId="9" applyFont="1" applyBorder="1" applyAlignment="1" applyProtection="1">
      <alignment horizontal="center" vertical="center"/>
    </xf>
    <xf numFmtId="0" fontId="0" fillId="0" borderId="83" xfId="0" applyBorder="1" applyAlignment="1" applyProtection="1">
      <alignment horizontal="center" vertical="center"/>
    </xf>
    <xf numFmtId="0" fontId="0" fillId="0" borderId="84" xfId="0" applyBorder="1" applyAlignment="1" applyProtection="1">
      <alignment horizontal="center" vertical="center"/>
    </xf>
    <xf numFmtId="0" fontId="62" fillId="0" borderId="166" xfId="9" applyFont="1" applyBorder="1" applyAlignment="1" applyProtection="1">
      <alignment horizontal="center" vertical="center"/>
    </xf>
    <xf numFmtId="0" fontId="47" fillId="0" borderId="80" xfId="0" applyFont="1" applyBorder="1" applyAlignment="1" applyProtection="1">
      <alignment horizontal="center" vertical="center"/>
    </xf>
    <xf numFmtId="0" fontId="47" fillId="0" borderId="81" xfId="0" applyFont="1" applyBorder="1" applyAlignment="1" applyProtection="1">
      <alignment horizontal="center" vertical="center"/>
    </xf>
    <xf numFmtId="0" fontId="47" fillId="0" borderId="7" xfId="0" applyFont="1" applyBorder="1" applyAlignment="1" applyProtection="1">
      <alignment horizontal="center" vertical="center"/>
    </xf>
    <xf numFmtId="0" fontId="47" fillId="0" borderId="8" xfId="0" applyFont="1" applyBorder="1" applyAlignment="1" applyProtection="1">
      <alignment horizontal="center" vertical="center"/>
    </xf>
    <xf numFmtId="0" fontId="47" fillId="0" borderId="164" xfId="0" applyFont="1" applyBorder="1" applyAlignment="1" applyProtection="1">
      <alignment horizontal="center" vertical="center"/>
    </xf>
    <xf numFmtId="0" fontId="15" fillId="4" borderId="0" xfId="8" applyFont="1" applyFill="1" applyAlignment="1" applyProtection="1">
      <alignment horizontal="left" vertical="center"/>
    </xf>
    <xf numFmtId="0" fontId="4" fillId="0" borderId="0" xfId="9" applyProtection="1">
      <alignment vertical="center"/>
    </xf>
    <xf numFmtId="0" fontId="15" fillId="0" borderId="0" xfId="8" applyFont="1" applyAlignment="1" applyProtection="1">
      <alignment vertical="center"/>
    </xf>
    <xf numFmtId="0" fontId="15" fillId="0" borderId="0" xfId="8" applyFont="1" applyAlignment="1" applyProtection="1">
      <alignment horizontal="left"/>
    </xf>
    <xf numFmtId="0" fontId="18" fillId="0" borderId="0" xfId="9" applyFont="1" applyAlignment="1" applyProtection="1"/>
    <xf numFmtId="0" fontId="15" fillId="0" borderId="0" xfId="8" applyFont="1" applyAlignment="1" applyProtection="1">
      <alignment horizontal="left" wrapText="1"/>
    </xf>
    <xf numFmtId="0" fontId="18" fillId="0" borderId="0" xfId="9" applyFont="1" applyAlignment="1" applyProtection="1">
      <alignment wrapText="1"/>
    </xf>
    <xf numFmtId="0" fontId="55" fillId="0" borderId="79" xfId="8" applyFont="1" applyBorder="1" applyAlignment="1" applyProtection="1">
      <alignment vertical="center" wrapText="1"/>
    </xf>
    <xf numFmtId="0" fontId="56" fillId="0" borderId="80" xfId="9" applyFont="1" applyBorder="1" applyProtection="1">
      <alignment vertical="center"/>
    </xf>
    <xf numFmtId="0" fontId="4" fillId="0" borderId="80" xfId="9" applyBorder="1" applyProtection="1">
      <alignment vertical="center"/>
    </xf>
    <xf numFmtId="0" fontId="4" fillId="0" borderId="81" xfId="9" applyBorder="1" applyProtection="1">
      <alignment vertical="center"/>
    </xf>
    <xf numFmtId="0" fontId="56" fillId="0" borderId="102" xfId="9" applyFont="1" applyBorder="1" applyProtection="1">
      <alignment vertical="center"/>
    </xf>
    <xf numFmtId="0" fontId="56" fillId="0" borderId="0" xfId="9" applyFont="1" applyProtection="1">
      <alignment vertical="center"/>
    </xf>
    <xf numFmtId="0" fontId="4" fillId="0" borderId="103" xfId="9" applyBorder="1" applyProtection="1">
      <alignment vertical="center"/>
    </xf>
    <xf numFmtId="0" fontId="56" fillId="0" borderId="82" xfId="9" applyFont="1" applyBorder="1" applyProtection="1">
      <alignment vertical="center"/>
    </xf>
    <xf numFmtId="0" fontId="56" fillId="0" borderId="83" xfId="9" applyFont="1" applyBorder="1" applyProtection="1">
      <alignment vertical="center"/>
    </xf>
    <xf numFmtId="0" fontId="4" fillId="0" borderId="83" xfId="9" applyBorder="1" applyProtection="1">
      <alignment vertical="center"/>
    </xf>
    <xf numFmtId="0" fontId="4" fillId="0" borderId="84" xfId="9" applyBorder="1" applyProtection="1">
      <alignment vertical="center"/>
    </xf>
    <xf numFmtId="210" fontId="10" fillId="0" borderId="86" xfId="8" applyNumberFormat="1" applyFont="1" applyBorder="1" applyAlignment="1" applyProtection="1">
      <alignment horizontal="center" vertical="center" shrinkToFit="1"/>
    </xf>
    <xf numFmtId="0" fontId="21" fillId="0" borderId="3" xfId="9" applyFont="1" applyBorder="1" applyAlignment="1" applyProtection="1">
      <alignment horizontal="center" vertical="center" shrinkToFit="1"/>
    </xf>
    <xf numFmtId="0" fontId="15" fillId="0" borderId="6" xfId="8" applyFont="1" applyBorder="1" applyAlignment="1" applyProtection="1">
      <alignment horizontal="left" vertical="center" shrinkToFit="1"/>
    </xf>
    <xf numFmtId="0" fontId="18" fillId="0" borderId="6" xfId="9" applyFont="1" applyBorder="1" applyAlignment="1" applyProtection="1">
      <alignment horizontal="left" vertical="center" shrinkToFit="1"/>
    </xf>
    <xf numFmtId="0" fontId="15" fillId="0" borderId="1" xfId="9" applyFont="1" applyBorder="1" applyAlignment="1" applyProtection="1">
      <alignment horizontal="center" vertical="center" shrinkToFit="1"/>
    </xf>
    <xf numFmtId="0" fontId="15" fillId="0" borderId="114" xfId="9" applyFont="1" applyBorder="1" applyAlignment="1" applyProtection="1">
      <alignment horizontal="center" vertical="center" shrinkToFit="1"/>
    </xf>
    <xf numFmtId="227" fontId="10" fillId="0" borderId="133" xfId="8" applyNumberFormat="1" applyFont="1" applyBorder="1" applyAlignment="1" applyProtection="1">
      <alignment horizontal="center" vertical="center" shrinkToFit="1"/>
    </xf>
    <xf numFmtId="227" fontId="21" fillId="0" borderId="107" xfId="9" applyNumberFormat="1" applyFont="1" applyBorder="1" applyAlignment="1" applyProtection="1">
      <alignment horizontal="center" vertical="center" shrinkToFit="1"/>
    </xf>
    <xf numFmtId="0" fontId="18" fillId="0" borderId="6" xfId="9" applyFont="1" applyBorder="1" applyAlignment="1" applyProtection="1">
      <alignment vertical="center" shrinkToFit="1"/>
    </xf>
    <xf numFmtId="0" fontId="43" fillId="0" borderId="72" xfId="9" applyFont="1" applyBorder="1" applyAlignment="1" applyProtection="1">
      <alignment horizontal="center" vertical="center" shrinkToFit="1"/>
    </xf>
    <xf numFmtId="0" fontId="44" fillId="0" borderId="73" xfId="9" applyFont="1" applyBorder="1" applyAlignment="1" applyProtection="1">
      <alignment horizontal="center" vertical="center" shrinkToFit="1"/>
    </xf>
    <xf numFmtId="0" fontId="44" fillId="0" borderId="131" xfId="9" applyFont="1" applyBorder="1" applyAlignment="1" applyProtection="1">
      <alignment horizontal="center" vertical="center" shrinkToFit="1"/>
    </xf>
    <xf numFmtId="212" fontId="10" fillId="0" borderId="120" xfId="8" applyNumberFormat="1" applyFont="1" applyFill="1" applyBorder="1" applyAlignment="1" applyProtection="1">
      <alignment horizontal="center" vertical="center" shrinkToFit="1"/>
    </xf>
    <xf numFmtId="0" fontId="4" fillId="0" borderId="73" xfId="9" applyFill="1" applyBorder="1" applyAlignment="1" applyProtection="1">
      <alignment horizontal="center" vertical="center" shrinkToFit="1"/>
    </xf>
    <xf numFmtId="0" fontId="4" fillId="0" borderId="129" xfId="9" applyFill="1" applyBorder="1" applyAlignment="1" applyProtection="1">
      <alignment horizontal="center" vertical="center" shrinkToFit="1"/>
    </xf>
    <xf numFmtId="0" fontId="15" fillId="0" borderId="75" xfId="8" applyFont="1" applyBorder="1" applyAlignment="1" applyProtection="1">
      <alignment horizontal="left" vertical="center" shrinkToFit="1"/>
    </xf>
    <xf numFmtId="0" fontId="18" fillId="0" borderId="40" xfId="9" applyFont="1" applyBorder="1" applyAlignment="1" applyProtection="1">
      <alignment vertical="center" shrinkToFit="1"/>
    </xf>
    <xf numFmtId="0" fontId="18" fillId="0" borderId="128" xfId="9" applyFont="1" applyBorder="1" applyAlignment="1" applyProtection="1">
      <alignment vertical="center" shrinkToFit="1"/>
    </xf>
    <xf numFmtId="0" fontId="15" fillId="0" borderId="11" xfId="8" applyFont="1" applyBorder="1" applyAlignment="1" applyProtection="1">
      <alignment horizontal="center" vertical="center" wrapText="1" shrinkToFit="1"/>
    </xf>
    <xf numFmtId="0" fontId="18" fillId="0" borderId="11" xfId="9" applyFont="1" applyBorder="1" applyAlignment="1" applyProtection="1">
      <alignment horizontal="center" vertical="center" shrinkToFit="1"/>
    </xf>
    <xf numFmtId="0" fontId="15" fillId="0" borderId="10" xfId="8" applyFont="1" applyBorder="1" applyAlignment="1" applyProtection="1">
      <alignment horizontal="center" vertical="center" shrinkToFit="1"/>
    </xf>
    <xf numFmtId="0" fontId="18" fillId="0" borderId="10" xfId="9" applyFont="1" applyBorder="1" applyAlignment="1" applyProtection="1">
      <alignment horizontal="center" vertical="center" shrinkToFit="1"/>
    </xf>
    <xf numFmtId="0" fontId="15" fillId="0" borderId="12" xfId="9" applyFont="1" applyBorder="1" applyAlignment="1" applyProtection="1">
      <alignment horizontal="center" vertical="center" shrinkToFit="1"/>
    </xf>
    <xf numFmtId="0" fontId="15" fillId="0" borderId="50" xfId="9" applyFont="1" applyBorder="1" applyAlignment="1" applyProtection="1">
      <alignment horizontal="center" vertical="center" shrinkToFit="1"/>
    </xf>
    <xf numFmtId="210" fontId="10" fillId="0" borderId="124" xfId="8" applyNumberFormat="1" applyFont="1" applyBorder="1" applyAlignment="1" applyProtection="1">
      <alignment horizontal="center" vertical="center" shrinkToFit="1"/>
    </xf>
    <xf numFmtId="0" fontId="21" fillId="0" borderId="70" xfId="9" applyFont="1" applyBorder="1" applyAlignment="1" applyProtection="1">
      <alignment horizontal="center" vertical="center" shrinkToFit="1"/>
    </xf>
    <xf numFmtId="0" fontId="15" fillId="0" borderId="125" xfId="9" applyFont="1" applyBorder="1" applyAlignment="1" applyProtection="1">
      <alignment horizontal="center" vertical="center"/>
    </xf>
    <xf numFmtId="0" fontId="4" fillId="0" borderId="127" xfId="9" applyBorder="1" applyAlignment="1" applyProtection="1">
      <alignment horizontal="center" vertical="center"/>
    </xf>
    <xf numFmtId="0" fontId="4" fillId="0" borderId="130" xfId="9" applyBorder="1" applyAlignment="1" applyProtection="1">
      <alignment horizontal="center" vertical="center"/>
    </xf>
    <xf numFmtId="0" fontId="15" fillId="0" borderId="10" xfId="8" applyFont="1" applyBorder="1" applyAlignment="1" applyProtection="1">
      <alignment horizontal="left" vertical="center" shrinkToFit="1"/>
    </xf>
    <xf numFmtId="0" fontId="18" fillId="0" borderId="10" xfId="9" applyFont="1" applyBorder="1" applyAlignment="1" applyProtection="1">
      <alignment vertical="center" shrinkToFit="1"/>
    </xf>
    <xf numFmtId="0" fontId="41" fillId="0" borderId="1" xfId="9" applyFont="1" applyBorder="1" applyAlignment="1" applyProtection="1">
      <alignment horizontal="center" vertical="center" shrinkToFit="1"/>
    </xf>
    <xf numFmtId="0" fontId="41" fillId="0" borderId="2" xfId="9" applyFont="1" applyBorder="1" applyAlignment="1" applyProtection="1">
      <alignment horizontal="center" vertical="center" shrinkToFit="1"/>
    </xf>
    <xf numFmtId="0" fontId="69" fillId="0" borderId="0" xfId="8" applyFont="1" applyAlignment="1" applyProtection="1">
      <alignment horizontal="right"/>
    </xf>
    <xf numFmtId="0" fontId="50" fillId="0" borderId="0" xfId="0" applyFont="1" applyAlignment="1" applyProtection="1">
      <alignment horizontal="right"/>
    </xf>
    <xf numFmtId="0" fontId="15" fillId="4" borderId="161" xfId="9" applyFont="1" applyFill="1" applyBorder="1" applyAlignment="1" applyProtection="1">
      <alignment horizontal="center" vertical="center" shrinkToFit="1"/>
    </xf>
    <xf numFmtId="0" fontId="18" fillId="4" borderId="162" xfId="9" applyFont="1" applyFill="1" applyBorder="1" applyAlignment="1" applyProtection="1">
      <alignment horizontal="center" vertical="center" shrinkToFit="1"/>
    </xf>
    <xf numFmtId="0" fontId="18" fillId="4" borderId="163" xfId="9" applyFont="1" applyFill="1" applyBorder="1" applyAlignment="1" applyProtection="1">
      <alignment horizontal="center" vertical="center" shrinkToFit="1"/>
    </xf>
    <xf numFmtId="226" fontId="10" fillId="10" borderId="120" xfId="8" applyNumberFormat="1" applyFont="1" applyFill="1" applyBorder="1" applyAlignment="1" applyProtection="1">
      <alignment horizontal="center" vertical="center" shrinkToFit="1"/>
    </xf>
    <xf numFmtId="226" fontId="21" fillId="0" borderId="73" xfId="9" applyNumberFormat="1" applyFont="1" applyBorder="1" applyAlignment="1" applyProtection="1">
      <alignment horizontal="center" vertical="center" shrinkToFit="1"/>
    </xf>
    <xf numFmtId="0" fontId="15" fillId="0" borderId="1" xfId="8" applyFont="1" applyBorder="1" applyAlignment="1" applyProtection="1">
      <alignment horizontal="left" vertical="center" shrinkToFit="1"/>
    </xf>
    <xf numFmtId="0" fontId="18" fillId="0" borderId="1" xfId="9" applyFont="1" applyBorder="1" applyAlignment="1" applyProtection="1">
      <alignment horizontal="left" vertical="center" shrinkToFit="1"/>
    </xf>
    <xf numFmtId="0" fontId="15" fillId="0" borderId="69" xfId="9" applyFont="1" applyBorder="1" applyAlignment="1" applyProtection="1">
      <alignment horizontal="center" vertical="center" shrinkToFit="1"/>
    </xf>
    <xf numFmtId="0" fontId="15" fillId="0" borderId="70" xfId="9" applyFont="1" applyBorder="1" applyAlignment="1" applyProtection="1">
      <alignment horizontal="center" vertical="center" shrinkToFit="1"/>
    </xf>
    <xf numFmtId="193" fontId="10" fillId="10" borderId="124" xfId="8" applyNumberFormat="1" applyFont="1" applyFill="1" applyBorder="1" applyAlignment="1" applyProtection="1">
      <alignment horizontal="center" vertical="center" shrinkToFit="1"/>
    </xf>
    <xf numFmtId="193" fontId="21" fillId="0" borderId="70" xfId="9" applyNumberFormat="1" applyFont="1" applyBorder="1" applyAlignment="1" applyProtection="1">
      <alignment horizontal="center" vertical="center" shrinkToFit="1"/>
    </xf>
    <xf numFmtId="0" fontId="18" fillId="0" borderId="1" xfId="9" applyFont="1" applyBorder="1" applyAlignment="1" applyProtection="1">
      <alignment vertical="center" shrinkToFit="1"/>
    </xf>
    <xf numFmtId="0" fontId="15" fillId="0" borderId="13" xfId="9" applyFont="1" applyBorder="1" applyAlignment="1" applyProtection="1">
      <alignment horizontal="center" vertical="center" shrinkToFit="1"/>
    </xf>
    <xf numFmtId="0" fontId="15" fillId="0" borderId="5" xfId="9" applyFont="1" applyBorder="1" applyAlignment="1" applyProtection="1">
      <alignment horizontal="center" vertical="center" shrinkToFit="1"/>
    </xf>
    <xf numFmtId="193" fontId="10" fillId="10" borderId="126" xfId="8" applyNumberFormat="1" applyFont="1" applyFill="1" applyBorder="1" applyAlignment="1" applyProtection="1">
      <alignment horizontal="center" vertical="center" shrinkToFit="1"/>
    </xf>
    <xf numFmtId="193" fontId="21" fillId="0" borderId="5" xfId="9" applyNumberFormat="1" applyFont="1" applyBorder="1" applyAlignment="1" applyProtection="1">
      <alignment horizontal="center" vertical="center" shrinkToFit="1"/>
    </xf>
    <xf numFmtId="0" fontId="43" fillId="0" borderId="13" xfId="9" applyFont="1" applyBorder="1" applyAlignment="1" applyProtection="1">
      <alignment horizontal="center" vertical="center" shrinkToFit="1"/>
    </xf>
    <xf numFmtId="0" fontId="43" fillId="0" borderId="5" xfId="9" applyFont="1" applyBorder="1" applyAlignment="1" applyProtection="1">
      <alignment horizontal="center" vertical="center" shrinkToFit="1"/>
    </xf>
    <xf numFmtId="208" fontId="10" fillId="0" borderId="120" xfId="8" applyNumberFormat="1" applyFont="1" applyBorder="1" applyAlignment="1" applyProtection="1">
      <alignment horizontal="center" vertical="center" shrinkToFit="1"/>
    </xf>
    <xf numFmtId="0" fontId="4" fillId="0" borderId="73" xfId="9" applyBorder="1" applyAlignment="1" applyProtection="1">
      <alignment horizontal="center" vertical="center" shrinkToFit="1"/>
    </xf>
    <xf numFmtId="0" fontId="4" fillId="0" borderId="129" xfId="9" applyBorder="1" applyAlignment="1" applyProtection="1">
      <alignment horizontal="center" vertical="center" shrinkToFit="1"/>
    </xf>
    <xf numFmtId="0" fontId="15" fillId="0" borderId="1" xfId="8" applyFont="1" applyBorder="1" applyAlignment="1" applyProtection="1">
      <alignment horizontal="center" vertical="center"/>
    </xf>
    <xf numFmtId="0" fontId="18" fillId="0" borderId="1" xfId="9" applyFont="1" applyBorder="1" applyProtection="1">
      <alignment vertical="center"/>
    </xf>
    <xf numFmtId="207" fontId="10" fillId="10" borderId="120" xfId="9" applyNumberFormat="1" applyFont="1" applyFill="1" applyBorder="1" applyAlignment="1" applyProtection="1">
      <alignment horizontal="center" vertical="center" shrinkToFit="1"/>
    </xf>
    <xf numFmtId="0" fontId="21" fillId="0" borderId="73" xfId="9" applyFont="1" applyBorder="1" applyAlignment="1" applyProtection="1">
      <alignment horizontal="center" vertical="center" shrinkToFit="1"/>
    </xf>
    <xf numFmtId="0" fontId="15" fillId="2" borderId="106" xfId="8" applyFont="1" applyFill="1" applyBorder="1" applyAlignment="1" applyProtection="1">
      <alignment horizontal="center" shrinkToFit="1"/>
      <protection locked="0"/>
    </xf>
    <xf numFmtId="0" fontId="18" fillId="2" borderId="107" xfId="9" applyFont="1" applyFill="1" applyBorder="1" applyAlignment="1" applyProtection="1">
      <alignment horizontal="center" shrinkToFit="1"/>
      <protection locked="0"/>
    </xf>
    <xf numFmtId="0" fontId="18" fillId="2" borderId="108" xfId="9" applyFont="1" applyFill="1" applyBorder="1" applyAlignment="1" applyProtection="1">
      <alignment horizontal="center" shrinkToFit="1"/>
      <protection locked="0"/>
    </xf>
    <xf numFmtId="0" fontId="15" fillId="0" borderId="0" xfId="8" applyFont="1" applyAlignment="1" applyProtection="1">
      <alignment horizontal="left" vertical="center" wrapText="1"/>
    </xf>
    <xf numFmtId="0" fontId="18" fillId="0" borderId="0" xfId="9" applyFont="1" applyProtection="1">
      <alignment vertical="center"/>
    </xf>
    <xf numFmtId="0" fontId="15" fillId="0" borderId="92" xfId="8" applyFont="1" applyBorder="1" applyAlignment="1" applyProtection="1">
      <alignment horizontal="center" vertical="center"/>
    </xf>
    <xf numFmtId="0" fontId="18" fillId="0" borderId="93" xfId="9" applyFont="1" applyBorder="1" applyAlignment="1" applyProtection="1">
      <alignment horizontal="center" vertical="center"/>
    </xf>
    <xf numFmtId="0" fontId="15" fillId="0" borderId="100" xfId="8" applyFont="1" applyBorder="1" applyAlignment="1" applyProtection="1">
      <alignment horizontal="center" vertical="center"/>
    </xf>
    <xf numFmtId="0" fontId="18" fillId="0" borderId="1" xfId="9" applyFont="1" applyBorder="1" applyAlignment="1" applyProtection="1">
      <alignment horizontal="center" vertical="center"/>
    </xf>
    <xf numFmtId="0" fontId="18" fillId="0" borderId="100" xfId="9" applyFont="1" applyBorder="1" applyAlignment="1" applyProtection="1">
      <alignment horizontal="center" vertical="center"/>
    </xf>
    <xf numFmtId="0" fontId="18" fillId="0" borderId="104" xfId="9" applyFont="1" applyBorder="1" applyAlignment="1" applyProtection="1">
      <alignment horizontal="center" vertical="center"/>
    </xf>
    <xf numFmtId="0" fontId="18" fillId="0" borderId="105" xfId="9" applyFont="1" applyBorder="1" applyAlignment="1" applyProtection="1">
      <alignment horizontal="center" vertical="center"/>
    </xf>
    <xf numFmtId="0" fontId="15" fillId="2" borderId="94" xfId="8" applyFont="1" applyFill="1" applyBorder="1" applyAlignment="1" applyProtection="1">
      <alignment horizontal="center" shrinkToFit="1"/>
    </xf>
    <xf numFmtId="0" fontId="18" fillId="2" borderId="95" xfId="9" applyFont="1" applyFill="1" applyBorder="1" applyAlignment="1" applyProtection="1">
      <alignment horizontal="center" shrinkToFit="1"/>
    </xf>
    <xf numFmtId="0" fontId="18" fillId="2" borderId="96" xfId="9" applyFont="1" applyFill="1" applyBorder="1" applyAlignment="1" applyProtection="1">
      <alignment horizontal="center" shrinkToFit="1"/>
    </xf>
    <xf numFmtId="0" fontId="15" fillId="2" borderId="94" xfId="8" applyFont="1" applyFill="1" applyBorder="1" applyAlignment="1" applyProtection="1">
      <alignment horizontal="center" shrinkToFit="1"/>
      <protection locked="0"/>
    </xf>
    <xf numFmtId="0" fontId="18" fillId="2" borderId="95" xfId="9" applyFont="1" applyFill="1" applyBorder="1" applyAlignment="1" applyProtection="1">
      <alignment horizontal="center" shrinkToFit="1"/>
      <protection locked="0"/>
    </xf>
    <xf numFmtId="0" fontId="18" fillId="2" borderId="96" xfId="9" applyFont="1" applyFill="1" applyBorder="1" applyAlignment="1" applyProtection="1">
      <alignment horizontal="center" shrinkToFit="1"/>
      <protection locked="0"/>
    </xf>
    <xf numFmtId="0" fontId="15" fillId="2" borderId="2" xfId="8" applyFont="1" applyFill="1" applyBorder="1" applyAlignment="1" applyProtection="1">
      <alignment horizontal="center" shrinkToFit="1"/>
      <protection locked="0"/>
    </xf>
    <xf numFmtId="0" fontId="18" fillId="0" borderId="3" xfId="9" applyFont="1" applyBorder="1" applyAlignment="1" applyProtection="1">
      <alignment horizontal="center" shrinkToFit="1"/>
      <protection locked="0"/>
    </xf>
    <xf numFmtId="0" fontId="18" fillId="0" borderId="4" xfId="9" applyFont="1" applyBorder="1" applyAlignment="1" applyProtection="1">
      <alignment horizontal="center" shrinkToFit="1"/>
      <protection locked="0"/>
    </xf>
    <xf numFmtId="0" fontId="15" fillId="0" borderId="13" xfId="8" applyFont="1" applyBorder="1" applyAlignment="1" applyProtection="1">
      <alignment horizontal="center" vertical="center"/>
    </xf>
    <xf numFmtId="0" fontId="18" fillId="0" borderId="5" xfId="9" applyFont="1" applyBorder="1" applyAlignment="1" applyProtection="1">
      <alignment horizontal="center" vertical="center"/>
    </xf>
    <xf numFmtId="0" fontId="18" fillId="0" borderId="112" xfId="9" applyFont="1" applyBorder="1" applyAlignment="1" applyProtection="1">
      <alignment horizontal="center" vertical="center"/>
    </xf>
    <xf numFmtId="0" fontId="18" fillId="0" borderId="15" xfId="9" applyFont="1" applyBorder="1" applyAlignment="1" applyProtection="1">
      <alignment horizontal="center" vertical="center"/>
    </xf>
    <xf numFmtId="0" fontId="18" fillId="0" borderId="0" xfId="9" applyFont="1" applyAlignment="1" applyProtection="1">
      <alignment horizontal="center" vertical="center"/>
    </xf>
    <xf numFmtId="0" fontId="18" fillId="0" borderId="65" xfId="9" applyFont="1" applyBorder="1" applyAlignment="1" applyProtection="1">
      <alignment horizontal="center" vertical="center"/>
    </xf>
    <xf numFmtId="0" fontId="18" fillId="0" borderId="33" xfId="9" applyFont="1" applyBorder="1" applyAlignment="1" applyProtection="1">
      <alignment horizontal="center" vertical="center"/>
    </xf>
    <xf numFmtId="0" fontId="18" fillId="0" borderId="116" xfId="9" applyFont="1" applyBorder="1" applyAlignment="1" applyProtection="1">
      <alignment horizontal="center" vertical="center"/>
    </xf>
    <xf numFmtId="0" fontId="18" fillId="0" borderId="117" xfId="9" applyFont="1" applyBorder="1" applyAlignment="1" applyProtection="1">
      <alignment horizontal="center" vertical="center"/>
    </xf>
    <xf numFmtId="0" fontId="18" fillId="0" borderId="113" xfId="9" applyFont="1" applyBorder="1" applyAlignment="1" applyProtection="1">
      <alignment horizontal="center" vertical="center"/>
    </xf>
    <xf numFmtId="0" fontId="18" fillId="2" borderId="3" xfId="9" applyFont="1" applyFill="1" applyBorder="1" applyAlignment="1" applyProtection="1">
      <alignment horizontal="center" shrinkToFit="1"/>
      <protection locked="0"/>
    </xf>
    <xf numFmtId="0" fontId="18" fillId="2" borderId="4" xfId="9" applyFont="1" applyFill="1" applyBorder="1" applyAlignment="1" applyProtection="1">
      <alignment horizontal="center" shrinkToFit="1"/>
      <protection locked="0"/>
    </xf>
    <xf numFmtId="185" fontId="39" fillId="0" borderId="110" xfId="9" applyNumberFormat="1" applyFont="1" applyBorder="1" applyAlignment="1" applyProtection="1">
      <alignment horizontal="center" vertical="center"/>
    </xf>
    <xf numFmtId="0" fontId="10" fillId="0" borderId="111" xfId="9" applyFont="1" applyBorder="1" applyAlignment="1" applyProtection="1">
      <alignment horizontal="center" vertical="center"/>
    </xf>
    <xf numFmtId="0" fontId="10" fillId="0" borderId="102" xfId="9" applyFont="1" applyBorder="1" applyAlignment="1" applyProtection="1">
      <alignment horizontal="center" vertical="center"/>
    </xf>
    <xf numFmtId="0" fontId="10" fillId="0" borderId="103" xfId="9" applyFont="1" applyBorder="1" applyAlignment="1" applyProtection="1">
      <alignment horizontal="center" vertical="center"/>
    </xf>
    <xf numFmtId="0" fontId="10" fillId="0" borderId="82" xfId="9" applyFont="1" applyBorder="1" applyAlignment="1" applyProtection="1">
      <alignment horizontal="center" vertical="center"/>
    </xf>
    <xf numFmtId="0" fontId="10" fillId="0" borderId="84" xfId="9" applyFont="1" applyBorder="1" applyAlignment="1" applyProtection="1">
      <alignment horizontal="center" vertical="center"/>
    </xf>
    <xf numFmtId="0" fontId="53" fillId="0" borderId="2" xfId="8" applyFont="1" applyBorder="1" applyAlignment="1" applyProtection="1">
      <alignment horizontal="center" vertical="center" wrapText="1"/>
    </xf>
    <xf numFmtId="0" fontId="18" fillId="0" borderId="3" xfId="9" applyFont="1" applyBorder="1" applyProtection="1">
      <alignment vertical="center"/>
    </xf>
    <xf numFmtId="0" fontId="18" fillId="0" borderId="4" xfId="9" applyFont="1" applyBorder="1" applyProtection="1">
      <alignment vertical="center"/>
    </xf>
    <xf numFmtId="0" fontId="18" fillId="0" borderId="2" xfId="9" applyFont="1" applyBorder="1" applyProtection="1">
      <alignment vertical="center"/>
    </xf>
    <xf numFmtId="185" fontId="54" fillId="0" borderId="97" xfId="8" applyNumberFormat="1" applyFont="1" applyBorder="1" applyAlignment="1" applyProtection="1">
      <alignment horizontal="center" vertical="center"/>
    </xf>
    <xf numFmtId="0" fontId="4" fillId="0" borderId="63" xfId="9" applyBorder="1" applyAlignment="1" applyProtection="1">
      <alignment horizontal="center" vertical="center"/>
    </xf>
    <xf numFmtId="0" fontId="4" fillId="0" borderId="101" xfId="9" applyBorder="1" applyAlignment="1" applyProtection="1">
      <alignment horizontal="center" vertical="center"/>
    </xf>
    <xf numFmtId="0" fontId="4" fillId="0" borderId="0" xfId="9" applyAlignment="1" applyProtection="1">
      <alignment horizontal="center" vertical="center"/>
    </xf>
    <xf numFmtId="0" fontId="4" fillId="0" borderId="109" xfId="9" applyBorder="1" applyAlignment="1" applyProtection="1">
      <alignment horizontal="center" vertical="center"/>
    </xf>
    <xf numFmtId="0" fontId="4" fillId="0" borderId="67" xfId="9" applyBorder="1" applyAlignment="1" applyProtection="1">
      <alignment horizontal="center" vertical="center"/>
    </xf>
    <xf numFmtId="185" fontId="39" fillId="0" borderId="98" xfId="9" applyNumberFormat="1" applyFont="1" applyBorder="1" applyAlignment="1" applyProtection="1">
      <alignment horizontal="center" vertical="center"/>
    </xf>
    <xf numFmtId="0" fontId="10" fillId="0" borderId="99" xfId="9" applyFont="1" applyBorder="1" applyAlignment="1" applyProtection="1">
      <alignment horizontal="center" vertical="center"/>
    </xf>
    <xf numFmtId="0" fontId="53" fillId="4" borderId="0" xfId="8" applyFont="1" applyFill="1" applyAlignment="1" applyProtection="1">
      <alignment horizontal="left" vertical="center"/>
    </xf>
    <xf numFmtId="0" fontId="15" fillId="0" borderId="6" xfId="8" applyFont="1" applyBorder="1" applyAlignment="1" applyProtection="1">
      <alignment horizontal="center" vertical="center"/>
    </xf>
    <xf numFmtId="0" fontId="18" fillId="0" borderId="6" xfId="9" applyFont="1" applyBorder="1" applyAlignment="1" applyProtection="1">
      <alignment horizontal="center" vertical="center"/>
    </xf>
    <xf numFmtId="0" fontId="15" fillId="0" borderId="13" xfId="8" applyFont="1" applyBorder="1" applyAlignment="1" applyProtection="1">
      <alignment horizontal="center"/>
    </xf>
    <xf numFmtId="0" fontId="18" fillId="0" borderId="5" xfId="9" applyFont="1" applyBorder="1" applyAlignment="1" applyProtection="1">
      <alignment horizontal="center"/>
    </xf>
    <xf numFmtId="0" fontId="15" fillId="0" borderId="89" xfId="8" applyFont="1" applyBorder="1" applyAlignment="1" applyProtection="1">
      <alignment horizontal="center"/>
    </xf>
    <xf numFmtId="0" fontId="4" fillId="0" borderId="44" xfId="9" applyBorder="1" applyAlignment="1" applyProtection="1">
      <alignment horizontal="center"/>
    </xf>
    <xf numFmtId="0" fontId="15" fillId="0" borderId="90" xfId="9" applyFont="1" applyBorder="1" applyAlignment="1" applyProtection="1">
      <alignment horizontal="center"/>
    </xf>
    <xf numFmtId="0" fontId="10" fillId="0" borderId="91" xfId="9" applyFont="1" applyBorder="1" applyAlignment="1" applyProtection="1">
      <alignment horizontal="center"/>
    </xf>
    <xf numFmtId="0" fontId="53" fillId="0" borderId="2" xfId="8" applyFont="1" applyBorder="1" applyAlignment="1" applyProtection="1">
      <alignment horizontal="center"/>
    </xf>
    <xf numFmtId="0" fontId="18" fillId="0" borderId="3" xfId="9" applyFont="1" applyBorder="1" applyAlignment="1" applyProtection="1"/>
    <xf numFmtId="0" fontId="18" fillId="0" borderId="4" xfId="9" applyFont="1" applyBorder="1" applyAlignment="1" applyProtection="1"/>
    <xf numFmtId="0" fontId="4" fillId="0" borderId="0" xfId="9" applyAlignment="1" applyProtection="1">
      <alignment horizontal="left" vertical="center" wrapText="1"/>
    </xf>
    <xf numFmtId="0" fontId="47" fillId="0" borderId="2" xfId="8" applyFont="1" applyBorder="1" applyProtection="1"/>
    <xf numFmtId="0" fontId="4" fillId="0" borderId="3" xfId="9" applyBorder="1" applyAlignment="1" applyProtection="1"/>
    <xf numFmtId="0" fontId="4" fillId="0" borderId="4" xfId="9" applyBorder="1" applyAlignment="1" applyProtection="1"/>
    <xf numFmtId="0" fontId="15" fillId="4" borderId="0" xfId="8" applyFont="1" applyFill="1" applyAlignment="1" applyProtection="1">
      <alignment horizontal="left" vertical="center" wrapText="1"/>
    </xf>
    <xf numFmtId="0" fontId="46" fillId="0" borderId="0" xfId="8" applyFont="1" applyAlignment="1" applyProtection="1">
      <alignment horizontal="center"/>
    </xf>
    <xf numFmtId="0" fontId="4" fillId="0" borderId="0" xfId="9" applyAlignment="1" applyProtection="1">
      <alignment horizontal="center"/>
    </xf>
    <xf numFmtId="0" fontId="15" fillId="0" borderId="194" xfId="8" applyFont="1" applyBorder="1" applyAlignment="1" applyProtection="1">
      <alignment horizontal="left"/>
    </xf>
    <xf numFmtId="0" fontId="18" fillId="0" borderId="195" xfId="9" applyFont="1" applyBorder="1" applyAlignment="1" applyProtection="1"/>
    <xf numFmtId="0" fontId="18" fillId="0" borderId="196" xfId="9" applyFont="1" applyBorder="1" applyAlignment="1" applyProtection="1"/>
    <xf numFmtId="0" fontId="15" fillId="0" borderId="82" xfId="8" applyFont="1" applyBorder="1" applyAlignment="1" applyProtection="1">
      <alignment horizontal="left" wrapText="1"/>
    </xf>
    <xf numFmtId="0" fontId="18" fillId="0" borderId="83" xfId="9" applyFont="1" applyBorder="1" applyAlignment="1" applyProtection="1">
      <alignment wrapText="1"/>
    </xf>
    <xf numFmtId="0" fontId="18" fillId="0" borderId="84" xfId="9" applyFont="1" applyBorder="1" applyAlignment="1" applyProtection="1">
      <alignment wrapText="1"/>
    </xf>
    <xf numFmtId="0" fontId="10" fillId="0" borderId="97" xfId="8" applyFont="1" applyBorder="1" applyAlignment="1" applyProtection="1">
      <alignment horizontal="center" vertical="center" shrinkToFit="1"/>
    </xf>
    <xf numFmtId="0" fontId="0" fillId="0" borderId="63" xfId="0" applyBorder="1" applyAlignment="1" applyProtection="1">
      <alignment horizontal="center" vertical="center" shrinkToFit="1"/>
    </xf>
    <xf numFmtId="0" fontId="0" fillId="0" borderId="181" xfId="0" applyBorder="1" applyAlignment="1" applyProtection="1">
      <alignment horizontal="center" vertical="center" shrinkToFit="1"/>
    </xf>
    <xf numFmtId="0" fontId="0" fillId="0" borderId="101" xfId="0" applyBorder="1" applyAlignment="1" applyProtection="1">
      <alignment horizontal="center" vertical="center" shrinkToFit="1"/>
    </xf>
    <xf numFmtId="0" fontId="0" fillId="0" borderId="0" xfId="0" applyAlignment="1" applyProtection="1">
      <alignment horizontal="center" vertical="center" shrinkToFit="1"/>
    </xf>
    <xf numFmtId="0" fontId="0" fillId="0" borderId="103" xfId="0" applyBorder="1" applyAlignment="1" applyProtection="1">
      <alignment horizontal="center" vertical="center" shrinkToFit="1"/>
    </xf>
    <xf numFmtId="238" fontId="10" fillId="10" borderId="86" xfId="9" applyNumberFormat="1" applyFont="1" applyFill="1" applyBorder="1" applyAlignment="1" applyProtection="1">
      <alignment horizontal="center" vertical="center" shrinkToFit="1"/>
    </xf>
    <xf numFmtId="238" fontId="10" fillId="10" borderId="3" xfId="0" applyNumberFormat="1" applyFont="1" applyFill="1" applyBorder="1" applyAlignment="1" applyProtection="1">
      <alignment horizontal="center" vertical="center" shrinkToFit="1"/>
    </xf>
    <xf numFmtId="238" fontId="10" fillId="10" borderId="182" xfId="0" applyNumberFormat="1" applyFont="1" applyFill="1" applyBorder="1" applyAlignment="1" applyProtection="1">
      <alignment horizontal="center" vertical="center" shrinkToFit="1"/>
    </xf>
    <xf numFmtId="0" fontId="0" fillId="0" borderId="1" xfId="0" applyBorder="1" applyAlignment="1" applyProtection="1">
      <alignment horizontal="center" vertical="center" shrinkToFit="1"/>
    </xf>
    <xf numFmtId="228" fontId="53" fillId="2" borderId="1" xfId="8" applyNumberFormat="1" applyFont="1" applyFill="1" applyBorder="1" applyAlignment="1" applyProtection="1">
      <alignment horizontal="center" vertical="center" shrinkToFit="1"/>
      <protection locked="0"/>
    </xf>
    <xf numFmtId="0" fontId="0" fillId="0" borderId="1" xfId="0" applyBorder="1" applyAlignment="1" applyProtection="1">
      <alignment horizontal="center" vertical="center" shrinkToFit="1"/>
      <protection locked="0"/>
    </xf>
    <xf numFmtId="229" fontId="53" fillId="2" borderId="1" xfId="8" applyNumberFormat="1" applyFont="1" applyFill="1" applyBorder="1" applyAlignment="1" applyProtection="1">
      <alignment horizontal="center" vertical="center" shrinkToFit="1"/>
      <protection locked="0"/>
    </xf>
    <xf numFmtId="0" fontId="0" fillId="0" borderId="1" xfId="0" applyBorder="1" applyAlignment="1" applyProtection="1">
      <alignment horizontal="center"/>
      <protection locked="0"/>
    </xf>
    <xf numFmtId="0" fontId="0" fillId="0" borderId="1" xfId="0" applyBorder="1" applyAlignment="1" applyProtection="1">
      <alignment horizontal="center" shrinkToFit="1"/>
    </xf>
    <xf numFmtId="0" fontId="0" fillId="0" borderId="165" xfId="0" applyBorder="1" applyAlignment="1" applyProtection="1">
      <alignment horizontal="center" shrinkToFit="1"/>
    </xf>
    <xf numFmtId="230" fontId="53" fillId="0" borderId="1" xfId="8" applyNumberFormat="1" applyFont="1" applyBorder="1" applyAlignment="1" applyProtection="1">
      <alignment horizontal="center" vertical="center" shrinkToFit="1"/>
    </xf>
    <xf numFmtId="230" fontId="0" fillId="0" borderId="1" xfId="0" applyNumberFormat="1" applyBorder="1" applyAlignment="1" applyProtection="1">
      <alignment horizontal="center" shrinkToFit="1"/>
    </xf>
    <xf numFmtId="230" fontId="0" fillId="0" borderId="165" xfId="0" applyNumberFormat="1" applyBorder="1" applyAlignment="1" applyProtection="1">
      <alignment horizontal="center" shrinkToFit="1"/>
    </xf>
    <xf numFmtId="0" fontId="21" fillId="0" borderId="5" xfId="9" applyFont="1" applyBorder="1" applyProtection="1">
      <alignment vertical="center"/>
    </xf>
    <xf numFmtId="0" fontId="21" fillId="0" borderId="0" xfId="9" applyFont="1" applyProtection="1">
      <alignment vertical="center"/>
    </xf>
    <xf numFmtId="0" fontId="21" fillId="0" borderId="15" xfId="9" applyFont="1" applyBorder="1" applyProtection="1">
      <alignment vertical="center"/>
    </xf>
    <xf numFmtId="0" fontId="21" fillId="0" borderId="7" xfId="9" applyFont="1" applyBorder="1" applyProtection="1">
      <alignment vertical="center"/>
    </xf>
    <xf numFmtId="0" fontId="21" fillId="0" borderId="8" xfId="9" applyFont="1" applyBorder="1" applyProtection="1">
      <alignment vertical="center"/>
    </xf>
    <xf numFmtId="0" fontId="18" fillId="0" borderId="94" xfId="9" applyFont="1" applyBorder="1" applyAlignment="1" applyProtection="1">
      <alignment horizontal="center" vertical="center"/>
    </xf>
    <xf numFmtId="0" fontId="15" fillId="0" borderId="85" xfId="9" applyFont="1" applyBorder="1" applyAlignment="1" applyProtection="1">
      <alignment horizontal="center" vertical="center" textRotation="255"/>
    </xf>
    <xf numFmtId="0" fontId="10" fillId="0" borderId="87" xfId="9" applyFont="1" applyBorder="1" applyAlignment="1" applyProtection="1">
      <alignment horizontal="center" vertical="center" textRotation="255"/>
    </xf>
    <xf numFmtId="0" fontId="47" fillId="0" borderId="0" xfId="8" applyFont="1" applyAlignment="1" applyProtection="1">
      <alignment horizontal="center" vertical="center"/>
    </xf>
    <xf numFmtId="0" fontId="0" fillId="0" borderId="0" xfId="0" applyAlignment="1" applyProtection="1">
      <alignment horizontal="center" vertical="center"/>
    </xf>
    <xf numFmtId="0" fontId="47" fillId="0" borderId="0" xfId="8" applyFont="1" applyAlignment="1" applyProtection="1">
      <alignment vertical="center" shrinkToFit="1"/>
    </xf>
    <xf numFmtId="0" fontId="0" fillId="0" borderId="0" xfId="0" applyAlignment="1" applyProtection="1">
      <alignment vertical="center" shrinkToFit="1"/>
    </xf>
    <xf numFmtId="0" fontId="10" fillId="0" borderId="100" xfId="9" applyFont="1" applyBorder="1" applyAlignment="1" applyProtection="1">
      <alignment horizontal="center" vertical="center"/>
    </xf>
    <xf numFmtId="0" fontId="10" fillId="0" borderId="1" xfId="9" applyFont="1" applyBorder="1" applyAlignment="1" applyProtection="1">
      <alignment horizontal="center" vertical="center"/>
    </xf>
    <xf numFmtId="0" fontId="21" fillId="0" borderId="1" xfId="9" applyFont="1" applyBorder="1" applyAlignment="1" applyProtection="1">
      <alignment horizontal="center" vertical="center"/>
    </xf>
    <xf numFmtId="0" fontId="10" fillId="0" borderId="92" xfId="8" applyFont="1" applyBorder="1" applyAlignment="1" applyProtection="1">
      <alignment horizontal="center" vertical="center"/>
    </xf>
    <xf numFmtId="0" fontId="21" fillId="0" borderId="93" xfId="0" applyFont="1" applyBorder="1" applyAlignment="1" applyProtection="1">
      <alignment horizontal="center" vertical="center"/>
    </xf>
    <xf numFmtId="0" fontId="0" fillId="0" borderId="93" xfId="0" applyBorder="1" applyAlignment="1" applyProtection="1">
      <alignment horizontal="center" vertical="center"/>
    </xf>
    <xf numFmtId="236" fontId="10" fillId="2" borderId="1" xfId="8" applyNumberFormat="1" applyFont="1" applyFill="1" applyBorder="1" applyAlignment="1" applyProtection="1">
      <alignment horizontal="center" vertical="center" shrinkToFit="1"/>
      <protection locked="0"/>
    </xf>
    <xf numFmtId="0" fontId="10" fillId="0" borderId="105" xfId="8" applyFont="1" applyBorder="1" applyAlignment="1" applyProtection="1">
      <alignment horizontal="center" vertical="center"/>
    </xf>
    <xf numFmtId="0" fontId="0" fillId="0" borderId="105" xfId="0" applyBorder="1" applyAlignment="1" applyProtection="1">
      <alignment horizontal="center" vertical="center"/>
    </xf>
    <xf numFmtId="0" fontId="10" fillId="0" borderId="104" xfId="9" applyFont="1" applyBorder="1" applyAlignment="1" applyProtection="1">
      <alignment horizontal="center" vertical="center"/>
    </xf>
    <xf numFmtId="0" fontId="10" fillId="0" borderId="105" xfId="9" applyFont="1" applyBorder="1" applyAlignment="1" applyProtection="1">
      <alignment horizontal="center" vertical="center"/>
    </xf>
    <xf numFmtId="0" fontId="21" fillId="0" borderId="105" xfId="9" applyFont="1" applyBorder="1" applyAlignment="1" applyProtection="1">
      <alignment horizontal="center" vertical="center"/>
    </xf>
    <xf numFmtId="0" fontId="10" fillId="0" borderId="100" xfId="8" applyFont="1" applyBorder="1" applyAlignment="1" applyProtection="1">
      <alignment horizontal="center" vertical="center" wrapText="1" shrinkToFit="1"/>
    </xf>
    <xf numFmtId="0" fontId="21" fillId="0" borderId="1" xfId="9" applyFont="1" applyBorder="1" applyAlignment="1" applyProtection="1">
      <alignment horizontal="center" vertical="center" shrinkToFit="1"/>
    </xf>
    <xf numFmtId="0" fontId="21" fillId="0" borderId="100" xfId="9" applyFont="1" applyBorder="1" applyAlignment="1" applyProtection="1">
      <alignment horizontal="center" vertical="center" shrinkToFit="1"/>
    </xf>
    <xf numFmtId="252" fontId="10" fillId="0" borderId="93" xfId="9" applyNumberFormat="1" applyFont="1" applyBorder="1" applyAlignment="1" applyProtection="1">
      <alignment horizontal="center" vertical="center"/>
    </xf>
    <xf numFmtId="184" fontId="10" fillId="0" borderId="1" xfId="8" applyNumberFormat="1" applyFont="1" applyFill="1" applyBorder="1" applyAlignment="1" applyProtection="1">
      <alignment horizontal="center" vertical="center"/>
    </xf>
    <xf numFmtId="0" fontId="0" fillId="0" borderId="1" xfId="0" applyFill="1" applyBorder="1" applyAlignment="1" applyProtection="1">
      <alignment horizontal="center" vertical="center"/>
    </xf>
    <xf numFmtId="185" fontId="10" fillId="0" borderId="1" xfId="8" applyNumberFormat="1" applyFont="1" applyFill="1" applyBorder="1" applyAlignment="1" applyProtection="1">
      <alignment horizontal="center" vertical="center"/>
    </xf>
    <xf numFmtId="0" fontId="10" fillId="0" borderId="1" xfId="8" applyFont="1" applyBorder="1" applyAlignment="1" applyProtection="1">
      <alignment horizontal="center" vertical="center"/>
    </xf>
    <xf numFmtId="218" fontId="10" fillId="0" borderId="1" xfId="8" applyNumberFormat="1" applyFont="1" applyBorder="1" applyAlignment="1" applyProtection="1">
      <alignment horizontal="center" vertical="center"/>
    </xf>
    <xf numFmtId="211" fontId="10" fillId="2" borderId="1" xfId="8" applyNumberFormat="1"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235" fontId="10" fillId="0" borderId="1" xfId="8" applyNumberFormat="1" applyFont="1" applyBorder="1" applyAlignment="1" applyProtection="1">
      <alignment horizontal="center" vertical="center" shrinkToFit="1"/>
    </xf>
    <xf numFmtId="240" fontId="10" fillId="0" borderId="189" xfId="8" applyNumberFormat="1" applyFont="1" applyFill="1" applyBorder="1" applyAlignment="1" applyProtection="1">
      <alignment horizontal="center" vertical="center" shrinkToFit="1"/>
    </xf>
    <xf numFmtId="240" fontId="21" fillId="0" borderId="3" xfId="0" applyNumberFormat="1" applyFont="1" applyFill="1" applyBorder="1" applyAlignment="1" applyProtection="1">
      <alignment horizontal="center" vertical="center" shrinkToFit="1"/>
    </xf>
    <xf numFmtId="240" fontId="21" fillId="0" borderId="151" xfId="0" applyNumberFormat="1" applyFont="1" applyFill="1" applyBorder="1" applyAlignment="1" applyProtection="1">
      <alignment horizontal="center" vertical="center" shrinkToFit="1"/>
    </xf>
    <xf numFmtId="208" fontId="10" fillId="0" borderId="190" xfId="8" applyNumberFormat="1" applyFont="1" applyBorder="1" applyAlignment="1" applyProtection="1">
      <alignment horizontal="center" vertical="center" shrinkToFit="1"/>
    </xf>
    <xf numFmtId="0" fontId="21" fillId="0" borderId="107" xfId="9" applyFont="1" applyBorder="1" applyAlignment="1" applyProtection="1">
      <alignment horizontal="center" vertical="center" shrinkToFit="1"/>
    </xf>
    <xf numFmtId="0" fontId="21" fillId="0" borderId="191" xfId="9" applyFont="1" applyBorder="1" applyAlignment="1" applyProtection="1">
      <alignment horizontal="center" vertical="center" shrinkToFit="1"/>
    </xf>
    <xf numFmtId="238" fontId="10" fillId="0" borderId="1" xfId="8" applyNumberFormat="1" applyFont="1" applyFill="1" applyBorder="1" applyAlignment="1" applyProtection="1">
      <alignment horizontal="right" vertical="center" shrinkToFit="1"/>
    </xf>
    <xf numFmtId="238" fontId="10" fillId="0" borderId="1" xfId="0" applyNumberFormat="1" applyFont="1" applyFill="1" applyBorder="1" applyAlignment="1" applyProtection="1">
      <alignment horizontal="right" vertical="center" shrinkToFit="1"/>
    </xf>
    <xf numFmtId="0" fontId="10" fillId="0" borderId="1" xfId="0" applyFont="1" applyFill="1" applyBorder="1" applyAlignment="1" applyProtection="1">
      <alignment horizontal="right" vertical="center" shrinkToFit="1"/>
    </xf>
    <xf numFmtId="193" fontId="10" fillId="0" borderId="105" xfId="8" applyNumberFormat="1" applyFont="1" applyFill="1" applyBorder="1" applyAlignment="1" applyProtection="1">
      <alignment horizontal="right" vertical="center" shrinkToFit="1"/>
    </xf>
    <xf numFmtId="0" fontId="10" fillId="0" borderId="105" xfId="0" applyFont="1" applyFill="1" applyBorder="1" applyAlignment="1" applyProtection="1">
      <alignment horizontal="right" vertical="center" shrinkToFit="1"/>
    </xf>
    <xf numFmtId="240" fontId="10" fillId="0" borderId="1" xfId="8" applyNumberFormat="1" applyFont="1" applyFill="1" applyBorder="1" applyAlignment="1" applyProtection="1">
      <alignment horizontal="center" vertical="center" shrinkToFit="1"/>
    </xf>
    <xf numFmtId="240" fontId="10" fillId="0" borderId="1" xfId="0" applyNumberFormat="1" applyFont="1" applyFill="1" applyBorder="1" applyAlignment="1" applyProtection="1">
      <alignment horizontal="center" vertical="center" shrinkToFit="1"/>
    </xf>
    <xf numFmtId="240" fontId="10" fillId="0" borderId="114" xfId="0" applyNumberFormat="1" applyFont="1" applyFill="1" applyBorder="1" applyAlignment="1" applyProtection="1">
      <alignment horizontal="center" vertical="center" shrinkToFit="1"/>
    </xf>
    <xf numFmtId="240" fontId="10" fillId="0" borderId="1" xfId="8" applyNumberFormat="1" applyFont="1" applyFill="1" applyBorder="1" applyAlignment="1" applyProtection="1">
      <alignment horizontal="right" vertical="center" shrinkToFit="1"/>
    </xf>
    <xf numFmtId="240" fontId="10" fillId="0" borderId="1" xfId="0" applyNumberFormat="1" applyFont="1" applyFill="1" applyBorder="1" applyAlignment="1" applyProtection="1">
      <alignment horizontal="right" vertical="center" shrinkToFit="1"/>
    </xf>
    <xf numFmtId="240" fontId="10" fillId="0" borderId="114" xfId="0" applyNumberFormat="1" applyFont="1" applyFill="1" applyBorder="1" applyAlignment="1" applyProtection="1">
      <alignment horizontal="right" vertical="center" shrinkToFit="1"/>
    </xf>
    <xf numFmtId="240" fontId="10" fillId="0" borderId="105" xfId="8" applyNumberFormat="1" applyFont="1" applyFill="1" applyBorder="1" applyAlignment="1" applyProtection="1">
      <alignment horizontal="right" vertical="center" shrinkToFit="1"/>
    </xf>
    <xf numFmtId="240" fontId="10" fillId="0" borderId="105" xfId="0" applyNumberFormat="1" applyFont="1" applyFill="1" applyBorder="1" applyAlignment="1" applyProtection="1">
      <alignment horizontal="right" vertical="center" shrinkToFit="1"/>
    </xf>
    <xf numFmtId="240" fontId="10" fillId="0" borderId="132" xfId="0" applyNumberFormat="1" applyFont="1" applyFill="1" applyBorder="1" applyAlignment="1" applyProtection="1">
      <alignment horizontal="right" vertical="center" shrinkToFit="1"/>
    </xf>
    <xf numFmtId="0" fontId="10" fillId="0" borderId="144" xfId="0" applyFont="1" applyFill="1" applyBorder="1" applyAlignment="1" applyProtection="1">
      <alignment horizontal="center" vertical="center" shrinkToFit="1"/>
    </xf>
    <xf numFmtId="0" fontId="0" fillId="0" borderId="143" xfId="0" applyBorder="1" applyAlignment="1" applyProtection="1">
      <alignment horizontal="center" vertical="center" shrinkToFit="1"/>
    </xf>
    <xf numFmtId="0" fontId="0" fillId="0" borderId="64" xfId="0" applyBorder="1" applyAlignment="1" applyProtection="1">
      <alignment horizontal="center" vertical="center" shrinkToFit="1"/>
    </xf>
    <xf numFmtId="238" fontId="10" fillId="0" borderId="189" xfId="9" applyNumberFormat="1" applyFont="1" applyFill="1" applyBorder="1" applyAlignment="1" applyProtection="1">
      <alignment horizontal="center" vertical="center" shrinkToFit="1"/>
    </xf>
    <xf numFmtId="238" fontId="10" fillId="0" borderId="3" xfId="0" applyNumberFormat="1" applyFont="1" applyFill="1" applyBorder="1" applyAlignment="1" applyProtection="1">
      <alignment horizontal="center" vertical="center" shrinkToFit="1"/>
    </xf>
    <xf numFmtId="238" fontId="10" fillId="0" borderId="151" xfId="0" applyNumberFormat="1" applyFont="1" applyFill="1" applyBorder="1" applyAlignment="1" applyProtection="1">
      <alignment horizontal="center" vertical="center" shrinkToFit="1"/>
    </xf>
    <xf numFmtId="252" fontId="47" fillId="0" borderId="1" xfId="8" applyNumberFormat="1" applyFont="1" applyBorder="1" applyAlignment="1" applyProtection="1">
      <alignment horizontal="center" vertical="center"/>
    </xf>
    <xf numFmtId="252" fontId="0" fillId="0" borderId="1" xfId="0" applyNumberFormat="1" applyBorder="1" applyAlignment="1" applyProtection="1">
      <alignment horizontal="center" vertical="center"/>
    </xf>
    <xf numFmtId="252" fontId="0" fillId="0" borderId="1" xfId="0" applyNumberFormat="1" applyBorder="1" applyAlignment="1" applyProtection="1">
      <alignment horizontal="center"/>
    </xf>
    <xf numFmtId="0" fontId="10" fillId="0" borderId="62" xfId="8" applyFont="1" applyBorder="1" applyAlignment="1" applyProtection="1">
      <alignment horizontal="center" vertical="center" shrinkToFit="1"/>
    </xf>
    <xf numFmtId="0" fontId="21" fillId="0" borderId="63" xfId="0" applyFont="1" applyBorder="1" applyAlignment="1" applyProtection="1">
      <alignment horizontal="center" vertical="center" shrinkToFit="1"/>
    </xf>
    <xf numFmtId="0" fontId="21" fillId="0" borderId="64" xfId="0" applyFont="1" applyBorder="1" applyAlignment="1" applyProtection="1">
      <alignment horizontal="center" vertical="center" shrinkToFit="1"/>
    </xf>
    <xf numFmtId="0" fontId="21" fillId="0" borderId="32" xfId="0" applyFont="1" applyBorder="1" applyAlignment="1" applyProtection="1">
      <alignment horizontal="center" vertical="center" shrinkToFit="1"/>
    </xf>
    <xf numFmtId="0" fontId="21" fillId="0" borderId="0" xfId="0" applyFont="1" applyBorder="1" applyAlignment="1" applyProtection="1">
      <alignment horizontal="center" vertical="center" shrinkToFit="1"/>
    </xf>
    <xf numFmtId="0" fontId="21" fillId="0" borderId="65" xfId="0" applyFont="1" applyBorder="1" applyAlignment="1" applyProtection="1">
      <alignment horizontal="center" vertical="center" shrinkToFit="1"/>
    </xf>
    <xf numFmtId="240" fontId="10" fillId="0" borderId="149" xfId="8" applyNumberFormat="1" applyFont="1" applyFill="1" applyBorder="1" applyAlignment="1" applyProtection="1">
      <alignment horizontal="center" vertical="center" shrinkToFit="1"/>
    </xf>
    <xf numFmtId="240" fontId="21" fillId="0" borderId="70" xfId="0" applyNumberFormat="1" applyFont="1" applyFill="1" applyBorder="1" applyAlignment="1" applyProtection="1">
      <alignment horizontal="center" vertical="center" shrinkToFit="1"/>
    </xf>
    <xf numFmtId="240" fontId="21" fillId="0" borderId="150" xfId="0" applyNumberFormat="1" applyFont="1" applyFill="1" applyBorder="1" applyAlignment="1" applyProtection="1">
      <alignment horizontal="center" vertical="center" shrinkToFit="1"/>
    </xf>
    <xf numFmtId="0" fontId="10" fillId="0" borderId="100" xfId="0" applyFont="1" applyBorder="1" applyAlignment="1" applyProtection="1">
      <alignment horizontal="distributed" vertical="center" shrinkToFit="1"/>
    </xf>
    <xf numFmtId="0" fontId="10" fillId="0" borderId="1" xfId="0" applyFont="1" applyBorder="1" applyAlignment="1" applyProtection="1">
      <alignment horizontal="distributed" shrinkToFit="1"/>
    </xf>
    <xf numFmtId="0" fontId="10" fillId="0" borderId="193" xfId="0" applyFont="1" applyBorder="1" applyAlignment="1" applyProtection="1">
      <alignment horizontal="center" vertical="center" shrinkToFit="1"/>
    </xf>
    <xf numFmtId="0" fontId="0" fillId="0" borderId="95" xfId="0" applyBorder="1" applyAlignment="1" applyProtection="1">
      <alignment horizontal="center" shrinkToFit="1"/>
    </xf>
    <xf numFmtId="0" fontId="0" fillId="0" borderId="96" xfId="0" applyBorder="1" applyAlignment="1" applyProtection="1">
      <alignment horizontal="center" shrinkToFit="1"/>
    </xf>
    <xf numFmtId="0" fontId="10" fillId="0" borderId="104" xfId="8" applyFont="1" applyBorder="1" applyAlignment="1" applyProtection="1">
      <alignment horizontal="distributed" shrinkToFit="1"/>
    </xf>
    <xf numFmtId="0" fontId="10" fillId="0" borderId="105" xfId="0" applyFont="1" applyBorder="1" applyAlignment="1" applyProtection="1">
      <alignment horizontal="distributed" shrinkToFit="1"/>
    </xf>
    <xf numFmtId="0" fontId="21" fillId="0" borderId="0" xfId="0" applyFont="1" applyAlignment="1" applyProtection="1">
      <alignment horizontal="center" vertical="center" shrinkToFit="1"/>
    </xf>
    <xf numFmtId="0" fontId="21" fillId="0" borderId="192" xfId="0" applyFont="1" applyBorder="1" applyAlignment="1" applyProtection="1">
      <alignment horizontal="center" vertical="center" shrinkToFit="1"/>
    </xf>
    <xf numFmtId="0" fontId="21" fillId="0" borderId="116" xfId="0" applyFont="1" applyBorder="1" applyAlignment="1" applyProtection="1">
      <alignment horizontal="center" vertical="center" shrinkToFit="1"/>
    </xf>
    <xf numFmtId="0" fontId="21" fillId="0" borderId="117" xfId="0" applyFont="1" applyBorder="1" applyAlignment="1" applyProtection="1">
      <alignment horizontal="center" vertical="center" shrinkToFit="1"/>
    </xf>
    <xf numFmtId="0" fontId="10" fillId="0" borderId="189" xfId="9" applyFont="1" applyBorder="1" applyAlignment="1" applyProtection="1">
      <alignment horizontal="center" vertical="center" shrinkToFit="1"/>
    </xf>
    <xf numFmtId="0" fontId="21" fillId="0" borderId="3" xfId="0" applyFont="1" applyBorder="1" applyAlignment="1" applyProtection="1">
      <alignment horizontal="center" vertical="center" shrinkToFit="1"/>
    </xf>
    <xf numFmtId="0" fontId="21" fillId="0" borderId="151" xfId="0" applyFont="1" applyBorder="1" applyAlignment="1" applyProtection="1">
      <alignment horizontal="center" vertical="center" shrinkToFit="1"/>
    </xf>
    <xf numFmtId="193" fontId="10" fillId="0" borderId="189" xfId="8" applyNumberFormat="1" applyFont="1" applyFill="1" applyBorder="1" applyAlignment="1" applyProtection="1">
      <alignment horizontal="center" vertical="center" shrinkToFit="1"/>
    </xf>
    <xf numFmtId="0" fontId="21" fillId="0" borderId="3" xfId="0" applyFont="1" applyFill="1" applyBorder="1" applyAlignment="1" applyProtection="1">
      <alignment horizontal="center" vertical="center" shrinkToFit="1"/>
    </xf>
    <xf numFmtId="0" fontId="21" fillId="0" borderId="151" xfId="0" applyFont="1" applyFill="1" applyBorder="1" applyAlignment="1" applyProtection="1">
      <alignment horizontal="center" vertical="center" shrinkToFit="1"/>
    </xf>
    <xf numFmtId="0" fontId="44" fillId="0" borderId="190" xfId="9" applyFont="1" applyBorder="1" applyAlignment="1" applyProtection="1">
      <alignment horizontal="center" vertical="center" shrinkToFit="1"/>
    </xf>
    <xf numFmtId="0" fontId="44" fillId="0" borderId="107" xfId="9" applyFont="1" applyBorder="1" applyAlignment="1" applyProtection="1">
      <alignment horizontal="center" vertical="center" shrinkToFit="1"/>
    </xf>
    <xf numFmtId="0" fontId="44" fillId="0" borderId="191" xfId="9" applyFont="1" applyBorder="1" applyAlignment="1" applyProtection="1">
      <alignment horizontal="center" vertical="center" shrinkToFit="1"/>
    </xf>
    <xf numFmtId="252" fontId="10" fillId="0" borderId="193" xfId="8" applyNumberFormat="1" applyFont="1" applyBorder="1" applyAlignment="1" applyProtection="1">
      <alignment horizontal="center" vertical="center"/>
    </xf>
    <xf numFmtId="0" fontId="21" fillId="0" borderId="95" xfId="9" applyFont="1" applyBorder="1" applyAlignment="1" applyProtection="1">
      <alignment horizontal="center" vertical="center"/>
    </xf>
    <xf numFmtId="0" fontId="21" fillId="0" borderId="148" xfId="0" applyFont="1" applyBorder="1" applyAlignment="1" applyProtection="1"/>
    <xf numFmtId="0" fontId="21" fillId="0" borderId="148" xfId="0" applyFont="1" applyBorder="1" applyAlignment="1" applyProtection="1">
      <alignment horizontal="center" vertical="center"/>
    </xf>
    <xf numFmtId="0" fontId="10" fillId="0" borderId="85" xfId="9" applyFont="1" applyBorder="1" applyAlignment="1" applyProtection="1">
      <alignment horizontal="center" vertical="center" textRotation="255"/>
    </xf>
    <xf numFmtId="0" fontId="10" fillId="0" borderId="121" xfId="9" applyFont="1" applyBorder="1" applyAlignment="1" applyProtection="1">
      <alignment horizontal="center" vertical="center"/>
    </xf>
    <xf numFmtId="0" fontId="21" fillId="0" borderId="127" xfId="0" applyFont="1" applyBorder="1" applyAlignment="1" applyProtection="1">
      <alignment horizontal="center" vertical="center"/>
    </xf>
    <xf numFmtId="0" fontId="21" fillId="0" borderId="130" xfId="0" applyFont="1" applyBorder="1" applyAlignment="1" applyProtection="1">
      <alignment horizontal="center" vertical="center"/>
    </xf>
    <xf numFmtId="0" fontId="10" fillId="0" borderId="149" xfId="9" applyFont="1" applyBorder="1" applyAlignment="1" applyProtection="1">
      <alignment horizontal="center" vertical="center" shrinkToFit="1"/>
    </xf>
    <xf numFmtId="0" fontId="21" fillId="0" borderId="70" xfId="0" applyFont="1" applyBorder="1" applyAlignment="1" applyProtection="1">
      <alignment horizontal="center" vertical="center" shrinkToFit="1"/>
    </xf>
    <xf numFmtId="0" fontId="21" fillId="0" borderId="150" xfId="0" applyFont="1" applyBorder="1" applyAlignment="1" applyProtection="1">
      <alignment horizontal="center" vertical="center" shrinkToFit="1"/>
    </xf>
    <xf numFmtId="193" fontId="10" fillId="0" borderId="149" xfId="8" applyNumberFormat="1" applyFont="1" applyFill="1" applyBorder="1" applyAlignment="1" applyProtection="1">
      <alignment horizontal="center" vertical="center" shrinkToFit="1"/>
    </xf>
    <xf numFmtId="0" fontId="21" fillId="0" borderId="70" xfId="0" applyFont="1" applyFill="1" applyBorder="1" applyAlignment="1" applyProtection="1">
      <alignment horizontal="center" vertical="center" shrinkToFit="1"/>
    </xf>
    <xf numFmtId="0" fontId="21" fillId="0" borderId="150" xfId="0" applyFont="1" applyFill="1" applyBorder="1" applyAlignment="1" applyProtection="1">
      <alignment horizontal="center" vertical="center" shrinkToFit="1"/>
    </xf>
    <xf numFmtId="0" fontId="21" fillId="0" borderId="93" xfId="9" applyFont="1" applyBorder="1" applyAlignment="1" applyProtection="1">
      <alignment horizontal="center" vertical="center"/>
    </xf>
    <xf numFmtId="0" fontId="10" fillId="0" borderId="100" xfId="8" applyFont="1" applyBorder="1" applyAlignment="1" applyProtection="1">
      <alignment horizontal="center" vertical="center"/>
    </xf>
    <xf numFmtId="0" fontId="21" fillId="0" borderId="100" xfId="9" applyFont="1" applyBorder="1" applyAlignment="1" applyProtection="1">
      <alignment horizontal="center" vertical="center"/>
    </xf>
    <xf numFmtId="0" fontId="21" fillId="0" borderId="104" xfId="9" applyFont="1" applyBorder="1" applyAlignment="1" applyProtection="1">
      <alignment horizontal="center" vertical="center"/>
    </xf>
    <xf numFmtId="0" fontId="10" fillId="2" borderId="94" xfId="8" applyFont="1" applyFill="1" applyBorder="1" applyAlignment="1" applyProtection="1">
      <alignment horizontal="center" shrinkToFit="1"/>
    </xf>
    <xf numFmtId="0" fontId="21" fillId="2" borderId="95" xfId="9" applyFont="1" applyFill="1" applyBorder="1" applyAlignment="1" applyProtection="1">
      <alignment horizontal="center" shrinkToFit="1"/>
    </xf>
    <xf numFmtId="0" fontId="21" fillId="2" borderId="96" xfId="9" applyFont="1" applyFill="1" applyBorder="1" applyAlignment="1" applyProtection="1">
      <alignment horizontal="center" shrinkToFit="1"/>
    </xf>
    <xf numFmtId="0" fontId="10" fillId="2" borderId="94" xfId="8" applyFont="1" applyFill="1" applyBorder="1" applyAlignment="1" applyProtection="1">
      <alignment horizontal="center" shrinkToFit="1"/>
      <protection locked="0"/>
    </xf>
    <xf numFmtId="0" fontId="21" fillId="2" borderId="95" xfId="9" applyFont="1" applyFill="1" applyBorder="1" applyAlignment="1" applyProtection="1">
      <alignment horizontal="center" shrinkToFit="1"/>
      <protection locked="0"/>
    </xf>
    <xf numFmtId="0" fontId="21" fillId="2" borderId="96" xfId="9" applyFont="1" applyFill="1" applyBorder="1" applyAlignment="1" applyProtection="1">
      <alignment horizontal="center" shrinkToFit="1"/>
      <protection locked="0"/>
    </xf>
    <xf numFmtId="0" fontId="10" fillId="0" borderId="100" xfId="8" applyFont="1" applyFill="1" applyBorder="1" applyAlignment="1" applyProtection="1">
      <alignment horizontal="center" vertical="center" shrinkToFit="1"/>
    </xf>
    <xf numFmtId="0" fontId="21" fillId="0" borderId="1" xfId="9" applyFont="1" applyFill="1" applyBorder="1" applyAlignment="1" applyProtection="1">
      <alignment horizontal="center" vertical="center" shrinkToFit="1"/>
    </xf>
    <xf numFmtId="0" fontId="21" fillId="0" borderId="100" xfId="9" applyFont="1" applyFill="1" applyBorder="1" applyAlignment="1" applyProtection="1">
      <alignment horizontal="center" vertical="center" shrinkToFit="1"/>
    </xf>
    <xf numFmtId="0" fontId="10" fillId="0" borderId="1" xfId="9" applyFont="1" applyFill="1" applyBorder="1" applyAlignment="1" applyProtection="1">
      <alignment horizontal="distributed" vertical="center" shrinkToFit="1"/>
    </xf>
    <xf numFmtId="0" fontId="21" fillId="0" borderId="1" xfId="9" applyFont="1" applyFill="1" applyBorder="1" applyAlignment="1" applyProtection="1">
      <alignment horizontal="distributed" vertical="center"/>
    </xf>
    <xf numFmtId="0" fontId="10" fillId="0" borderId="1" xfId="9" applyFont="1" applyFill="1" applyBorder="1" applyAlignment="1" applyProtection="1">
      <alignment horizontal="distributed" vertical="center"/>
    </xf>
    <xf numFmtId="0" fontId="10" fillId="2" borderId="106" xfId="8" applyFont="1" applyFill="1" applyBorder="1" applyAlignment="1" applyProtection="1">
      <alignment horizontal="center" shrinkToFit="1"/>
      <protection locked="0"/>
    </xf>
    <xf numFmtId="0" fontId="21" fillId="2" borderId="107" xfId="9" applyFont="1" applyFill="1" applyBorder="1" applyAlignment="1" applyProtection="1">
      <alignment horizontal="center" shrinkToFit="1"/>
      <protection locked="0"/>
    </xf>
    <xf numFmtId="0" fontId="21" fillId="2" borderId="108" xfId="9" applyFont="1" applyFill="1" applyBorder="1" applyAlignment="1" applyProtection="1">
      <alignment horizontal="center" shrinkToFit="1"/>
      <protection locked="0"/>
    </xf>
    <xf numFmtId="256" fontId="10" fillId="0" borderId="1" xfId="8" applyNumberFormat="1" applyFont="1" applyBorder="1" applyAlignment="1" applyProtection="1">
      <alignment horizontal="right" vertical="center" shrinkToFit="1"/>
    </xf>
    <xf numFmtId="256" fontId="21" fillId="0" borderId="1" xfId="9" applyNumberFormat="1" applyFont="1" applyBorder="1" applyAlignment="1" applyProtection="1">
      <alignment vertical="center" shrinkToFit="1"/>
    </xf>
    <xf numFmtId="215" fontId="10" fillId="0" borderId="1" xfId="8" applyNumberFormat="1" applyFont="1" applyBorder="1" applyAlignment="1" applyProtection="1">
      <alignment horizontal="right" vertical="center" shrinkToFit="1"/>
    </xf>
    <xf numFmtId="0" fontId="21" fillId="0" borderId="1" xfId="9" applyFont="1" applyBorder="1" applyAlignment="1" applyProtection="1">
      <alignment horizontal="right" vertical="center" shrinkToFit="1"/>
    </xf>
    <xf numFmtId="0" fontId="21" fillId="0" borderId="2" xfId="9" applyFont="1" applyBorder="1" applyAlignment="1" applyProtection="1">
      <alignment horizontal="right" vertical="center" shrinkToFit="1"/>
    </xf>
    <xf numFmtId="0" fontId="10" fillId="0" borderId="105" xfId="8" applyFont="1" applyFill="1" applyBorder="1" applyAlignment="1" applyProtection="1">
      <alignment horizontal="center" vertical="center" shrinkToFit="1"/>
    </xf>
    <xf numFmtId="0" fontId="21" fillId="0" borderId="105" xfId="0" applyFont="1" applyFill="1" applyBorder="1" applyAlignment="1" applyProtection="1">
      <alignment horizontal="center" vertical="center" shrinkToFit="1"/>
    </xf>
    <xf numFmtId="0" fontId="10" fillId="0" borderId="2" xfId="9" applyFont="1" applyBorder="1" applyAlignment="1" applyProtection="1">
      <alignment horizontal="left" vertical="center" wrapText="1" shrinkToFit="1"/>
    </xf>
    <xf numFmtId="0" fontId="10" fillId="0" borderId="2" xfId="8" applyFont="1" applyBorder="1" applyAlignment="1" applyProtection="1">
      <alignment horizontal="left" vertical="center" wrapText="1" shrinkToFit="1"/>
    </xf>
    <xf numFmtId="0" fontId="62" fillId="0" borderId="166" xfId="9" applyFont="1" applyBorder="1" applyAlignment="1" applyProtection="1">
      <alignment horizontal="center" vertical="center" wrapText="1"/>
    </xf>
    <xf numFmtId="0" fontId="18" fillId="0" borderId="2" xfId="9" applyFont="1" applyBorder="1" applyAlignment="1" applyProtection="1">
      <alignment horizontal="center" vertical="center"/>
    </xf>
    <xf numFmtId="0" fontId="18" fillId="0" borderId="3" xfId="9" applyFont="1" applyBorder="1" applyAlignment="1" applyProtection="1">
      <alignment horizontal="center" vertical="center"/>
    </xf>
    <xf numFmtId="0" fontId="18" fillId="0" borderId="4" xfId="9" applyFont="1" applyBorder="1" applyAlignment="1" applyProtection="1">
      <alignment horizontal="center" vertical="center"/>
    </xf>
    <xf numFmtId="0" fontId="15" fillId="0" borderId="2" xfId="8" applyFont="1" applyBorder="1" applyAlignment="1" applyProtection="1">
      <alignment horizontal="left" vertical="center" wrapText="1"/>
    </xf>
    <xf numFmtId="0" fontId="18" fillId="0" borderId="3" xfId="9" applyFont="1" applyBorder="1" applyAlignment="1" applyProtection="1">
      <alignment horizontal="left" vertical="center" wrapText="1"/>
    </xf>
    <xf numFmtId="0" fontId="18" fillId="0" borderId="4" xfId="9" applyFont="1" applyBorder="1" applyAlignment="1" applyProtection="1">
      <alignment horizontal="left" vertical="center" wrapText="1"/>
    </xf>
    <xf numFmtId="0" fontId="18" fillId="0" borderId="2" xfId="9" applyFont="1" applyBorder="1" applyAlignment="1" applyProtection="1">
      <alignment horizontal="left" vertical="center" wrapText="1"/>
    </xf>
    <xf numFmtId="0" fontId="43" fillId="0" borderId="63" xfId="8" applyFont="1" applyBorder="1" applyAlignment="1" applyProtection="1">
      <alignment horizontal="right"/>
    </xf>
    <xf numFmtId="0" fontId="49" fillId="0" borderId="63" xfId="9" applyFont="1" applyBorder="1" applyAlignment="1" applyProtection="1">
      <alignment horizontal="right"/>
    </xf>
    <xf numFmtId="0" fontId="49" fillId="0" borderId="0" xfId="9" applyFont="1" applyBorder="1" applyAlignment="1" applyProtection="1">
      <alignment horizontal="right"/>
    </xf>
    <xf numFmtId="0" fontId="4" fillId="0" borderId="0" xfId="9" applyAlignment="1" applyProtection="1">
      <alignment vertical="center" wrapText="1"/>
    </xf>
    <xf numFmtId="0" fontId="41" fillId="0" borderId="1" xfId="8" applyFont="1" applyBorder="1" applyAlignment="1" applyProtection="1">
      <alignment horizontal="left" vertical="center"/>
    </xf>
    <xf numFmtId="0" fontId="4" fillId="0" borderId="1" xfId="9" applyBorder="1" applyProtection="1">
      <alignment vertical="center"/>
    </xf>
    <xf numFmtId="237" fontId="10" fillId="0" borderId="1" xfId="8" applyNumberFormat="1" applyFont="1" applyFill="1" applyBorder="1" applyAlignment="1" applyProtection="1">
      <alignment horizontal="center" vertical="center" shrinkToFit="1"/>
    </xf>
    <xf numFmtId="237" fontId="21" fillId="0" borderId="1" xfId="9" applyNumberFormat="1" applyFont="1" applyFill="1" applyBorder="1" applyAlignment="1" applyProtection="1">
      <alignment horizontal="center" vertical="center" shrinkToFit="1"/>
    </xf>
    <xf numFmtId="210" fontId="10" fillId="0" borderId="1" xfId="8" applyNumberFormat="1" applyFont="1" applyFill="1" applyBorder="1" applyAlignment="1" applyProtection="1">
      <alignment horizontal="center" vertical="center" shrinkToFit="1"/>
    </xf>
    <xf numFmtId="210" fontId="21" fillId="0" borderId="1" xfId="9" applyNumberFormat="1" applyFont="1" applyFill="1" applyBorder="1" applyAlignment="1" applyProtection="1">
      <alignment horizontal="center" vertical="center" shrinkToFit="1"/>
    </xf>
    <xf numFmtId="0" fontId="10" fillId="0" borderId="1" xfId="8" applyFont="1" applyBorder="1" applyAlignment="1" applyProtection="1">
      <alignment horizontal="center" vertical="center" wrapText="1"/>
    </xf>
    <xf numFmtId="0" fontId="21" fillId="0" borderId="1" xfId="0" applyFont="1" applyBorder="1" applyAlignment="1" applyProtection="1">
      <alignment horizontal="center" vertical="center"/>
    </xf>
    <xf numFmtId="0" fontId="21" fillId="0" borderId="105" xfId="0" applyFont="1" applyBorder="1" applyAlignment="1" applyProtection="1">
      <alignment horizontal="center" vertical="center"/>
    </xf>
    <xf numFmtId="0" fontId="10" fillId="0" borderId="1" xfId="9" applyFont="1" applyBorder="1" applyAlignment="1" applyProtection="1">
      <alignment horizontal="center" vertical="center" wrapText="1"/>
    </xf>
    <xf numFmtId="0" fontId="10" fillId="0" borderId="114" xfId="9" applyFont="1" applyBorder="1" applyAlignment="1" applyProtection="1">
      <alignment horizontal="center" vertical="center" wrapText="1"/>
    </xf>
    <xf numFmtId="0" fontId="21" fillId="0" borderId="1" xfId="0" applyFont="1" applyBorder="1" applyAlignment="1" applyProtection="1">
      <alignment horizontal="center" vertical="center" wrapText="1"/>
    </xf>
    <xf numFmtId="0" fontId="21" fillId="0" borderId="114" xfId="0" applyFont="1" applyBorder="1" applyAlignment="1" applyProtection="1">
      <alignment horizontal="center" vertical="center" wrapText="1"/>
    </xf>
    <xf numFmtId="0" fontId="21" fillId="0" borderId="105" xfId="0" applyFont="1" applyBorder="1" applyAlignment="1" applyProtection="1">
      <alignment horizontal="center" vertical="center" wrapText="1"/>
    </xf>
    <xf numFmtId="0" fontId="21" fillId="0" borderId="132" xfId="0" applyFont="1" applyBorder="1" applyAlignment="1" applyProtection="1">
      <alignment horizontal="center" vertical="center" wrapText="1"/>
    </xf>
    <xf numFmtId="0" fontId="10" fillId="0" borderId="1" xfId="9" applyFont="1" applyFill="1" applyBorder="1" applyAlignment="1" applyProtection="1">
      <alignment horizontal="left" vertical="center"/>
    </xf>
    <xf numFmtId="0" fontId="10" fillId="0" borderId="114" xfId="9" applyFont="1" applyFill="1" applyBorder="1" applyAlignment="1" applyProtection="1">
      <alignment horizontal="left" vertical="center"/>
    </xf>
    <xf numFmtId="0" fontId="41" fillId="0" borderId="2" xfId="8" applyFont="1" applyFill="1" applyBorder="1" applyAlignment="1" applyProtection="1">
      <alignment horizontal="left" vertical="center"/>
    </xf>
    <xf numFmtId="0" fontId="4" fillId="0" borderId="3" xfId="9" applyFill="1" applyBorder="1" applyProtection="1">
      <alignment vertical="center"/>
    </xf>
    <xf numFmtId="0" fontId="4" fillId="0" borderId="4" xfId="9" applyFill="1" applyBorder="1" applyProtection="1">
      <alignment vertical="center"/>
    </xf>
    <xf numFmtId="222" fontId="10" fillId="0" borderId="1" xfId="8" applyNumberFormat="1" applyFont="1" applyFill="1" applyBorder="1" applyAlignment="1" applyProtection="1">
      <alignment horizontal="center" vertical="center" shrinkToFit="1"/>
    </xf>
    <xf numFmtId="222" fontId="21" fillId="0" borderId="1" xfId="9" applyNumberFormat="1" applyFont="1" applyFill="1" applyBorder="1" applyAlignment="1" applyProtection="1">
      <alignment horizontal="center" vertical="center" shrinkToFit="1"/>
    </xf>
    <xf numFmtId="0" fontId="41" fillId="0" borderId="1" xfId="8" applyFont="1" applyFill="1" applyBorder="1" applyAlignment="1" applyProtection="1">
      <alignment horizontal="left" vertical="center"/>
    </xf>
    <xf numFmtId="0" fontId="4" fillId="0" borderId="1" xfId="9" applyFill="1" applyBorder="1" applyProtection="1">
      <alignment vertical="center"/>
    </xf>
    <xf numFmtId="0" fontId="10" fillId="0" borderId="1" xfId="9" applyFont="1" applyFill="1" applyBorder="1" applyAlignment="1" applyProtection="1">
      <alignment horizontal="center" vertical="center"/>
    </xf>
    <xf numFmtId="0" fontId="10" fillId="0" borderId="114" xfId="9" applyFont="1" applyFill="1" applyBorder="1" applyAlignment="1" applyProtection="1">
      <alignment horizontal="center" vertical="center"/>
    </xf>
    <xf numFmtId="219" fontId="10" fillId="0" borderId="1" xfId="8" applyNumberFormat="1" applyFont="1" applyFill="1" applyBorder="1" applyAlignment="1" applyProtection="1">
      <alignment horizontal="center" vertical="center" shrinkToFit="1"/>
    </xf>
    <xf numFmtId="219" fontId="21" fillId="0" borderId="1" xfId="9" applyNumberFormat="1" applyFont="1" applyFill="1" applyBorder="1" applyAlignment="1" applyProtection="1">
      <alignment horizontal="center" vertical="center" shrinkToFit="1"/>
    </xf>
    <xf numFmtId="0" fontId="10" fillId="0" borderId="1" xfId="9" applyFont="1" applyBorder="1" applyAlignment="1" applyProtection="1">
      <alignment horizontal="center" vertical="center" shrinkToFit="1"/>
    </xf>
    <xf numFmtId="0" fontId="10" fillId="0" borderId="114" xfId="9" applyFont="1" applyBorder="1" applyAlignment="1" applyProtection="1">
      <alignment horizontal="center" vertical="center" shrinkToFit="1"/>
    </xf>
    <xf numFmtId="220" fontId="10" fillId="0" borderId="1" xfId="8" applyNumberFormat="1" applyFont="1" applyFill="1" applyBorder="1" applyAlignment="1" applyProtection="1">
      <alignment horizontal="center" vertical="center" shrinkToFit="1"/>
    </xf>
    <xf numFmtId="220" fontId="21" fillId="0" borderId="1" xfId="9" applyNumberFormat="1" applyFont="1" applyFill="1" applyBorder="1" applyAlignment="1" applyProtection="1">
      <alignment horizontal="center" vertical="center" shrinkToFit="1"/>
    </xf>
    <xf numFmtId="0" fontId="10" fillId="0" borderId="1" xfId="8" applyFont="1" applyFill="1" applyBorder="1" applyAlignment="1" applyProtection="1">
      <alignment horizontal="center" vertical="center" shrinkToFit="1"/>
    </xf>
    <xf numFmtId="0" fontId="21" fillId="0" borderId="1" xfId="0" applyFont="1" applyFill="1" applyBorder="1" applyAlignment="1" applyProtection="1">
      <alignment horizontal="center" vertical="center" shrinkToFit="1"/>
    </xf>
    <xf numFmtId="207" fontId="10" fillId="0" borderId="1" xfId="8" applyNumberFormat="1" applyFont="1" applyFill="1" applyBorder="1" applyAlignment="1" applyProtection="1">
      <alignment horizontal="center" vertical="center" shrinkToFit="1"/>
    </xf>
    <xf numFmtId="207" fontId="21" fillId="0" borderId="1" xfId="9" applyNumberFormat="1" applyFont="1" applyFill="1" applyBorder="1" applyAlignment="1" applyProtection="1">
      <alignment horizontal="center" vertical="center" shrinkToFit="1"/>
    </xf>
    <xf numFmtId="0" fontId="4" fillId="0" borderId="5" xfId="9" applyBorder="1" applyProtection="1">
      <alignment vertical="center"/>
    </xf>
    <xf numFmtId="0" fontId="4" fillId="0" borderId="14" xfId="9" applyBorder="1" applyProtection="1">
      <alignment vertical="center"/>
    </xf>
    <xf numFmtId="0" fontId="4" fillId="0" borderId="3" xfId="9" applyBorder="1" applyProtection="1">
      <alignment vertical="center"/>
    </xf>
    <xf numFmtId="0" fontId="4" fillId="0" borderId="4" xfId="9" applyBorder="1" applyProtection="1">
      <alignment vertical="center"/>
    </xf>
    <xf numFmtId="0" fontId="10" fillId="0" borderId="93" xfId="8" applyFont="1" applyBorder="1" applyAlignment="1" applyProtection="1">
      <alignment horizontal="center" vertical="center" wrapText="1"/>
    </xf>
    <xf numFmtId="0" fontId="10" fillId="0" borderId="93" xfId="8" applyFont="1" applyBorder="1" applyAlignment="1" applyProtection="1">
      <alignment horizontal="center" vertical="center"/>
    </xf>
    <xf numFmtId="0" fontId="21" fillId="0" borderId="113" xfId="9" applyFont="1" applyBorder="1" applyAlignment="1" applyProtection="1">
      <alignment horizontal="center" vertical="center"/>
    </xf>
    <xf numFmtId="193" fontId="10" fillId="0" borderId="1" xfId="8" applyNumberFormat="1" applyFont="1" applyFill="1" applyBorder="1" applyAlignment="1" applyProtection="1">
      <alignment horizontal="center" vertical="center" shrinkToFit="1"/>
    </xf>
    <xf numFmtId="193" fontId="21" fillId="0" borderId="1" xfId="9" applyNumberFormat="1" applyFont="1" applyFill="1" applyBorder="1" applyAlignment="1" applyProtection="1">
      <alignment horizontal="center" vertical="center" shrinkToFit="1"/>
    </xf>
    <xf numFmtId="0" fontId="10" fillId="2" borderId="2" xfId="8" applyFont="1" applyFill="1" applyBorder="1" applyAlignment="1" applyProtection="1">
      <alignment horizontal="center" shrinkToFit="1"/>
      <protection locked="0"/>
    </xf>
    <xf numFmtId="0" fontId="21" fillId="2" borderId="3" xfId="9" applyFont="1" applyFill="1" applyBorder="1" applyAlignment="1" applyProtection="1">
      <alignment horizontal="center" shrinkToFit="1"/>
      <protection locked="0"/>
    </xf>
    <xf numFmtId="0" fontId="21" fillId="2" borderId="4" xfId="9" applyFont="1" applyFill="1" applyBorder="1" applyAlignment="1" applyProtection="1">
      <alignment horizontal="center" shrinkToFit="1"/>
      <protection locked="0"/>
    </xf>
    <xf numFmtId="0" fontId="21" fillId="0" borderId="3" xfId="9" applyFont="1" applyBorder="1" applyAlignment="1" applyProtection="1">
      <alignment horizontal="center" shrinkToFit="1"/>
      <protection locked="0"/>
    </xf>
    <xf numFmtId="0" fontId="21" fillId="0" borderId="4" xfId="9" applyFont="1" applyBorder="1" applyAlignment="1" applyProtection="1">
      <alignment horizontal="center" shrinkToFit="1"/>
      <protection locked="0"/>
    </xf>
    <xf numFmtId="185" fontId="10" fillId="0" borderId="79" xfId="9" applyNumberFormat="1" applyFont="1" applyBorder="1" applyAlignment="1" applyProtection="1">
      <alignment horizontal="center" vertical="center"/>
    </xf>
    <xf numFmtId="0" fontId="10" fillId="0" borderId="81" xfId="9" applyFont="1" applyBorder="1" applyAlignment="1" applyProtection="1">
      <alignment horizontal="center" vertical="center"/>
    </xf>
    <xf numFmtId="0" fontId="10" fillId="0" borderId="145" xfId="8" applyFont="1" applyBorder="1" applyAlignment="1" applyProtection="1">
      <alignment horizontal="center" vertical="center"/>
    </xf>
    <xf numFmtId="0" fontId="21" fillId="0" borderId="45" xfId="9" applyFont="1" applyBorder="1" applyAlignment="1" applyProtection="1">
      <alignment horizontal="center" vertical="center"/>
    </xf>
    <xf numFmtId="0" fontId="10" fillId="0" borderId="146" xfId="8" applyFont="1" applyBorder="1" applyAlignment="1" applyProtection="1">
      <alignment horizontal="center"/>
    </xf>
    <xf numFmtId="0" fontId="21" fillId="0" borderId="44" xfId="9" applyFont="1" applyBorder="1" applyAlignment="1" applyProtection="1">
      <alignment horizontal="center"/>
    </xf>
    <xf numFmtId="0" fontId="21" fillId="0" borderId="147" xfId="9" applyFont="1" applyBorder="1" applyAlignment="1" applyProtection="1">
      <alignment horizontal="center"/>
    </xf>
    <xf numFmtId="0" fontId="10" fillId="0" borderId="97" xfId="8" applyFont="1" applyBorder="1" applyAlignment="1" applyProtection="1">
      <alignment horizontal="center"/>
    </xf>
    <xf numFmtId="0" fontId="21" fillId="0" borderId="63" xfId="9" applyFont="1" applyBorder="1" applyAlignment="1" applyProtection="1">
      <alignment horizontal="center"/>
    </xf>
    <xf numFmtId="0" fontId="21" fillId="0" borderId="64" xfId="9" applyFont="1" applyBorder="1" applyAlignment="1" applyProtection="1">
      <alignment horizontal="center"/>
    </xf>
    <xf numFmtId="193" fontId="10" fillId="0" borderId="70" xfId="8" applyNumberFormat="1" applyFont="1" applyFill="1" applyBorder="1" applyAlignment="1" applyProtection="1">
      <alignment horizontal="center" vertical="center" shrinkToFit="1"/>
    </xf>
    <xf numFmtId="193" fontId="10" fillId="0" borderId="150" xfId="8" applyNumberFormat="1" applyFont="1" applyFill="1" applyBorder="1" applyAlignment="1" applyProtection="1">
      <alignment horizontal="center" vertical="center" shrinkToFit="1"/>
    </xf>
    <xf numFmtId="0" fontId="10" fillId="0" borderId="3" xfId="9" applyFont="1" applyBorder="1" applyAlignment="1" applyProtection="1">
      <alignment horizontal="center" vertical="center" shrinkToFit="1"/>
    </xf>
    <xf numFmtId="0" fontId="10" fillId="0" borderId="151" xfId="9" applyFont="1" applyBorder="1" applyAlignment="1" applyProtection="1">
      <alignment horizontal="center" vertical="center" shrinkToFit="1"/>
    </xf>
    <xf numFmtId="0" fontId="18" fillId="0" borderId="0" xfId="9" applyFont="1" applyAlignment="1" applyProtection="1">
      <alignment vertical="center"/>
    </xf>
    <xf numFmtId="0" fontId="0" fillId="0" borderId="0" xfId="0" applyAlignment="1" applyProtection="1"/>
    <xf numFmtId="185" fontId="10" fillId="0" borderId="110" xfId="9" applyNumberFormat="1" applyFont="1" applyBorder="1" applyAlignment="1" applyProtection="1">
      <alignment horizontal="center" vertical="center"/>
    </xf>
    <xf numFmtId="0" fontId="57" fillId="0" borderId="0" xfId="8" applyFont="1" applyAlignment="1" applyProtection="1">
      <alignment horizontal="left"/>
    </xf>
    <xf numFmtId="0" fontId="14" fillId="0" borderId="0" xfId="0" applyFont="1" applyAlignment="1" applyProtection="1"/>
    <xf numFmtId="0" fontId="11" fillId="0" borderId="0" xfId="8" applyFont="1" applyAlignment="1" applyProtection="1">
      <alignment horizontal="left"/>
    </xf>
    <xf numFmtId="0" fontId="14" fillId="0" borderId="0" xfId="0" applyFont="1" applyAlignment="1" applyProtection="1">
      <alignment horizontal="left"/>
    </xf>
    <xf numFmtId="0" fontId="47" fillId="0" borderId="13" xfId="8" applyFont="1" applyBorder="1" applyProtection="1"/>
    <xf numFmtId="0" fontId="4" fillId="0" borderId="5" xfId="9" applyBorder="1" applyAlignment="1" applyProtection="1"/>
    <xf numFmtId="0" fontId="4" fillId="0" borderId="14" xfId="9" applyBorder="1" applyAlignment="1" applyProtection="1"/>
    <xf numFmtId="0" fontId="15" fillId="0" borderId="79" xfId="8" applyFont="1" applyBorder="1" applyAlignment="1" applyProtection="1">
      <alignment horizontal="left" vertical="top" wrapText="1"/>
    </xf>
    <xf numFmtId="0" fontId="18" fillId="0" borderId="80" xfId="9" applyFont="1" applyBorder="1" applyAlignment="1" applyProtection="1">
      <alignment vertical="top" wrapText="1"/>
    </xf>
    <xf numFmtId="0" fontId="18" fillId="0" borderId="81" xfId="9" applyFont="1" applyBorder="1" applyAlignment="1" applyProtection="1">
      <alignment vertical="top" wrapText="1"/>
    </xf>
    <xf numFmtId="0" fontId="15" fillId="0" borderId="82" xfId="8" applyFont="1" applyBorder="1" applyAlignment="1" applyProtection="1">
      <alignment horizontal="left" vertical="top" wrapText="1"/>
    </xf>
    <xf numFmtId="0" fontId="18" fillId="0" borderId="83" xfId="9" applyFont="1" applyBorder="1" applyAlignment="1" applyProtection="1">
      <alignment vertical="top" wrapText="1"/>
    </xf>
    <xf numFmtId="0" fontId="18" fillId="0" borderId="84" xfId="9" applyFont="1" applyBorder="1" applyAlignment="1" applyProtection="1">
      <alignment vertical="top" wrapText="1"/>
    </xf>
    <xf numFmtId="0" fontId="47" fillId="0" borderId="1" xfId="8" applyFont="1" applyBorder="1" applyProtection="1"/>
    <xf numFmtId="0" fontId="4" fillId="0" borderId="1" xfId="9" applyBorder="1" applyAlignment="1" applyProtection="1"/>
    <xf numFmtId="193" fontId="10" fillId="0" borderId="3" xfId="8" applyNumberFormat="1" applyFont="1" applyFill="1" applyBorder="1" applyAlignment="1" applyProtection="1">
      <alignment horizontal="center" vertical="center" shrinkToFit="1"/>
    </xf>
    <xf numFmtId="193" fontId="10" fillId="0" borderId="151" xfId="8" applyNumberFormat="1" applyFont="1" applyFill="1" applyBorder="1" applyAlignment="1" applyProtection="1">
      <alignment horizontal="center" vertical="center" shrinkToFit="1"/>
    </xf>
    <xf numFmtId="0" fontId="11" fillId="0" borderId="0" xfId="5" applyFont="1" applyAlignment="1" applyProtection="1">
      <alignment horizontal="right" vertical="center"/>
    </xf>
    <xf numFmtId="0" fontId="0" fillId="0" borderId="0" xfId="0" applyAlignment="1" applyProtection="1">
      <alignment horizontal="right" vertical="center"/>
    </xf>
    <xf numFmtId="179" fontId="11" fillId="0" borderId="0" xfId="5" applyNumberFormat="1" applyFont="1" applyAlignment="1" applyProtection="1">
      <alignment horizontal="distributed" vertical="center"/>
    </xf>
    <xf numFmtId="0" fontId="14" fillId="0" borderId="0" xfId="5" applyFont="1" applyAlignment="1" applyProtection="1">
      <alignment horizontal="distributed" vertical="center"/>
    </xf>
    <xf numFmtId="0" fontId="11" fillId="0" borderId="0" xfId="5" applyFont="1" applyAlignment="1" applyProtection="1">
      <alignment horizontal="center" vertical="center"/>
    </xf>
    <xf numFmtId="0" fontId="30" fillId="7" borderId="0" xfId="5" applyFont="1" applyFill="1" applyBorder="1" applyAlignment="1" applyProtection="1">
      <alignment horizontal="center" vertical="center"/>
    </xf>
    <xf numFmtId="0" fontId="30" fillId="7" borderId="0" xfId="5" applyFont="1" applyFill="1" applyBorder="1" applyAlignment="1" applyProtection="1">
      <alignment vertical="center" wrapText="1" shrinkToFit="1"/>
    </xf>
    <xf numFmtId="0" fontId="30" fillId="7" borderId="0" xfId="5" applyFont="1" applyFill="1" applyBorder="1" applyAlignment="1" applyProtection="1">
      <alignment vertical="center" shrinkToFit="1"/>
    </xf>
    <xf numFmtId="198" fontId="63" fillId="7" borderId="0" xfId="5" applyNumberFormat="1" applyFont="1" applyFill="1" applyBorder="1" applyAlignment="1" applyProtection="1">
      <alignment horizontal="center" vertical="center" wrapText="1"/>
    </xf>
    <xf numFmtId="0" fontId="11" fillId="0" borderId="0" xfId="5" applyFont="1" applyFill="1" applyAlignment="1" applyProtection="1">
      <alignment horizontal="left" vertical="center" shrinkToFit="1"/>
    </xf>
    <xf numFmtId="0" fontId="11" fillId="0" borderId="0" xfId="5" applyFont="1" applyAlignment="1" applyProtection="1">
      <alignment vertical="center"/>
    </xf>
    <xf numFmtId="199" fontId="11" fillId="0" borderId="0" xfId="5" applyNumberFormat="1" applyFont="1" applyAlignment="1" applyProtection="1">
      <alignment horizontal="distributed" vertical="center"/>
    </xf>
    <xf numFmtId="0" fontId="11" fillId="0" borderId="0" xfId="5" applyFont="1" applyFill="1" applyAlignment="1" applyProtection="1">
      <alignment vertical="center" shrinkToFit="1"/>
    </xf>
    <xf numFmtId="0" fontId="11" fillId="0" borderId="0" xfId="5" applyFont="1" applyAlignment="1" applyProtection="1">
      <alignment vertical="center" shrinkToFit="1"/>
    </xf>
    <xf numFmtId="0" fontId="11" fillId="0" borderId="0" xfId="5" applyFont="1" applyAlignment="1" applyProtection="1">
      <alignment horizontal="left" vertical="center" wrapText="1"/>
    </xf>
    <xf numFmtId="0" fontId="11" fillId="0" borderId="0" xfId="5" applyFont="1" applyAlignment="1" applyProtection="1">
      <alignment horizontal="left" vertical="center"/>
    </xf>
    <xf numFmtId="0" fontId="11" fillId="0" borderId="0" xfId="5" applyFont="1" applyAlignment="1" applyProtection="1">
      <alignment vertical="center" wrapText="1"/>
    </xf>
    <xf numFmtId="199" fontId="11" fillId="0" borderId="0" xfId="5" applyNumberFormat="1" applyFont="1" applyAlignment="1" applyProtection="1">
      <alignment horizontal="distributed" vertical="center" wrapText="1"/>
    </xf>
    <xf numFmtId="0" fontId="14" fillId="0" borderId="0" xfId="5" applyFont="1" applyAlignment="1" applyProtection="1">
      <alignment horizontal="distributed" vertical="center" wrapText="1"/>
    </xf>
    <xf numFmtId="199" fontId="11" fillId="0" borderId="0" xfId="5" applyNumberFormat="1" applyFont="1" applyAlignment="1" applyProtection="1">
      <alignment horizontal="left" vertical="center" wrapText="1"/>
    </xf>
    <xf numFmtId="0" fontId="14" fillId="0" borderId="0" xfId="0" applyFont="1" applyAlignment="1" applyProtection="1">
      <alignment vertical="center"/>
    </xf>
    <xf numFmtId="0" fontId="14" fillId="0" borderId="0" xfId="0" applyFont="1" applyAlignment="1" applyProtection="1">
      <alignment vertical="center" wrapText="1"/>
    </xf>
    <xf numFmtId="0" fontId="11" fillId="0" borderId="0" xfId="5" applyFont="1" applyBorder="1" applyAlignment="1" applyProtection="1">
      <alignment vertical="center"/>
    </xf>
    <xf numFmtId="0" fontId="11" fillId="0" borderId="0" xfId="5" applyFont="1" applyBorder="1" applyAlignment="1" applyProtection="1">
      <alignment vertical="center" wrapText="1"/>
    </xf>
    <xf numFmtId="0" fontId="11" fillId="0" borderId="0" xfId="5" applyFont="1" applyAlignment="1" applyProtection="1">
      <alignment horizontal="distributed" vertical="center"/>
    </xf>
    <xf numFmtId="0" fontId="30" fillId="7" borderId="0" xfId="5" applyFont="1" applyFill="1" applyBorder="1" applyAlignment="1" applyProtection="1">
      <alignment horizontal="center" vertical="center" shrinkToFit="1"/>
    </xf>
    <xf numFmtId="200" fontId="11" fillId="0" borderId="0" xfId="5" applyNumberFormat="1" applyFont="1" applyAlignment="1" applyProtection="1">
      <alignment horizontal="distributed" vertical="center"/>
    </xf>
    <xf numFmtId="0" fontId="11" fillId="0" borderId="0" xfId="5" applyFont="1" applyAlignment="1" applyProtection="1">
      <alignment horizontal="center" vertical="center" shrinkToFit="1"/>
    </xf>
    <xf numFmtId="0" fontId="11" fillId="0" borderId="0" xfId="5" applyFont="1" applyAlignment="1" applyProtection="1">
      <alignment horizontal="left" vertical="center" shrinkToFit="1"/>
    </xf>
    <xf numFmtId="179" fontId="11" fillId="0" borderId="0" xfId="5" applyNumberFormat="1" applyFont="1" applyAlignment="1" applyProtection="1">
      <alignment horizontal="center" shrinkToFit="1"/>
    </xf>
    <xf numFmtId="0" fontId="11" fillId="0" borderId="0" xfId="5" applyFont="1" applyAlignment="1" applyProtection="1">
      <alignment horizontal="center" shrinkToFit="1"/>
    </xf>
    <xf numFmtId="0" fontId="0" fillId="0" borderId="0" xfId="0" applyAlignment="1" applyProtection="1">
      <alignment horizontal="left" vertical="center" wrapText="1"/>
    </xf>
    <xf numFmtId="0" fontId="11" fillId="0" borderId="0" xfId="5" applyFont="1" applyAlignment="1" applyProtection="1">
      <alignment horizontal="distributed" vertical="center" shrinkToFit="1"/>
    </xf>
    <xf numFmtId="0" fontId="10" fillId="0" borderId="0" xfId="5" applyFont="1" applyAlignment="1" applyProtection="1">
      <alignment vertical="center" wrapText="1"/>
    </xf>
    <xf numFmtId="0" fontId="21" fillId="0" borderId="0" xfId="0" applyFont="1" applyAlignment="1" applyProtection="1">
      <alignment vertical="center" wrapText="1"/>
    </xf>
    <xf numFmtId="0" fontId="30" fillId="0" borderId="1" xfId="5" applyFont="1" applyBorder="1" applyAlignment="1" applyProtection="1">
      <alignment horizontal="left"/>
    </xf>
    <xf numFmtId="0" fontId="22" fillId="0" borderId="1" xfId="5" applyFont="1" applyBorder="1" applyAlignment="1" applyProtection="1"/>
    <xf numFmtId="0" fontId="15" fillId="0" borderId="1" xfId="5" applyFont="1" applyBorder="1" applyAlignment="1" applyProtection="1">
      <alignment horizontal="center" vertical="center" shrinkToFit="1"/>
    </xf>
    <xf numFmtId="0" fontId="15" fillId="0" borderId="13" xfId="5" applyFont="1" applyFill="1" applyBorder="1" applyAlignment="1" applyProtection="1">
      <alignment horizontal="left" vertical="center" shrinkToFit="1"/>
    </xf>
    <xf numFmtId="0" fontId="15" fillId="0" borderId="5" xfId="5" applyFont="1" applyFill="1" applyBorder="1" applyAlignment="1" applyProtection="1">
      <alignment horizontal="left" vertical="center" shrinkToFit="1"/>
    </xf>
    <xf numFmtId="0" fontId="10" fillId="0" borderId="5" xfId="5" applyFont="1" applyBorder="1" applyAlignment="1" applyProtection="1">
      <alignment horizontal="left" vertical="center" shrinkToFit="1"/>
    </xf>
    <xf numFmtId="0" fontId="10" fillId="0" borderId="14" xfId="5" applyFont="1" applyBorder="1" applyAlignment="1" applyProtection="1">
      <alignment horizontal="left" vertical="center" shrinkToFit="1"/>
    </xf>
    <xf numFmtId="0" fontId="15" fillId="0" borderId="7" xfId="5" applyFont="1" applyFill="1" applyBorder="1" applyAlignment="1" applyProtection="1">
      <alignment horizontal="left" vertical="center" shrinkToFit="1"/>
    </xf>
    <xf numFmtId="0" fontId="15" fillId="0" borderId="8" xfId="5" applyFont="1" applyFill="1" applyBorder="1" applyAlignment="1" applyProtection="1">
      <alignment horizontal="left" vertical="center" shrinkToFit="1"/>
    </xf>
    <xf numFmtId="0" fontId="10" fillId="0" borderId="8" xfId="5" applyFont="1" applyBorder="1" applyAlignment="1" applyProtection="1">
      <alignment horizontal="left" vertical="center" shrinkToFit="1"/>
    </xf>
    <xf numFmtId="0" fontId="10" fillId="0" borderId="9" xfId="5" applyFont="1" applyBorder="1" applyAlignment="1" applyProtection="1">
      <alignment horizontal="left" vertical="center" shrinkToFit="1"/>
    </xf>
    <xf numFmtId="0" fontId="39" fillId="0" borderId="0" xfId="5" applyFont="1" applyAlignment="1" applyProtection="1">
      <alignment horizontal="center" vertical="center" wrapText="1"/>
    </xf>
    <xf numFmtId="0" fontId="39" fillId="0" borderId="0" xfId="5" applyFont="1" applyAlignment="1" applyProtection="1">
      <alignment horizontal="center" vertical="center"/>
    </xf>
    <xf numFmtId="0" fontId="15" fillId="0" borderId="1" xfId="5" applyFont="1" applyFill="1" applyBorder="1" applyAlignment="1" applyProtection="1">
      <alignment horizontal="left" vertical="center" wrapText="1" shrinkToFit="1"/>
    </xf>
    <xf numFmtId="0" fontId="41" fillId="0" borderId="3" xfId="5" applyFont="1" applyFill="1" applyBorder="1" applyAlignment="1" applyProtection="1">
      <alignment horizontal="center" vertical="center"/>
    </xf>
    <xf numFmtId="0" fontId="15" fillId="0" borderId="3" xfId="5" applyFont="1" applyFill="1" applyBorder="1" applyAlignment="1" applyProtection="1">
      <alignment horizontal="center" vertical="center"/>
    </xf>
    <xf numFmtId="0" fontId="15" fillId="0" borderId="4" xfId="5" applyFont="1" applyFill="1" applyBorder="1" applyAlignment="1" applyProtection="1">
      <alignment horizontal="center" vertical="center"/>
    </xf>
    <xf numFmtId="0" fontId="15" fillId="0" borderId="1" xfId="5" applyFont="1" applyFill="1" applyBorder="1" applyAlignment="1" applyProtection="1">
      <alignment horizontal="center" vertical="center" shrinkToFit="1"/>
    </xf>
    <xf numFmtId="0" fontId="15" fillId="0" borderId="1" xfId="5" applyFont="1" applyFill="1" applyBorder="1" applyAlignment="1" applyProtection="1">
      <alignment vertical="center" shrinkToFit="1"/>
    </xf>
    <xf numFmtId="0" fontId="40" fillId="0" borderId="1" xfId="2" applyFont="1" applyFill="1" applyBorder="1" applyAlignment="1" applyProtection="1">
      <alignment vertical="center" shrinkToFit="1"/>
    </xf>
    <xf numFmtId="0" fontId="15" fillId="0" borderId="0" xfId="5" applyFont="1" applyAlignment="1" applyProtection="1">
      <alignment shrinkToFit="1"/>
    </xf>
    <xf numFmtId="0" fontId="10" fillId="0" borderId="0" xfId="5" applyFont="1" applyAlignment="1" applyProtection="1">
      <alignment shrinkToFit="1"/>
    </xf>
    <xf numFmtId="0" fontId="10" fillId="0" borderId="0" xfId="5" applyFont="1" applyAlignment="1" applyProtection="1"/>
    <xf numFmtId="0" fontId="41" fillId="0" borderId="3" xfId="5" applyFont="1" applyFill="1" applyBorder="1" applyAlignment="1" applyProtection="1">
      <alignment horizontal="center" vertical="center" shrinkToFit="1"/>
    </xf>
    <xf numFmtId="0" fontId="15" fillId="0" borderId="3" xfId="5" applyFont="1" applyFill="1" applyBorder="1" applyAlignment="1" applyProtection="1">
      <alignment horizontal="center" vertical="center" shrinkToFit="1"/>
    </xf>
    <xf numFmtId="0" fontId="15" fillId="0" borderId="4" xfId="5" applyFont="1" applyFill="1" applyBorder="1" applyAlignment="1" applyProtection="1">
      <alignment horizontal="center" vertical="center" shrinkToFit="1"/>
    </xf>
    <xf numFmtId="0" fontId="15" fillId="0" borderId="3" xfId="5" applyFont="1" applyFill="1" applyBorder="1" applyAlignment="1" applyProtection="1">
      <alignment vertical="center" shrinkToFit="1"/>
    </xf>
    <xf numFmtId="0" fontId="15" fillId="0" borderId="3" xfId="5" applyFont="1" applyFill="1" applyBorder="1" applyAlignment="1" applyProtection="1">
      <alignment vertical="center"/>
    </xf>
    <xf numFmtId="0" fontId="41" fillId="0" borderId="3" xfId="5" applyFont="1" applyFill="1" applyBorder="1" applyAlignment="1" applyProtection="1">
      <alignment vertical="center" shrinkToFit="1"/>
    </xf>
    <xf numFmtId="0" fontId="15" fillId="0" borderId="2" xfId="5" applyFont="1" applyFill="1" applyBorder="1" applyAlignment="1" applyProtection="1">
      <alignment horizontal="center" vertical="center"/>
    </xf>
    <xf numFmtId="0" fontId="41" fillId="0" borderId="2" xfId="5" applyFont="1" applyFill="1" applyBorder="1" applyAlignment="1" applyProtection="1">
      <alignment vertical="center"/>
    </xf>
    <xf numFmtId="0" fontId="15" fillId="0" borderId="13" xfId="5" applyFont="1" applyFill="1" applyBorder="1" applyAlignment="1" applyProtection="1">
      <alignment vertical="center" shrinkToFit="1"/>
    </xf>
    <xf numFmtId="0" fontId="15" fillId="0" borderId="5" xfId="5" applyFont="1" applyFill="1" applyBorder="1" applyAlignment="1" applyProtection="1">
      <alignment vertical="center"/>
    </xf>
    <xf numFmtId="0" fontId="43" fillId="0" borderId="5" xfId="5" applyFont="1" applyBorder="1" applyAlignment="1" applyProtection="1">
      <alignment horizontal="left" vertical="center"/>
    </xf>
    <xf numFmtId="0" fontId="44" fillId="0" borderId="0" xfId="5" applyFont="1" applyBorder="1" applyAlignment="1" applyProtection="1">
      <alignment horizontal="left" vertical="center"/>
    </xf>
    <xf numFmtId="0" fontId="16" fillId="0" borderId="62" xfId="5" applyFont="1" applyBorder="1" applyAlignment="1" applyProtection="1">
      <alignment horizontal="center" vertical="center" wrapText="1"/>
    </xf>
    <xf numFmtId="0" fontId="16" fillId="0" borderId="63" xfId="5" applyFont="1" applyBorder="1" applyAlignment="1" applyProtection="1">
      <alignment horizontal="center" vertical="center"/>
    </xf>
    <xf numFmtId="0" fontId="16" fillId="0" borderId="64" xfId="5" applyFont="1" applyBorder="1" applyAlignment="1" applyProtection="1">
      <alignment horizontal="center" vertical="center"/>
    </xf>
    <xf numFmtId="0" fontId="16" fillId="0" borderId="32" xfId="5" applyFont="1" applyBorder="1" applyAlignment="1" applyProtection="1">
      <alignment horizontal="center" vertical="center"/>
    </xf>
    <xf numFmtId="0" fontId="16" fillId="0" borderId="0" xfId="5" applyFont="1" applyBorder="1" applyAlignment="1" applyProtection="1">
      <alignment horizontal="center" vertical="center"/>
    </xf>
    <xf numFmtId="0" fontId="16" fillId="0" borderId="65" xfId="5" applyFont="1" applyBorder="1" applyAlignment="1" applyProtection="1">
      <alignment horizontal="center" vertical="center"/>
    </xf>
    <xf numFmtId="0" fontId="16" fillId="0" borderId="66" xfId="5" applyFont="1" applyBorder="1" applyAlignment="1" applyProtection="1">
      <alignment horizontal="center" vertical="center"/>
    </xf>
    <xf numFmtId="0" fontId="16" fillId="0" borderId="67" xfId="5" applyFont="1" applyBorder="1" applyAlignment="1" applyProtection="1">
      <alignment horizontal="center" vertical="center"/>
    </xf>
    <xf numFmtId="0" fontId="16" fillId="0" borderId="68" xfId="5" applyFont="1" applyBorder="1" applyAlignment="1" applyProtection="1">
      <alignment horizontal="center" vertical="center"/>
    </xf>
    <xf numFmtId="0" fontId="15" fillId="0" borderId="6" xfId="5" applyFont="1" applyBorder="1" applyAlignment="1" applyProtection="1">
      <alignment horizontal="center" vertical="center" textRotation="255" shrinkToFit="1"/>
    </xf>
    <xf numFmtId="0" fontId="0" fillId="0" borderId="20" xfId="0" applyBorder="1" applyAlignment="1">
      <alignment vertical="center" shrinkToFit="1"/>
    </xf>
    <xf numFmtId="0" fontId="0" fillId="0" borderId="10" xfId="0" applyBorder="1" applyAlignment="1">
      <alignment vertical="center" shrinkToFit="1"/>
    </xf>
    <xf numFmtId="0" fontId="15" fillId="0" borderId="2" xfId="5" applyFont="1" applyFill="1" applyBorder="1" applyAlignment="1" applyProtection="1">
      <alignment horizontal="left" vertical="center" shrinkToFit="1"/>
    </xf>
    <xf numFmtId="0" fontId="15" fillId="0" borderId="3" xfId="5" applyFont="1" applyFill="1" applyBorder="1" applyAlignment="1" applyProtection="1">
      <alignment horizontal="left" vertical="center" shrinkToFit="1"/>
    </xf>
    <xf numFmtId="0" fontId="41" fillId="0" borderId="2" xfId="5" applyFont="1" applyFill="1" applyBorder="1" applyAlignment="1" applyProtection="1">
      <alignment horizontal="left" vertical="center" shrinkToFit="1"/>
    </xf>
    <xf numFmtId="0" fontId="10" fillId="0" borderId="3" xfId="5" applyFont="1" applyFill="1" applyBorder="1" applyAlignment="1" applyProtection="1">
      <alignment horizontal="left" vertical="center" shrinkToFit="1"/>
    </xf>
    <xf numFmtId="0" fontId="10" fillId="0" borderId="4" xfId="5" applyFont="1" applyFill="1" applyBorder="1" applyAlignment="1" applyProtection="1">
      <alignment horizontal="left" vertical="center" shrinkToFit="1"/>
    </xf>
    <xf numFmtId="0" fontId="15" fillId="0" borderId="2" xfId="5" applyFont="1" applyFill="1" applyBorder="1" applyAlignment="1" applyProtection="1">
      <alignment vertical="center" shrinkToFit="1"/>
    </xf>
    <xf numFmtId="0" fontId="10" fillId="0" borderId="3" xfId="5" applyFont="1" applyFill="1" applyBorder="1" applyAlignment="1" applyProtection="1">
      <alignment vertical="center"/>
    </xf>
    <xf numFmtId="0" fontId="41" fillId="0" borderId="4" xfId="5" applyFont="1" applyFill="1" applyBorder="1" applyAlignment="1" applyProtection="1">
      <alignment horizontal="center" vertical="center" shrinkToFit="1"/>
    </xf>
    <xf numFmtId="0" fontId="15" fillId="0" borderId="2" xfId="5" applyFont="1" applyFill="1" applyBorder="1" applyAlignment="1" applyProtection="1">
      <alignment horizontal="left" vertical="center" shrinkToFit="1"/>
      <protection locked="0"/>
    </xf>
    <xf numFmtId="0" fontId="10" fillId="0" borderId="3" xfId="5" applyFont="1" applyFill="1" applyBorder="1" applyAlignment="1" applyProtection="1">
      <alignment horizontal="left" vertical="center" shrinkToFit="1"/>
      <protection locked="0"/>
    </xf>
    <xf numFmtId="0" fontId="15" fillId="0" borderId="4" xfId="5" applyFont="1" applyFill="1" applyBorder="1" applyAlignment="1" applyProtection="1">
      <alignment vertical="center" shrinkToFit="1"/>
    </xf>
    <xf numFmtId="0" fontId="34" fillId="0" borderId="1" xfId="5" applyFont="1" applyBorder="1" applyAlignment="1" applyProtection="1">
      <alignment horizontal="distributed" vertical="center"/>
    </xf>
    <xf numFmtId="0" fontId="5" fillId="0" borderId="1" xfId="5" applyBorder="1" applyAlignment="1" applyProtection="1">
      <alignment horizontal="distributed" vertical="center"/>
    </xf>
    <xf numFmtId="0" fontId="34" fillId="0" borderId="1" xfId="5" applyNumberFormat="1" applyFont="1" applyFill="1" applyBorder="1" applyAlignment="1" applyProtection="1">
      <alignment horizontal="center" vertical="center"/>
    </xf>
    <xf numFmtId="0" fontId="5" fillId="0" borderId="1" xfId="5" applyNumberFormat="1" applyFill="1" applyBorder="1" applyAlignment="1" applyProtection="1">
      <alignment horizontal="center" vertical="center"/>
    </xf>
    <xf numFmtId="201" fontId="34" fillId="0" borderId="0" xfId="5" applyNumberFormat="1" applyFont="1" applyBorder="1" applyAlignment="1" applyProtection="1">
      <alignment horizontal="center" vertical="center"/>
    </xf>
    <xf numFmtId="0" fontId="34" fillId="0" borderId="1" xfId="5" applyFont="1" applyBorder="1" applyAlignment="1" applyProtection="1">
      <alignment horizontal="center" vertical="center"/>
    </xf>
    <xf numFmtId="0" fontId="5" fillId="0" borderId="1" xfId="5" applyBorder="1" applyAlignment="1" applyProtection="1">
      <alignment horizontal="center" vertical="center"/>
    </xf>
    <xf numFmtId="0" fontId="34" fillId="0" borderId="0" xfId="5" applyFont="1" applyAlignment="1" applyProtection="1">
      <alignment vertical="center"/>
    </xf>
    <xf numFmtId="0" fontId="5" fillId="0" borderId="0" xfId="5" applyAlignment="1" applyProtection="1">
      <alignment vertical="center"/>
    </xf>
    <xf numFmtId="0" fontId="34" fillId="0" borderId="0" xfId="5" applyFont="1" applyAlignment="1" applyProtection="1">
      <alignment horizontal="distributed" vertical="center" wrapText="1"/>
    </xf>
    <xf numFmtId="0" fontId="35" fillId="0" borderId="0" xfId="5" applyFont="1" applyAlignment="1" applyProtection="1">
      <alignment horizontal="distributed" vertical="center" wrapText="1"/>
    </xf>
    <xf numFmtId="0" fontId="34" fillId="0" borderId="0" xfId="5" applyFont="1" applyAlignment="1" applyProtection="1">
      <alignment horizontal="left" vertical="center" shrinkToFit="1"/>
    </xf>
    <xf numFmtId="0" fontId="35" fillId="0" borderId="0" xfId="5" applyFont="1" applyAlignment="1" applyProtection="1">
      <alignment horizontal="left" vertical="center" shrinkToFit="1"/>
    </xf>
    <xf numFmtId="0" fontId="36" fillId="0" borderId="0" xfId="5" applyFont="1" applyAlignment="1" applyProtection="1">
      <alignment horizontal="center" vertical="center"/>
    </xf>
    <xf numFmtId="0" fontId="37" fillId="0" borderId="0" xfId="5" applyFont="1" applyAlignment="1" applyProtection="1">
      <alignment horizontal="center" vertical="center"/>
    </xf>
    <xf numFmtId="0" fontId="34" fillId="0" borderId="0" xfId="5" applyFont="1" applyAlignment="1" applyProtection="1">
      <alignment vertical="center" wrapText="1"/>
    </xf>
    <xf numFmtId="0" fontId="5" fillId="0" borderId="0" xfId="5" applyAlignment="1" applyProtection="1">
      <alignment vertical="center" wrapText="1"/>
    </xf>
    <xf numFmtId="0" fontId="34" fillId="0" borderId="0" xfId="5" applyFont="1" applyAlignment="1" applyProtection="1">
      <alignment horizontal="center" vertical="center"/>
    </xf>
    <xf numFmtId="0" fontId="5" fillId="0" borderId="0" xfId="5" applyAlignment="1" applyProtection="1">
      <alignment horizontal="center" vertical="center"/>
    </xf>
    <xf numFmtId="0" fontId="10" fillId="0" borderId="21" xfId="4" applyFont="1" applyBorder="1" applyAlignment="1" applyProtection="1">
      <alignment horizontal="left" vertical="center" wrapText="1"/>
    </xf>
    <xf numFmtId="0" fontId="10" fillId="0" borderId="26" xfId="4" applyFont="1" applyBorder="1" applyAlignment="1" applyProtection="1">
      <alignment horizontal="left" vertical="center" wrapText="1"/>
    </xf>
    <xf numFmtId="0" fontId="6" fillId="0" borderId="26" xfId="4" applyBorder="1" applyAlignment="1" applyProtection="1">
      <alignment horizontal="left" vertical="center" wrapText="1"/>
    </xf>
    <xf numFmtId="0" fontId="6" fillId="0" borderId="30" xfId="4" applyBorder="1" applyAlignment="1" applyProtection="1">
      <alignment horizontal="left" vertical="center" wrapText="1"/>
    </xf>
    <xf numFmtId="0" fontId="10" fillId="0" borderId="6" xfId="4" applyFont="1" applyBorder="1" applyAlignment="1" applyProtection="1">
      <alignment horizontal="left" vertical="center" wrapText="1"/>
    </xf>
    <xf numFmtId="0" fontId="10" fillId="0" borderId="10" xfId="4" applyFont="1" applyBorder="1" applyAlignment="1" applyProtection="1">
      <alignment horizontal="left" vertical="center" wrapText="1"/>
    </xf>
    <xf numFmtId="0" fontId="10" fillId="0" borderId="22" xfId="4" applyFont="1" applyBorder="1" applyAlignment="1" applyProtection="1">
      <alignment horizontal="left" vertical="center" wrapText="1"/>
    </xf>
    <xf numFmtId="0" fontId="10" fillId="0" borderId="186" xfId="4" applyFont="1" applyFill="1" applyBorder="1" applyAlignment="1" applyProtection="1">
      <alignment horizontal="center" vertical="center"/>
    </xf>
    <xf numFmtId="0" fontId="0" fillId="0" borderId="77" xfId="0" applyBorder="1" applyAlignment="1">
      <alignment horizontal="center" vertical="center"/>
    </xf>
    <xf numFmtId="0" fontId="0" fillId="0" borderId="66" xfId="0" applyFill="1" applyBorder="1" applyAlignment="1">
      <alignment horizontal="center" vertical="center"/>
    </xf>
    <xf numFmtId="0" fontId="0" fillId="0" borderId="198" xfId="0" applyBorder="1" applyAlignment="1">
      <alignment horizontal="center" vertical="center"/>
    </xf>
    <xf numFmtId="0" fontId="10" fillId="0" borderId="6" xfId="4" applyFont="1" applyFill="1" applyBorder="1" applyAlignment="1" applyProtection="1">
      <alignment horizontal="left" vertical="center" wrapText="1"/>
    </xf>
    <xf numFmtId="0" fontId="10" fillId="0" borderId="10" xfId="4" applyFont="1" applyFill="1" applyBorder="1" applyAlignment="1" applyProtection="1">
      <alignment horizontal="left" vertical="center" wrapText="1"/>
    </xf>
    <xf numFmtId="0" fontId="10" fillId="0" borderId="48" xfId="4" applyFont="1" applyBorder="1" applyAlignment="1" applyProtection="1">
      <alignment horizontal="left" vertical="center" wrapText="1"/>
    </xf>
    <xf numFmtId="0" fontId="10" fillId="0" borderId="6" xfId="4" applyFont="1" applyBorder="1" applyAlignment="1" applyProtection="1">
      <alignment horizontal="left" vertical="center" shrinkToFit="1"/>
    </xf>
    <xf numFmtId="0" fontId="10" fillId="0" borderId="10" xfId="4" applyFont="1" applyBorder="1" applyAlignment="1" applyProtection="1">
      <alignment horizontal="left" vertical="center" shrinkToFit="1"/>
    </xf>
    <xf numFmtId="0" fontId="10" fillId="0" borderId="6" xfId="4" applyFont="1" applyBorder="1" applyAlignment="1" applyProtection="1">
      <alignment horizontal="left" vertical="center" wrapText="1" shrinkToFit="1"/>
    </xf>
    <xf numFmtId="0" fontId="10" fillId="0" borderId="46" xfId="4" applyFont="1" applyBorder="1" applyAlignment="1" applyProtection="1">
      <alignment horizontal="left" vertical="center" wrapText="1"/>
    </xf>
    <xf numFmtId="0" fontId="6" fillId="0" borderId="47" xfId="4" applyBorder="1" applyAlignment="1" applyProtection="1">
      <alignment horizontal="left" vertical="center" wrapText="1"/>
    </xf>
    <xf numFmtId="0" fontId="0" fillId="0" borderId="47" xfId="0" applyBorder="1" applyAlignment="1">
      <alignment horizontal="left" vertical="center" wrapText="1"/>
    </xf>
    <xf numFmtId="0" fontId="0" fillId="0" borderId="65" xfId="0" applyBorder="1" applyAlignment="1">
      <alignment horizontal="left" vertical="center" wrapText="1"/>
    </xf>
    <xf numFmtId="0" fontId="0" fillId="0" borderId="68" xfId="0" applyBorder="1" applyAlignment="1">
      <alignment horizontal="left" vertical="center" wrapText="1"/>
    </xf>
    <xf numFmtId="0" fontId="10" fillId="0" borderId="0" xfId="4" applyFont="1" applyAlignment="1" applyProtection="1">
      <alignment horizontal="center" vertical="center" shrinkToFit="1"/>
    </xf>
    <xf numFmtId="0" fontId="0" fillId="0" borderId="0" xfId="0" applyAlignment="1">
      <alignment horizontal="center" vertical="center" shrinkToFit="1"/>
    </xf>
    <xf numFmtId="0" fontId="10" fillId="0" borderId="0" xfId="4" applyFont="1" applyAlignment="1" applyProtection="1">
      <alignment horizontal="center" vertical="center"/>
    </xf>
    <xf numFmtId="0" fontId="10" fillId="0" borderId="0" xfId="4" applyFont="1" applyBorder="1" applyAlignment="1" applyProtection="1">
      <alignment horizontal="center" vertical="center" shrinkToFit="1"/>
    </xf>
    <xf numFmtId="0" fontId="6" fillId="0" borderId="0" xfId="4" applyAlignment="1" applyProtection="1">
      <alignment horizontal="center" vertical="center" shrinkToFit="1"/>
    </xf>
    <xf numFmtId="179" fontId="10" fillId="0" borderId="8" xfId="4" applyNumberFormat="1" applyFont="1" applyFill="1" applyBorder="1" applyAlignment="1" applyProtection="1">
      <alignment horizontal="center" vertical="center"/>
    </xf>
    <xf numFmtId="0" fontId="0" fillId="0" borderId="32" xfId="0" applyFill="1" applyBorder="1" applyAlignment="1">
      <alignment horizontal="center" vertical="center"/>
    </xf>
    <xf numFmtId="0" fontId="0" fillId="0" borderId="16" xfId="0" applyBorder="1" applyAlignment="1">
      <alignment horizontal="center" vertical="center"/>
    </xf>
    <xf numFmtId="0" fontId="11" fillId="0" borderId="38" xfId="4" applyFont="1" applyBorder="1" applyAlignment="1" applyProtection="1">
      <alignment vertical="center"/>
    </xf>
    <xf numFmtId="0" fontId="0" fillId="0" borderId="35" xfId="0" applyBorder="1" applyAlignment="1">
      <alignment vertical="center"/>
    </xf>
    <xf numFmtId="0" fontId="0" fillId="0" borderId="39" xfId="0" applyBorder="1" applyAlignment="1">
      <alignment vertical="center"/>
    </xf>
    <xf numFmtId="0" fontId="11" fillId="0" borderId="0" xfId="4" applyFont="1" applyAlignment="1" applyProtection="1">
      <alignment horizontal="center" vertical="center"/>
    </xf>
    <xf numFmtId="0" fontId="0" fillId="0" borderId="0" xfId="0" applyAlignment="1">
      <alignment horizontal="center" vertical="center"/>
    </xf>
    <xf numFmtId="0" fontId="11" fillId="0" borderId="26" xfId="4" applyFont="1" applyBorder="1" applyAlignment="1" applyProtection="1">
      <alignment horizontal="center" vertical="center" wrapText="1"/>
    </xf>
    <xf numFmtId="0" fontId="6" fillId="0" borderId="26" xfId="4" applyBorder="1" applyAlignment="1" applyProtection="1">
      <alignment horizontal="center" vertical="center" wrapText="1"/>
    </xf>
    <xf numFmtId="0" fontId="6" fillId="0" borderId="30" xfId="4" applyBorder="1" applyAlignment="1" applyProtection="1">
      <alignment horizontal="center" vertical="center" wrapText="1"/>
    </xf>
    <xf numFmtId="176" fontId="11" fillId="0" borderId="76" xfId="4" applyNumberFormat="1" applyFont="1" applyBorder="1" applyAlignment="1" applyProtection="1">
      <alignment vertical="center" shrinkToFit="1"/>
    </xf>
    <xf numFmtId="0" fontId="14" fillId="0" borderId="78" xfId="4" applyFont="1" applyBorder="1" applyAlignment="1" applyProtection="1">
      <alignment vertical="center" shrinkToFit="1"/>
    </xf>
    <xf numFmtId="0" fontId="14" fillId="0" borderId="187" xfId="4" applyFont="1" applyBorder="1" applyAlignment="1" applyProtection="1">
      <alignment vertical="center" shrinkToFit="1"/>
    </xf>
    <xf numFmtId="0" fontId="11" fillId="0" borderId="2" xfId="4" applyFont="1" applyFill="1" applyBorder="1" applyAlignment="1" applyProtection="1">
      <alignment horizontal="center" vertical="center"/>
    </xf>
    <xf numFmtId="0" fontId="11" fillId="0" borderId="3" xfId="4" applyFont="1" applyFill="1" applyBorder="1" applyAlignment="1" applyProtection="1">
      <alignment horizontal="center" vertical="center"/>
    </xf>
    <xf numFmtId="0" fontId="11" fillId="0" borderId="199" xfId="4" applyFont="1" applyFill="1" applyBorder="1" applyAlignment="1" applyProtection="1">
      <alignment horizontal="center" vertical="center"/>
    </xf>
    <xf numFmtId="0" fontId="11" fillId="0" borderId="200" xfId="4" applyFont="1" applyFill="1" applyBorder="1" applyAlignment="1" applyProtection="1">
      <alignment horizontal="center" vertical="center"/>
    </xf>
    <xf numFmtId="0" fontId="11" fillId="0" borderId="4" xfId="4" applyFont="1" applyFill="1" applyBorder="1" applyAlignment="1" applyProtection="1">
      <alignment horizontal="center" vertical="center"/>
    </xf>
    <xf numFmtId="0" fontId="11" fillId="0" borderId="21" xfId="4" applyFont="1" applyBorder="1" applyAlignment="1" applyProtection="1">
      <alignment horizontal="center" vertical="center" wrapText="1"/>
    </xf>
    <xf numFmtId="0" fontId="11" fillId="0" borderId="1" xfId="4" applyFont="1" applyFill="1" applyBorder="1" applyAlignment="1" applyProtection="1">
      <alignment horizontal="center" vertical="center" wrapText="1"/>
    </xf>
    <xf numFmtId="0" fontId="11" fillId="0" borderId="38" xfId="4" applyFont="1" applyFill="1" applyBorder="1" applyAlignment="1" applyProtection="1">
      <alignment vertical="center" shrinkToFit="1"/>
    </xf>
    <xf numFmtId="0" fontId="0" fillId="0" borderId="37" xfId="0" applyBorder="1" applyAlignment="1">
      <alignment vertical="center"/>
    </xf>
    <xf numFmtId="0" fontId="11" fillId="0" borderId="1" xfId="4" applyFont="1" applyFill="1" applyBorder="1" applyAlignment="1" applyProtection="1">
      <alignment horizontal="center" vertical="center"/>
    </xf>
    <xf numFmtId="0" fontId="39" fillId="0" borderId="0" xfId="4" applyFont="1" applyAlignment="1" applyProtection="1">
      <alignment horizontal="center" vertical="center"/>
    </xf>
    <xf numFmtId="0" fontId="65" fillId="0" borderId="0" xfId="4" applyFont="1" applyAlignment="1" applyProtection="1">
      <alignment vertical="center"/>
    </xf>
    <xf numFmtId="176" fontId="11" fillId="0" borderId="38" xfId="4" applyNumberFormat="1" applyFont="1" applyFill="1" applyBorder="1" applyAlignment="1" applyProtection="1">
      <alignment vertical="center" shrinkToFit="1"/>
    </xf>
    <xf numFmtId="0" fontId="14" fillId="0" borderId="35" xfId="4" applyFont="1" applyFill="1" applyBorder="1" applyAlignment="1" applyProtection="1">
      <alignment vertical="center" shrinkToFit="1"/>
    </xf>
    <xf numFmtId="0" fontId="14" fillId="0" borderId="39" xfId="4" applyFont="1" applyFill="1" applyBorder="1" applyAlignment="1" applyProtection="1">
      <alignment vertical="center" shrinkToFit="1"/>
    </xf>
    <xf numFmtId="0" fontId="11" fillId="0" borderId="2" xfId="4" applyFont="1" applyFill="1" applyBorder="1" applyAlignment="1" applyProtection="1">
      <alignment horizontal="center" vertical="center" wrapText="1"/>
    </xf>
    <xf numFmtId="0" fontId="11" fillId="0" borderId="3" xfId="4" applyFont="1" applyFill="1" applyBorder="1" applyAlignment="1" applyProtection="1">
      <alignment horizontal="center" vertical="center" wrapText="1"/>
    </xf>
    <xf numFmtId="0" fontId="22" fillId="0" borderId="1" xfId="7" applyFont="1" applyBorder="1" applyAlignment="1" applyProtection="1">
      <alignment horizontal="center" vertical="center"/>
    </xf>
    <xf numFmtId="0" fontId="41" fillId="0" borderId="0" xfId="7" applyFont="1" applyAlignment="1" applyProtection="1">
      <alignment horizontal="center" vertical="center"/>
    </xf>
    <xf numFmtId="0" fontId="22" fillId="0" borderId="6" xfId="7" applyFont="1" applyBorder="1" applyAlignment="1" applyProtection="1">
      <alignment horizontal="center" vertical="center"/>
    </xf>
    <xf numFmtId="0" fontId="10" fillId="0" borderId="10" xfId="5" applyFont="1" applyBorder="1" applyAlignment="1" applyProtection="1">
      <alignment horizontal="center" vertical="center"/>
    </xf>
    <xf numFmtId="0" fontId="10" fillId="0" borderId="1" xfId="5" applyFont="1" applyBorder="1" applyAlignment="1" applyProtection="1">
      <alignment vertical="center"/>
    </xf>
    <xf numFmtId="0" fontId="22" fillId="2" borderId="6" xfId="7" applyFont="1" applyFill="1" applyBorder="1" applyAlignment="1" applyProtection="1">
      <alignment vertical="center" wrapText="1" shrinkToFit="1"/>
      <protection locked="0"/>
    </xf>
    <xf numFmtId="0" fontId="10" fillId="2" borderId="20" xfId="5" applyFont="1" applyFill="1" applyBorder="1" applyAlignment="1" applyProtection="1">
      <alignment vertical="center" wrapText="1" shrinkToFit="1"/>
      <protection locked="0"/>
    </xf>
    <xf numFmtId="0" fontId="10" fillId="2" borderId="10" xfId="5" applyFont="1" applyFill="1" applyBorder="1" applyAlignment="1" applyProtection="1">
      <alignment vertical="center" wrapText="1" shrinkToFit="1"/>
      <protection locked="0"/>
    </xf>
    <xf numFmtId="0" fontId="22" fillId="2" borderId="6" xfId="7" applyFont="1" applyFill="1" applyBorder="1" applyAlignment="1" applyProtection="1">
      <alignment vertical="center" wrapText="1"/>
      <protection locked="0"/>
    </xf>
    <xf numFmtId="0" fontId="10" fillId="2" borderId="20" xfId="5" applyFont="1" applyFill="1" applyBorder="1" applyAlignment="1" applyProtection="1">
      <alignment vertical="center" wrapText="1"/>
      <protection locked="0"/>
    </xf>
    <xf numFmtId="0" fontId="10" fillId="2" borderId="10" xfId="5" applyFont="1" applyFill="1" applyBorder="1" applyAlignment="1" applyProtection="1">
      <alignment vertical="center" wrapText="1"/>
      <protection locked="0"/>
    </xf>
    <xf numFmtId="176" fontId="22" fillId="2" borderId="6" xfId="7" applyNumberFormat="1" applyFont="1" applyFill="1" applyBorder="1" applyAlignment="1" applyProtection="1">
      <alignment horizontal="right" vertical="center" shrinkToFit="1"/>
      <protection locked="0"/>
    </xf>
    <xf numFmtId="176" fontId="10" fillId="2" borderId="20" xfId="0" applyNumberFormat="1" applyFont="1" applyFill="1" applyBorder="1" applyAlignment="1" applyProtection="1">
      <alignment vertical="center" shrinkToFit="1"/>
      <protection locked="0"/>
    </xf>
    <xf numFmtId="176" fontId="10" fillId="2" borderId="10" xfId="0" applyNumberFormat="1" applyFont="1" applyFill="1" applyBorder="1" applyAlignment="1" applyProtection="1">
      <alignment vertical="center" shrinkToFit="1"/>
      <protection locked="0"/>
    </xf>
    <xf numFmtId="0" fontId="10" fillId="0" borderId="20" xfId="5" applyFont="1" applyBorder="1" applyAlignment="1" applyProtection="1">
      <alignment horizontal="center" vertical="center"/>
    </xf>
    <xf numFmtId="0" fontId="10" fillId="0" borderId="1" xfId="5" applyFont="1" applyBorder="1" applyAlignment="1" applyProtection="1">
      <alignment horizontal="center" vertical="center"/>
    </xf>
    <xf numFmtId="0" fontId="22" fillId="0" borderId="4" xfId="7" applyFont="1" applyBorder="1" applyAlignment="1" applyProtection="1">
      <alignment horizontal="center" vertical="center"/>
    </xf>
    <xf numFmtId="0" fontId="22" fillId="0" borderId="2" xfId="7" applyFont="1" applyBorder="1" applyAlignment="1" applyProtection="1">
      <alignment horizontal="center" vertical="center"/>
    </xf>
    <xf numFmtId="0" fontId="22" fillId="0" borderId="6" xfId="7" applyFont="1" applyBorder="1" applyAlignment="1" applyProtection="1">
      <alignment vertical="center" wrapText="1"/>
    </xf>
    <xf numFmtId="0" fontId="10" fillId="0" borderId="6" xfId="5" applyFont="1" applyBorder="1" applyAlignment="1" applyProtection="1">
      <alignment vertical="center" wrapText="1"/>
    </xf>
    <xf numFmtId="0" fontId="10" fillId="0" borderId="20" xfId="5" applyFont="1" applyBorder="1" applyAlignment="1" applyProtection="1">
      <alignment vertical="center" wrapText="1"/>
    </xf>
    <xf numFmtId="0" fontId="10" fillId="0" borderId="10" xfId="5" applyFont="1" applyBorder="1" applyAlignment="1" applyProtection="1">
      <alignment vertical="center" wrapText="1"/>
    </xf>
    <xf numFmtId="202" fontId="22" fillId="0" borderId="0" xfId="7" applyNumberFormat="1" applyFont="1" applyAlignment="1" applyProtection="1">
      <alignment horizontal="distributed" vertical="center"/>
    </xf>
    <xf numFmtId="0" fontId="10" fillId="0" borderId="0" xfId="5" applyFont="1" applyAlignment="1" applyProtection="1">
      <alignment horizontal="distributed" vertical="center"/>
    </xf>
    <xf numFmtId="0" fontId="10" fillId="0" borderId="5" xfId="0" applyFont="1" applyBorder="1" applyAlignment="1" applyProtection="1">
      <alignment horizontal="center" vertical="center" shrinkToFit="1"/>
    </xf>
    <xf numFmtId="0" fontId="0" fillId="0" borderId="9" xfId="0" applyBorder="1" applyAlignment="1" applyProtection="1">
      <alignment horizontal="center" vertical="center" shrinkToFit="1"/>
    </xf>
    <xf numFmtId="0" fontId="10" fillId="0" borderId="5" xfId="0" applyFont="1" applyBorder="1" applyAlignment="1" applyProtection="1">
      <alignment horizontal="center" vertical="center"/>
    </xf>
    <xf numFmtId="0" fontId="10" fillId="0" borderId="6" xfId="0" applyFont="1" applyBorder="1" applyAlignment="1" applyProtection="1">
      <alignment horizontal="center" vertical="center"/>
    </xf>
    <xf numFmtId="0" fontId="0" fillId="0" borderId="10" xfId="0" applyBorder="1" applyAlignment="1" applyProtection="1">
      <alignment horizontal="center" vertical="center"/>
    </xf>
    <xf numFmtId="0" fontId="10" fillId="0" borderId="5" xfId="0" applyFont="1" applyBorder="1" applyAlignment="1" applyProtection="1">
      <alignment vertical="center"/>
    </xf>
    <xf numFmtId="0" fontId="0" fillId="0" borderId="8" xfId="0" applyBorder="1" applyAlignment="1" applyProtection="1">
      <alignment vertical="center"/>
    </xf>
    <xf numFmtId="0" fontId="10" fillId="0" borderId="1" xfId="0" applyFont="1" applyBorder="1" applyAlignment="1" applyProtection="1">
      <alignment vertical="center"/>
    </xf>
    <xf numFmtId="0" fontId="10" fillId="0" borderId="0" xfId="0" applyFont="1" applyAlignment="1" applyProtection="1">
      <alignment vertical="center" wrapText="1"/>
    </xf>
    <xf numFmtId="0" fontId="10" fillId="2" borderId="2" xfId="0" applyFont="1" applyFill="1" applyBorder="1" applyAlignment="1" applyProtection="1">
      <alignment vertical="top" wrapText="1"/>
      <protection locked="0"/>
    </xf>
    <xf numFmtId="0" fontId="21" fillId="2" borderId="3" xfId="0" applyFont="1" applyFill="1" applyBorder="1" applyAlignment="1" applyProtection="1">
      <alignment vertical="top" wrapText="1"/>
      <protection locked="0"/>
    </xf>
    <xf numFmtId="0" fontId="21" fillId="2" borderId="4" xfId="0" applyFont="1" applyFill="1" applyBorder="1" applyAlignment="1" applyProtection="1">
      <alignment vertical="top" wrapText="1"/>
      <protection locked="0"/>
    </xf>
    <xf numFmtId="0" fontId="15" fillId="0" borderId="13" xfId="0" applyFont="1" applyBorder="1" applyAlignment="1" applyProtection="1">
      <alignment horizontal="center" vertical="center" shrinkToFit="1"/>
    </xf>
    <xf numFmtId="0" fontId="18" fillId="0" borderId="5" xfId="0" applyFont="1" applyBorder="1" applyAlignment="1" applyProtection="1">
      <alignment horizontal="center" vertical="center" shrinkToFit="1"/>
    </xf>
    <xf numFmtId="0" fontId="18" fillId="0" borderId="14" xfId="0" applyFont="1" applyBorder="1" applyAlignment="1" applyProtection="1">
      <alignment horizontal="center" vertical="center" shrinkToFit="1"/>
    </xf>
    <xf numFmtId="0" fontId="0" fillId="0" borderId="7" xfId="0" applyBorder="1" applyAlignment="1" applyProtection="1">
      <alignment vertical="center" shrinkToFit="1"/>
    </xf>
    <xf numFmtId="0" fontId="0" fillId="0" borderId="8" xfId="0" applyBorder="1" applyAlignment="1" applyProtection="1">
      <alignment vertical="center" shrinkToFit="1"/>
    </xf>
    <xf numFmtId="0" fontId="0" fillId="0" borderId="9" xfId="0" applyBorder="1" applyAlignment="1" applyProtection="1">
      <alignment vertical="center" shrinkToFit="1"/>
    </xf>
    <xf numFmtId="0" fontId="10" fillId="3" borderId="2" xfId="0" applyFont="1" applyFill="1" applyBorder="1" applyAlignment="1" applyProtection="1">
      <alignment horizontal="center" vertical="center" shrinkToFit="1"/>
    </xf>
    <xf numFmtId="0" fontId="10" fillId="3" borderId="3" xfId="0" applyFont="1" applyFill="1" applyBorder="1" applyAlignment="1" applyProtection="1">
      <alignment horizontal="center" vertical="center" shrinkToFit="1"/>
    </xf>
    <xf numFmtId="0" fontId="10" fillId="3" borderId="4" xfId="0" applyFont="1" applyFill="1" applyBorder="1" applyAlignment="1" applyProtection="1">
      <alignment horizontal="center" vertical="center" shrinkToFit="1"/>
    </xf>
    <xf numFmtId="0" fontId="10" fillId="3" borderId="6" xfId="0" applyFont="1" applyFill="1" applyBorder="1" applyAlignment="1" applyProtection="1">
      <alignment horizontal="center" vertical="center" shrinkToFit="1"/>
    </xf>
    <xf numFmtId="0" fontId="10" fillId="3" borderId="10" xfId="0" applyFont="1" applyFill="1" applyBorder="1" applyAlignment="1" applyProtection="1">
      <alignment vertical="center" shrinkToFit="1"/>
    </xf>
    <xf numFmtId="0" fontId="10" fillId="3" borderId="1" xfId="0" applyFont="1" applyFill="1" applyBorder="1" applyAlignment="1" applyProtection="1">
      <alignment horizontal="center" vertical="center" shrinkToFit="1"/>
    </xf>
    <xf numFmtId="0" fontId="10" fillId="0" borderId="0" xfId="0" applyFont="1" applyAlignment="1" applyProtection="1">
      <alignment horizontal="center" vertical="center" shrinkToFit="1"/>
    </xf>
    <xf numFmtId="0" fontId="10" fillId="0" borderId="5" xfId="0" applyFont="1" applyBorder="1" applyAlignment="1" applyProtection="1">
      <alignment horizontal="right" vertical="center"/>
    </xf>
    <xf numFmtId="0" fontId="0" fillId="0" borderId="5" xfId="0" applyBorder="1" applyAlignment="1" applyProtection="1">
      <alignment horizontal="right" vertical="center"/>
    </xf>
    <xf numFmtId="0" fontId="0" fillId="0" borderId="0" xfId="0" applyBorder="1" applyAlignment="1" applyProtection="1">
      <alignment horizontal="right" vertical="center"/>
    </xf>
    <xf numFmtId="0" fontId="10" fillId="4" borderId="0" xfId="0" applyFont="1" applyFill="1" applyAlignment="1" applyProtection="1">
      <alignment vertical="center"/>
    </xf>
    <xf numFmtId="0" fontId="10" fillId="0" borderId="2" xfId="0" applyFont="1" applyBorder="1" applyAlignment="1" applyProtection="1">
      <alignment horizontal="center" vertical="center"/>
    </xf>
    <xf numFmtId="0" fontId="0" fillId="0" borderId="4" xfId="0" applyBorder="1" applyAlignment="1" applyProtection="1">
      <alignment vertical="center"/>
    </xf>
    <xf numFmtId="0" fontId="10" fillId="0" borderId="6" xfId="10" applyFont="1" applyBorder="1" applyAlignment="1" applyProtection="1">
      <alignment horizontal="center" vertical="center"/>
    </xf>
    <xf numFmtId="0" fontId="10" fillId="0" borderId="10" xfId="10" applyFont="1" applyBorder="1" applyAlignment="1" applyProtection="1">
      <alignment horizontal="center" vertical="center"/>
    </xf>
    <xf numFmtId="242" fontId="10" fillId="0" borderId="6" xfId="10" applyNumberFormat="1" applyFont="1" applyBorder="1" applyAlignment="1" applyProtection="1">
      <alignment vertical="center" shrinkToFit="1"/>
    </xf>
    <xf numFmtId="242" fontId="3" fillId="0" borderId="10" xfId="10" applyNumberFormat="1" applyBorder="1" applyAlignment="1" applyProtection="1">
      <alignment vertical="center" shrinkToFit="1"/>
    </xf>
    <xf numFmtId="188" fontId="10" fillId="0" borderId="6" xfId="10" applyNumberFormat="1" applyFont="1" applyFill="1" applyBorder="1" applyAlignment="1" applyProtection="1">
      <alignment vertical="center" shrinkToFit="1"/>
    </xf>
    <xf numFmtId="188" fontId="3" fillId="0" borderId="10" xfId="10" applyNumberFormat="1" applyFill="1" applyBorder="1" applyAlignment="1" applyProtection="1">
      <alignment vertical="center" shrinkToFit="1"/>
    </xf>
    <xf numFmtId="243" fontId="10" fillId="0" borderId="6" xfId="10" applyNumberFormat="1" applyFont="1" applyFill="1" applyBorder="1" applyAlignment="1" applyProtection="1">
      <alignment vertical="center" shrinkToFit="1"/>
    </xf>
    <xf numFmtId="243" fontId="3" fillId="0" borderId="10" xfId="10" applyNumberFormat="1" applyFill="1" applyBorder="1" applyAlignment="1" applyProtection="1">
      <alignment vertical="center" shrinkToFit="1"/>
    </xf>
    <xf numFmtId="0" fontId="3" fillId="0" borderId="10" xfId="10" applyFill="1" applyBorder="1" applyAlignment="1" applyProtection="1">
      <alignment vertical="center" shrinkToFit="1"/>
    </xf>
    <xf numFmtId="0" fontId="10" fillId="0" borderId="6" xfId="10" applyFont="1" applyBorder="1" applyAlignment="1" applyProtection="1">
      <alignment horizontal="center" vertical="center" wrapText="1"/>
    </xf>
    <xf numFmtId="0" fontId="10" fillId="0" borderId="20" xfId="10" applyFont="1" applyBorder="1" applyAlignment="1" applyProtection="1">
      <alignment horizontal="center" vertical="center" wrapText="1"/>
    </xf>
    <xf numFmtId="0" fontId="10" fillId="0" borderId="10" xfId="10" applyFont="1" applyBorder="1" applyAlignment="1" applyProtection="1">
      <alignment horizontal="center" vertical="center" wrapText="1"/>
    </xf>
    <xf numFmtId="0" fontId="10" fillId="0" borderId="20" xfId="10" applyFont="1" applyBorder="1" applyAlignment="1" applyProtection="1">
      <alignment horizontal="center" vertical="center"/>
    </xf>
    <xf numFmtId="245" fontId="10" fillId="0" borderId="6" xfId="10" applyNumberFormat="1" applyFont="1" applyBorder="1" applyAlignment="1" applyProtection="1">
      <alignment vertical="center" shrinkToFit="1"/>
    </xf>
    <xf numFmtId="245" fontId="3" fillId="0" borderId="20" xfId="10" applyNumberFormat="1" applyBorder="1" applyAlignment="1" applyProtection="1">
      <alignment vertical="center" shrinkToFit="1"/>
    </xf>
    <xf numFmtId="245" fontId="3" fillId="0" borderId="10" xfId="10" applyNumberFormat="1" applyBorder="1" applyAlignment="1" applyProtection="1">
      <alignment vertical="center" shrinkToFit="1"/>
    </xf>
    <xf numFmtId="189" fontId="10" fillId="0" borderId="6" xfId="10" applyNumberFormat="1" applyFont="1" applyFill="1" applyBorder="1" applyAlignment="1" applyProtection="1">
      <alignment vertical="center" shrinkToFit="1"/>
    </xf>
    <xf numFmtId="189" fontId="3" fillId="0" borderId="20" xfId="10" applyNumberFormat="1" applyFill="1" applyBorder="1" applyAlignment="1" applyProtection="1">
      <alignment vertical="center" shrinkToFit="1"/>
    </xf>
    <xf numFmtId="189" fontId="3" fillId="0" borderId="10" xfId="10" applyNumberFormat="1" applyFill="1" applyBorder="1" applyAlignment="1" applyProtection="1">
      <alignment vertical="center" shrinkToFit="1"/>
    </xf>
    <xf numFmtId="246" fontId="10" fillId="0" borderId="6" xfId="10" applyNumberFormat="1" applyFont="1" applyFill="1" applyBorder="1" applyAlignment="1" applyProtection="1">
      <alignment vertical="center" shrinkToFit="1"/>
    </xf>
    <xf numFmtId="246" fontId="3" fillId="0" borderId="20" xfId="10" applyNumberFormat="1" applyFill="1" applyBorder="1" applyAlignment="1" applyProtection="1">
      <alignment vertical="center" shrinkToFit="1"/>
    </xf>
    <xf numFmtId="246" fontId="3" fillId="0" borderId="10" xfId="10" applyNumberFormat="1" applyFill="1" applyBorder="1" applyAlignment="1" applyProtection="1">
      <alignment vertical="center" shrinkToFit="1"/>
    </xf>
    <xf numFmtId="0" fontId="3" fillId="0" borderId="20" xfId="10" applyFill="1" applyBorder="1" applyAlignment="1" applyProtection="1">
      <alignment vertical="center" shrinkToFit="1"/>
    </xf>
    <xf numFmtId="0" fontId="22" fillId="2" borderId="2" xfId="10" applyFont="1" applyFill="1" applyBorder="1" applyAlignment="1" applyProtection="1">
      <alignment horizontal="left" vertical="center" shrinkToFit="1"/>
      <protection locked="0"/>
    </xf>
    <xf numFmtId="0" fontId="21" fillId="2" borderId="3" xfId="10" applyFont="1" applyFill="1" applyBorder="1" applyAlignment="1" applyProtection="1">
      <alignment horizontal="left" vertical="center" shrinkToFit="1"/>
      <protection locked="0"/>
    </xf>
    <xf numFmtId="0" fontId="21" fillId="2" borderId="4" xfId="10" applyFont="1" applyFill="1" applyBorder="1" applyAlignment="1" applyProtection="1">
      <alignment horizontal="left" vertical="center" shrinkToFit="1"/>
      <protection locked="0"/>
    </xf>
    <xf numFmtId="0" fontId="10" fillId="0" borderId="15" xfId="10" applyFont="1" applyBorder="1" applyAlignment="1" applyProtection="1">
      <alignment vertical="center" wrapText="1"/>
    </xf>
    <xf numFmtId="0" fontId="10" fillId="0" borderId="0" xfId="10" applyFont="1" applyAlignment="1" applyProtection="1">
      <alignment vertical="center" wrapText="1"/>
    </xf>
    <xf numFmtId="0" fontId="10" fillId="0" borderId="6" xfId="10" applyFont="1" applyBorder="1" applyAlignment="1" applyProtection="1">
      <alignment vertical="center" wrapText="1"/>
    </xf>
    <xf numFmtId="0" fontId="10" fillId="0" borderId="10" xfId="10" applyFont="1" applyBorder="1" applyAlignment="1" applyProtection="1">
      <alignment vertical="center" wrapText="1"/>
    </xf>
    <xf numFmtId="0" fontId="22" fillId="2" borderId="7" xfId="10" applyFont="1" applyFill="1" applyBorder="1" applyAlignment="1" applyProtection="1">
      <alignment horizontal="left" vertical="center" shrinkToFit="1"/>
      <protection locked="0"/>
    </xf>
    <xf numFmtId="0" fontId="21" fillId="2" borderId="8" xfId="10" applyFont="1" applyFill="1" applyBorder="1" applyAlignment="1" applyProtection="1">
      <alignment horizontal="left" vertical="center" shrinkToFit="1"/>
      <protection locked="0"/>
    </xf>
    <xf numFmtId="0" fontId="21" fillId="2" borderId="9" xfId="10" applyFont="1" applyFill="1" applyBorder="1" applyAlignment="1" applyProtection="1">
      <alignment horizontal="left" vertical="center" shrinkToFit="1"/>
      <protection locked="0"/>
    </xf>
    <xf numFmtId="183" fontId="15" fillId="0" borderId="0" xfId="10" applyNumberFormat="1" applyFont="1" applyAlignment="1" applyProtection="1">
      <alignment horizontal="right" vertical="center" shrinkToFit="1"/>
    </xf>
    <xf numFmtId="183" fontId="18" fillId="0" borderId="0" xfId="10" applyNumberFormat="1" applyFont="1" applyAlignment="1" applyProtection="1">
      <alignment horizontal="right" vertical="center" shrinkToFit="1"/>
    </xf>
    <xf numFmtId="176" fontId="10" fillId="0" borderId="2" xfId="10" applyNumberFormat="1" applyFont="1" applyBorder="1" applyAlignment="1" applyProtection="1">
      <alignment horizontal="right" vertical="center" shrinkToFit="1"/>
    </xf>
    <xf numFmtId="0" fontId="3" fillId="0" borderId="4" xfId="10" applyBorder="1" applyAlignment="1" applyProtection="1">
      <alignment horizontal="right" vertical="center" shrinkToFit="1"/>
    </xf>
    <xf numFmtId="0" fontId="22" fillId="0" borderId="0" xfId="10" applyFont="1" applyAlignment="1" applyProtection="1">
      <alignment horizontal="left" vertical="center" wrapText="1"/>
    </xf>
    <xf numFmtId="0" fontId="21" fillId="0" borderId="0" xfId="10" applyFont="1" applyAlignment="1" applyProtection="1">
      <alignment horizontal="left" vertical="center" wrapText="1"/>
    </xf>
    <xf numFmtId="0" fontId="10" fillId="0" borderId="1" xfId="10" applyFont="1" applyBorder="1" applyAlignment="1" applyProtection="1">
      <alignment horizontal="center" vertical="center" wrapText="1"/>
    </xf>
    <xf numFmtId="0" fontId="21" fillId="0" borderId="1" xfId="10" applyFont="1" applyBorder="1" applyAlignment="1" applyProtection="1">
      <alignment horizontal="center" vertical="center"/>
    </xf>
    <xf numFmtId="176" fontId="10" fillId="2" borderId="1" xfId="10" applyNumberFormat="1" applyFont="1" applyFill="1" applyBorder="1" applyAlignment="1" applyProtection="1">
      <alignment horizontal="right" vertical="center" wrapText="1"/>
    </xf>
    <xf numFmtId="176" fontId="21" fillId="2" borderId="1" xfId="10" applyNumberFormat="1" applyFont="1" applyFill="1" applyBorder="1" applyAlignment="1" applyProtection="1">
      <alignment horizontal="right" vertical="center"/>
    </xf>
    <xf numFmtId="0" fontId="3" fillId="0" borderId="0" xfId="10" applyAlignment="1" applyProtection="1">
      <alignment vertical="center" wrapText="1"/>
    </xf>
    <xf numFmtId="0" fontId="3" fillId="0" borderId="15" xfId="10" applyBorder="1" applyAlignment="1" applyProtection="1">
      <alignment vertical="center" wrapText="1"/>
    </xf>
    <xf numFmtId="186" fontId="10" fillId="0" borderId="1" xfId="10" applyNumberFormat="1" applyFont="1" applyBorder="1" applyAlignment="1" applyProtection="1">
      <alignment horizontal="right" vertical="center" wrapText="1"/>
    </xf>
    <xf numFmtId="186" fontId="21" fillId="0" borderId="1" xfId="10" applyNumberFormat="1" applyFont="1" applyBorder="1" applyAlignment="1" applyProtection="1">
      <alignment horizontal="right" vertical="center"/>
    </xf>
    <xf numFmtId="0" fontId="12" fillId="5" borderId="13" xfId="10" applyFont="1" applyFill="1" applyBorder="1" applyAlignment="1" applyProtection="1">
      <alignment horizontal="center" vertical="center" wrapText="1" shrinkToFit="1"/>
    </xf>
    <xf numFmtId="0" fontId="0" fillId="0" borderId="5" xfId="0" applyBorder="1" applyAlignment="1" applyProtection="1">
      <alignment horizontal="center" vertical="center" shrinkToFit="1"/>
    </xf>
    <xf numFmtId="0" fontId="0" fillId="0" borderId="14" xfId="0" applyBorder="1" applyAlignment="1" applyProtection="1">
      <alignment horizontal="center" vertical="center" shrinkToFit="1"/>
    </xf>
    <xf numFmtId="0" fontId="11" fillId="4" borderId="0" xfId="10" applyFont="1" applyFill="1" applyAlignment="1" applyProtection="1">
      <alignment horizontal="left" vertical="center"/>
    </xf>
    <xf numFmtId="0" fontId="14" fillId="4" borderId="0" xfId="10" applyFont="1" applyFill="1" applyAlignment="1" applyProtection="1">
      <alignment horizontal="left" vertical="center"/>
    </xf>
    <xf numFmtId="0" fontId="10" fillId="0" borderId="0" xfId="10" applyFont="1" applyAlignment="1" applyProtection="1">
      <alignment horizontal="left" vertical="center" wrapText="1"/>
    </xf>
    <xf numFmtId="0" fontId="12" fillId="5" borderId="13" xfId="10" applyFont="1" applyFill="1" applyBorder="1" applyAlignment="1" applyProtection="1">
      <alignment horizontal="center" vertical="center" shrinkToFit="1"/>
    </xf>
    <xf numFmtId="0" fontId="19" fillId="0" borderId="5" xfId="10" applyFont="1" applyBorder="1" applyAlignment="1" applyProtection="1">
      <alignment horizontal="center" vertical="center" shrinkToFit="1"/>
    </xf>
    <xf numFmtId="0" fontId="19" fillId="0" borderId="14" xfId="10" applyFont="1" applyBorder="1" applyAlignment="1" applyProtection="1">
      <alignment horizontal="center" vertical="center" shrinkToFit="1"/>
    </xf>
    <xf numFmtId="0" fontId="10" fillId="0" borderId="2" xfId="10" applyFont="1" applyBorder="1" applyAlignment="1" applyProtection="1">
      <alignment horizontal="center" vertical="center"/>
    </xf>
    <xf numFmtId="255" fontId="73" fillId="9" borderId="2" xfId="12" applyNumberFormat="1" applyFont="1" applyFill="1" applyBorder="1" applyAlignment="1">
      <alignment vertical="center" shrinkToFit="1"/>
    </xf>
    <xf numFmtId="255" fontId="73" fillId="9" borderId="4" xfId="12" applyNumberFormat="1" applyFont="1" applyFill="1" applyBorder="1" applyAlignment="1">
      <alignment vertical="center" shrinkToFit="1"/>
    </xf>
    <xf numFmtId="255" fontId="73" fillId="4" borderId="2" xfId="12" applyNumberFormat="1" applyFont="1" applyFill="1" applyBorder="1" applyAlignment="1">
      <alignment vertical="center" shrinkToFit="1"/>
    </xf>
    <xf numFmtId="255" fontId="73" fillId="4" borderId="4" xfId="12" applyNumberFormat="1" applyFont="1" applyFill="1" applyBorder="1" applyAlignment="1">
      <alignment vertical="center" shrinkToFit="1"/>
    </xf>
    <xf numFmtId="255" fontId="73" fillId="11" borderId="2" xfId="12" applyNumberFormat="1" applyFont="1" applyFill="1" applyBorder="1" applyAlignment="1">
      <alignment vertical="center" shrinkToFit="1"/>
    </xf>
    <xf numFmtId="255" fontId="73" fillId="11" borderId="4" xfId="12" applyNumberFormat="1" applyFont="1" applyFill="1" applyBorder="1" applyAlignment="1">
      <alignment vertical="center" shrinkToFit="1"/>
    </xf>
    <xf numFmtId="14" fontId="72" fillId="0" borderId="6" xfId="12" applyNumberFormat="1" applyFont="1" applyBorder="1" applyAlignment="1">
      <alignment horizontal="center" vertical="center" shrinkToFit="1"/>
    </xf>
    <xf numFmtId="0" fontId="72" fillId="0" borderId="20" xfId="12" applyFont="1" applyBorder="1" applyAlignment="1">
      <alignment horizontal="center" vertical="center" shrinkToFit="1"/>
    </xf>
    <xf numFmtId="0" fontId="72" fillId="0" borderId="10" xfId="12" applyFont="1" applyBorder="1" applyAlignment="1">
      <alignment horizontal="center" vertical="center" shrinkToFit="1"/>
    </xf>
    <xf numFmtId="225" fontId="74" fillId="9" borderId="2" xfId="12" applyNumberFormat="1" applyFont="1" applyFill="1" applyBorder="1" applyAlignment="1">
      <alignment horizontal="center" vertical="center" shrinkToFit="1"/>
    </xf>
    <xf numFmtId="0" fontId="74" fillId="0" borderId="3" xfId="12" applyFont="1" applyBorder="1" applyAlignment="1">
      <alignment horizontal="center" vertical="center" shrinkToFit="1"/>
    </xf>
    <xf numFmtId="14" fontId="72" fillId="0" borderId="13" xfId="12" applyNumberFormat="1" applyFont="1" applyBorder="1" applyAlignment="1">
      <alignment horizontal="center" vertical="center" shrinkToFit="1"/>
    </xf>
    <xf numFmtId="0" fontId="72" fillId="0" borderId="5" xfId="12" applyFont="1" applyBorder="1" applyAlignment="1">
      <alignment horizontal="center" vertical="center" shrinkToFit="1"/>
    </xf>
    <xf numFmtId="0" fontId="72" fillId="0" borderId="15" xfId="12" applyFont="1" applyBorder="1" applyAlignment="1">
      <alignment horizontal="center" vertical="center" shrinkToFit="1"/>
    </xf>
    <xf numFmtId="0" fontId="72" fillId="0" borderId="0" xfId="12" applyFont="1" applyBorder="1" applyAlignment="1">
      <alignment horizontal="center" vertical="center" shrinkToFit="1"/>
    </xf>
    <xf numFmtId="0" fontId="0" fillId="0" borderId="16" xfId="0" applyBorder="1" applyAlignment="1">
      <alignment horizontal="center" vertical="center" shrinkToFit="1"/>
    </xf>
    <xf numFmtId="0" fontId="72" fillId="0" borderId="7" xfId="12" applyFont="1" applyBorder="1" applyAlignment="1">
      <alignment horizontal="center" vertical="center" shrinkToFit="1"/>
    </xf>
    <xf numFmtId="0" fontId="72" fillId="0" borderId="8" xfId="12" applyFont="1" applyBorder="1" applyAlignment="1">
      <alignment horizontal="center" vertical="center" shrinkToFit="1"/>
    </xf>
    <xf numFmtId="0" fontId="0" fillId="0" borderId="9" xfId="0" applyBorder="1" applyAlignment="1">
      <alignment horizontal="center" vertical="center" shrinkToFit="1"/>
    </xf>
    <xf numFmtId="178" fontId="29" fillId="0" borderId="2" xfId="12" applyNumberFormat="1" applyFont="1" applyBorder="1" applyAlignment="1">
      <alignment vertical="center"/>
    </xf>
    <xf numFmtId="178" fontId="0" fillId="0" borderId="4" xfId="0" applyNumberFormat="1" applyBorder="1" applyAlignment="1">
      <alignment vertical="center"/>
    </xf>
    <xf numFmtId="0" fontId="29" fillId="0" borderId="2" xfId="12" applyFont="1" applyBorder="1" applyAlignment="1">
      <alignment horizontal="center" vertical="center" wrapText="1"/>
    </xf>
    <xf numFmtId="0" fontId="0" fillId="0" borderId="4" xfId="0" applyBorder="1" applyAlignment="1">
      <alignment horizontal="center" vertical="center"/>
    </xf>
    <xf numFmtId="0" fontId="22" fillId="2" borderId="2" xfId="9" applyFont="1" applyFill="1" applyBorder="1" applyAlignment="1" applyProtection="1">
      <alignment horizontal="left" vertical="center" shrinkToFit="1"/>
      <protection locked="0"/>
    </xf>
    <xf numFmtId="0" fontId="21" fillId="2" borderId="3" xfId="9" applyFont="1" applyFill="1" applyBorder="1" applyAlignment="1" applyProtection="1">
      <alignment horizontal="left" vertical="center" shrinkToFit="1"/>
      <protection locked="0"/>
    </xf>
    <xf numFmtId="0" fontId="21" fillId="2" borderId="4" xfId="9" applyFont="1" applyFill="1" applyBorder="1" applyAlignment="1" applyProtection="1">
      <alignment horizontal="left" vertical="center" shrinkToFit="1"/>
      <protection locked="0"/>
    </xf>
    <xf numFmtId="0" fontId="10" fillId="0" borderId="15" xfId="9" applyFont="1" applyBorder="1" applyAlignment="1" applyProtection="1">
      <alignment vertical="center" wrapText="1"/>
    </xf>
    <xf numFmtId="0" fontId="10" fillId="0" borderId="0" xfId="9" applyFont="1" applyAlignment="1" applyProtection="1">
      <alignment vertical="center" wrapText="1"/>
    </xf>
    <xf numFmtId="0" fontId="10" fillId="0" borderId="6" xfId="9" applyFont="1" applyBorder="1" applyAlignment="1" applyProtection="1">
      <alignment horizontal="center" vertical="center"/>
    </xf>
    <xf numFmtId="0" fontId="10" fillId="0" borderId="10" xfId="9" applyFont="1" applyBorder="1" applyAlignment="1" applyProtection="1">
      <alignment horizontal="center" vertical="center"/>
    </xf>
    <xf numFmtId="0" fontId="10" fillId="0" borderId="6" xfId="9" applyFont="1" applyBorder="1" applyAlignment="1" applyProtection="1">
      <alignment vertical="center" wrapText="1"/>
    </xf>
    <xf numFmtId="0" fontId="10" fillId="0" borderId="10" xfId="9" applyFont="1" applyBorder="1" applyAlignment="1" applyProtection="1">
      <alignment vertical="center" wrapText="1"/>
    </xf>
    <xf numFmtId="0" fontId="10" fillId="0" borderId="0" xfId="9" applyFont="1" applyAlignment="1" applyProtection="1">
      <alignment horizontal="left" vertical="center" wrapText="1"/>
    </xf>
    <xf numFmtId="0" fontId="21" fillId="0" borderId="0" xfId="9" applyFont="1" applyAlignment="1" applyProtection="1">
      <alignment horizontal="left" vertical="center" wrapText="1"/>
    </xf>
    <xf numFmtId="0" fontId="12" fillId="5" borderId="2" xfId="9" applyFont="1" applyFill="1" applyBorder="1" applyAlignment="1" applyProtection="1">
      <alignment horizontal="center" vertical="center" shrinkToFit="1"/>
    </xf>
    <xf numFmtId="0" fontId="19" fillId="0" borderId="3" xfId="9" applyFont="1" applyBorder="1" applyAlignment="1" applyProtection="1">
      <alignment horizontal="center" vertical="center" shrinkToFit="1"/>
    </xf>
    <xf numFmtId="0" fontId="19" fillId="0" borderId="4" xfId="9" applyFont="1" applyBorder="1" applyAlignment="1" applyProtection="1">
      <alignment horizontal="center" vertical="center" shrinkToFit="1"/>
    </xf>
    <xf numFmtId="0" fontId="22" fillId="2" borderId="3" xfId="9" applyFont="1" applyFill="1" applyBorder="1" applyAlignment="1" applyProtection="1">
      <alignment horizontal="left" vertical="center" shrinkToFit="1"/>
      <protection locked="0"/>
    </xf>
    <xf numFmtId="0" fontId="22" fillId="2" borderId="4" xfId="9" applyFont="1" applyFill="1" applyBorder="1" applyAlignment="1" applyProtection="1">
      <alignment horizontal="left" vertical="center" shrinkToFit="1"/>
      <protection locked="0"/>
    </xf>
    <xf numFmtId="0" fontId="12" fillId="5" borderId="2" xfId="10" applyFont="1" applyFill="1" applyBorder="1" applyAlignment="1" applyProtection="1">
      <alignment horizontal="center" vertical="center" wrapText="1" shrinkToFit="1"/>
    </xf>
    <xf numFmtId="0" fontId="0" fillId="0" borderId="3" xfId="0" applyBorder="1" applyAlignment="1">
      <alignment horizontal="center" vertical="center" shrinkToFit="1"/>
    </xf>
    <xf numFmtId="0" fontId="0" fillId="0" borderId="4" xfId="0" applyBorder="1" applyAlignment="1">
      <alignment horizontal="center" vertical="center" shrinkToFit="1"/>
    </xf>
    <xf numFmtId="0" fontId="11" fillId="4" borderId="0" xfId="9" applyFont="1" applyFill="1" applyAlignment="1" applyProtection="1">
      <alignment horizontal="left" vertical="center"/>
    </xf>
    <xf numFmtId="0" fontId="14" fillId="4" borderId="0" xfId="9" applyFont="1" applyFill="1" applyAlignment="1" applyProtection="1">
      <alignment horizontal="left" vertical="center"/>
    </xf>
    <xf numFmtId="183" fontId="10" fillId="0" borderId="0" xfId="9" applyNumberFormat="1" applyFont="1" applyAlignment="1" applyProtection="1">
      <alignment horizontal="right" vertical="center" shrinkToFit="1"/>
    </xf>
    <xf numFmtId="183" fontId="21" fillId="0" borderId="0" xfId="9" applyNumberFormat="1" applyFont="1" applyAlignment="1" applyProtection="1">
      <alignment horizontal="right" vertical="center" shrinkToFit="1"/>
    </xf>
    <xf numFmtId="176" fontId="10" fillId="0" borderId="2" xfId="9" applyNumberFormat="1" applyFont="1" applyBorder="1" applyAlignment="1" applyProtection="1">
      <alignment horizontal="right" vertical="center" shrinkToFit="1"/>
    </xf>
    <xf numFmtId="176" fontId="4" fillId="0" borderId="4" xfId="9" applyNumberFormat="1" applyBorder="1" applyAlignment="1" applyProtection="1">
      <alignment horizontal="right" vertical="center" shrinkToFit="1"/>
    </xf>
    <xf numFmtId="0" fontId="22" fillId="0" borderId="0" xfId="9" applyFont="1" applyAlignment="1" applyProtection="1">
      <alignment horizontal="left" vertical="center" wrapText="1"/>
    </xf>
    <xf numFmtId="0" fontId="10" fillId="0" borderId="2" xfId="9" applyFont="1" applyBorder="1" applyAlignment="1" applyProtection="1">
      <alignment horizontal="center" vertical="center" wrapText="1"/>
    </xf>
    <xf numFmtId="0" fontId="10" fillId="0" borderId="3" xfId="9" applyFont="1" applyBorder="1" applyAlignment="1" applyProtection="1">
      <alignment horizontal="center" vertical="center" wrapText="1"/>
    </xf>
    <xf numFmtId="176" fontId="10" fillId="2" borderId="2" xfId="9" applyNumberFormat="1" applyFont="1" applyFill="1" applyBorder="1" applyAlignment="1" applyProtection="1">
      <alignment horizontal="right" vertical="center" wrapText="1"/>
      <protection locked="0"/>
    </xf>
    <xf numFmtId="0" fontId="4" fillId="0" borderId="4" xfId="9" applyBorder="1" applyProtection="1">
      <alignment vertical="center"/>
      <protection locked="0"/>
    </xf>
    <xf numFmtId="0" fontId="4" fillId="0" borderId="15" xfId="9" applyBorder="1" applyAlignment="1" applyProtection="1">
      <alignment vertical="center" wrapText="1"/>
    </xf>
    <xf numFmtId="186" fontId="10" fillId="0" borderId="2" xfId="9" applyNumberFormat="1" applyFont="1" applyBorder="1" applyAlignment="1" applyProtection="1">
      <alignment horizontal="right" vertical="center" wrapText="1"/>
    </xf>
    <xf numFmtId="0" fontId="4" fillId="0" borderId="4" xfId="9" applyBorder="1" applyAlignment="1" applyProtection="1">
      <alignment vertical="center" wrapText="1"/>
    </xf>
    <xf numFmtId="0" fontId="10" fillId="0" borderId="0" xfId="9" applyFont="1" applyAlignment="1" applyProtection="1">
      <alignment horizontal="right" vertical="center"/>
    </xf>
    <xf numFmtId="0" fontId="10" fillId="0" borderId="2" xfId="9" applyFont="1" applyBorder="1" applyAlignment="1" applyProtection="1">
      <alignment horizontal="center" vertical="center"/>
    </xf>
    <xf numFmtId="0" fontId="0" fillId="0" borderId="3" xfId="0" applyBorder="1" applyAlignment="1">
      <alignment horizontal="center" vertical="center"/>
    </xf>
    <xf numFmtId="176" fontId="11" fillId="2" borderId="1" xfId="0" applyNumberFormat="1" applyFont="1" applyFill="1" applyBorder="1" applyAlignment="1" applyProtection="1">
      <alignment horizontal="right" vertical="center" shrinkToFit="1"/>
      <protection locked="0"/>
    </xf>
    <xf numFmtId="176" fontId="14" fillId="2" borderId="1" xfId="0" applyNumberFormat="1" applyFont="1" applyFill="1" applyBorder="1" applyAlignment="1" applyProtection="1">
      <alignment horizontal="right" vertical="center" shrinkToFit="1"/>
      <protection locked="0"/>
    </xf>
    <xf numFmtId="0" fontId="11" fillId="0" borderId="1" xfId="0" applyFont="1" applyBorder="1" applyAlignment="1">
      <alignment horizontal="center" shrinkToFit="1"/>
    </xf>
    <xf numFmtId="0" fontId="14" fillId="0" borderId="1" xfId="0" applyFont="1" applyBorder="1" applyAlignment="1">
      <alignment horizontal="center" shrinkToFit="1"/>
    </xf>
    <xf numFmtId="0" fontId="11" fillId="0" borderId="1" xfId="0" applyFont="1" applyBorder="1" applyAlignment="1">
      <alignment shrinkToFit="1"/>
    </xf>
    <xf numFmtId="0" fontId="14" fillId="0" borderId="1" xfId="0" applyFont="1" applyBorder="1" applyAlignment="1">
      <alignment shrinkToFit="1"/>
    </xf>
    <xf numFmtId="0" fontId="15" fillId="0" borderId="0" xfId="0" applyFont="1" applyAlignment="1">
      <alignment horizontal="right" vertical="center" shrinkToFit="1"/>
    </xf>
    <xf numFmtId="0" fontId="18" fillId="0" borderId="0" xfId="0" applyFont="1" applyAlignment="1">
      <alignment horizontal="right" vertical="center" shrinkToFit="1"/>
    </xf>
    <xf numFmtId="0" fontId="39" fillId="0" borderId="0" xfId="0" applyFont="1" applyAlignment="1">
      <alignment horizontal="center" vertical="center" shrinkToFit="1"/>
    </xf>
    <xf numFmtId="0" fontId="65" fillId="0" borderId="0" xfId="0" applyFont="1" applyAlignment="1">
      <alignment horizontal="center" vertical="center" shrinkToFit="1"/>
    </xf>
    <xf numFmtId="0" fontId="11" fillId="0" borderId="0" xfId="0" applyFont="1" applyAlignment="1">
      <alignment vertical="center" wrapText="1" shrinkToFit="1"/>
    </xf>
    <xf numFmtId="0" fontId="14" fillId="0" borderId="0" xfId="0" applyFont="1" applyAlignment="1">
      <alignment vertical="center" shrinkToFit="1"/>
    </xf>
    <xf numFmtId="0" fontId="15" fillId="4" borderId="0" xfId="0" applyFont="1" applyFill="1" applyAlignment="1">
      <alignment vertical="center" shrinkToFit="1"/>
    </xf>
    <xf numFmtId="0" fontId="18" fillId="4" borderId="0" xfId="0" applyFont="1" applyFill="1" applyAlignment="1">
      <alignment vertical="center" shrinkToFit="1"/>
    </xf>
    <xf numFmtId="0" fontId="11" fillId="0" borderId="1" xfId="0" applyFont="1" applyBorder="1" applyAlignment="1">
      <alignment horizontal="distributed" vertical="center" shrinkToFit="1"/>
    </xf>
    <xf numFmtId="0" fontId="14" fillId="0" borderId="1" xfId="0" applyFont="1" applyBorder="1" applyAlignment="1">
      <alignment horizontal="distributed" vertical="center" shrinkToFit="1"/>
    </xf>
    <xf numFmtId="0" fontId="14" fillId="0" borderId="5" xfId="0" applyFont="1" applyBorder="1" applyAlignment="1">
      <alignment horizontal="center" vertical="center" shrinkToFit="1"/>
    </xf>
    <xf numFmtId="0" fontId="14" fillId="0" borderId="14" xfId="0" applyFont="1" applyBorder="1" applyAlignment="1">
      <alignment horizontal="center" vertical="center" shrinkToFit="1"/>
    </xf>
    <xf numFmtId="0" fontId="11" fillId="0" borderId="1" xfId="0" applyFont="1" applyBorder="1" applyAlignment="1">
      <alignment vertical="center" shrinkToFit="1"/>
    </xf>
    <xf numFmtId="0" fontId="0" fillId="0" borderId="1" xfId="0" applyBorder="1" applyAlignment="1">
      <alignment vertical="center" shrinkToFit="1"/>
    </xf>
    <xf numFmtId="0" fontId="11" fillId="2" borderId="1" xfId="0" applyFont="1" applyFill="1" applyBorder="1" applyAlignment="1" applyProtection="1">
      <alignment horizontal="distributed" vertical="center" shrinkToFit="1"/>
      <protection locked="0"/>
    </xf>
    <xf numFmtId="0" fontId="14" fillId="2" borderId="1" xfId="0" applyFont="1" applyFill="1" applyBorder="1" applyAlignment="1" applyProtection="1">
      <alignment horizontal="distributed" vertical="center" shrinkToFit="1"/>
      <protection locked="0"/>
    </xf>
    <xf numFmtId="247" fontId="11" fillId="2" borderId="1" xfId="0" applyNumberFormat="1" applyFont="1" applyFill="1" applyBorder="1" applyAlignment="1" applyProtection="1">
      <alignment horizontal="right" vertical="center" shrinkToFit="1"/>
      <protection locked="0"/>
    </xf>
    <xf numFmtId="247" fontId="14" fillId="2" borderId="1" xfId="0" applyNumberFormat="1" applyFont="1" applyFill="1" applyBorder="1" applyAlignment="1" applyProtection="1">
      <alignment horizontal="right" vertical="center" shrinkToFit="1"/>
      <protection locked="0"/>
    </xf>
    <xf numFmtId="176" fontId="11" fillId="0" borderId="1" xfId="0" applyNumberFormat="1" applyFont="1" applyBorder="1" applyAlignment="1">
      <alignment horizontal="right" vertical="center" shrinkToFit="1"/>
    </xf>
    <xf numFmtId="176" fontId="14" fillId="0" borderId="1" xfId="0" applyNumberFormat="1" applyFont="1" applyBorder="1" applyAlignment="1">
      <alignment horizontal="right" vertical="center" shrinkToFit="1"/>
    </xf>
    <xf numFmtId="176" fontId="11" fillId="0" borderId="13" xfId="0" applyNumberFormat="1" applyFont="1" applyBorder="1" applyAlignment="1">
      <alignment horizontal="right" vertical="center" shrinkToFit="1"/>
    </xf>
    <xf numFmtId="176" fontId="14" fillId="0" borderId="5" xfId="0" applyNumberFormat="1" applyFont="1" applyBorder="1" applyAlignment="1">
      <alignment horizontal="right" vertical="center" shrinkToFit="1"/>
    </xf>
    <xf numFmtId="176" fontId="14" fillId="0" borderId="14" xfId="0" applyNumberFormat="1" applyFont="1" applyBorder="1" applyAlignment="1">
      <alignment horizontal="right" vertical="center" shrinkToFit="1"/>
    </xf>
    <xf numFmtId="176" fontId="0" fillId="0" borderId="15" xfId="0" applyNumberFormat="1" applyBorder="1" applyAlignment="1">
      <alignment horizontal="right" vertical="center" shrinkToFit="1"/>
    </xf>
    <xf numFmtId="176" fontId="0" fillId="0" borderId="0" xfId="0" applyNumberFormat="1" applyAlignment="1">
      <alignment horizontal="right" vertical="center" shrinkToFit="1"/>
    </xf>
    <xf numFmtId="176" fontId="0" fillId="0" borderId="16" xfId="0" applyNumberFormat="1" applyBorder="1" applyAlignment="1">
      <alignment horizontal="right" vertical="center" shrinkToFit="1"/>
    </xf>
    <xf numFmtId="176" fontId="0" fillId="0" borderId="15" xfId="0" applyNumberFormat="1" applyBorder="1" applyAlignment="1">
      <alignment horizontal="right" shrinkToFit="1"/>
    </xf>
    <xf numFmtId="176" fontId="0" fillId="0" borderId="0" xfId="0" applyNumberFormat="1" applyAlignment="1">
      <alignment horizontal="right" shrinkToFit="1"/>
    </xf>
    <xf numFmtId="176" fontId="0" fillId="0" borderId="16" xfId="0" applyNumberFormat="1" applyBorder="1" applyAlignment="1">
      <alignment horizontal="right" shrinkToFit="1"/>
    </xf>
    <xf numFmtId="176" fontId="0" fillId="0" borderId="7" xfId="0" applyNumberFormat="1" applyBorder="1" applyAlignment="1">
      <alignment horizontal="right" shrinkToFit="1"/>
    </xf>
    <xf numFmtId="176" fontId="0" fillId="0" borderId="8" xfId="0" applyNumberFormat="1" applyBorder="1" applyAlignment="1">
      <alignment horizontal="right" shrinkToFit="1"/>
    </xf>
    <xf numFmtId="176" fontId="0" fillId="0" borderId="9" xfId="0" applyNumberFormat="1" applyBorder="1" applyAlignment="1">
      <alignment horizontal="right" shrinkToFit="1"/>
    </xf>
    <xf numFmtId="0" fontId="10" fillId="0" borderId="1" xfId="0" applyFont="1" applyBorder="1" applyAlignment="1">
      <alignment horizontal="center" vertical="center" shrinkToFit="1"/>
    </xf>
    <xf numFmtId="0" fontId="11" fillId="2" borderId="1" xfId="0" applyFont="1" applyFill="1" applyBorder="1" applyAlignment="1" applyProtection="1">
      <alignment horizontal="left" vertical="center" shrinkToFit="1"/>
      <protection locked="0"/>
    </xf>
    <xf numFmtId="0" fontId="0" fillId="2" borderId="1" xfId="0" applyFill="1" applyBorder="1" applyAlignment="1" applyProtection="1">
      <alignment horizontal="left" vertical="center" shrinkToFit="1"/>
      <protection locked="0"/>
    </xf>
    <xf numFmtId="248" fontId="11" fillId="2" borderId="1" xfId="0" applyNumberFormat="1" applyFont="1" applyFill="1" applyBorder="1" applyAlignment="1" applyProtection="1">
      <alignment horizontal="center" vertical="center" shrinkToFit="1"/>
      <protection locked="0"/>
    </xf>
    <xf numFmtId="248" fontId="0" fillId="2" borderId="1" xfId="0" applyNumberFormat="1" applyFill="1" applyBorder="1" applyAlignment="1" applyProtection="1">
      <alignment horizontal="center" vertical="center" shrinkToFit="1"/>
      <protection locked="0"/>
    </xf>
    <xf numFmtId="0" fontId="10" fillId="0" borderId="1" xfId="0" applyFont="1" applyBorder="1" applyAlignment="1">
      <alignment horizontal="left" vertical="center" shrinkToFit="1"/>
    </xf>
    <xf numFmtId="0" fontId="0" fillId="0" borderId="1" xfId="0" applyBorder="1" applyAlignment="1">
      <alignment horizontal="left" vertical="center" shrinkToFit="1"/>
    </xf>
    <xf numFmtId="0" fontId="10" fillId="0" borderId="0" xfId="0" applyFont="1" applyAlignment="1">
      <alignment horizontal="center" shrinkToFit="1"/>
    </xf>
    <xf numFmtId="0" fontId="0" fillId="0" borderId="0" xfId="0" applyAlignment="1">
      <alignment horizontal="center" shrinkToFit="1"/>
    </xf>
    <xf numFmtId="0" fontId="10" fillId="0" borderId="0" xfId="0" applyFont="1" applyAlignment="1">
      <alignment shrinkToFit="1"/>
    </xf>
    <xf numFmtId="0" fontId="0" fillId="0" borderId="0" xfId="0" applyAlignment="1">
      <alignment shrinkToFit="1"/>
    </xf>
    <xf numFmtId="0" fontId="11" fillId="0" borderId="0" xfId="0" applyFont="1" applyAlignment="1">
      <alignment vertical="center" shrinkToFit="1"/>
    </xf>
    <xf numFmtId="0" fontId="11" fillId="0" borderId="0" xfId="0" applyFont="1" applyAlignment="1">
      <alignment horizontal="center" vertical="center" shrinkToFit="1"/>
    </xf>
    <xf numFmtId="249" fontId="11" fillId="2" borderId="1" xfId="0" applyNumberFormat="1" applyFont="1" applyFill="1" applyBorder="1" applyAlignment="1" applyProtection="1">
      <alignment horizontal="center" vertical="center" shrinkToFit="1"/>
      <protection locked="0"/>
    </xf>
    <xf numFmtId="249" fontId="0" fillId="2" borderId="1" xfId="0" applyNumberFormat="1" applyFill="1" applyBorder="1" applyAlignment="1" applyProtection="1">
      <alignment horizontal="center" vertical="center" shrinkToFit="1"/>
      <protection locked="0"/>
    </xf>
    <xf numFmtId="0" fontId="11" fillId="0" borderId="15" xfId="0" applyFont="1" applyBorder="1" applyAlignment="1">
      <alignment horizontal="center" vertical="center" shrinkToFit="1"/>
    </xf>
    <xf numFmtId="0" fontId="0" fillId="0" borderId="15" xfId="0" applyBorder="1" applyAlignment="1">
      <alignment horizontal="center" vertical="center" shrinkToFit="1"/>
    </xf>
    <xf numFmtId="0" fontId="11" fillId="0" borderId="6" xfId="0" applyFont="1" applyBorder="1" applyAlignment="1">
      <alignment horizontal="center" vertical="center" shrinkToFit="1"/>
    </xf>
    <xf numFmtId="0" fontId="0" fillId="0" borderId="6" xfId="0" applyBorder="1" applyAlignment="1">
      <alignment horizontal="center" vertical="center" shrinkToFit="1"/>
    </xf>
    <xf numFmtId="0" fontId="10" fillId="0" borderId="6" xfId="0" applyFont="1" applyBorder="1" applyAlignment="1">
      <alignment horizontal="left" vertical="center" shrinkToFit="1"/>
    </xf>
    <xf numFmtId="0" fontId="0" fillId="0" borderId="6" xfId="0" applyBorder="1" applyAlignment="1">
      <alignment horizontal="left" vertical="center" shrinkToFit="1"/>
    </xf>
    <xf numFmtId="250" fontId="10" fillId="2" borderId="13" xfId="0" applyNumberFormat="1" applyFont="1" applyFill="1" applyBorder="1" applyAlignment="1" applyProtection="1">
      <alignment horizontal="center" vertical="center" shrinkToFit="1"/>
      <protection locked="0"/>
    </xf>
    <xf numFmtId="250" fontId="0" fillId="2" borderId="5" xfId="0" applyNumberFormat="1" applyFill="1" applyBorder="1" applyAlignment="1" applyProtection="1">
      <alignment horizontal="center" vertical="center" shrinkToFit="1"/>
      <protection locked="0"/>
    </xf>
    <xf numFmtId="250" fontId="0" fillId="2" borderId="14" xfId="0" applyNumberFormat="1" applyFill="1" applyBorder="1" applyAlignment="1" applyProtection="1">
      <alignment horizontal="center" vertical="center" shrinkToFit="1"/>
      <protection locked="0"/>
    </xf>
    <xf numFmtId="250" fontId="0" fillId="2" borderId="7" xfId="0" applyNumberFormat="1" applyFill="1" applyBorder="1" applyAlignment="1" applyProtection="1">
      <alignment horizontal="center" vertical="center" shrinkToFit="1"/>
      <protection locked="0"/>
    </xf>
    <xf numFmtId="250" fontId="0" fillId="2" borderId="8" xfId="0" applyNumberFormat="1" applyFill="1" applyBorder="1" applyAlignment="1" applyProtection="1">
      <alignment horizontal="center" vertical="center" shrinkToFit="1"/>
      <protection locked="0"/>
    </xf>
    <xf numFmtId="250" fontId="0" fillId="2" borderId="9" xfId="0" applyNumberFormat="1" applyFill="1" applyBorder="1" applyAlignment="1" applyProtection="1">
      <alignment horizontal="center" vertical="center" shrinkToFit="1"/>
      <protection locked="0"/>
    </xf>
    <xf numFmtId="0" fontId="10" fillId="0" borderId="0" xfId="0" applyFont="1" applyAlignment="1">
      <alignment horizontal="center" vertical="center" shrinkToFit="1"/>
    </xf>
    <xf numFmtId="176" fontId="10" fillId="0" borderId="13" xfId="0" applyNumberFormat="1" applyFont="1" applyBorder="1" applyAlignment="1">
      <alignment horizontal="center" vertical="center" shrinkToFit="1"/>
    </xf>
    <xf numFmtId="176" fontId="0" fillId="0" borderId="5" xfId="0" applyNumberFormat="1" applyBorder="1" applyAlignment="1">
      <alignment horizontal="center" vertical="center" shrinkToFit="1"/>
    </xf>
    <xf numFmtId="176" fontId="0" fillId="0" borderId="14" xfId="0" applyNumberFormat="1" applyBorder="1" applyAlignment="1">
      <alignment shrinkToFit="1"/>
    </xf>
    <xf numFmtId="176" fontId="0" fillId="0" borderId="7" xfId="0" applyNumberFormat="1" applyBorder="1" applyAlignment="1">
      <alignment horizontal="center" vertical="center" shrinkToFit="1"/>
    </xf>
    <xf numFmtId="176" fontId="0" fillId="0" borderId="8" xfId="0" applyNumberFormat="1" applyBorder="1" applyAlignment="1">
      <alignment horizontal="center" vertical="center" shrinkToFit="1"/>
    </xf>
    <xf numFmtId="176" fontId="0" fillId="0" borderId="9" xfId="0" applyNumberFormat="1" applyBorder="1" applyAlignment="1">
      <alignment shrinkToFit="1"/>
    </xf>
    <xf numFmtId="0" fontId="0" fillId="0" borderId="7" xfId="0" applyBorder="1" applyAlignment="1">
      <alignment horizontal="center" vertical="center" shrinkToFit="1"/>
    </xf>
    <xf numFmtId="0" fontId="0" fillId="0" borderId="8" xfId="0" applyBorder="1" applyAlignment="1">
      <alignment horizontal="center" vertical="center" shrinkToFit="1"/>
    </xf>
    <xf numFmtId="249" fontId="10" fillId="0" borderId="13" xfId="0" applyNumberFormat="1" applyFont="1" applyBorder="1" applyAlignment="1">
      <alignment horizontal="center" vertical="center" shrinkToFit="1"/>
    </xf>
    <xf numFmtId="249" fontId="0" fillId="0" borderId="5" xfId="0" applyNumberFormat="1" applyBorder="1" applyAlignment="1">
      <alignment horizontal="center" vertical="center" shrinkToFit="1"/>
    </xf>
    <xf numFmtId="249" fontId="0" fillId="0" borderId="14" xfId="0" applyNumberFormat="1" applyBorder="1" applyAlignment="1">
      <alignment horizontal="center" vertical="center" shrinkToFit="1"/>
    </xf>
    <xf numFmtId="249" fontId="0" fillId="0" borderId="7" xfId="0" applyNumberFormat="1" applyBorder="1" applyAlignment="1">
      <alignment horizontal="center" vertical="center" shrinkToFit="1"/>
    </xf>
    <xf numFmtId="249" fontId="0" fillId="0" borderId="8" xfId="0" applyNumberFormat="1" applyBorder="1" applyAlignment="1">
      <alignment horizontal="center" vertical="center" shrinkToFit="1"/>
    </xf>
    <xf numFmtId="249" fontId="0" fillId="0" borderId="9" xfId="0" applyNumberFormat="1" applyBorder="1" applyAlignment="1">
      <alignment horizontal="center" vertical="center" shrinkToFit="1"/>
    </xf>
    <xf numFmtId="0" fontId="15" fillId="0" borderId="5" xfId="9" applyFont="1" applyBorder="1" applyAlignment="1" applyProtection="1">
      <alignment horizontal="right" vertical="center" shrinkToFit="1"/>
    </xf>
    <xf numFmtId="0" fontId="15" fillId="0" borderId="5" xfId="0" applyFont="1" applyBorder="1" applyAlignment="1" applyProtection="1">
      <alignment horizontal="right" vertical="center" shrinkToFit="1"/>
    </xf>
    <xf numFmtId="176" fontId="15" fillId="0" borderId="5" xfId="9" applyNumberFormat="1" applyFont="1" applyBorder="1" applyAlignment="1" applyProtection="1">
      <alignment vertical="center" shrinkToFit="1"/>
    </xf>
    <xf numFmtId="0" fontId="15" fillId="0" borderId="5" xfId="0" applyFont="1" applyBorder="1" applyAlignment="1" applyProtection="1">
      <alignment vertical="center" shrinkToFit="1"/>
    </xf>
    <xf numFmtId="176" fontId="15" fillId="0" borderId="1" xfId="9" applyNumberFormat="1" applyFont="1" applyBorder="1" applyAlignment="1" applyProtection="1">
      <alignment vertical="center" shrinkToFit="1"/>
    </xf>
    <xf numFmtId="176" fontId="4" fillId="0" borderId="1" xfId="9" applyNumberFormat="1" applyBorder="1" applyAlignment="1" applyProtection="1">
      <alignment vertical="center" shrinkToFit="1"/>
    </xf>
    <xf numFmtId="0" fontId="15" fillId="0" borderId="69" xfId="9" applyFont="1" applyBorder="1" applyAlignment="1" applyProtection="1">
      <alignment horizontal="right" vertical="center" shrinkToFit="1"/>
    </xf>
    <xf numFmtId="0" fontId="4" fillId="0" borderId="70" xfId="9" applyBorder="1" applyAlignment="1" applyProtection="1">
      <alignment horizontal="right" vertical="center" shrinkToFit="1"/>
    </xf>
    <xf numFmtId="192" fontId="15" fillId="0" borderId="69" xfId="9" applyNumberFormat="1" applyFont="1" applyBorder="1" applyAlignment="1" applyProtection="1">
      <alignment horizontal="right" vertical="center" shrinkToFit="1"/>
    </xf>
    <xf numFmtId="192" fontId="15" fillId="0" borderId="71" xfId="9" applyNumberFormat="1" applyFont="1" applyBorder="1" applyAlignment="1" applyProtection="1">
      <alignment vertical="center" shrinkToFit="1"/>
    </xf>
    <xf numFmtId="0" fontId="4" fillId="0" borderId="69" xfId="9" applyBorder="1" applyAlignment="1" applyProtection="1">
      <alignment horizontal="right" vertical="center" shrinkToFit="1"/>
    </xf>
    <xf numFmtId="0" fontId="4" fillId="0" borderId="70" xfId="9" applyBorder="1" applyAlignment="1" applyProtection="1">
      <alignment vertical="center" shrinkToFit="1"/>
    </xf>
    <xf numFmtId="0" fontId="4" fillId="0" borderId="71" xfId="9" applyBorder="1" applyAlignment="1" applyProtection="1">
      <alignment vertical="center" shrinkToFit="1"/>
    </xf>
    <xf numFmtId="176" fontId="15" fillId="0" borderId="69" xfId="9" applyNumberFormat="1" applyFont="1" applyBorder="1" applyAlignment="1" applyProtection="1">
      <alignment vertical="center" shrinkToFit="1"/>
    </xf>
    <xf numFmtId="0" fontId="15" fillId="2" borderId="72" xfId="9" applyFont="1" applyFill="1" applyBorder="1" applyAlignment="1" applyProtection="1">
      <alignment horizontal="center" vertical="center" shrinkToFit="1"/>
      <protection locked="0"/>
    </xf>
    <xf numFmtId="0" fontId="4" fillId="2" borderId="73" xfId="9" applyFill="1" applyBorder="1" applyAlignment="1" applyProtection="1">
      <alignment horizontal="center" vertical="center" shrinkToFit="1"/>
      <protection locked="0"/>
    </xf>
    <xf numFmtId="0" fontId="15" fillId="2" borderId="72" xfId="9" applyFont="1" applyFill="1" applyBorder="1" applyAlignment="1" applyProtection="1">
      <alignment horizontal="left" vertical="center" shrinkToFit="1"/>
      <protection locked="0"/>
    </xf>
    <xf numFmtId="0" fontId="15" fillId="2" borderId="73" xfId="9" applyFont="1" applyFill="1" applyBorder="1" applyAlignment="1" applyProtection="1">
      <alignment horizontal="left" vertical="center" shrinkToFit="1"/>
      <protection locked="0"/>
    </xf>
    <xf numFmtId="0" fontId="15" fillId="2" borderId="74" xfId="9" applyFont="1" applyFill="1" applyBorder="1" applyAlignment="1" applyProtection="1">
      <alignment horizontal="left" vertical="center" shrinkToFit="1"/>
      <protection locked="0"/>
    </xf>
    <xf numFmtId="192" fontId="15" fillId="2" borderId="6" xfId="9" applyNumberFormat="1" applyFont="1" applyFill="1" applyBorder="1" applyAlignment="1" applyProtection="1">
      <alignment vertical="center" shrinkToFit="1"/>
      <protection locked="0"/>
    </xf>
    <xf numFmtId="192" fontId="4" fillId="2" borderId="6" xfId="9" applyNumberFormat="1" applyFill="1" applyBorder="1" applyAlignment="1" applyProtection="1">
      <alignment vertical="center" shrinkToFit="1"/>
      <protection locked="0"/>
    </xf>
    <xf numFmtId="176" fontId="15" fillId="2" borderId="6" xfId="9" applyNumberFormat="1" applyFont="1" applyFill="1" applyBorder="1" applyAlignment="1" applyProtection="1">
      <alignment vertical="center" shrinkToFit="1"/>
      <protection locked="0"/>
    </xf>
    <xf numFmtId="176" fontId="4" fillId="2" borderId="6" xfId="9" applyNumberFormat="1" applyFill="1" applyBorder="1" applyAlignment="1" applyProtection="1">
      <alignment vertical="center" shrinkToFit="1"/>
      <protection locked="0"/>
    </xf>
    <xf numFmtId="0" fontId="4" fillId="0" borderId="1" xfId="9" applyBorder="1" applyAlignment="1" applyProtection="1">
      <alignment vertical="center" shrinkToFit="1"/>
    </xf>
    <xf numFmtId="0" fontId="15" fillId="2" borderId="2" xfId="9" applyFont="1" applyFill="1" applyBorder="1" applyAlignment="1" applyProtection="1">
      <alignment horizontal="center" vertical="center" shrinkToFit="1"/>
      <protection locked="0"/>
    </xf>
    <xf numFmtId="0" fontId="4" fillId="2" borderId="3" xfId="9" applyFill="1" applyBorder="1" applyAlignment="1" applyProtection="1">
      <alignment horizontal="center" vertical="center" shrinkToFit="1"/>
      <protection locked="0"/>
    </xf>
    <xf numFmtId="0" fontId="15" fillId="2" borderId="2" xfId="9" applyFont="1" applyFill="1" applyBorder="1" applyAlignment="1" applyProtection="1">
      <alignment horizontal="left" vertical="center" shrinkToFit="1"/>
      <protection locked="0"/>
    </xf>
    <xf numFmtId="0" fontId="15" fillId="2" borderId="3" xfId="9" applyFont="1" applyFill="1" applyBorder="1" applyAlignment="1" applyProtection="1">
      <alignment horizontal="left" vertical="center" shrinkToFit="1"/>
      <protection locked="0"/>
    </xf>
    <xf numFmtId="0" fontId="15" fillId="2" borderId="4" xfId="9" applyFont="1" applyFill="1" applyBorder="1" applyAlignment="1" applyProtection="1">
      <alignment horizontal="left" vertical="center" shrinkToFit="1"/>
      <protection locked="0"/>
    </xf>
    <xf numFmtId="192" fontId="15" fillId="2" borderId="1" xfId="9" applyNumberFormat="1" applyFont="1" applyFill="1" applyBorder="1" applyAlignment="1" applyProtection="1">
      <alignment vertical="center" shrinkToFit="1"/>
      <protection locked="0"/>
    </xf>
    <xf numFmtId="192" fontId="4" fillId="2" borderId="1" xfId="9" applyNumberFormat="1" applyFill="1" applyBorder="1" applyAlignment="1" applyProtection="1">
      <alignment vertical="center" shrinkToFit="1"/>
      <protection locked="0"/>
    </xf>
    <xf numFmtId="176" fontId="15" fillId="2" borderId="1" xfId="9" applyNumberFormat="1" applyFont="1" applyFill="1" applyBorder="1" applyAlignment="1" applyProtection="1">
      <alignment vertical="center" shrinkToFit="1"/>
      <protection locked="0"/>
    </xf>
    <xf numFmtId="176" fontId="4" fillId="2" borderId="1" xfId="9" applyNumberFormat="1" applyFill="1" applyBorder="1" applyAlignment="1" applyProtection="1">
      <alignment vertical="center" shrinkToFit="1"/>
      <protection locked="0"/>
    </xf>
    <xf numFmtId="0" fontId="4" fillId="0" borderId="1" xfId="9" applyBorder="1" applyAlignment="1" applyProtection="1">
      <alignment horizontal="center" vertical="center" shrinkToFit="1"/>
    </xf>
    <xf numFmtId="0" fontId="15" fillId="0" borderId="2" xfId="9" applyFont="1" applyBorder="1" applyAlignment="1" applyProtection="1">
      <alignment horizontal="center" vertical="center"/>
    </xf>
    <xf numFmtId="0" fontId="4" fillId="0" borderId="3" xfId="9" applyBorder="1" applyAlignment="1" applyProtection="1">
      <alignment horizontal="center" vertical="center"/>
    </xf>
    <xf numFmtId="0" fontId="15" fillId="0" borderId="3" xfId="9" applyFont="1" applyBorder="1" applyAlignment="1" applyProtection="1">
      <alignment horizontal="center" vertical="center"/>
    </xf>
    <xf numFmtId="0" fontId="15" fillId="0" borderId="4" xfId="9" applyFont="1" applyBorder="1" applyAlignment="1" applyProtection="1">
      <alignment horizontal="center" vertical="center"/>
    </xf>
    <xf numFmtId="0" fontId="15" fillId="0" borderId="1" xfId="9" applyFont="1" applyBorder="1" applyAlignment="1" applyProtection="1">
      <alignment horizontal="center" vertical="center"/>
    </xf>
    <xf numFmtId="0" fontId="4" fillId="0" borderId="1" xfId="9" applyBorder="1" applyAlignment="1" applyProtection="1">
      <alignment horizontal="center" vertical="center"/>
    </xf>
    <xf numFmtId="0" fontId="15" fillId="0" borderId="153" xfId="9" applyFont="1" applyBorder="1" applyAlignment="1" applyProtection="1">
      <alignment vertical="top" wrapText="1"/>
    </xf>
    <xf numFmtId="0" fontId="4" fillId="0" borderId="153" xfId="9" applyBorder="1" applyAlignment="1" applyProtection="1">
      <alignment vertical="top"/>
    </xf>
    <xf numFmtId="0" fontId="4" fillId="0" borderId="154" xfId="9" applyBorder="1" applyAlignment="1" applyProtection="1">
      <alignment vertical="top"/>
    </xf>
    <xf numFmtId="176" fontId="15" fillId="0" borderId="6" xfId="9" applyNumberFormat="1" applyFont="1" applyBorder="1" applyAlignment="1" applyProtection="1">
      <alignment vertical="center" shrinkToFit="1"/>
    </xf>
    <xf numFmtId="176" fontId="4" fillId="0" borderId="6" xfId="9" applyNumberFormat="1" applyBorder="1" applyAlignment="1" applyProtection="1">
      <alignment vertical="center" shrinkToFit="1"/>
    </xf>
    <xf numFmtId="176" fontId="15" fillId="0" borderId="72" xfId="9" applyNumberFormat="1" applyFont="1" applyBorder="1" applyAlignment="1" applyProtection="1">
      <alignment vertical="center" shrinkToFit="1"/>
    </xf>
    <xf numFmtId="176" fontId="15" fillId="0" borderId="73" xfId="9" applyNumberFormat="1" applyFont="1" applyBorder="1" applyAlignment="1" applyProtection="1">
      <alignment vertical="center" shrinkToFit="1"/>
    </xf>
    <xf numFmtId="176" fontId="15" fillId="0" borderId="74" xfId="9" applyNumberFormat="1" applyFont="1" applyBorder="1" applyAlignment="1" applyProtection="1">
      <alignment vertical="center" shrinkToFit="1"/>
    </xf>
    <xf numFmtId="0" fontId="15" fillId="0" borderId="70" xfId="0" applyFont="1" applyBorder="1" applyAlignment="1" applyProtection="1">
      <alignment vertical="center" shrinkToFit="1"/>
    </xf>
    <xf numFmtId="0" fontId="15" fillId="0" borderId="71" xfId="0" applyFont="1" applyBorder="1" applyAlignment="1" applyProtection="1">
      <alignment vertical="center" shrinkToFit="1"/>
    </xf>
    <xf numFmtId="176" fontId="15" fillId="0" borderId="2" xfId="9" applyNumberFormat="1" applyFont="1" applyBorder="1" applyAlignment="1" applyProtection="1">
      <alignment vertical="center" shrinkToFit="1"/>
    </xf>
    <xf numFmtId="176" fontId="15" fillId="0" borderId="3" xfId="9" applyNumberFormat="1" applyFont="1" applyBorder="1" applyAlignment="1" applyProtection="1">
      <alignment vertical="center" shrinkToFit="1"/>
    </xf>
    <xf numFmtId="176" fontId="15" fillId="0" borderId="4" xfId="9" applyNumberFormat="1" applyFont="1" applyBorder="1" applyAlignment="1" applyProtection="1">
      <alignment vertical="center" shrinkToFit="1"/>
    </xf>
    <xf numFmtId="176" fontId="15" fillId="0" borderId="1" xfId="9" applyNumberFormat="1" applyFont="1" applyBorder="1" applyAlignment="1" applyProtection="1">
      <alignment horizontal="right" vertical="center" shrinkToFit="1"/>
    </xf>
    <xf numFmtId="0" fontId="4" fillId="0" borderId="1" xfId="9" applyBorder="1" applyAlignment="1" applyProtection="1">
      <alignment horizontal="right" vertical="center" shrinkToFit="1"/>
    </xf>
    <xf numFmtId="0" fontId="15" fillId="0" borderId="153" xfId="9" applyFont="1" applyBorder="1" applyProtection="1">
      <alignment vertical="center"/>
    </xf>
    <xf numFmtId="0" fontId="4" fillId="0" borderId="153" xfId="9" applyBorder="1" applyProtection="1">
      <alignment vertical="center"/>
    </xf>
    <xf numFmtId="0" fontId="4" fillId="0" borderId="154" xfId="9" applyBorder="1" applyProtection="1">
      <alignment vertical="center"/>
    </xf>
    <xf numFmtId="0" fontId="15" fillId="0" borderId="0" xfId="9" applyFont="1" applyProtection="1">
      <alignment vertical="center"/>
    </xf>
    <xf numFmtId="0" fontId="4" fillId="0" borderId="156" xfId="9" applyBorder="1" applyProtection="1">
      <alignment vertical="center"/>
    </xf>
    <xf numFmtId="176" fontId="15" fillId="2" borderId="1" xfId="9" applyNumberFormat="1" applyFont="1" applyFill="1" applyBorder="1" applyAlignment="1" applyProtection="1">
      <alignment horizontal="right" vertical="center" shrinkToFit="1"/>
    </xf>
    <xf numFmtId="0" fontId="4" fillId="2" borderId="1" xfId="9" applyFill="1" applyBorder="1" applyAlignment="1" applyProtection="1">
      <alignment horizontal="right" vertical="center" shrinkToFit="1"/>
    </xf>
    <xf numFmtId="0" fontId="43" fillId="0" borderId="0" xfId="9" applyFont="1" applyAlignment="1" applyProtection="1">
      <alignment vertical="center" wrapText="1"/>
    </xf>
    <xf numFmtId="0" fontId="50" fillId="0" borderId="0" xfId="9" applyFont="1" applyAlignment="1" applyProtection="1">
      <alignment vertical="center" wrapText="1"/>
    </xf>
    <xf numFmtId="0" fontId="15" fillId="0" borderId="2" xfId="9" applyFont="1" applyBorder="1" applyAlignment="1" applyProtection="1">
      <alignment horizontal="right" vertical="center" shrinkToFit="1"/>
    </xf>
    <xf numFmtId="0" fontId="4" fillId="0" borderId="3" xfId="9" applyBorder="1" applyAlignment="1" applyProtection="1">
      <alignment horizontal="right" vertical="center" shrinkToFit="1"/>
    </xf>
    <xf numFmtId="0" fontId="15" fillId="0" borderId="3" xfId="9" applyFont="1" applyBorder="1" applyAlignment="1" applyProtection="1">
      <alignment horizontal="right" vertical="center" shrinkToFit="1"/>
    </xf>
    <xf numFmtId="0" fontId="15" fillId="0" borderId="4" xfId="9" applyFont="1" applyBorder="1" applyAlignment="1" applyProtection="1">
      <alignment horizontal="right" vertical="center" shrinkToFit="1"/>
    </xf>
    <xf numFmtId="0" fontId="15" fillId="0" borderId="70" xfId="9" applyFont="1" applyBorder="1" applyAlignment="1" applyProtection="1">
      <alignment horizontal="right" vertical="center" shrinkToFit="1"/>
    </xf>
    <xf numFmtId="0" fontId="15" fillId="0" borderId="71" xfId="9" applyFont="1" applyBorder="1" applyAlignment="1" applyProtection="1">
      <alignment horizontal="right" vertical="center" shrinkToFit="1"/>
    </xf>
    <xf numFmtId="176" fontId="15" fillId="0" borderId="11" xfId="9" applyNumberFormat="1" applyFont="1" applyBorder="1" applyAlignment="1" applyProtection="1">
      <alignment vertical="center" shrinkToFit="1"/>
    </xf>
    <xf numFmtId="0" fontId="4" fillId="0" borderId="11" xfId="9" applyBorder="1" applyAlignment="1" applyProtection="1">
      <alignment vertical="center" shrinkToFit="1"/>
    </xf>
    <xf numFmtId="0" fontId="15" fillId="2" borderId="1" xfId="9" applyFont="1" applyFill="1" applyBorder="1" applyAlignment="1" applyProtection="1">
      <alignment horizontal="center" vertical="center" shrinkToFit="1"/>
      <protection locked="0"/>
    </xf>
    <xf numFmtId="0" fontId="4" fillId="2" borderId="1" xfId="9" applyFill="1" applyBorder="1" applyAlignment="1" applyProtection="1">
      <alignment horizontal="center" vertical="center" shrinkToFit="1"/>
      <protection locked="0"/>
    </xf>
    <xf numFmtId="0" fontId="15" fillId="2" borderId="1" xfId="9" applyFont="1" applyFill="1" applyBorder="1" applyAlignment="1" applyProtection="1">
      <alignment vertical="center" shrinkToFit="1"/>
      <protection locked="0"/>
    </xf>
    <xf numFmtId="0" fontId="4" fillId="2" borderId="1" xfId="9" applyFill="1" applyBorder="1" applyAlignment="1" applyProtection="1">
      <alignment vertical="center" shrinkToFit="1"/>
      <protection locked="0"/>
    </xf>
    <xf numFmtId="0" fontId="15" fillId="0" borderId="0" xfId="9" applyFont="1" applyAlignment="1" applyProtection="1">
      <alignment vertical="center" shrinkToFit="1"/>
    </xf>
    <xf numFmtId="0" fontId="4" fillId="0" borderId="0" xfId="9" applyAlignment="1" applyProtection="1">
      <alignment vertical="center" shrinkToFit="1"/>
    </xf>
    <xf numFmtId="0" fontId="4" fillId="0" borderId="156" xfId="9" applyBorder="1" applyAlignment="1" applyProtection="1">
      <alignment vertical="center" shrinkToFit="1"/>
    </xf>
    <xf numFmtId="0" fontId="15" fillId="0" borderId="158" xfId="9" applyFont="1" applyBorder="1" applyAlignment="1" applyProtection="1">
      <alignment vertical="center" shrinkToFit="1"/>
    </xf>
    <xf numFmtId="0" fontId="4" fillId="0" borderId="158" xfId="9" applyBorder="1" applyAlignment="1" applyProtection="1">
      <alignment vertical="center" shrinkToFit="1"/>
    </xf>
    <xf numFmtId="0" fontId="4" fillId="0" borderId="159" xfId="9" applyBorder="1" applyAlignment="1" applyProtection="1">
      <alignment vertical="center" shrinkToFit="1"/>
    </xf>
    <xf numFmtId="0" fontId="15" fillId="0" borderId="6" xfId="9" applyFont="1" applyBorder="1" applyAlignment="1" applyProtection="1">
      <alignment horizontal="center" vertical="center"/>
    </xf>
    <xf numFmtId="0" fontId="4" fillId="0" borderId="20" xfId="9" applyBorder="1" applyAlignment="1" applyProtection="1">
      <alignment horizontal="center" vertical="center"/>
    </xf>
    <xf numFmtId="0" fontId="4" fillId="0" borderId="10" xfId="9" applyBorder="1" applyAlignment="1" applyProtection="1">
      <alignment horizontal="center" vertical="center"/>
    </xf>
    <xf numFmtId="0" fontId="15" fillId="0" borderId="1" xfId="9" applyFont="1" applyBorder="1" applyProtection="1">
      <alignment vertical="center"/>
    </xf>
    <xf numFmtId="192" fontId="15" fillId="0" borderId="1" xfId="9" applyNumberFormat="1" applyFont="1" applyBorder="1" applyProtection="1">
      <alignment vertical="center"/>
    </xf>
    <xf numFmtId="192" fontId="4" fillId="0" borderId="1" xfId="9" applyNumberFormat="1" applyBorder="1" applyProtection="1">
      <alignment vertical="center"/>
    </xf>
    <xf numFmtId="176" fontId="15" fillId="0" borderId="1" xfId="9" applyNumberFormat="1" applyFont="1" applyBorder="1" applyProtection="1">
      <alignment vertical="center"/>
    </xf>
    <xf numFmtId="0" fontId="43" fillId="0" borderId="0" xfId="9" applyFont="1" applyAlignment="1" applyProtection="1">
      <alignment vertical="center" shrinkToFit="1"/>
    </xf>
    <xf numFmtId="0" fontId="50" fillId="0" borderId="0" xfId="9" applyFont="1" applyAlignment="1" applyProtection="1">
      <alignment vertical="center" shrinkToFit="1"/>
    </xf>
    <xf numFmtId="0" fontId="15" fillId="0" borderId="8" xfId="9" applyFont="1" applyBorder="1" applyAlignment="1" applyProtection="1">
      <alignment horizontal="right" vertical="center"/>
    </xf>
    <xf numFmtId="0" fontId="18" fillId="0" borderId="8" xfId="9" applyFont="1" applyBorder="1" applyAlignment="1" applyProtection="1">
      <alignment horizontal="right" vertical="center"/>
    </xf>
    <xf numFmtId="0" fontId="16" fillId="0" borderId="0" xfId="9" applyFont="1" applyProtection="1">
      <alignment vertical="center"/>
    </xf>
    <xf numFmtId="0" fontId="61" fillId="0" borderId="0" xfId="9" applyFont="1" applyProtection="1">
      <alignment vertical="center"/>
    </xf>
    <xf numFmtId="0" fontId="10" fillId="2" borderId="1" xfId="9" applyFont="1" applyFill="1" applyBorder="1" applyAlignment="1" applyProtection="1">
      <alignment horizontal="center" vertical="center"/>
      <protection locked="0"/>
    </xf>
    <xf numFmtId="0" fontId="0" fillId="0" borderId="1" xfId="0" applyBorder="1" applyAlignment="1" applyProtection="1">
      <alignment vertical="center"/>
      <protection locked="0"/>
    </xf>
    <xf numFmtId="0" fontId="15" fillId="2" borderId="6" xfId="9" applyFont="1" applyFill="1" applyBorder="1" applyAlignment="1" applyProtection="1">
      <alignment horizontal="center" vertical="center" shrinkToFit="1"/>
      <protection locked="0"/>
    </xf>
    <xf numFmtId="0" fontId="4" fillId="2" borderId="6" xfId="9" applyFill="1" applyBorder="1" applyAlignment="1" applyProtection="1">
      <alignment horizontal="center" vertical="center" shrinkToFit="1"/>
      <protection locked="0"/>
    </xf>
    <xf numFmtId="0" fontId="15" fillId="2" borderId="6" xfId="9" applyFont="1" applyFill="1" applyBorder="1" applyAlignment="1" applyProtection="1">
      <alignment vertical="center" shrinkToFit="1"/>
      <protection locked="0"/>
    </xf>
    <xf numFmtId="0" fontId="4" fillId="2" borderId="6" xfId="9" applyFill="1" applyBorder="1" applyAlignment="1" applyProtection="1">
      <alignment vertical="center" shrinkToFit="1"/>
      <protection locked="0"/>
    </xf>
    <xf numFmtId="0" fontId="4" fillId="0" borderId="4" xfId="9" applyBorder="1" applyAlignment="1" applyProtection="1">
      <alignment horizontal="right" vertical="center" shrinkToFit="1"/>
    </xf>
    <xf numFmtId="0" fontId="12" fillId="0" borderId="0" xfId="0" applyFont="1" applyAlignment="1" applyProtection="1">
      <alignment vertical="center" wrapText="1"/>
    </xf>
    <xf numFmtId="0" fontId="19" fillId="0" borderId="0" xfId="0" applyFont="1" applyAlignment="1" applyProtection="1">
      <alignment vertical="center" wrapText="1"/>
    </xf>
    <xf numFmtId="0" fontId="10" fillId="0" borderId="0" xfId="0" applyFont="1" applyBorder="1" applyAlignment="1" applyProtection="1">
      <alignment horizontal="right" vertical="center"/>
    </xf>
    <xf numFmtId="0" fontId="39" fillId="0" borderId="0" xfId="11" applyFont="1" applyAlignment="1">
      <alignment horizontal="center" vertical="center"/>
    </xf>
    <xf numFmtId="0" fontId="11" fillId="0" borderId="0" xfId="11" applyFont="1" applyAlignment="1">
      <alignment horizontal="left" vertical="center" wrapText="1"/>
    </xf>
    <xf numFmtId="0" fontId="22" fillId="2" borderId="92" xfId="10" applyFont="1" applyFill="1" applyBorder="1" applyAlignment="1" applyProtection="1">
      <alignment horizontal="center" vertical="center" shrinkToFit="1"/>
    </xf>
    <xf numFmtId="0" fontId="22" fillId="2" borderId="94" xfId="10" applyFont="1" applyFill="1" applyBorder="1" applyAlignment="1" applyProtection="1">
      <alignment horizontal="center" vertical="center" shrinkToFit="1"/>
    </xf>
    <xf numFmtId="0" fontId="22" fillId="2" borderId="94" xfId="10" applyFont="1" applyFill="1" applyBorder="1" applyAlignment="1" applyProtection="1">
      <alignment horizontal="left" vertical="center" shrinkToFit="1"/>
    </xf>
    <xf numFmtId="0" fontId="21" fillId="2" borderId="95" xfId="10" applyFont="1" applyFill="1" applyBorder="1" applyAlignment="1" applyProtection="1">
      <alignment horizontal="left" vertical="center" shrinkToFit="1"/>
    </xf>
    <xf numFmtId="0" fontId="21" fillId="2" borderId="96" xfId="10" applyFont="1" applyFill="1" applyBorder="1" applyAlignment="1" applyProtection="1">
      <alignment horizontal="left" vertical="center" shrinkToFit="1"/>
    </xf>
    <xf numFmtId="178" fontId="10" fillId="2" borderId="93" xfId="10" applyNumberFormat="1" applyFont="1" applyFill="1" applyBorder="1" applyAlignment="1" applyProtection="1">
      <alignment horizontal="center" vertical="center" shrinkToFit="1"/>
    </xf>
    <xf numFmtId="224" fontId="10" fillId="2" borderId="93" xfId="10" applyNumberFormat="1" applyFont="1" applyFill="1" applyBorder="1" applyAlignment="1" applyProtection="1">
      <alignment horizontal="right" vertical="center" shrinkToFit="1"/>
    </xf>
    <xf numFmtId="178" fontId="22" fillId="2" borderId="93" xfId="10" applyNumberFormat="1" applyFont="1" applyFill="1" applyBorder="1" applyAlignment="1" applyProtection="1">
      <alignment vertical="center" shrinkToFit="1"/>
    </xf>
    <xf numFmtId="0" fontId="22" fillId="2" borderId="100" xfId="10" applyFont="1" applyFill="1" applyBorder="1" applyAlignment="1" applyProtection="1">
      <alignment horizontal="center" vertical="center" shrinkToFit="1"/>
    </xf>
    <xf numFmtId="0" fontId="22" fillId="2" borderId="2" xfId="10" applyFont="1" applyFill="1" applyBorder="1" applyAlignment="1" applyProtection="1">
      <alignment horizontal="center" vertical="center" shrinkToFit="1"/>
    </xf>
    <xf numFmtId="0" fontId="22" fillId="2" borderId="2" xfId="10" applyFont="1" applyFill="1" applyBorder="1" applyAlignment="1" applyProtection="1">
      <alignment horizontal="left" vertical="center" shrinkToFit="1"/>
    </xf>
    <xf numFmtId="0" fontId="21" fillId="2" borderId="3" xfId="10" applyFont="1" applyFill="1" applyBorder="1" applyAlignment="1" applyProtection="1">
      <alignment horizontal="left" vertical="center" shrinkToFit="1"/>
    </xf>
    <xf numFmtId="0" fontId="21" fillId="2" borderId="4" xfId="10" applyFont="1" applyFill="1" applyBorder="1" applyAlignment="1" applyProtection="1">
      <alignment horizontal="left" vertical="center" shrinkToFit="1"/>
    </xf>
    <xf numFmtId="178" fontId="10" fillId="2" borderId="1" xfId="10" applyNumberFormat="1" applyFont="1" applyFill="1" applyBorder="1" applyAlignment="1" applyProtection="1">
      <alignment horizontal="center" vertical="center" shrinkToFit="1"/>
    </xf>
    <xf numFmtId="224" fontId="10" fillId="2" borderId="1" xfId="10" applyNumberFormat="1" applyFont="1" applyFill="1" applyBorder="1" applyAlignment="1" applyProtection="1">
      <alignment horizontal="right" vertical="center" shrinkToFit="1"/>
    </xf>
    <xf numFmtId="0" fontId="22" fillId="2" borderId="104" xfId="10" applyFont="1" applyFill="1" applyBorder="1" applyAlignment="1" applyProtection="1">
      <alignment horizontal="center" vertical="center" shrinkToFit="1"/>
    </xf>
    <xf numFmtId="0" fontId="22" fillId="2" borderId="106" xfId="10" applyFont="1" applyFill="1" applyBorder="1" applyAlignment="1" applyProtection="1">
      <alignment horizontal="center" vertical="center" shrinkToFit="1"/>
    </xf>
    <xf numFmtId="0" fontId="22" fillId="2" borderId="106" xfId="10" applyFont="1" applyFill="1" applyBorder="1" applyAlignment="1" applyProtection="1">
      <alignment horizontal="left" vertical="center" shrinkToFit="1"/>
    </xf>
    <xf numFmtId="0" fontId="21" fillId="2" borderId="107" xfId="10" applyFont="1" applyFill="1" applyBorder="1" applyAlignment="1" applyProtection="1">
      <alignment horizontal="left" vertical="center" shrinkToFit="1"/>
    </xf>
    <xf numFmtId="0" fontId="21" fillId="2" borderId="108" xfId="10" applyFont="1" applyFill="1" applyBorder="1" applyAlignment="1" applyProtection="1">
      <alignment horizontal="left" vertical="center" shrinkToFit="1"/>
    </xf>
    <xf numFmtId="178" fontId="10" fillId="2" borderId="105" xfId="10" applyNumberFormat="1" applyFont="1" applyFill="1" applyBorder="1" applyAlignment="1" applyProtection="1">
      <alignment horizontal="center" vertical="center" shrinkToFit="1"/>
    </xf>
    <xf numFmtId="224" fontId="10" fillId="2" borderId="105" xfId="10" applyNumberFormat="1" applyFont="1" applyFill="1" applyBorder="1" applyAlignment="1" applyProtection="1">
      <alignment horizontal="right" vertical="center" shrinkToFit="1"/>
    </xf>
    <xf numFmtId="178" fontId="22" fillId="2" borderId="105" xfId="10" applyNumberFormat="1" applyFont="1" applyFill="1" applyBorder="1" applyAlignment="1" applyProtection="1">
      <alignment vertical="center" shrinkToFit="1"/>
    </xf>
  </cellXfs>
  <cellStyles count="13">
    <cellStyle name="ハイパーリンク" xfId="2" builtinId="8"/>
    <cellStyle name="桁区切り" xfId="1" builtinId="6"/>
    <cellStyle name="桁区切り 2" xfId="6" xr:uid="{00000000-0005-0000-0000-000002000000}"/>
    <cellStyle name="標準" xfId="0" builtinId="0"/>
    <cellStyle name="標準 2" xfId="3" xr:uid="{00000000-0005-0000-0000-000004000000}"/>
    <cellStyle name="標準 2 2" xfId="7" xr:uid="{00000000-0005-0000-0000-000005000000}"/>
    <cellStyle name="標準 3" xfId="4" xr:uid="{00000000-0005-0000-0000-000006000000}"/>
    <cellStyle name="標準 3 2" xfId="8" xr:uid="{1EC4AB21-3816-45B3-9E51-1E51A9E348A1}"/>
    <cellStyle name="標準 4" xfId="5" xr:uid="{00000000-0005-0000-0000-000007000000}"/>
    <cellStyle name="標準 5" xfId="9" xr:uid="{97341606-1419-4118-946A-90985332C7CA}"/>
    <cellStyle name="標準 6" xfId="10" xr:uid="{24CD5BB0-DFEE-4545-B848-3E989BCDD77F}"/>
    <cellStyle name="標準 7" xfId="11" xr:uid="{0F5E9B3A-F9F8-4545-9952-350D2D4A2ED9}"/>
    <cellStyle name="標準 8" xfId="12" xr:uid="{05C5A0C2-5357-4412-BD66-B6819DA764FB}"/>
  </cellStyles>
  <dxfs count="373">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FF00"/>
        </patternFill>
      </fill>
    </dxf>
    <dxf>
      <fill>
        <patternFill>
          <bgColor rgb="FFFFFF00"/>
        </patternFill>
      </fill>
    </dxf>
    <dxf>
      <fill>
        <patternFill>
          <bgColor rgb="FFFFFF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0" tint="-0.14996795556505021"/>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0" tint="-0.14996795556505021"/>
        </patternFill>
      </fill>
    </dxf>
    <dxf>
      <fill>
        <patternFill>
          <bgColor theme="0" tint="-0.14996795556505021"/>
        </patternFill>
      </fill>
    </dxf>
    <dxf>
      <fill>
        <patternFill>
          <bgColor theme="0" tint="-0.14996795556505021"/>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99FF"/>
      <color rgb="FFFF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1.xml"/></Relationships>
</file>

<file path=xl/ctrlProps/ctrlProp1.xml><?xml version="1.0" encoding="utf-8"?>
<formControlPr xmlns="http://schemas.microsoft.com/office/spreadsheetml/2009/9/main" objectType="CheckBox" fmlaLink="$AN$3" lockText="1" noThreeD="1"/>
</file>

<file path=xl/ctrlProps/ctrlProp2.xml><?xml version="1.0" encoding="utf-8"?>
<formControlPr xmlns="http://schemas.microsoft.com/office/spreadsheetml/2009/9/main" objectType="CheckBox" fmlaLink="$AN$4" lockText="1" noThreeD="1"/>
</file>

<file path=xl/ctrlProps/ctrlProp3.xml><?xml version="1.0" encoding="utf-8"?>
<formControlPr xmlns="http://schemas.microsoft.com/office/spreadsheetml/2009/9/main" objectType="CheckBox" fmlaLink="$AN$5" lockText="1" noThreeD="1"/>
</file>

<file path=xl/ctrlProps/ctrlProp4.xml><?xml version="1.0" encoding="utf-8"?>
<formControlPr xmlns="http://schemas.microsoft.com/office/spreadsheetml/2009/9/main" objectType="CheckBox" fmlaLink="$AF$54" lockText="1" noThreeD="1"/>
</file>

<file path=xl/ctrlProps/ctrlProp5.xml><?xml version="1.0" encoding="utf-8"?>
<formControlPr xmlns="http://schemas.microsoft.com/office/spreadsheetml/2009/9/main" objectType="CheckBox" fmlaLink="$AF$55" lockText="1" noThreeD="1"/>
</file>

<file path=xl/ctrlProps/ctrlProp6.xml><?xml version="1.0" encoding="utf-8"?>
<formControlPr xmlns="http://schemas.microsoft.com/office/spreadsheetml/2009/9/main" objectType="CheckBox" fmlaLink="$AF$56"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10.xml.rels><?xml version="1.0" encoding="UTF-8" standalone="yes"?>
<Relationships xmlns="http://schemas.openxmlformats.org/package/2006/relationships"><Relationship Id="rId3" Type="http://schemas.openxmlformats.org/officeDocument/2006/relationships/image" Target="../media/image17.emf"/><Relationship Id="rId2" Type="http://schemas.openxmlformats.org/officeDocument/2006/relationships/image" Target="../media/image16.emf"/><Relationship Id="rId1" Type="http://schemas.openxmlformats.org/officeDocument/2006/relationships/image" Target="../media/image15.emf"/></Relationships>
</file>

<file path=xl/drawings/_rels/drawing11.xml.rels><?xml version="1.0" encoding="UTF-8" standalone="yes"?>
<Relationships xmlns="http://schemas.openxmlformats.org/package/2006/relationships"><Relationship Id="rId1" Type="http://schemas.openxmlformats.org/officeDocument/2006/relationships/image" Target="../media/image21.emf"/></Relationships>
</file>

<file path=xl/drawings/_rels/drawing12.xml.rels><?xml version="1.0" encoding="UTF-8" standalone="yes"?>
<Relationships xmlns="http://schemas.openxmlformats.org/package/2006/relationships"><Relationship Id="rId2" Type="http://schemas.openxmlformats.org/officeDocument/2006/relationships/image" Target="../media/image24.emf"/><Relationship Id="rId1" Type="http://schemas.openxmlformats.org/officeDocument/2006/relationships/image" Target="../media/image23.emf"/></Relationships>
</file>

<file path=xl/drawings/_rels/drawing14.xml.rels><?xml version="1.0" encoding="UTF-8" standalone="yes"?>
<Relationships xmlns="http://schemas.openxmlformats.org/package/2006/relationships"><Relationship Id="rId1" Type="http://schemas.openxmlformats.org/officeDocument/2006/relationships/image" Target="../media/image27.emf"/></Relationships>
</file>

<file path=xl/drawings/_rels/drawing15.xml.rels><?xml version="1.0" encoding="UTF-8" standalone="yes"?>
<Relationships xmlns="http://schemas.openxmlformats.org/package/2006/relationships"><Relationship Id="rId1" Type="http://schemas.openxmlformats.org/officeDocument/2006/relationships/image" Target="../media/image29.emf"/></Relationships>
</file>

<file path=xl/drawings/_rels/drawing16.xml.rels><?xml version="1.0" encoding="UTF-8" standalone="yes"?>
<Relationships xmlns="http://schemas.openxmlformats.org/package/2006/relationships"><Relationship Id="rId1" Type="http://schemas.openxmlformats.org/officeDocument/2006/relationships/image" Target="../media/image31.emf"/></Relationships>
</file>

<file path=xl/drawings/_rels/drawing17.xml.rels><?xml version="1.0" encoding="UTF-8" standalone="yes"?>
<Relationships xmlns="http://schemas.openxmlformats.org/package/2006/relationships"><Relationship Id="rId1" Type="http://schemas.openxmlformats.org/officeDocument/2006/relationships/image" Target="../media/image33.emf"/></Relationships>
</file>

<file path=xl/drawings/_rels/drawing18.xml.rels><?xml version="1.0" encoding="UTF-8" standalone="yes"?>
<Relationships xmlns="http://schemas.openxmlformats.org/package/2006/relationships"><Relationship Id="rId1" Type="http://schemas.openxmlformats.org/officeDocument/2006/relationships/image" Target="../media/image35.emf"/></Relationships>
</file>

<file path=xl/drawings/_rels/drawing19.xml.rels><?xml version="1.0" encoding="UTF-8" standalone="yes"?>
<Relationships xmlns="http://schemas.openxmlformats.org/package/2006/relationships"><Relationship Id="rId1" Type="http://schemas.openxmlformats.org/officeDocument/2006/relationships/image" Target="../media/image37.emf"/></Relationships>
</file>

<file path=xl/drawings/_rels/drawing2.x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png"/></Relationships>
</file>

<file path=xl/drawings/_rels/drawing20.xml.rels><?xml version="1.0" encoding="UTF-8" standalone="yes"?>
<Relationships xmlns="http://schemas.openxmlformats.org/package/2006/relationships"><Relationship Id="rId1" Type="http://schemas.openxmlformats.org/officeDocument/2006/relationships/image" Target="../media/image39.emf"/></Relationships>
</file>

<file path=xl/drawings/_rels/drawing21.xml.rels><?xml version="1.0" encoding="UTF-8" standalone="yes"?>
<Relationships xmlns="http://schemas.openxmlformats.org/package/2006/relationships"><Relationship Id="rId1" Type="http://schemas.openxmlformats.org/officeDocument/2006/relationships/image" Target="../media/image41.emf"/></Relationships>
</file>

<file path=xl/drawings/_rels/drawing22.xml.rels><?xml version="1.0" encoding="UTF-8" standalone="yes"?>
<Relationships xmlns="http://schemas.openxmlformats.org/package/2006/relationships"><Relationship Id="rId1" Type="http://schemas.openxmlformats.org/officeDocument/2006/relationships/image" Target="../media/image43.emf"/></Relationships>
</file>

<file path=xl/drawings/_rels/drawing23.xml.rels><?xml version="1.0" encoding="UTF-8" standalone="yes"?>
<Relationships xmlns="http://schemas.openxmlformats.org/package/2006/relationships"><Relationship Id="rId1" Type="http://schemas.openxmlformats.org/officeDocument/2006/relationships/image" Target="../media/image45.emf"/></Relationships>
</file>

<file path=xl/drawings/_rels/drawing24.xml.rels><?xml version="1.0" encoding="UTF-8" standalone="yes"?>
<Relationships xmlns="http://schemas.openxmlformats.org/package/2006/relationships"><Relationship Id="rId1" Type="http://schemas.openxmlformats.org/officeDocument/2006/relationships/image" Target="../media/image47.emf"/></Relationships>
</file>

<file path=xl/drawings/_rels/drawing5.xml.rels><?xml version="1.0" encoding="UTF-8" standalone="yes"?>
<Relationships xmlns="http://schemas.openxmlformats.org/package/2006/relationships"><Relationship Id="rId2" Type="http://schemas.openxmlformats.org/officeDocument/2006/relationships/image" Target="../media/image6.emf"/><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1" Type="http://schemas.openxmlformats.org/officeDocument/2006/relationships/image" Target="../media/image8.png"/></Relationships>
</file>

<file path=xl/drawings/_rels/drawing7.xml.rels><?xml version="1.0" encoding="UTF-8" standalone="yes"?>
<Relationships xmlns="http://schemas.openxmlformats.org/package/2006/relationships"><Relationship Id="rId1" Type="http://schemas.openxmlformats.org/officeDocument/2006/relationships/image" Target="../media/image9.emf"/></Relationships>
</file>

<file path=xl/drawings/_rels/drawing8.xml.rels><?xml version="1.0" encoding="UTF-8" standalone="yes"?>
<Relationships xmlns="http://schemas.openxmlformats.org/package/2006/relationships"><Relationship Id="rId1" Type="http://schemas.openxmlformats.org/officeDocument/2006/relationships/image" Target="../media/image11.emf"/></Relationships>
</file>

<file path=xl/drawings/_rels/drawing9.xml.rels><?xml version="1.0" encoding="UTF-8" standalone="yes"?>
<Relationships xmlns="http://schemas.openxmlformats.org/package/2006/relationships"><Relationship Id="rId1" Type="http://schemas.openxmlformats.org/officeDocument/2006/relationships/image" Target="../media/image13.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10.vml.rels><?xml version="1.0" encoding="UTF-8" standalone="yes"?>
<Relationships xmlns="http://schemas.openxmlformats.org/package/2006/relationships"><Relationship Id="rId2" Type="http://schemas.openxmlformats.org/officeDocument/2006/relationships/image" Target="../media/image26.emf"/><Relationship Id="rId1" Type="http://schemas.openxmlformats.org/officeDocument/2006/relationships/image" Target="../media/image25.emf"/></Relationships>
</file>

<file path=xl/drawings/_rels/vmlDrawing11.vml.rels><?xml version="1.0" encoding="UTF-8" standalone="yes"?>
<Relationships xmlns="http://schemas.openxmlformats.org/package/2006/relationships"><Relationship Id="rId1" Type="http://schemas.openxmlformats.org/officeDocument/2006/relationships/image" Target="../media/image28.emf"/></Relationships>
</file>

<file path=xl/drawings/_rels/vmlDrawing12.vml.rels><?xml version="1.0" encoding="UTF-8" standalone="yes"?>
<Relationships xmlns="http://schemas.openxmlformats.org/package/2006/relationships"><Relationship Id="rId1" Type="http://schemas.openxmlformats.org/officeDocument/2006/relationships/image" Target="../media/image30.emf"/></Relationships>
</file>

<file path=xl/drawings/_rels/vmlDrawing13.vml.rels><?xml version="1.0" encoding="UTF-8" standalone="yes"?>
<Relationships xmlns="http://schemas.openxmlformats.org/package/2006/relationships"><Relationship Id="rId1" Type="http://schemas.openxmlformats.org/officeDocument/2006/relationships/image" Target="../media/image32.emf"/></Relationships>
</file>

<file path=xl/drawings/_rels/vmlDrawing14.vml.rels><?xml version="1.0" encoding="UTF-8" standalone="yes"?>
<Relationships xmlns="http://schemas.openxmlformats.org/package/2006/relationships"><Relationship Id="rId1" Type="http://schemas.openxmlformats.org/officeDocument/2006/relationships/image" Target="../media/image34.emf"/></Relationships>
</file>

<file path=xl/drawings/_rels/vmlDrawing15.vml.rels><?xml version="1.0" encoding="UTF-8" standalone="yes"?>
<Relationships xmlns="http://schemas.openxmlformats.org/package/2006/relationships"><Relationship Id="rId1" Type="http://schemas.openxmlformats.org/officeDocument/2006/relationships/image" Target="../media/image36.emf"/></Relationships>
</file>

<file path=xl/drawings/_rels/vmlDrawing16.vml.rels><?xml version="1.0" encoding="UTF-8" standalone="yes"?>
<Relationships xmlns="http://schemas.openxmlformats.org/package/2006/relationships"><Relationship Id="rId1" Type="http://schemas.openxmlformats.org/officeDocument/2006/relationships/image" Target="../media/image38.emf"/></Relationships>
</file>

<file path=xl/drawings/_rels/vmlDrawing17.vml.rels><?xml version="1.0" encoding="UTF-8" standalone="yes"?>
<Relationships xmlns="http://schemas.openxmlformats.org/package/2006/relationships"><Relationship Id="rId1" Type="http://schemas.openxmlformats.org/officeDocument/2006/relationships/image" Target="../media/image40.emf"/></Relationships>
</file>

<file path=xl/drawings/_rels/vmlDrawing18.vml.rels><?xml version="1.0" encoding="UTF-8" standalone="yes"?>
<Relationships xmlns="http://schemas.openxmlformats.org/package/2006/relationships"><Relationship Id="rId1" Type="http://schemas.openxmlformats.org/officeDocument/2006/relationships/image" Target="../media/image42.emf"/></Relationships>
</file>

<file path=xl/drawings/_rels/vmlDrawing19.vml.rels><?xml version="1.0" encoding="UTF-8" standalone="yes"?>
<Relationships xmlns="http://schemas.openxmlformats.org/package/2006/relationships"><Relationship Id="rId1" Type="http://schemas.openxmlformats.org/officeDocument/2006/relationships/image" Target="../media/image44.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5.emf"/></Relationships>
</file>

<file path=xl/drawings/_rels/vmlDrawing20.vml.rels><?xml version="1.0" encoding="UTF-8" standalone="yes"?>
<Relationships xmlns="http://schemas.openxmlformats.org/package/2006/relationships"><Relationship Id="rId1" Type="http://schemas.openxmlformats.org/officeDocument/2006/relationships/image" Target="../media/image46.emf"/></Relationships>
</file>

<file path=xl/drawings/_rels/vmlDrawing21.vml.rels><?xml version="1.0" encoding="UTF-8" standalone="yes"?>
<Relationships xmlns="http://schemas.openxmlformats.org/package/2006/relationships"><Relationship Id="rId1" Type="http://schemas.openxmlformats.org/officeDocument/2006/relationships/image" Target="../media/image48.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7.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10.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12.emf"/></Relationships>
</file>

<file path=xl/drawings/_rels/vmlDrawing7.vml.rels><?xml version="1.0" encoding="UTF-8" standalone="yes"?>
<Relationships xmlns="http://schemas.openxmlformats.org/package/2006/relationships"><Relationship Id="rId1" Type="http://schemas.openxmlformats.org/officeDocument/2006/relationships/image" Target="../media/image14.emf"/></Relationships>
</file>

<file path=xl/drawings/_rels/vmlDrawing8.vml.rels><?xml version="1.0" encoding="UTF-8" standalone="yes"?>
<Relationships xmlns="http://schemas.openxmlformats.org/package/2006/relationships"><Relationship Id="rId3" Type="http://schemas.openxmlformats.org/officeDocument/2006/relationships/image" Target="../media/image20.emf"/><Relationship Id="rId2" Type="http://schemas.openxmlformats.org/officeDocument/2006/relationships/image" Target="../media/image19.emf"/><Relationship Id="rId1" Type="http://schemas.openxmlformats.org/officeDocument/2006/relationships/image" Target="../media/image18.emf"/></Relationships>
</file>

<file path=xl/drawings/_rels/vmlDrawing9.vml.rels><?xml version="1.0" encoding="UTF-8" standalone="yes"?>
<Relationships xmlns="http://schemas.openxmlformats.org/package/2006/relationships"><Relationship Id="rId1" Type="http://schemas.openxmlformats.org/officeDocument/2006/relationships/image" Target="../media/image22.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85725</xdr:colOff>
          <xdr:row>2</xdr:row>
          <xdr:rowOff>28575</xdr:rowOff>
        </xdr:from>
        <xdr:to>
          <xdr:col>7</xdr:col>
          <xdr:colOff>304800</xdr:colOff>
          <xdr:row>2</xdr:row>
          <xdr:rowOff>333375</xdr:rowOff>
        </xdr:to>
        <xdr:sp macro="" textlink="">
          <xdr:nvSpPr>
            <xdr:cNvPr id="5121" name="Check Box 1" hidden="1">
              <a:extLst>
                <a:ext uri="{63B3BB69-23CF-44E3-9099-C40C66FF867C}">
                  <a14:compatExt spid="_x0000_s5121"/>
                </a:ext>
                <a:ext uri="{FF2B5EF4-FFF2-40B4-BE49-F238E27FC236}">
                  <a16:creationId xmlns:a16="http://schemas.microsoft.com/office/drawing/2014/main" id="{00000000-0008-0000-0300-000001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3</xdr:row>
          <xdr:rowOff>47625</xdr:rowOff>
        </xdr:from>
        <xdr:to>
          <xdr:col>7</xdr:col>
          <xdr:colOff>352425</xdr:colOff>
          <xdr:row>3</xdr:row>
          <xdr:rowOff>333375</xdr:rowOff>
        </xdr:to>
        <xdr:sp macro="" textlink="">
          <xdr:nvSpPr>
            <xdr:cNvPr id="5122" name="Check Box 2" hidden="1">
              <a:extLst>
                <a:ext uri="{63B3BB69-23CF-44E3-9099-C40C66FF867C}">
                  <a14:compatExt spid="_x0000_s5122"/>
                </a:ext>
                <a:ext uri="{FF2B5EF4-FFF2-40B4-BE49-F238E27FC236}">
                  <a16:creationId xmlns:a16="http://schemas.microsoft.com/office/drawing/2014/main" id="{00000000-0008-0000-0300-000002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4</xdr:row>
          <xdr:rowOff>19050</xdr:rowOff>
        </xdr:from>
        <xdr:to>
          <xdr:col>7</xdr:col>
          <xdr:colOff>428625</xdr:colOff>
          <xdr:row>4</xdr:row>
          <xdr:rowOff>361950</xdr:rowOff>
        </xdr:to>
        <xdr:sp macro="" textlink="">
          <xdr:nvSpPr>
            <xdr:cNvPr id="5123" name="Check Box 3" hidden="1">
              <a:extLst>
                <a:ext uri="{63B3BB69-23CF-44E3-9099-C40C66FF867C}">
                  <a14:compatExt spid="_x0000_s5123"/>
                </a:ext>
                <a:ext uri="{FF2B5EF4-FFF2-40B4-BE49-F238E27FC236}">
                  <a16:creationId xmlns:a16="http://schemas.microsoft.com/office/drawing/2014/main" id="{00000000-0008-0000-0300-000003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142875</xdr:colOff>
          <xdr:row>53</xdr:row>
          <xdr:rowOff>19050</xdr:rowOff>
        </xdr:from>
        <xdr:to>
          <xdr:col>8</xdr:col>
          <xdr:colOff>352425</xdr:colOff>
          <xdr:row>53</xdr:row>
          <xdr:rowOff>352425</xdr:rowOff>
        </xdr:to>
        <xdr:sp macro="" textlink="">
          <xdr:nvSpPr>
            <xdr:cNvPr id="5124" name="Check Box 4" hidden="1">
              <a:extLst>
                <a:ext uri="{63B3BB69-23CF-44E3-9099-C40C66FF867C}">
                  <a14:compatExt spid="_x0000_s5124"/>
                </a:ext>
                <a:ext uri="{FF2B5EF4-FFF2-40B4-BE49-F238E27FC236}">
                  <a16:creationId xmlns:a16="http://schemas.microsoft.com/office/drawing/2014/main" id="{00000000-0008-0000-0300-000004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142875</xdr:colOff>
          <xdr:row>53</xdr:row>
          <xdr:rowOff>361950</xdr:rowOff>
        </xdr:from>
        <xdr:to>
          <xdr:col>8</xdr:col>
          <xdr:colOff>352425</xdr:colOff>
          <xdr:row>54</xdr:row>
          <xdr:rowOff>361950</xdr:rowOff>
        </xdr:to>
        <xdr:sp macro="" textlink="">
          <xdr:nvSpPr>
            <xdr:cNvPr id="5125" name="Check Box 5" hidden="1">
              <a:extLst>
                <a:ext uri="{63B3BB69-23CF-44E3-9099-C40C66FF867C}">
                  <a14:compatExt spid="_x0000_s5125"/>
                </a:ext>
                <a:ext uri="{FF2B5EF4-FFF2-40B4-BE49-F238E27FC236}">
                  <a16:creationId xmlns:a16="http://schemas.microsoft.com/office/drawing/2014/main" id="{00000000-0008-0000-0300-000005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142875</xdr:colOff>
          <xdr:row>54</xdr:row>
          <xdr:rowOff>361950</xdr:rowOff>
        </xdr:from>
        <xdr:to>
          <xdr:col>8</xdr:col>
          <xdr:colOff>352425</xdr:colOff>
          <xdr:row>55</xdr:row>
          <xdr:rowOff>361950</xdr:rowOff>
        </xdr:to>
        <xdr:sp macro="" textlink="">
          <xdr:nvSpPr>
            <xdr:cNvPr id="5126" name="Check Box 6" hidden="1">
              <a:extLst>
                <a:ext uri="{63B3BB69-23CF-44E3-9099-C40C66FF867C}">
                  <a14:compatExt spid="_x0000_s5126"/>
                </a:ext>
                <a:ext uri="{FF2B5EF4-FFF2-40B4-BE49-F238E27FC236}">
                  <a16:creationId xmlns:a16="http://schemas.microsoft.com/office/drawing/2014/main" id="{00000000-0008-0000-0300-000006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219074</xdr:colOff>
          <xdr:row>8</xdr:row>
          <xdr:rowOff>317500</xdr:rowOff>
        </xdr:from>
        <xdr:to>
          <xdr:col>35</xdr:col>
          <xdr:colOff>2596868</xdr:colOff>
          <xdr:row>15</xdr:row>
          <xdr:rowOff>219075</xdr:rowOff>
        </xdr:to>
        <xdr:pic>
          <xdr:nvPicPr>
            <xdr:cNvPr id="2" name="図 1">
              <a:extLst>
                <a:ext uri="{FF2B5EF4-FFF2-40B4-BE49-F238E27FC236}">
                  <a16:creationId xmlns:a16="http://schemas.microsoft.com/office/drawing/2014/main" id="{00000000-0008-0000-0300-000002000000}"/>
                </a:ext>
              </a:extLst>
            </xdr:cNvPr>
            <xdr:cNvPicPr>
              <a:picLocks noChangeAspect="1" noChangeArrowheads="1"/>
              <a:extLst>
                <a:ext uri="{84589F7E-364E-4C9E-8A38-B11213B215E9}">
                  <a14:cameraTool cellRange="テーブル!$D$23:$G$31" spid="_x0000_s5156"/>
                </a:ext>
              </a:extLst>
            </xdr:cNvPicPr>
          </xdr:nvPicPr>
          <xdr:blipFill>
            <a:blip xmlns:r="http://schemas.openxmlformats.org/officeDocument/2006/relationships" r:embed="rId1"/>
            <a:srcRect/>
            <a:stretch>
              <a:fillRect/>
            </a:stretch>
          </xdr:blipFill>
          <xdr:spPr bwMode="auto">
            <a:xfrm>
              <a:off x="16919574" y="4127500"/>
              <a:ext cx="4711419" cy="256857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xdr:wsDr>
</file>

<file path=xl/drawings/drawing10.xml><?xml version="1.0" encoding="utf-8"?>
<xdr:wsDr xmlns:xdr="http://schemas.openxmlformats.org/drawingml/2006/spreadsheetDrawing" xmlns:a="http://schemas.openxmlformats.org/drawingml/2006/main">
  <xdr:twoCellAnchor>
    <xdr:from>
      <xdr:col>25</xdr:col>
      <xdr:colOff>219075</xdr:colOff>
      <xdr:row>10</xdr:row>
      <xdr:rowOff>349250</xdr:rowOff>
    </xdr:from>
    <xdr:to>
      <xdr:col>27</xdr:col>
      <xdr:colOff>873125</xdr:colOff>
      <xdr:row>10</xdr:row>
      <xdr:rowOff>1349375</xdr:rowOff>
    </xdr:to>
    <xdr:sp macro="" textlink="">
      <xdr:nvSpPr>
        <xdr:cNvPr id="5" name="吹き出し: 角を丸めた四角形 2">
          <a:extLst>
            <a:ext uri="{FF2B5EF4-FFF2-40B4-BE49-F238E27FC236}">
              <a16:creationId xmlns:a16="http://schemas.microsoft.com/office/drawing/2014/main" id="{00000000-0008-0000-1100-000005000000}"/>
            </a:ext>
          </a:extLst>
        </xdr:cNvPr>
        <xdr:cNvSpPr/>
      </xdr:nvSpPr>
      <xdr:spPr>
        <a:xfrm>
          <a:off x="15062200" y="2952750"/>
          <a:ext cx="2590800" cy="1000125"/>
        </a:xfrm>
        <a:prstGeom prst="wedgeRoundRectCallout">
          <a:avLst>
            <a:gd name="adj1" fmla="val -120279"/>
            <a:gd name="adj2" fmla="val 78798"/>
            <a:gd name="adj3" fmla="val 16667"/>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l"/>
          <a:r>
            <a:rPr kumimoji="1" lang="ja-JP" altLang="en-US" sz="1000" b="1">
              <a:latin typeface="+mn-ea"/>
              <a:ea typeface="+mn-ea"/>
            </a:rPr>
            <a:t>交付申請の際は見積書、カタログ等の提出は不要ですので必要情報が入力されると「－」が表示されます。</a:t>
          </a:r>
        </a:p>
      </xdr:txBody>
    </xdr:sp>
    <xdr:clientData/>
  </xdr:twoCellAnchor>
  <mc:AlternateContent xmlns:mc="http://schemas.openxmlformats.org/markup-compatibility/2006">
    <mc:Choice xmlns:a14="http://schemas.microsoft.com/office/drawing/2010/main" Requires="a14">
      <xdr:twoCellAnchor editAs="oneCell">
        <xdr:from>
          <xdr:col>11</xdr:col>
          <xdr:colOff>37346</xdr:colOff>
          <xdr:row>3</xdr:row>
          <xdr:rowOff>111124</xdr:rowOff>
        </xdr:from>
        <xdr:to>
          <xdr:col>19</xdr:col>
          <xdr:colOff>63500</xdr:colOff>
          <xdr:row>10</xdr:row>
          <xdr:rowOff>1356975</xdr:rowOff>
        </xdr:to>
        <xdr:pic>
          <xdr:nvPicPr>
            <xdr:cNvPr id="10" name="図 9">
              <a:extLst>
                <a:ext uri="{FF2B5EF4-FFF2-40B4-BE49-F238E27FC236}">
                  <a16:creationId xmlns:a16="http://schemas.microsoft.com/office/drawing/2014/main" id="{00000000-0008-0000-1100-00000A000000}"/>
                </a:ext>
              </a:extLst>
            </xdr:cNvPr>
            <xdr:cNvPicPr>
              <a:picLocks noChangeAspect="1" noChangeArrowheads="1"/>
              <a:extLst>
                <a:ext uri="{84589F7E-364E-4C9E-8A38-B11213B215E9}">
                  <a14:cameraTool cellRange="$AX$122:$BE$139" spid="_x0000_s183816"/>
                </a:ext>
              </a:extLst>
            </xdr:cNvPicPr>
          </xdr:nvPicPr>
          <xdr:blipFill>
            <a:blip xmlns:r="http://schemas.openxmlformats.org/officeDocument/2006/relationships" r:embed="rId1"/>
            <a:srcRect/>
            <a:stretch>
              <a:fillRect/>
            </a:stretch>
          </xdr:blipFill>
          <xdr:spPr bwMode="auto">
            <a:xfrm>
              <a:off x="9244846" y="873124"/>
              <a:ext cx="5455404" cy="3087351"/>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142875</xdr:colOff>
          <xdr:row>0</xdr:row>
          <xdr:rowOff>234497</xdr:rowOff>
        </xdr:from>
        <xdr:to>
          <xdr:col>33</xdr:col>
          <xdr:colOff>857250</xdr:colOff>
          <xdr:row>4</xdr:row>
          <xdr:rowOff>170997</xdr:rowOff>
        </xdr:to>
        <xdr:pic>
          <xdr:nvPicPr>
            <xdr:cNvPr id="3" name="図 2">
              <a:extLst>
                <a:ext uri="{FF2B5EF4-FFF2-40B4-BE49-F238E27FC236}">
                  <a16:creationId xmlns:a16="http://schemas.microsoft.com/office/drawing/2014/main" id="{00000000-0008-0000-1100-000003000000}"/>
                </a:ext>
              </a:extLst>
            </xdr:cNvPr>
            <xdr:cNvPicPr>
              <a:picLocks noChangeAspect="1" noChangeArrowheads="1"/>
              <a:extLst>
                <a:ext uri="{84589F7E-364E-4C9E-8A38-B11213B215E9}">
                  <a14:cameraTool cellRange="$AS$117:$AV$120" spid="_x0000_s183817"/>
                </a:ext>
              </a:extLst>
            </xdr:cNvPicPr>
          </xdr:nvPicPr>
          <xdr:blipFill>
            <a:blip xmlns:r="http://schemas.openxmlformats.org/officeDocument/2006/relationships" r:embed="rId2"/>
            <a:srcRect/>
            <a:stretch>
              <a:fillRect/>
            </a:stretch>
          </xdr:blipFill>
          <xdr:spPr bwMode="auto">
            <a:xfrm>
              <a:off x="14986000" y="234497"/>
              <a:ext cx="8461375" cy="1016000"/>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xdr:twoCellAnchor>
    <xdr:from>
      <xdr:col>6</xdr:col>
      <xdr:colOff>555625</xdr:colOff>
      <xdr:row>9</xdr:row>
      <xdr:rowOff>15875</xdr:rowOff>
    </xdr:from>
    <xdr:to>
      <xdr:col>8</xdr:col>
      <xdr:colOff>444500</xdr:colOff>
      <xdr:row>10</xdr:row>
      <xdr:rowOff>1222375</xdr:rowOff>
    </xdr:to>
    <xdr:cxnSp macro="">
      <xdr:nvCxnSpPr>
        <xdr:cNvPr id="4" name="直線矢印コネクタ 3">
          <a:extLst>
            <a:ext uri="{FF2B5EF4-FFF2-40B4-BE49-F238E27FC236}">
              <a16:creationId xmlns:a16="http://schemas.microsoft.com/office/drawing/2014/main" id="{00000000-0008-0000-1100-000004000000}"/>
            </a:ext>
          </a:extLst>
        </xdr:cNvPr>
        <xdr:cNvCxnSpPr/>
      </xdr:nvCxnSpPr>
      <xdr:spPr>
        <a:xfrm flipH="1" flipV="1">
          <a:off x="5641975" y="2263775"/>
          <a:ext cx="1203325" cy="1520825"/>
        </a:xfrm>
        <a:prstGeom prst="straightConnector1">
          <a:avLst/>
        </a:prstGeom>
        <a:ln w="28575">
          <a:solidFill>
            <a:srgbClr val="FFC000"/>
          </a:solidFill>
          <a:prstDash val="dash"/>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3</xdr:col>
      <xdr:colOff>47625</xdr:colOff>
      <xdr:row>5</xdr:row>
      <xdr:rowOff>15875</xdr:rowOff>
    </xdr:from>
    <xdr:to>
      <xdr:col>3</xdr:col>
      <xdr:colOff>111125</xdr:colOff>
      <xdr:row>7</xdr:row>
      <xdr:rowOff>15875</xdr:rowOff>
    </xdr:to>
    <xdr:sp macro="" textlink="">
      <xdr:nvSpPr>
        <xdr:cNvPr id="6" name="右中かっこ 5">
          <a:extLst>
            <a:ext uri="{FF2B5EF4-FFF2-40B4-BE49-F238E27FC236}">
              <a16:creationId xmlns:a16="http://schemas.microsoft.com/office/drawing/2014/main" id="{00000000-0008-0000-1100-000006000000}"/>
            </a:ext>
          </a:extLst>
        </xdr:cNvPr>
        <xdr:cNvSpPr/>
      </xdr:nvSpPr>
      <xdr:spPr>
        <a:xfrm>
          <a:off x="2705100" y="1330325"/>
          <a:ext cx="63500" cy="495300"/>
        </a:xfrm>
        <a:prstGeom prst="rightBrac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xdr:col>
      <xdr:colOff>238125</xdr:colOff>
      <xdr:row>1</xdr:row>
      <xdr:rowOff>158750</xdr:rowOff>
    </xdr:from>
    <xdr:to>
      <xdr:col>4</xdr:col>
      <xdr:colOff>523875</xdr:colOff>
      <xdr:row>5</xdr:row>
      <xdr:rowOff>222250</xdr:rowOff>
    </xdr:to>
    <xdr:cxnSp macro="">
      <xdr:nvCxnSpPr>
        <xdr:cNvPr id="7" name="直線矢印コネクタ 6">
          <a:extLst>
            <a:ext uri="{FF2B5EF4-FFF2-40B4-BE49-F238E27FC236}">
              <a16:creationId xmlns:a16="http://schemas.microsoft.com/office/drawing/2014/main" id="{00000000-0008-0000-1100-000007000000}"/>
            </a:ext>
          </a:extLst>
        </xdr:cNvPr>
        <xdr:cNvCxnSpPr/>
      </xdr:nvCxnSpPr>
      <xdr:spPr>
        <a:xfrm flipH="1">
          <a:off x="2895600" y="539750"/>
          <a:ext cx="1095375" cy="99695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508000</xdr:colOff>
      <xdr:row>0</xdr:row>
      <xdr:rowOff>206374</xdr:rowOff>
    </xdr:from>
    <xdr:to>
      <xdr:col>10</xdr:col>
      <xdr:colOff>682625</xdr:colOff>
      <xdr:row>3</xdr:row>
      <xdr:rowOff>126999</xdr:rowOff>
    </xdr:to>
    <xdr:sp macro="" textlink="">
      <xdr:nvSpPr>
        <xdr:cNvPr id="8" name="テキスト ボックス 7">
          <a:extLst>
            <a:ext uri="{FF2B5EF4-FFF2-40B4-BE49-F238E27FC236}">
              <a16:creationId xmlns:a16="http://schemas.microsoft.com/office/drawing/2014/main" id="{00000000-0008-0000-1100-000008000000}"/>
            </a:ext>
          </a:extLst>
        </xdr:cNvPr>
        <xdr:cNvSpPr txBox="1"/>
      </xdr:nvSpPr>
      <xdr:spPr>
        <a:xfrm>
          <a:off x="3975100" y="206374"/>
          <a:ext cx="4956175" cy="6731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「基礎情報」シートに入力された</a:t>
          </a:r>
          <a:endParaRPr kumimoji="1" lang="en-US" altLang="ja-JP" sz="1100" b="1">
            <a:solidFill>
              <a:srgbClr val="FF0000"/>
            </a:solidFill>
          </a:endParaRPr>
        </a:p>
        <a:p>
          <a:r>
            <a:rPr kumimoji="1" lang="ja-JP" altLang="en-US" sz="1100" b="1">
              <a:solidFill>
                <a:srgbClr val="FF0000"/>
              </a:solidFill>
            </a:rPr>
            <a:t>「診療日数」及び１日あたり平均の「常勤換算配置員数」が表示されます。</a:t>
          </a:r>
        </a:p>
      </xdr:txBody>
    </xdr:sp>
    <xdr:clientData/>
  </xdr:twoCellAnchor>
  <xdr:twoCellAnchor>
    <xdr:from>
      <xdr:col>1</xdr:col>
      <xdr:colOff>460375</xdr:colOff>
      <xdr:row>30</xdr:row>
      <xdr:rowOff>31749</xdr:rowOff>
    </xdr:from>
    <xdr:to>
      <xdr:col>18</xdr:col>
      <xdr:colOff>873125</xdr:colOff>
      <xdr:row>42</xdr:row>
      <xdr:rowOff>142875</xdr:rowOff>
    </xdr:to>
    <xdr:sp macro="" textlink="">
      <xdr:nvSpPr>
        <xdr:cNvPr id="2" name="テキスト ボックス 1">
          <a:extLst>
            <a:ext uri="{FF2B5EF4-FFF2-40B4-BE49-F238E27FC236}">
              <a16:creationId xmlns:a16="http://schemas.microsoft.com/office/drawing/2014/main" id="{00000000-0008-0000-1100-000002000000}"/>
            </a:ext>
          </a:extLst>
        </xdr:cNvPr>
        <xdr:cNvSpPr txBox="1"/>
      </xdr:nvSpPr>
      <xdr:spPr>
        <a:xfrm>
          <a:off x="730250" y="9239249"/>
          <a:ext cx="13589000" cy="315912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2000" b="1">
              <a:solidFill>
                <a:srgbClr val="FF0000"/>
              </a:solidFill>
            </a:rPr>
            <a:t>○太枠内には、補助対象期間の期首（令和５年</a:t>
          </a:r>
          <a:r>
            <a:rPr kumimoji="1" lang="en-US" altLang="ja-JP" sz="2000" b="1">
              <a:solidFill>
                <a:srgbClr val="FF0000"/>
              </a:solidFill>
            </a:rPr>
            <a:t>10</a:t>
          </a:r>
          <a:r>
            <a:rPr kumimoji="1" lang="ja-JP" altLang="en-US" sz="2000" b="1">
              <a:solidFill>
                <a:srgbClr val="FF0000"/>
              </a:solidFill>
            </a:rPr>
            <a:t>月１日）時点でのコロナ対応に供する用途である各品目の備蓄量（自費購入分及び国からの物資配布分を含む）を入力してください。</a:t>
          </a:r>
          <a:endParaRPr kumimoji="1" lang="en-US" altLang="ja-JP" sz="2000" b="1">
            <a:solidFill>
              <a:srgbClr val="FF0000"/>
            </a:solidFill>
          </a:endParaRPr>
        </a:p>
        <a:p>
          <a:r>
            <a:rPr kumimoji="1" lang="ja-JP" altLang="en-US" sz="2000" b="1">
              <a:solidFill>
                <a:srgbClr val="FF0000"/>
              </a:solidFill>
            </a:rPr>
            <a:t>○箱当たりの入数が異なる場合は、「内容量</a:t>
          </a:r>
          <a:r>
            <a:rPr kumimoji="1" lang="en-US" altLang="ja-JP" sz="2000" b="1">
              <a:solidFill>
                <a:srgbClr val="FF0000"/>
              </a:solidFill>
            </a:rPr>
            <a:t>/</a:t>
          </a:r>
          <a:r>
            <a:rPr kumimoji="1" lang="ja-JP" altLang="en-US" sz="2000" b="1">
              <a:solidFill>
                <a:srgbClr val="FF0000"/>
              </a:solidFill>
            </a:rPr>
            <a:t>箱」を「</a:t>
          </a:r>
          <a:r>
            <a:rPr kumimoji="1" lang="en-US" altLang="ja-JP" sz="2000" b="1">
              <a:solidFill>
                <a:srgbClr val="FF0000"/>
              </a:solidFill>
            </a:rPr>
            <a:t>1</a:t>
          </a:r>
          <a:r>
            <a:rPr kumimoji="1" lang="ja-JP" altLang="en-US" sz="2000" b="1">
              <a:solidFill>
                <a:srgbClr val="FF0000"/>
              </a:solidFill>
            </a:rPr>
            <a:t>」、箱数を在庫の数量としてください。</a:t>
          </a:r>
          <a:endParaRPr kumimoji="1" lang="en-US" altLang="ja-JP" sz="2000" b="1">
            <a:solidFill>
              <a:srgbClr val="FF0000"/>
            </a:solidFill>
          </a:endParaRPr>
        </a:p>
        <a:p>
          <a:r>
            <a:rPr kumimoji="1" lang="ja-JP" altLang="en-US" sz="2000" b="1">
              <a:solidFill>
                <a:srgbClr val="FF0000"/>
              </a:solidFill>
            </a:rPr>
            <a:t>厳密算定が難しい場合は、平常時において備蓄している平均的な量を入力するようにしてください。</a:t>
          </a:r>
          <a:endParaRPr kumimoji="1" lang="en-US" altLang="ja-JP" sz="2000" b="1">
            <a:solidFill>
              <a:srgbClr val="FF0000"/>
            </a:solidFill>
          </a:endParaRPr>
        </a:p>
        <a:p>
          <a:r>
            <a:rPr kumimoji="1" lang="ja-JP" altLang="en-US" sz="2000" b="1">
              <a:solidFill>
                <a:srgbClr val="FF0000"/>
              </a:solidFill>
            </a:rPr>
            <a:t>○また、期間中において国からの物資配布を受けている場合、太枠内の記載に倣い、配布を受けた日付とともに数量等を記載するようにしてください。（配布数の内訳が判る納品伝票等がある場合、郵送資料に同封願います。）</a:t>
          </a:r>
          <a:endParaRPr kumimoji="1" lang="en-US" altLang="ja-JP" sz="2000" b="1">
            <a:solidFill>
              <a:srgbClr val="FF0000"/>
            </a:solidFill>
          </a:endParaRPr>
        </a:p>
        <a:p>
          <a:r>
            <a:rPr kumimoji="1" lang="ja-JP" altLang="en-US" sz="2000" b="1">
              <a:solidFill>
                <a:srgbClr val="FF0000"/>
              </a:solidFill>
            </a:rPr>
            <a:t>○なお、このメッセージボックスは、内容を確認いただいたら削除していただいて構いません。</a:t>
          </a:r>
          <a:endParaRPr kumimoji="1" lang="en-US" altLang="ja-JP" sz="2000" b="1">
            <a:solidFill>
              <a:srgbClr val="FF0000"/>
            </a:solidFill>
          </a:endParaRPr>
        </a:p>
      </xdr:txBody>
    </xdr:sp>
    <xdr:clientData/>
  </xdr:twoCellAnchor>
  <mc:AlternateContent xmlns:mc="http://schemas.openxmlformats.org/markup-compatibility/2006">
    <mc:Choice xmlns:a14="http://schemas.microsoft.com/office/drawing/2010/main" Requires="a14">
      <xdr:twoCellAnchor editAs="oneCell">
        <xdr:from>
          <xdr:col>20</xdr:col>
          <xdr:colOff>79375</xdr:colOff>
          <xdr:row>10</xdr:row>
          <xdr:rowOff>1511300</xdr:rowOff>
        </xdr:from>
        <xdr:to>
          <xdr:col>30</xdr:col>
          <xdr:colOff>574675</xdr:colOff>
          <xdr:row>211</xdr:row>
          <xdr:rowOff>250825</xdr:rowOff>
        </xdr:to>
        <xdr:pic>
          <xdr:nvPicPr>
            <xdr:cNvPr id="11" name="図 10">
              <a:extLst>
                <a:ext uri="{FF2B5EF4-FFF2-40B4-BE49-F238E27FC236}">
                  <a16:creationId xmlns:a16="http://schemas.microsoft.com/office/drawing/2014/main" id="{EADAF9E3-C0A4-AD3E-C0FA-28F94258B06A}"/>
                </a:ext>
              </a:extLst>
            </xdr:cNvPr>
            <xdr:cNvPicPr>
              <a:picLocks noChangeAspect="1" noChangeArrowheads="1"/>
              <a:extLst>
                <a:ext uri="{84589F7E-364E-4C9E-8A38-B11213B215E9}">
                  <a14:cameraTool cellRange="$AK$12:$AM$212" spid="_x0000_s183818"/>
                </a:ext>
              </a:extLst>
            </xdr:cNvPicPr>
          </xdr:nvPicPr>
          <xdr:blipFill>
            <a:blip xmlns:r="http://schemas.openxmlformats.org/officeDocument/2006/relationships" r:embed="rId3"/>
            <a:srcRect/>
            <a:stretch>
              <a:fillRect/>
            </a:stretch>
          </xdr:blipFill>
          <xdr:spPr bwMode="auto">
            <a:xfrm>
              <a:off x="14922500" y="4114800"/>
              <a:ext cx="8305800" cy="5131752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20</xdr:col>
          <xdr:colOff>76200</xdr:colOff>
          <xdr:row>0</xdr:row>
          <xdr:rowOff>0</xdr:rowOff>
        </xdr:from>
        <xdr:to>
          <xdr:col>26</xdr:col>
          <xdr:colOff>457200</xdr:colOff>
          <xdr:row>76</xdr:row>
          <xdr:rowOff>15875</xdr:rowOff>
        </xdr:to>
        <xdr:pic>
          <xdr:nvPicPr>
            <xdr:cNvPr id="2" name="図 1">
              <a:extLst>
                <a:ext uri="{FF2B5EF4-FFF2-40B4-BE49-F238E27FC236}">
                  <a16:creationId xmlns:a16="http://schemas.microsoft.com/office/drawing/2014/main" id="{00000000-0008-0000-1300-000002000000}"/>
                </a:ext>
              </a:extLst>
            </xdr:cNvPr>
            <xdr:cNvPicPr>
              <a:picLocks noChangeAspect="1" noChangeArrowheads="1"/>
              <a:extLst>
                <a:ext uri="{84589F7E-364E-4C9E-8A38-B11213B215E9}">
                  <a14:cameraTool cellRange="$AB$1:$AE$75" spid="_x0000_s44403"/>
                </a:ext>
              </a:extLst>
            </xdr:cNvPicPr>
          </xdr:nvPicPr>
          <xdr:blipFill>
            <a:blip xmlns:r="http://schemas.openxmlformats.org/officeDocument/2006/relationships" r:embed="rId1"/>
            <a:srcRect/>
            <a:stretch>
              <a:fillRect/>
            </a:stretch>
          </xdr:blipFill>
          <xdr:spPr bwMode="auto">
            <a:xfrm>
              <a:off x="14458950" y="0"/>
              <a:ext cx="4286250" cy="21907500"/>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xdr:wsDr>
</file>

<file path=xl/drawings/drawing12.xml><?xml version="1.0" encoding="utf-8"?>
<xdr:wsDr xmlns:xdr="http://schemas.openxmlformats.org/drawingml/2006/spreadsheetDrawing" xmlns:a="http://schemas.openxmlformats.org/drawingml/2006/main">
  <xdr:twoCellAnchor>
    <xdr:from>
      <xdr:col>36</xdr:col>
      <xdr:colOff>91280</xdr:colOff>
      <xdr:row>32</xdr:row>
      <xdr:rowOff>71439</xdr:rowOff>
    </xdr:from>
    <xdr:to>
      <xdr:col>41</xdr:col>
      <xdr:colOff>247650</xdr:colOff>
      <xdr:row>43</xdr:row>
      <xdr:rowOff>1</xdr:rowOff>
    </xdr:to>
    <xdr:sp macro="" textlink="">
      <xdr:nvSpPr>
        <xdr:cNvPr id="2" name="テキスト ボックス 1">
          <a:extLst>
            <a:ext uri="{FF2B5EF4-FFF2-40B4-BE49-F238E27FC236}">
              <a16:creationId xmlns:a16="http://schemas.microsoft.com/office/drawing/2014/main" id="{00000000-0008-0000-1400-000002000000}"/>
            </a:ext>
          </a:extLst>
        </xdr:cNvPr>
        <xdr:cNvSpPr txBox="1"/>
      </xdr:nvSpPr>
      <xdr:spPr>
        <a:xfrm>
          <a:off x="30773210" y="9550719"/>
          <a:ext cx="5231290" cy="2694622"/>
        </a:xfrm>
        <a:prstGeom prst="rect">
          <a:avLst/>
        </a:prstGeom>
        <a:solidFill>
          <a:sysClr val="window" lastClr="FF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ysClr val="windowText" lastClr="000000"/>
              </a:solidFill>
              <a:latin typeface="ＭＳ ゴシック" panose="020B0609070205080204" pitchFamily="49" charset="-128"/>
              <a:ea typeface="ＭＳ ゴシック" panose="020B0609070205080204" pitchFamily="49" charset="-128"/>
            </a:rPr>
            <a:t>＜留意事項＞</a:t>
          </a:r>
          <a:endParaRPr kumimoji="1" lang="en-US" altLang="ja-JP" sz="1100" b="1">
            <a:solidFill>
              <a:sysClr val="windowText" lastClr="000000"/>
            </a:solidFill>
            <a:latin typeface="ＭＳ ゴシック" panose="020B0609070205080204" pitchFamily="49" charset="-128"/>
            <a:ea typeface="ＭＳ ゴシック" panose="020B0609070205080204" pitchFamily="49" charset="-128"/>
          </a:endParaRPr>
        </a:p>
        <a:p>
          <a:r>
            <a:rPr kumimoji="1" lang="ja-JP" altLang="en-US" sz="1100">
              <a:solidFill>
                <a:sysClr val="windowText" lastClr="000000"/>
              </a:solidFill>
              <a:latin typeface="ＭＳ ゴシック" panose="020B0609070205080204" pitchFamily="49" charset="-128"/>
              <a:ea typeface="ＭＳ ゴシック" panose="020B0609070205080204" pitchFamily="49" charset="-128"/>
            </a:rPr>
            <a:t>①</a:t>
          </a:r>
          <a:r>
            <a:rPr kumimoji="1" lang="ja-JP" altLang="en-US" sz="11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「種類」欄はプルダウンリストから選択してください。</a:t>
          </a:r>
          <a:endParaRPr kumimoji="1" lang="en-US" altLang="ja-JP" sz="11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申請できる個人防護具の種類は、</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マスク、ゴーグル、ガウン、グローブ、キャップ、フェイスシールド</a:t>
          </a:r>
          <a:endParaRPr kumimoji="1" lang="en-US" altLang="ja-JP" sz="11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です。</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令和</a:t>
          </a:r>
          <a:r>
            <a:rPr kumimoji="1" lang="en-US" altLang="ja-JP" sz="11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3</a:t>
          </a:r>
          <a:r>
            <a:rPr kumimoji="1" lang="ja-JP" altLang="en-US" sz="11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年</a:t>
          </a:r>
          <a:r>
            <a:rPr kumimoji="1" lang="en-US" altLang="ja-JP" sz="11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4</a:t>
          </a:r>
          <a:r>
            <a:rPr kumimoji="1" lang="ja-JP" altLang="en-US" sz="11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月</a:t>
          </a:r>
          <a:r>
            <a:rPr kumimoji="1" lang="en-US" altLang="ja-JP" sz="11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1</a:t>
          </a:r>
          <a:r>
            <a:rPr kumimoji="1" lang="ja-JP" altLang="en-US" sz="11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日（診療・検査医療機関の指定を受けた日が</a:t>
          </a:r>
          <a:r>
            <a:rPr kumimoji="1" lang="en-US" altLang="ja-JP" sz="11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4</a:t>
          </a:r>
          <a:r>
            <a:rPr kumimoji="1" lang="ja-JP" altLang="en-US" sz="11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月</a:t>
          </a:r>
          <a:r>
            <a:rPr kumimoji="1" lang="en-US" altLang="ja-JP" sz="11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1</a:t>
          </a:r>
          <a:r>
            <a:rPr kumimoji="1" lang="ja-JP" altLang="en-US" sz="11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日以降の場合は、指定日）から令和</a:t>
          </a:r>
          <a:r>
            <a:rPr kumimoji="1" lang="en-US" altLang="ja-JP" sz="11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3</a:t>
          </a:r>
          <a:r>
            <a:rPr kumimoji="1" lang="ja-JP" altLang="en-US" sz="11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年</a:t>
          </a:r>
          <a:r>
            <a:rPr kumimoji="1" lang="en-US" altLang="ja-JP" sz="11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9</a:t>
          </a:r>
          <a:r>
            <a:rPr kumimoji="1" lang="ja-JP" altLang="en-US" sz="11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月</a:t>
          </a:r>
          <a:r>
            <a:rPr kumimoji="1" lang="en-US" altLang="ja-JP" sz="11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30</a:t>
          </a:r>
          <a:r>
            <a:rPr kumimoji="1" lang="ja-JP" altLang="en-US" sz="11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日（または、診療・検査医療機関の指定取り下げ日）までの期間内に使用する分を申請してください。</a:t>
          </a:r>
          <a:endParaRPr kumimoji="1" lang="en-US" altLang="ja-JP" sz="1100">
            <a:solidFill>
              <a:sysClr val="windowText" lastClr="000000"/>
            </a:solidFill>
            <a:latin typeface="ＭＳ ゴシック" panose="020B0609070205080204" pitchFamily="49" charset="-128"/>
            <a:ea typeface="ＭＳ ゴシック" panose="020B0609070205080204" pitchFamily="49" charset="-128"/>
          </a:endParaRPr>
        </a:p>
        <a:p>
          <a:r>
            <a:rPr kumimoji="1" lang="ja-JP" altLang="en-US" sz="1100">
              <a:solidFill>
                <a:sysClr val="windowText" lastClr="000000"/>
              </a:solidFill>
              <a:latin typeface="ＭＳ ゴシック" panose="020B0609070205080204" pitchFamily="49" charset="-128"/>
              <a:ea typeface="ＭＳ ゴシック" panose="020B0609070205080204" pitchFamily="49" charset="-128"/>
            </a:rPr>
            <a:t>②「単価（税抜）」欄と「単価（税込）」欄については、</a:t>
          </a:r>
          <a:r>
            <a:rPr kumimoji="1" lang="ja-JP" altLang="en-US" sz="1100">
              <a:solidFill>
                <a:srgbClr val="FF0000"/>
              </a:solidFill>
              <a:latin typeface="ＭＳ ゴシック" panose="020B0609070205080204" pitchFamily="49" charset="-128"/>
              <a:ea typeface="ＭＳ ゴシック" panose="020B0609070205080204" pitchFamily="49" charset="-128"/>
            </a:rPr>
            <a:t>どちらか一方を</a:t>
          </a:r>
          <a:r>
            <a:rPr kumimoji="1" lang="ja-JP" altLang="en-US" sz="1100">
              <a:solidFill>
                <a:sysClr val="windowText" lastClr="000000"/>
              </a:solidFill>
              <a:latin typeface="ＭＳ ゴシック" panose="020B0609070205080204" pitchFamily="49" charset="-128"/>
              <a:ea typeface="ＭＳ ゴシック" panose="020B0609070205080204" pitchFamily="49" charset="-128"/>
            </a:rPr>
            <a:t>入力して下さい。（最終的に、</a:t>
          </a:r>
          <a:r>
            <a:rPr kumimoji="1" lang="ja-JP" altLang="en-US" sz="1100">
              <a:solidFill>
                <a:srgbClr val="FF0000"/>
              </a:solidFill>
              <a:latin typeface="ＭＳ ゴシック" panose="020B0609070205080204" pitchFamily="49" charset="-128"/>
              <a:ea typeface="ＭＳ ゴシック" panose="020B0609070205080204" pitchFamily="49" charset="-128"/>
            </a:rPr>
            <a:t>「金額（税込）」欄が、見積書等（発注・契約書、納品書、請求書、領収書など）と一致</a:t>
          </a:r>
          <a:r>
            <a:rPr kumimoji="1" lang="ja-JP" altLang="en-US" sz="1100">
              <a:solidFill>
                <a:sysClr val="windowText" lastClr="000000"/>
              </a:solidFill>
              <a:latin typeface="ＭＳ ゴシック" panose="020B0609070205080204" pitchFamily="49" charset="-128"/>
              <a:ea typeface="ＭＳ ゴシック" panose="020B0609070205080204" pitchFamily="49" charset="-128"/>
            </a:rPr>
            <a:t>するようにしてください。）</a:t>
          </a:r>
          <a:endParaRPr kumimoji="1" lang="en-US" altLang="ja-JP" sz="1100">
            <a:latin typeface="ＭＳ ゴシック" panose="020B0609070205080204" pitchFamily="49" charset="-128"/>
            <a:ea typeface="ＭＳ ゴシック" panose="020B0609070205080204" pitchFamily="49" charset="-128"/>
          </a:endParaRPr>
        </a:p>
        <a:p>
          <a:r>
            <a:rPr kumimoji="1" lang="ja-JP" altLang="en-US" sz="1100">
              <a:latin typeface="ＭＳ ゴシック" panose="020B0609070205080204" pitchFamily="49" charset="-128"/>
              <a:ea typeface="ＭＳ ゴシック" panose="020B0609070205080204" pitchFamily="49" charset="-128"/>
            </a:rPr>
            <a:t>③「添付書類番号」欄に番号を入力いただき、照合できるように、</a:t>
          </a:r>
          <a:r>
            <a:rPr kumimoji="1" lang="ja-JP" altLang="en-US" sz="1100">
              <a:solidFill>
                <a:srgbClr val="FF0000"/>
              </a:solidFill>
              <a:latin typeface="ＭＳ ゴシック" panose="020B0609070205080204" pitchFamily="49" charset="-128"/>
              <a:ea typeface="ＭＳ ゴシック" panose="020B0609070205080204" pitchFamily="49" charset="-128"/>
            </a:rPr>
            <a:t>各品目に対する見積書等（発注・契約書、納品書、請求書、領収書など）に番号を付記してください。</a:t>
          </a:r>
          <a:endParaRPr kumimoji="1" lang="en-US" altLang="ja-JP" sz="1100">
            <a:solidFill>
              <a:srgbClr val="FF0000"/>
            </a:solidFill>
            <a:latin typeface="ＭＳ ゴシック" panose="020B0609070205080204" pitchFamily="49" charset="-128"/>
            <a:ea typeface="ＭＳ ゴシック" panose="020B0609070205080204" pitchFamily="49" charset="-128"/>
          </a:endParaRPr>
        </a:p>
        <a:p>
          <a:endParaRPr kumimoji="1" lang="en-US" altLang="ja-JP" sz="1100">
            <a:latin typeface="ＭＳ ゴシック" panose="020B0609070205080204" pitchFamily="49" charset="-128"/>
            <a:ea typeface="ＭＳ ゴシック" panose="020B0609070205080204" pitchFamily="49" charset="-128"/>
          </a:endParaRPr>
        </a:p>
        <a:p>
          <a:endParaRPr kumimoji="1" lang="ja-JP" altLang="en-US" sz="1100">
            <a:latin typeface="ＭＳ ゴシック" panose="020B0609070205080204" pitchFamily="49" charset="-128"/>
            <a:ea typeface="ＭＳ ゴシック" panose="020B0609070205080204" pitchFamily="49" charset="-128"/>
          </a:endParaRPr>
        </a:p>
      </xdr:txBody>
    </xdr:sp>
    <xdr:clientData/>
  </xdr:twoCellAnchor>
  <mc:AlternateContent xmlns:mc="http://schemas.openxmlformats.org/markup-compatibility/2006">
    <mc:Choice xmlns:a14="http://schemas.microsoft.com/office/drawing/2010/main" Requires="a14">
      <xdr:twoCellAnchor editAs="oneCell">
        <xdr:from>
          <xdr:col>20</xdr:col>
          <xdr:colOff>194129</xdr:colOff>
          <xdr:row>10</xdr:row>
          <xdr:rowOff>1472747</xdr:rowOff>
        </xdr:from>
        <xdr:to>
          <xdr:col>28</xdr:col>
          <xdr:colOff>493487</xdr:colOff>
          <xdr:row>110</xdr:row>
          <xdr:rowOff>166462</xdr:rowOff>
        </xdr:to>
        <xdr:pic>
          <xdr:nvPicPr>
            <xdr:cNvPr id="3" name="図 2">
              <a:extLst>
                <a:ext uri="{FF2B5EF4-FFF2-40B4-BE49-F238E27FC236}">
                  <a16:creationId xmlns:a16="http://schemas.microsoft.com/office/drawing/2014/main" id="{00000000-0008-0000-1400-000003000000}"/>
                </a:ext>
              </a:extLst>
            </xdr:cNvPr>
            <xdr:cNvPicPr>
              <a:picLocks noChangeAspect="1" noChangeArrowheads="1"/>
              <a:extLst>
                <a:ext uri="{84589F7E-364E-4C9E-8A38-B11213B215E9}">
                  <a14:cameraTool cellRange="$AF$12:$AI$112" spid="_x0000_s163340"/>
                </a:ext>
              </a:extLst>
            </xdr:cNvPicPr>
          </xdr:nvPicPr>
          <xdr:blipFill>
            <a:blip xmlns:r="http://schemas.openxmlformats.org/officeDocument/2006/relationships" r:embed="rId1"/>
            <a:srcRect/>
            <a:stretch>
              <a:fillRect/>
            </a:stretch>
          </xdr:blipFill>
          <xdr:spPr bwMode="auto">
            <a:xfrm>
              <a:off x="12413343" y="4248604"/>
              <a:ext cx="8545286" cy="24724179"/>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155394</xdr:colOff>
          <xdr:row>4</xdr:row>
          <xdr:rowOff>423727</xdr:rowOff>
        </xdr:from>
        <xdr:to>
          <xdr:col>25</xdr:col>
          <xdr:colOff>563608</xdr:colOff>
          <xdr:row>10</xdr:row>
          <xdr:rowOff>219620</xdr:rowOff>
        </xdr:to>
        <xdr:pic>
          <xdr:nvPicPr>
            <xdr:cNvPr id="4" name="図 3">
              <a:extLst>
                <a:ext uri="{FF2B5EF4-FFF2-40B4-BE49-F238E27FC236}">
                  <a16:creationId xmlns:a16="http://schemas.microsoft.com/office/drawing/2014/main" id="{00000000-0008-0000-1400-000004000000}"/>
                </a:ext>
              </a:extLst>
            </xdr:cNvPr>
            <xdr:cNvPicPr>
              <a:picLocks noChangeAspect="1" noChangeArrowheads="1"/>
              <a:extLst>
                <a:ext uri="{84589F7E-364E-4C9E-8A38-B11213B215E9}">
                  <a14:cameraTool cellRange="$AO$117:$AR$120" spid="_x0000_s163341"/>
                </a:ext>
              </a:extLst>
            </xdr:cNvPicPr>
          </xdr:nvPicPr>
          <xdr:blipFill>
            <a:blip xmlns:r="http://schemas.openxmlformats.org/officeDocument/2006/relationships" r:embed="rId2"/>
            <a:srcRect/>
            <a:stretch>
              <a:fillRect/>
            </a:stretch>
          </xdr:blipFill>
          <xdr:spPr bwMode="auto">
            <a:xfrm>
              <a:off x="9775644" y="1471477"/>
              <a:ext cx="8395607" cy="1524000"/>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xdr:twoCellAnchor>
    <xdr:from>
      <xdr:col>6</xdr:col>
      <xdr:colOff>414262</xdr:colOff>
      <xdr:row>8</xdr:row>
      <xdr:rowOff>201082</xdr:rowOff>
    </xdr:from>
    <xdr:to>
      <xdr:col>7</xdr:col>
      <xdr:colOff>244929</xdr:colOff>
      <xdr:row>10</xdr:row>
      <xdr:rowOff>1251856</xdr:rowOff>
    </xdr:to>
    <xdr:cxnSp macro="">
      <xdr:nvCxnSpPr>
        <xdr:cNvPr id="5" name="直線矢印コネクタ 4">
          <a:extLst>
            <a:ext uri="{FF2B5EF4-FFF2-40B4-BE49-F238E27FC236}">
              <a16:creationId xmlns:a16="http://schemas.microsoft.com/office/drawing/2014/main" id="{00000000-0008-0000-1400-000005000000}"/>
            </a:ext>
          </a:extLst>
        </xdr:cNvPr>
        <xdr:cNvCxnSpPr/>
      </xdr:nvCxnSpPr>
      <xdr:spPr>
        <a:xfrm flipH="1" flipV="1">
          <a:off x="4454767" y="2591857"/>
          <a:ext cx="487892" cy="1618464"/>
        </a:xfrm>
        <a:prstGeom prst="straightConnector1">
          <a:avLst/>
        </a:prstGeom>
        <a:ln w="28575">
          <a:solidFill>
            <a:srgbClr val="FFC000"/>
          </a:solidFill>
          <a:prstDash val="dash"/>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16</xdr:col>
      <xdr:colOff>76199</xdr:colOff>
      <xdr:row>10</xdr:row>
      <xdr:rowOff>340179</xdr:rowOff>
    </xdr:from>
    <xdr:to>
      <xdr:col>20</xdr:col>
      <xdr:colOff>993321</xdr:colOff>
      <xdr:row>10</xdr:row>
      <xdr:rowOff>1347106</xdr:rowOff>
    </xdr:to>
    <xdr:sp macro="" textlink="">
      <xdr:nvSpPr>
        <xdr:cNvPr id="6" name="吹き出し: 角を丸めた四角形 2">
          <a:extLst>
            <a:ext uri="{FF2B5EF4-FFF2-40B4-BE49-F238E27FC236}">
              <a16:creationId xmlns:a16="http://schemas.microsoft.com/office/drawing/2014/main" id="{00000000-0008-0000-1400-000006000000}"/>
            </a:ext>
          </a:extLst>
        </xdr:cNvPr>
        <xdr:cNvSpPr/>
      </xdr:nvSpPr>
      <xdr:spPr>
        <a:xfrm>
          <a:off x="10512878" y="3116036"/>
          <a:ext cx="2699657" cy="1006927"/>
        </a:xfrm>
        <a:prstGeom prst="wedgeRoundRectCallout">
          <a:avLst>
            <a:gd name="adj1" fmla="val -92965"/>
            <a:gd name="adj2" fmla="val 101070"/>
            <a:gd name="adj3" fmla="val 16667"/>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l"/>
          <a:r>
            <a:rPr kumimoji="1" lang="ja-JP" altLang="en-US" sz="1000" b="1">
              <a:latin typeface="+mn-ea"/>
              <a:ea typeface="+mn-ea"/>
            </a:rPr>
            <a:t>交付申請の際は見積書、カタログ等の提出は不要ですので必要情報が入力されると「－」が表示されます。</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37</xdr:col>
      <xdr:colOff>253999</xdr:colOff>
      <xdr:row>10</xdr:row>
      <xdr:rowOff>47625</xdr:rowOff>
    </xdr:from>
    <xdr:to>
      <xdr:col>47</xdr:col>
      <xdr:colOff>47625</xdr:colOff>
      <xdr:row>16</xdr:row>
      <xdr:rowOff>79375</xdr:rowOff>
    </xdr:to>
    <xdr:sp macro="" textlink="">
      <xdr:nvSpPr>
        <xdr:cNvPr id="2" name="テキスト ボックス 1">
          <a:extLst>
            <a:ext uri="{FF2B5EF4-FFF2-40B4-BE49-F238E27FC236}">
              <a16:creationId xmlns:a16="http://schemas.microsoft.com/office/drawing/2014/main" id="{00000000-0008-0000-1500-000002000000}"/>
            </a:ext>
          </a:extLst>
        </xdr:cNvPr>
        <xdr:cNvSpPr txBox="1"/>
      </xdr:nvSpPr>
      <xdr:spPr>
        <a:xfrm>
          <a:off x="10405744" y="2903220"/>
          <a:ext cx="5001896" cy="19081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600" b="1"/>
            <a:t>賃金情報については、</a:t>
          </a:r>
          <a:endParaRPr kumimoji="1" lang="en-US" altLang="ja-JP" sz="1600" b="1"/>
        </a:p>
        <a:p>
          <a:r>
            <a:rPr kumimoji="1" lang="ja-JP" altLang="en-US" sz="1600" b="1"/>
            <a:t>「月例給の場合」または「時給雇用の場合」</a:t>
          </a:r>
          <a:endParaRPr kumimoji="1" lang="en-US" altLang="ja-JP" sz="1600" b="1"/>
        </a:p>
        <a:p>
          <a:r>
            <a:rPr kumimoji="1" lang="ja-JP" altLang="en-US" sz="1600" b="1"/>
            <a:t>のいずれかのみ入力するようにしてください。</a:t>
          </a:r>
          <a:endParaRPr kumimoji="1" lang="en-US" altLang="ja-JP" sz="1600" b="1"/>
        </a:p>
        <a:p>
          <a:r>
            <a:rPr kumimoji="1" lang="ja-JP" altLang="en-US" sz="1600" b="1"/>
            <a:t>（いずれも入力すると判定が「</a:t>
          </a:r>
          <a:r>
            <a:rPr kumimoji="1" lang="en-US" altLang="ja-JP" sz="1600" b="1"/>
            <a:t>×</a:t>
          </a:r>
          <a:r>
            <a:rPr kumimoji="1" lang="ja-JP" altLang="en-US" sz="1600" b="1"/>
            <a:t>」になります。）</a:t>
          </a:r>
          <a:endParaRPr kumimoji="1" lang="en-US" altLang="ja-JP" sz="1600" b="1"/>
        </a:p>
      </xdr:txBody>
    </xdr:sp>
    <xdr:clientData/>
  </xdr:twoCellAnchor>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38</xdr:col>
          <xdr:colOff>71436</xdr:colOff>
          <xdr:row>0</xdr:row>
          <xdr:rowOff>190496</xdr:rowOff>
        </xdr:from>
        <xdr:to>
          <xdr:col>50</xdr:col>
          <xdr:colOff>4761</xdr:colOff>
          <xdr:row>63</xdr:row>
          <xdr:rowOff>14284</xdr:rowOff>
        </xdr:to>
        <xdr:pic>
          <xdr:nvPicPr>
            <xdr:cNvPr id="3" name="図 2">
              <a:extLst>
                <a:ext uri="{FF2B5EF4-FFF2-40B4-BE49-F238E27FC236}">
                  <a16:creationId xmlns:a16="http://schemas.microsoft.com/office/drawing/2014/main" id="{00000000-0008-0000-1600-000003000000}"/>
                </a:ext>
              </a:extLst>
            </xdr:cNvPr>
            <xdr:cNvPicPr>
              <a:picLocks noChangeAspect="1" noChangeArrowheads="1"/>
              <a:extLst>
                <a:ext uri="{84589F7E-364E-4C9E-8A38-B11213B215E9}">
                  <a14:cameraTool cellRange="$BF$2:$BI$63" spid="_x0000_s205838"/>
                </a:ext>
              </a:extLst>
            </xdr:cNvPicPr>
          </xdr:nvPicPr>
          <xdr:blipFill>
            <a:blip xmlns:r="http://schemas.openxmlformats.org/officeDocument/2006/relationships" r:embed="rId1"/>
            <a:srcRect/>
            <a:stretch>
              <a:fillRect/>
            </a:stretch>
          </xdr:blipFill>
          <xdr:spPr bwMode="auto">
            <a:xfrm>
              <a:off x="11215686" y="190496"/>
              <a:ext cx="9648825" cy="19540538"/>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16</xdr:col>
          <xdr:colOff>41275</xdr:colOff>
          <xdr:row>0</xdr:row>
          <xdr:rowOff>211137</xdr:rowOff>
        </xdr:from>
        <xdr:to>
          <xdr:col>23</xdr:col>
          <xdr:colOff>596900</xdr:colOff>
          <xdr:row>75</xdr:row>
          <xdr:rowOff>211137</xdr:rowOff>
        </xdr:to>
        <xdr:pic>
          <xdr:nvPicPr>
            <xdr:cNvPr id="2" name="図 1">
              <a:extLst>
                <a:ext uri="{FF2B5EF4-FFF2-40B4-BE49-F238E27FC236}">
                  <a16:creationId xmlns:a16="http://schemas.microsoft.com/office/drawing/2014/main" id="{00000000-0008-0000-1700-000002000000}"/>
                </a:ext>
              </a:extLst>
            </xdr:cNvPr>
            <xdr:cNvPicPr>
              <a:picLocks noChangeAspect="1" noChangeArrowheads="1"/>
              <a:extLst>
                <a:ext uri="{84589F7E-364E-4C9E-8A38-B11213B215E9}">
                  <a14:cameraTool cellRange="$AB$1:$AE$75" spid="_x0000_s45422"/>
                </a:ext>
              </a:extLst>
            </xdr:cNvPicPr>
          </xdr:nvPicPr>
          <xdr:blipFill>
            <a:blip xmlns:r="http://schemas.openxmlformats.org/officeDocument/2006/relationships" r:embed="rId1"/>
            <a:srcRect/>
            <a:stretch>
              <a:fillRect/>
            </a:stretch>
          </xdr:blipFill>
          <xdr:spPr bwMode="auto">
            <a:xfrm>
              <a:off x="11820525" y="211137"/>
              <a:ext cx="4286250" cy="2141537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16</xdr:col>
          <xdr:colOff>69850</xdr:colOff>
          <xdr:row>1</xdr:row>
          <xdr:rowOff>100012</xdr:rowOff>
        </xdr:from>
        <xdr:to>
          <xdr:col>23</xdr:col>
          <xdr:colOff>613569</xdr:colOff>
          <xdr:row>75</xdr:row>
          <xdr:rowOff>84137</xdr:rowOff>
        </xdr:to>
        <xdr:pic>
          <xdr:nvPicPr>
            <xdr:cNvPr id="2" name="図 1">
              <a:extLst>
                <a:ext uri="{FF2B5EF4-FFF2-40B4-BE49-F238E27FC236}">
                  <a16:creationId xmlns:a16="http://schemas.microsoft.com/office/drawing/2014/main" id="{00000000-0008-0000-1800-000002000000}"/>
                </a:ext>
              </a:extLst>
            </xdr:cNvPr>
            <xdr:cNvPicPr>
              <a:picLocks noChangeAspect="1" noChangeArrowheads="1"/>
              <a:extLst>
                <a:ext uri="{84589F7E-364E-4C9E-8A38-B11213B215E9}">
                  <a14:cameraTool cellRange="$AB$1:$AE$75" spid="_x0000_s47469"/>
                </a:ext>
              </a:extLst>
            </xdr:cNvPicPr>
          </xdr:nvPicPr>
          <xdr:blipFill>
            <a:blip xmlns:r="http://schemas.openxmlformats.org/officeDocument/2006/relationships" r:embed="rId1"/>
            <a:srcRect/>
            <a:stretch>
              <a:fillRect/>
            </a:stretch>
          </xdr:blipFill>
          <xdr:spPr bwMode="auto">
            <a:xfrm>
              <a:off x="11849100" y="354012"/>
              <a:ext cx="4274344" cy="20891500"/>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16</xdr:col>
          <xdr:colOff>47625</xdr:colOff>
          <xdr:row>0</xdr:row>
          <xdr:rowOff>161925</xdr:rowOff>
        </xdr:from>
        <xdr:to>
          <xdr:col>23</xdr:col>
          <xdr:colOff>47625</xdr:colOff>
          <xdr:row>75</xdr:row>
          <xdr:rowOff>171450</xdr:rowOff>
        </xdr:to>
        <xdr:pic>
          <xdr:nvPicPr>
            <xdr:cNvPr id="2" name="図 1">
              <a:extLst>
                <a:ext uri="{FF2B5EF4-FFF2-40B4-BE49-F238E27FC236}">
                  <a16:creationId xmlns:a16="http://schemas.microsoft.com/office/drawing/2014/main" id="{00000000-0008-0000-1900-000002000000}"/>
                </a:ext>
              </a:extLst>
            </xdr:cNvPr>
            <xdr:cNvPicPr>
              <a:picLocks noChangeAspect="1" noChangeArrowheads="1"/>
              <a:extLst>
                <a:ext uri="{84589F7E-364E-4C9E-8A38-B11213B215E9}">
                  <a14:cameraTool cellRange="$AC$1:$AD$75" spid="_x0000_s206860"/>
                </a:ext>
              </a:extLst>
            </xdr:cNvPicPr>
          </xdr:nvPicPr>
          <xdr:blipFill>
            <a:blip xmlns:r="http://schemas.openxmlformats.org/officeDocument/2006/relationships" r:embed="rId1"/>
            <a:srcRect/>
            <a:stretch>
              <a:fillRect/>
            </a:stretch>
          </xdr:blipFill>
          <xdr:spPr bwMode="auto">
            <a:xfrm>
              <a:off x="11826875" y="161925"/>
              <a:ext cx="3730625" cy="20916900"/>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13</xdr:col>
          <xdr:colOff>123825</xdr:colOff>
          <xdr:row>0</xdr:row>
          <xdr:rowOff>52387</xdr:rowOff>
        </xdr:from>
        <xdr:to>
          <xdr:col>19</xdr:col>
          <xdr:colOff>492919</xdr:colOff>
          <xdr:row>75</xdr:row>
          <xdr:rowOff>52387</xdr:rowOff>
        </xdr:to>
        <xdr:pic>
          <xdr:nvPicPr>
            <xdr:cNvPr id="2" name="図 1">
              <a:extLst>
                <a:ext uri="{FF2B5EF4-FFF2-40B4-BE49-F238E27FC236}">
                  <a16:creationId xmlns:a16="http://schemas.microsoft.com/office/drawing/2014/main" id="{00000000-0008-0000-1A00-000002000000}"/>
                </a:ext>
              </a:extLst>
            </xdr:cNvPr>
            <xdr:cNvPicPr>
              <a:picLocks noChangeAspect="1" noChangeArrowheads="1"/>
              <a:extLst>
                <a:ext uri="{84589F7E-364E-4C9E-8A38-B11213B215E9}">
                  <a14:cameraTool cellRange="$Y$1:$AB$75" spid="_x0000_s49514"/>
                </a:ext>
              </a:extLst>
            </xdr:cNvPicPr>
          </xdr:nvPicPr>
          <xdr:blipFill>
            <a:blip xmlns:r="http://schemas.openxmlformats.org/officeDocument/2006/relationships" r:embed="rId1"/>
            <a:srcRect/>
            <a:stretch>
              <a:fillRect/>
            </a:stretch>
          </xdr:blipFill>
          <xdr:spPr bwMode="auto">
            <a:xfrm>
              <a:off x="11101388" y="52387"/>
              <a:ext cx="4298156" cy="21216938"/>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13</xdr:col>
          <xdr:colOff>123825</xdr:colOff>
          <xdr:row>0</xdr:row>
          <xdr:rowOff>52387</xdr:rowOff>
        </xdr:from>
        <xdr:to>
          <xdr:col>19</xdr:col>
          <xdr:colOff>504825</xdr:colOff>
          <xdr:row>75</xdr:row>
          <xdr:rowOff>52387</xdr:rowOff>
        </xdr:to>
        <xdr:pic>
          <xdr:nvPicPr>
            <xdr:cNvPr id="2" name="図 1">
              <a:extLst>
                <a:ext uri="{FF2B5EF4-FFF2-40B4-BE49-F238E27FC236}">
                  <a16:creationId xmlns:a16="http://schemas.microsoft.com/office/drawing/2014/main" id="{00000000-0008-0000-1B00-000002000000}"/>
                </a:ext>
              </a:extLst>
            </xdr:cNvPr>
            <xdr:cNvPicPr>
              <a:picLocks noChangeAspect="1" noChangeArrowheads="1"/>
              <a:extLst>
                <a:ext uri="{84589F7E-364E-4C9E-8A38-B11213B215E9}">
                  <a14:cameraTool cellRange="$Y$1:$AB$75" spid="_x0000_s50533"/>
                </a:ext>
              </a:extLst>
            </xdr:cNvPicPr>
          </xdr:nvPicPr>
          <xdr:blipFill>
            <a:blip xmlns:r="http://schemas.openxmlformats.org/officeDocument/2006/relationships" r:embed="rId1"/>
            <a:srcRect/>
            <a:stretch>
              <a:fillRect/>
            </a:stretch>
          </xdr:blipFill>
          <xdr:spPr bwMode="auto">
            <a:xfrm>
              <a:off x="11093450" y="52387"/>
              <a:ext cx="4286250" cy="21145500"/>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38</xdr:col>
      <xdr:colOff>28576</xdr:colOff>
      <xdr:row>49</xdr:row>
      <xdr:rowOff>19051</xdr:rowOff>
    </xdr:from>
    <xdr:to>
      <xdr:col>41</xdr:col>
      <xdr:colOff>342901</xdr:colOff>
      <xdr:row>55</xdr:row>
      <xdr:rowOff>200026</xdr:rowOff>
    </xdr:to>
    <xdr:pic>
      <xdr:nvPicPr>
        <xdr:cNvPr id="2" name="図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1045826" y="17735551"/>
          <a:ext cx="2282825" cy="2339975"/>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29</xdr:col>
          <xdr:colOff>37647</xdr:colOff>
          <xdr:row>21</xdr:row>
          <xdr:rowOff>59420</xdr:rowOff>
        </xdr:from>
        <xdr:to>
          <xdr:col>34</xdr:col>
          <xdr:colOff>209385</xdr:colOff>
          <xdr:row>27</xdr:row>
          <xdr:rowOff>120199</xdr:rowOff>
        </xdr:to>
        <xdr:pic>
          <xdr:nvPicPr>
            <xdr:cNvPr id="4" name="図 3">
              <a:extLst>
                <a:ext uri="{FF2B5EF4-FFF2-40B4-BE49-F238E27FC236}">
                  <a16:creationId xmlns:a16="http://schemas.microsoft.com/office/drawing/2014/main" id="{00000000-0008-0000-0400-000004000000}"/>
                </a:ext>
              </a:extLst>
            </xdr:cNvPr>
            <xdr:cNvPicPr>
              <a:picLocks noChangeAspect="1" noChangeArrowheads="1"/>
              <a:extLst>
                <a:ext uri="{84589F7E-364E-4C9E-8A38-B11213B215E9}">
                  <a14:cameraTool cellRange="$AM$50:$AP$56" spid="_x0000_s110891"/>
                </a:ext>
              </a:extLst>
            </xdr:cNvPicPr>
          </xdr:nvPicPr>
          <xdr:blipFill>
            <a:blip xmlns:r="http://schemas.openxmlformats.org/officeDocument/2006/relationships" r:embed="rId2"/>
            <a:srcRect/>
            <a:stretch>
              <a:fillRect/>
            </a:stretch>
          </xdr:blipFill>
          <xdr:spPr bwMode="auto">
            <a:xfrm>
              <a:off x="7864022" y="7996920"/>
              <a:ext cx="1521113" cy="1584779"/>
            </a:xfrm>
            <a:prstGeom prst="rect">
              <a:avLst/>
            </a:prstGeom>
            <a:noFill/>
            <a:ln w="9525">
              <a:noFill/>
              <a:miter lim="800000"/>
              <a:headEnd/>
              <a:tailEnd/>
            </a:ln>
          </xdr:spPr>
        </xdr:pic>
        <xdr:clientData/>
      </xdr:twoCellAnchor>
    </mc:Choice>
    <mc:Fallback/>
  </mc:AlternateContent>
</xdr:wsDr>
</file>

<file path=xl/drawings/drawing2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13</xdr:col>
          <xdr:colOff>123825</xdr:colOff>
          <xdr:row>0</xdr:row>
          <xdr:rowOff>52387</xdr:rowOff>
        </xdr:from>
        <xdr:to>
          <xdr:col>19</xdr:col>
          <xdr:colOff>492919</xdr:colOff>
          <xdr:row>75</xdr:row>
          <xdr:rowOff>52387</xdr:rowOff>
        </xdr:to>
        <xdr:pic>
          <xdr:nvPicPr>
            <xdr:cNvPr id="2" name="図 1">
              <a:extLst>
                <a:ext uri="{FF2B5EF4-FFF2-40B4-BE49-F238E27FC236}">
                  <a16:creationId xmlns:a16="http://schemas.microsoft.com/office/drawing/2014/main" id="{00000000-0008-0000-1C00-000002000000}"/>
                </a:ext>
              </a:extLst>
            </xdr:cNvPr>
            <xdr:cNvPicPr>
              <a:picLocks noChangeAspect="1" noChangeArrowheads="1"/>
              <a:extLst>
                <a:ext uri="{84589F7E-364E-4C9E-8A38-B11213B215E9}">
                  <a14:cameraTool cellRange="$Y$1:$AB$75" spid="_x0000_s51556"/>
                </a:ext>
              </a:extLst>
            </xdr:cNvPicPr>
          </xdr:nvPicPr>
          <xdr:blipFill>
            <a:blip xmlns:r="http://schemas.openxmlformats.org/officeDocument/2006/relationships" r:embed="rId1"/>
            <a:srcRect/>
            <a:stretch>
              <a:fillRect/>
            </a:stretch>
          </xdr:blipFill>
          <xdr:spPr bwMode="auto">
            <a:xfrm>
              <a:off x="11101388" y="52387"/>
              <a:ext cx="4298156" cy="21216938"/>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xdr:wsDr>
</file>

<file path=xl/drawings/drawing2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13</xdr:col>
          <xdr:colOff>123825</xdr:colOff>
          <xdr:row>0</xdr:row>
          <xdr:rowOff>52387</xdr:rowOff>
        </xdr:from>
        <xdr:to>
          <xdr:col>19</xdr:col>
          <xdr:colOff>492919</xdr:colOff>
          <xdr:row>76</xdr:row>
          <xdr:rowOff>84137</xdr:rowOff>
        </xdr:to>
        <xdr:pic>
          <xdr:nvPicPr>
            <xdr:cNvPr id="2" name="図 1">
              <a:extLst>
                <a:ext uri="{FF2B5EF4-FFF2-40B4-BE49-F238E27FC236}">
                  <a16:creationId xmlns:a16="http://schemas.microsoft.com/office/drawing/2014/main" id="{00000000-0008-0000-1D00-000002000000}"/>
                </a:ext>
              </a:extLst>
            </xdr:cNvPr>
            <xdr:cNvPicPr>
              <a:picLocks noChangeAspect="1" noChangeArrowheads="1"/>
              <a:extLst>
                <a:ext uri="{84589F7E-364E-4C9E-8A38-B11213B215E9}">
                  <a14:cameraTool cellRange="$Y$1:$AB$75" spid="_x0000_s52584"/>
                </a:ext>
              </a:extLst>
            </xdr:cNvPicPr>
          </xdr:nvPicPr>
          <xdr:blipFill>
            <a:blip xmlns:r="http://schemas.openxmlformats.org/officeDocument/2006/relationships" r:embed="rId1"/>
            <a:srcRect/>
            <a:stretch>
              <a:fillRect/>
            </a:stretch>
          </xdr:blipFill>
          <xdr:spPr bwMode="auto">
            <a:xfrm>
              <a:off x="11101388" y="52387"/>
              <a:ext cx="4298156" cy="20966906"/>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xdr:wsDr>
</file>

<file path=xl/drawings/drawing2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13</xdr:col>
          <xdr:colOff>123825</xdr:colOff>
          <xdr:row>0</xdr:row>
          <xdr:rowOff>52387</xdr:rowOff>
        </xdr:from>
        <xdr:to>
          <xdr:col>19</xdr:col>
          <xdr:colOff>492919</xdr:colOff>
          <xdr:row>76</xdr:row>
          <xdr:rowOff>84137</xdr:rowOff>
        </xdr:to>
        <xdr:pic>
          <xdr:nvPicPr>
            <xdr:cNvPr id="2" name="図 1">
              <a:extLst>
                <a:ext uri="{FF2B5EF4-FFF2-40B4-BE49-F238E27FC236}">
                  <a16:creationId xmlns:a16="http://schemas.microsoft.com/office/drawing/2014/main" id="{00000000-0008-0000-1E00-000002000000}"/>
                </a:ext>
              </a:extLst>
            </xdr:cNvPr>
            <xdr:cNvPicPr>
              <a:picLocks noChangeAspect="1" noChangeArrowheads="1"/>
              <a:extLst>
                <a:ext uri="{84589F7E-364E-4C9E-8A38-B11213B215E9}">
                  <a14:cameraTool cellRange="$Y$1:$AB$75" spid="_x0000_s53611"/>
                </a:ext>
              </a:extLst>
            </xdr:cNvPicPr>
          </xdr:nvPicPr>
          <xdr:blipFill>
            <a:blip xmlns:r="http://schemas.openxmlformats.org/officeDocument/2006/relationships" r:embed="rId1"/>
            <a:srcRect/>
            <a:stretch>
              <a:fillRect/>
            </a:stretch>
          </xdr:blipFill>
          <xdr:spPr bwMode="auto">
            <a:xfrm>
              <a:off x="11101388" y="52387"/>
              <a:ext cx="4298156" cy="21216938"/>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xdr:wsDr>
</file>

<file path=xl/drawings/drawing2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13</xdr:col>
          <xdr:colOff>123825</xdr:colOff>
          <xdr:row>0</xdr:row>
          <xdr:rowOff>52387</xdr:rowOff>
        </xdr:from>
        <xdr:to>
          <xdr:col>19</xdr:col>
          <xdr:colOff>504825</xdr:colOff>
          <xdr:row>76</xdr:row>
          <xdr:rowOff>84137</xdr:rowOff>
        </xdr:to>
        <xdr:pic>
          <xdr:nvPicPr>
            <xdr:cNvPr id="2" name="図 1">
              <a:extLst>
                <a:ext uri="{FF2B5EF4-FFF2-40B4-BE49-F238E27FC236}">
                  <a16:creationId xmlns:a16="http://schemas.microsoft.com/office/drawing/2014/main" id="{00000000-0008-0000-1F00-000002000000}"/>
                </a:ext>
              </a:extLst>
            </xdr:cNvPr>
            <xdr:cNvPicPr>
              <a:picLocks noChangeAspect="1" noChangeArrowheads="1"/>
              <a:extLst>
                <a:ext uri="{84589F7E-364E-4C9E-8A38-B11213B215E9}">
                  <a14:cameraTool cellRange="$Y$1:$AB$75" spid="_x0000_s54635"/>
                </a:ext>
              </a:extLst>
            </xdr:cNvPicPr>
          </xdr:nvPicPr>
          <xdr:blipFill>
            <a:blip xmlns:r="http://schemas.openxmlformats.org/officeDocument/2006/relationships" r:embed="rId1"/>
            <a:srcRect/>
            <a:stretch>
              <a:fillRect/>
            </a:stretch>
          </xdr:blipFill>
          <xdr:spPr bwMode="auto">
            <a:xfrm>
              <a:off x="11093450" y="52387"/>
              <a:ext cx="4286250" cy="21653500"/>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xdr:wsDr>
</file>

<file path=xl/drawings/drawing2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13</xdr:col>
          <xdr:colOff>123825</xdr:colOff>
          <xdr:row>0</xdr:row>
          <xdr:rowOff>52387</xdr:rowOff>
        </xdr:from>
        <xdr:to>
          <xdr:col>19</xdr:col>
          <xdr:colOff>504825</xdr:colOff>
          <xdr:row>75</xdr:row>
          <xdr:rowOff>52387</xdr:rowOff>
        </xdr:to>
        <xdr:pic>
          <xdr:nvPicPr>
            <xdr:cNvPr id="2" name="図 1">
              <a:extLst>
                <a:ext uri="{FF2B5EF4-FFF2-40B4-BE49-F238E27FC236}">
                  <a16:creationId xmlns:a16="http://schemas.microsoft.com/office/drawing/2014/main" id="{00000000-0008-0000-2000-000002000000}"/>
                </a:ext>
              </a:extLst>
            </xdr:cNvPr>
            <xdr:cNvPicPr>
              <a:picLocks noChangeAspect="1" noChangeArrowheads="1"/>
              <a:extLst>
                <a:ext uri="{84589F7E-364E-4C9E-8A38-B11213B215E9}">
                  <a14:cameraTool cellRange="$Y$1:$AB$75" spid="_x0000_s55654"/>
                </a:ext>
              </a:extLst>
            </xdr:cNvPicPr>
          </xdr:nvPicPr>
          <xdr:blipFill>
            <a:blip xmlns:r="http://schemas.openxmlformats.org/officeDocument/2006/relationships" r:embed="rId1"/>
            <a:srcRect/>
            <a:stretch>
              <a:fillRect/>
            </a:stretch>
          </xdr:blipFill>
          <xdr:spPr bwMode="auto">
            <a:xfrm>
              <a:off x="11104789" y="52387"/>
              <a:ext cx="4299857" cy="21404036"/>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xdr:wsDr>
</file>

<file path=xl/drawings/drawing25.xml><?xml version="1.0" encoding="utf-8"?>
<xdr:wsDr xmlns:xdr="http://schemas.openxmlformats.org/drawingml/2006/spreadsheetDrawing" xmlns:a="http://schemas.openxmlformats.org/drawingml/2006/main">
  <xdr:twoCellAnchor>
    <xdr:from>
      <xdr:col>5</xdr:col>
      <xdr:colOff>174625</xdr:colOff>
      <xdr:row>1</xdr:row>
      <xdr:rowOff>0</xdr:rowOff>
    </xdr:from>
    <xdr:to>
      <xdr:col>9</xdr:col>
      <xdr:colOff>206375</xdr:colOff>
      <xdr:row>10</xdr:row>
      <xdr:rowOff>158750</xdr:rowOff>
    </xdr:to>
    <xdr:sp macro="" textlink="">
      <xdr:nvSpPr>
        <xdr:cNvPr id="2" name="テキスト ボックス 1">
          <a:extLst>
            <a:ext uri="{FF2B5EF4-FFF2-40B4-BE49-F238E27FC236}">
              <a16:creationId xmlns:a16="http://schemas.microsoft.com/office/drawing/2014/main" id="{00000000-0008-0000-2100-000002000000}"/>
            </a:ext>
          </a:extLst>
        </xdr:cNvPr>
        <xdr:cNvSpPr txBox="1"/>
      </xdr:nvSpPr>
      <xdr:spPr>
        <a:xfrm>
          <a:off x="16287750" y="206375"/>
          <a:ext cx="2762250" cy="3683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solidFill>
                <a:srgbClr val="FF0000"/>
              </a:solidFill>
            </a:rPr>
            <a:t>申請（または事前協議）内容の審査の結果、補正等が必要である場合、本シートに指摘事項を記載の上、データをメールにてお送りします。</a:t>
          </a:r>
          <a:endParaRPr kumimoji="1" lang="en-US" altLang="ja-JP" sz="1400" b="1">
            <a:solidFill>
              <a:srgbClr val="FF0000"/>
            </a:solidFill>
          </a:endParaRPr>
        </a:p>
        <a:p>
          <a:r>
            <a:rPr kumimoji="1" lang="ja-JP" altLang="en-US" sz="1400" b="1">
              <a:solidFill>
                <a:srgbClr val="FF0000"/>
              </a:solidFill>
            </a:rPr>
            <a:t>内容を確認の上、申請（または事前協議）内容を修正し、対応内容につき個別の指摘事項の右欄（回答欄）に対応内容を記載し、県からのメールあて返信によりご回答ください。</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29</xdr:col>
      <xdr:colOff>0</xdr:colOff>
      <xdr:row>77</xdr:row>
      <xdr:rowOff>19050</xdr:rowOff>
    </xdr:from>
    <xdr:to>
      <xdr:col>33</xdr:col>
      <xdr:colOff>266700</xdr:colOff>
      <xdr:row>77</xdr:row>
      <xdr:rowOff>266700</xdr:rowOff>
    </xdr:to>
    <xdr:cxnSp macro="">
      <xdr:nvCxnSpPr>
        <xdr:cNvPr id="3" name="直線矢印コネクタ 2">
          <a:extLst>
            <a:ext uri="{FF2B5EF4-FFF2-40B4-BE49-F238E27FC236}">
              <a16:creationId xmlns:a16="http://schemas.microsoft.com/office/drawing/2014/main" id="{00000000-0008-0000-0600-000003000000}"/>
            </a:ext>
          </a:extLst>
        </xdr:cNvPr>
        <xdr:cNvCxnSpPr/>
      </xdr:nvCxnSpPr>
      <xdr:spPr>
        <a:xfrm flipH="1">
          <a:off x="7955280" y="25420320"/>
          <a:ext cx="1363980" cy="167640"/>
        </a:xfrm>
        <a:prstGeom prst="straightConnector1">
          <a:avLst/>
        </a:prstGeom>
        <a:ln w="15875">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214312</xdr:colOff>
      <xdr:row>65</xdr:row>
      <xdr:rowOff>309562</xdr:rowOff>
    </xdr:from>
    <xdr:to>
      <xdr:col>50</xdr:col>
      <xdr:colOff>62932</xdr:colOff>
      <xdr:row>67</xdr:row>
      <xdr:rowOff>544286</xdr:rowOff>
    </xdr:to>
    <xdr:sp macro="" textlink="">
      <xdr:nvSpPr>
        <xdr:cNvPr id="4" name="テキスト ボックス 3">
          <a:extLst>
            <a:ext uri="{FF2B5EF4-FFF2-40B4-BE49-F238E27FC236}">
              <a16:creationId xmlns:a16="http://schemas.microsoft.com/office/drawing/2014/main" id="{00000000-0008-0000-0600-000004000000}"/>
            </a:ext>
          </a:extLst>
        </xdr:cNvPr>
        <xdr:cNvSpPr txBox="1"/>
      </xdr:nvSpPr>
      <xdr:spPr>
        <a:xfrm>
          <a:off x="11465242" y="21706522"/>
          <a:ext cx="2315595" cy="1109119"/>
        </a:xfrm>
        <a:prstGeom prst="rect">
          <a:avLst/>
        </a:prstGeom>
        <a:solidFill>
          <a:schemeClr val="lt1"/>
        </a:solidFill>
        <a:ln w="25400" cmpd="dbl">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400" b="1">
              <a:solidFill>
                <a:srgbClr val="FF0000"/>
              </a:solidFill>
            </a:rPr>
            <a:t>個人防護具の経費を申請に計上しない場合は入力不要です。</a:t>
          </a:r>
        </a:p>
      </xdr:txBody>
    </xdr:sp>
    <xdr:clientData/>
  </xdr:twoCellAnchor>
  <xdr:twoCellAnchor>
    <xdr:from>
      <xdr:col>21</xdr:col>
      <xdr:colOff>127000</xdr:colOff>
      <xdr:row>15</xdr:row>
      <xdr:rowOff>111125</xdr:rowOff>
    </xdr:from>
    <xdr:to>
      <xdr:col>45</xdr:col>
      <xdr:colOff>158750</xdr:colOff>
      <xdr:row>18</xdr:row>
      <xdr:rowOff>79375</xdr:rowOff>
    </xdr:to>
    <xdr:sp macro="" textlink="">
      <xdr:nvSpPr>
        <xdr:cNvPr id="5" name="テキスト ボックス 4">
          <a:extLst>
            <a:ext uri="{FF2B5EF4-FFF2-40B4-BE49-F238E27FC236}">
              <a16:creationId xmlns:a16="http://schemas.microsoft.com/office/drawing/2014/main" id="{00000000-0008-0000-0600-000005000000}"/>
            </a:ext>
          </a:extLst>
        </xdr:cNvPr>
        <xdr:cNvSpPr txBox="1"/>
      </xdr:nvSpPr>
      <xdr:spPr>
        <a:xfrm>
          <a:off x="5794375" y="4603750"/>
          <a:ext cx="6508750" cy="682625"/>
        </a:xfrm>
        <a:prstGeom prst="rect">
          <a:avLst/>
        </a:prstGeom>
        <a:solidFill>
          <a:schemeClr val="lt1"/>
        </a:solidFill>
        <a:ln w="19050" cmpd="dbl">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600" b="1">
              <a:solidFill>
                <a:srgbClr val="FF0000"/>
              </a:solidFill>
            </a:rPr>
            <a:t>以下、黄色枠は全欄入力するようにしてください。</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29</xdr:col>
      <xdr:colOff>0</xdr:colOff>
      <xdr:row>110</xdr:row>
      <xdr:rowOff>19050</xdr:rowOff>
    </xdr:from>
    <xdr:to>
      <xdr:col>33</xdr:col>
      <xdr:colOff>266700</xdr:colOff>
      <xdr:row>110</xdr:row>
      <xdr:rowOff>266700</xdr:rowOff>
    </xdr:to>
    <xdr:cxnSp macro="">
      <xdr:nvCxnSpPr>
        <xdr:cNvPr id="5" name="直線矢印コネクタ 4">
          <a:extLst>
            <a:ext uri="{FF2B5EF4-FFF2-40B4-BE49-F238E27FC236}">
              <a16:creationId xmlns:a16="http://schemas.microsoft.com/office/drawing/2014/main" id="{00000000-0008-0000-0700-000005000000}"/>
            </a:ext>
          </a:extLst>
        </xdr:cNvPr>
        <xdr:cNvCxnSpPr/>
      </xdr:nvCxnSpPr>
      <xdr:spPr>
        <a:xfrm flipH="1">
          <a:off x="7955280" y="23622000"/>
          <a:ext cx="1363980" cy="243840"/>
        </a:xfrm>
        <a:prstGeom prst="straightConnector1">
          <a:avLst/>
        </a:prstGeom>
        <a:ln w="15875">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29</xdr:col>
      <xdr:colOff>0</xdr:colOff>
      <xdr:row>110</xdr:row>
      <xdr:rowOff>19050</xdr:rowOff>
    </xdr:from>
    <xdr:to>
      <xdr:col>33</xdr:col>
      <xdr:colOff>266700</xdr:colOff>
      <xdr:row>110</xdr:row>
      <xdr:rowOff>266700</xdr:rowOff>
    </xdr:to>
    <xdr:cxnSp macro="">
      <xdr:nvCxnSpPr>
        <xdr:cNvPr id="6" name="直線矢印コネクタ 5">
          <a:extLst>
            <a:ext uri="{FF2B5EF4-FFF2-40B4-BE49-F238E27FC236}">
              <a16:creationId xmlns:a16="http://schemas.microsoft.com/office/drawing/2014/main" id="{00000000-0008-0000-0700-000006000000}"/>
            </a:ext>
          </a:extLst>
        </xdr:cNvPr>
        <xdr:cNvCxnSpPr/>
      </xdr:nvCxnSpPr>
      <xdr:spPr>
        <a:xfrm flipH="1">
          <a:off x="7955280" y="23622000"/>
          <a:ext cx="1363980" cy="243840"/>
        </a:xfrm>
        <a:prstGeom prst="straightConnector1">
          <a:avLst/>
        </a:prstGeom>
        <a:ln w="15875">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163286</xdr:colOff>
      <xdr:row>98</xdr:row>
      <xdr:rowOff>163285</xdr:rowOff>
    </xdr:from>
    <xdr:to>
      <xdr:col>50</xdr:col>
      <xdr:colOff>27214</xdr:colOff>
      <xdr:row>100</xdr:row>
      <xdr:rowOff>408214</xdr:rowOff>
    </xdr:to>
    <xdr:sp macro="" textlink="">
      <xdr:nvSpPr>
        <xdr:cNvPr id="7" name="テキスト ボックス 6">
          <a:extLst>
            <a:ext uri="{FF2B5EF4-FFF2-40B4-BE49-F238E27FC236}">
              <a16:creationId xmlns:a16="http://schemas.microsoft.com/office/drawing/2014/main" id="{00000000-0008-0000-0700-000007000000}"/>
            </a:ext>
          </a:extLst>
        </xdr:cNvPr>
        <xdr:cNvSpPr txBox="1"/>
      </xdr:nvSpPr>
      <xdr:spPr>
        <a:xfrm>
          <a:off x="11408501" y="19836220"/>
          <a:ext cx="2336618" cy="1125039"/>
        </a:xfrm>
        <a:prstGeom prst="rect">
          <a:avLst/>
        </a:prstGeom>
        <a:solidFill>
          <a:schemeClr val="lt1"/>
        </a:solidFill>
        <a:ln w="25400" cmpd="dbl">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400" b="1">
              <a:solidFill>
                <a:srgbClr val="FF0000"/>
              </a:solidFill>
            </a:rPr>
            <a:t>個人防護具の経費を申請に計上しない場合は入力不要です。</a:t>
          </a:r>
        </a:p>
      </xdr:txBody>
    </xdr:sp>
    <xdr:clientData/>
  </xdr:twoCellAnchor>
  <xdr:twoCellAnchor>
    <xdr:from>
      <xdr:col>47</xdr:col>
      <xdr:colOff>127000</xdr:colOff>
      <xdr:row>14</xdr:row>
      <xdr:rowOff>222250</xdr:rowOff>
    </xdr:from>
    <xdr:to>
      <xdr:col>50</xdr:col>
      <xdr:colOff>158750</xdr:colOff>
      <xdr:row>40</xdr:row>
      <xdr:rowOff>0</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12811125" y="5080000"/>
          <a:ext cx="841375" cy="5969000"/>
        </a:xfrm>
        <a:prstGeom prst="rect">
          <a:avLst/>
        </a:prstGeom>
        <a:solidFill>
          <a:schemeClr val="lt1"/>
        </a:solidFill>
        <a:ln w="15875" cmpd="dbl">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vert="wordArtVertRtl" wrap="square" rtlCol="0" anchor="ctr"/>
        <a:lstStyle/>
        <a:p>
          <a:pPr algn="ctr"/>
          <a:r>
            <a:rPr kumimoji="1" lang="ja-JP" altLang="en-US" sz="1200" b="1">
              <a:solidFill>
                <a:srgbClr val="FF0000"/>
              </a:solidFill>
            </a:rPr>
            <a:t>黄色枠は全欄入力するようにしてください。</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38</xdr:col>
      <xdr:colOff>28575</xdr:colOff>
      <xdr:row>50</xdr:row>
      <xdr:rowOff>19050</xdr:rowOff>
    </xdr:from>
    <xdr:to>
      <xdr:col>41</xdr:col>
      <xdr:colOff>342899</xdr:colOff>
      <xdr:row>56</xdr:row>
      <xdr:rowOff>213360</xdr:rowOff>
    </xdr:to>
    <xdr:pic>
      <xdr:nvPicPr>
        <xdr:cNvPr id="2" name="図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1094700" y="13830300"/>
          <a:ext cx="2282824" cy="235331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14</xdr:col>
          <xdr:colOff>201135</xdr:colOff>
          <xdr:row>13</xdr:row>
          <xdr:rowOff>25212</xdr:rowOff>
        </xdr:from>
        <xdr:to>
          <xdr:col>17</xdr:col>
          <xdr:colOff>285749</xdr:colOff>
          <xdr:row>17</xdr:row>
          <xdr:rowOff>152118</xdr:rowOff>
        </xdr:to>
        <xdr:pic>
          <xdr:nvPicPr>
            <xdr:cNvPr id="3" name="図 2">
              <a:extLst>
                <a:ext uri="{FF2B5EF4-FFF2-40B4-BE49-F238E27FC236}">
                  <a16:creationId xmlns:a16="http://schemas.microsoft.com/office/drawing/2014/main" id="{00000000-0008-0000-0800-000003000000}"/>
                </a:ext>
              </a:extLst>
            </xdr:cNvPr>
            <xdr:cNvPicPr>
              <a:picLocks noChangeAspect="1" noChangeArrowheads="1"/>
              <a:extLst>
                <a:ext uri="{84589F7E-364E-4C9E-8A38-B11213B215E9}">
                  <a14:cameraTool cellRange="$AM$51:$AP$57" spid="_x0000_s57692"/>
                </a:ext>
              </a:extLst>
            </xdr:cNvPicPr>
          </xdr:nvPicPr>
          <xdr:blipFill>
            <a:blip xmlns:r="http://schemas.openxmlformats.org/officeDocument/2006/relationships" r:embed="rId2"/>
            <a:srcRect/>
            <a:stretch>
              <a:fillRect/>
            </a:stretch>
          </xdr:blipFill>
          <xdr:spPr bwMode="auto">
            <a:xfrm>
              <a:off x="5900260" y="4025712"/>
              <a:ext cx="1370489" cy="1396906"/>
            </a:xfrm>
            <a:prstGeom prst="rect">
              <a:avLst/>
            </a:prstGeom>
            <a:noFill/>
            <a:ln w="9525">
              <a:noFill/>
              <a:miter lim="800000"/>
              <a:headEnd/>
              <a:tailEnd/>
            </a:ln>
          </xdr:spPr>
        </xdr:pic>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xdr:from>
      <xdr:col>6</xdr:col>
      <xdr:colOff>15875</xdr:colOff>
      <xdr:row>40</xdr:row>
      <xdr:rowOff>190500</xdr:rowOff>
    </xdr:from>
    <xdr:to>
      <xdr:col>30</xdr:col>
      <xdr:colOff>174625</xdr:colOff>
      <xdr:row>55</xdr:row>
      <xdr:rowOff>95250</xdr:rowOff>
    </xdr:to>
    <xdr:sp macro="" textlink="">
      <xdr:nvSpPr>
        <xdr:cNvPr id="2" name="テキスト ボックス 1">
          <a:extLst>
            <a:ext uri="{FF2B5EF4-FFF2-40B4-BE49-F238E27FC236}">
              <a16:creationId xmlns:a16="http://schemas.microsoft.com/office/drawing/2014/main" id="{00000000-0008-0000-0900-000002000000}"/>
            </a:ext>
          </a:extLst>
        </xdr:cNvPr>
        <xdr:cNvSpPr txBox="1"/>
      </xdr:nvSpPr>
      <xdr:spPr>
        <a:xfrm>
          <a:off x="1635125" y="10414000"/>
          <a:ext cx="6635750" cy="19367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en-US" altLang="ja-JP" sz="1400"/>
        </a:p>
        <a:p>
          <a:r>
            <a:rPr kumimoji="1" lang="ja-JP" altLang="en-US" sz="1800"/>
            <a:t>　　</a:t>
          </a:r>
          <a:r>
            <a:rPr kumimoji="1" lang="en-US" altLang="ja-JP" sz="1800" b="1"/>
            <a:t>【</a:t>
          </a:r>
          <a:r>
            <a:rPr kumimoji="1" lang="ja-JP" altLang="en-US" sz="1800" b="1"/>
            <a:t>郵送先</a:t>
          </a:r>
          <a:r>
            <a:rPr kumimoji="1" lang="en-US" altLang="ja-JP" sz="1800" b="1"/>
            <a:t>】</a:t>
          </a:r>
        </a:p>
        <a:p>
          <a:r>
            <a:rPr kumimoji="1" lang="ja-JP" altLang="en-US" sz="1800" b="1"/>
            <a:t>　　　〒４６０－８５０１</a:t>
          </a:r>
          <a:endParaRPr kumimoji="1" lang="en-US" altLang="ja-JP" sz="1800" b="1"/>
        </a:p>
        <a:p>
          <a:r>
            <a:rPr kumimoji="1" lang="ja-JP" altLang="en-US" sz="1800" b="1"/>
            <a:t>　　　名古屋市中区三の丸３－１－２</a:t>
          </a:r>
          <a:endParaRPr kumimoji="1" lang="en-US" altLang="ja-JP" sz="1800" b="1"/>
        </a:p>
        <a:p>
          <a:r>
            <a:rPr kumimoji="1" lang="ja-JP" altLang="en-US" sz="1800" b="1"/>
            <a:t>　　　愛知県感染症対策課助成グループ　宛</a:t>
          </a:r>
        </a:p>
      </xdr:txBody>
    </xdr:sp>
    <xdr:clientData/>
  </xdr:twoCellAnchor>
  <xdr:twoCellAnchor>
    <xdr:from>
      <xdr:col>0</xdr:col>
      <xdr:colOff>200025</xdr:colOff>
      <xdr:row>6</xdr:row>
      <xdr:rowOff>180975</xdr:rowOff>
    </xdr:from>
    <xdr:to>
      <xdr:col>12</xdr:col>
      <xdr:colOff>151039</xdr:colOff>
      <xdr:row>16</xdr:row>
      <xdr:rowOff>51707</xdr:rowOff>
    </xdr:to>
    <xdr:sp macro="" textlink="">
      <xdr:nvSpPr>
        <xdr:cNvPr id="4" name="テキスト ボックス 3">
          <a:extLst>
            <a:ext uri="{FF2B5EF4-FFF2-40B4-BE49-F238E27FC236}">
              <a16:creationId xmlns:a16="http://schemas.microsoft.com/office/drawing/2014/main" id="{00000000-0008-0000-0900-000004000000}"/>
            </a:ext>
          </a:extLst>
        </xdr:cNvPr>
        <xdr:cNvSpPr txBox="1"/>
      </xdr:nvSpPr>
      <xdr:spPr>
        <a:xfrm>
          <a:off x="200025" y="1704975"/>
          <a:ext cx="3265714" cy="2347232"/>
        </a:xfrm>
        <a:prstGeom prst="rect">
          <a:avLst/>
        </a:prstGeom>
        <a:solidFill>
          <a:schemeClr val="accent4">
            <a:lumMod val="20000"/>
            <a:lumOff val="80000"/>
          </a:schemeClr>
        </a:solidFill>
        <a:ln w="15875" cmpd="dbl">
          <a:solidFill>
            <a:schemeClr val="accent2">
              <a:lumMod val="60000"/>
              <a:lumOff val="4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just"/>
          <a:r>
            <a:rPr kumimoji="1" lang="ja-JP" altLang="en-US" sz="1600" b="0">
              <a:latin typeface="ＭＳ ゴシック" panose="020B0609070205080204" pitchFamily="49" charset="-128"/>
              <a:ea typeface="ＭＳ ゴシック" panose="020B0609070205080204" pitchFamily="49" charset="-128"/>
            </a:rPr>
            <a:t>「はじめに入力してください」シートに入力した内容が自動表示されますので、本シートは入力　不要です。</a:t>
          </a:r>
          <a:endParaRPr kumimoji="1" lang="en-US" altLang="ja-JP" sz="1600" b="0">
            <a:latin typeface="ＭＳ ゴシック" panose="020B0609070205080204" pitchFamily="49" charset="-128"/>
            <a:ea typeface="ＭＳ ゴシック" panose="020B0609070205080204" pitchFamily="49" charset="-128"/>
          </a:endParaRPr>
        </a:p>
        <a:p>
          <a:pPr algn="just"/>
          <a:endParaRPr kumimoji="1" lang="en-US" altLang="ja-JP" sz="1600" b="0">
            <a:latin typeface="ＭＳ ゴシック" panose="020B0609070205080204" pitchFamily="49" charset="-128"/>
            <a:ea typeface="ＭＳ ゴシック" panose="020B0609070205080204" pitchFamily="49" charset="-128"/>
          </a:endParaRPr>
        </a:p>
        <a:p>
          <a:pPr algn="just"/>
          <a:r>
            <a:rPr kumimoji="1" lang="ja-JP" altLang="en-US" sz="1600" b="0">
              <a:latin typeface="ＭＳ ゴシック" panose="020B0609070205080204" pitchFamily="49" charset="-128"/>
              <a:ea typeface="ＭＳ ゴシック" panose="020B0609070205080204" pitchFamily="49" charset="-128"/>
            </a:rPr>
            <a:t>また、申請額は関係シートに経費情報が入力されると自動で表示　されます。</a:t>
          </a:r>
        </a:p>
      </xdr:txBody>
    </xdr:sp>
    <xdr:clientData/>
  </xdr:twoCellAnchor>
  <xdr:twoCellAnchor editAs="oneCell">
    <xdr:from>
      <xdr:col>0</xdr:col>
      <xdr:colOff>222250</xdr:colOff>
      <xdr:row>56</xdr:row>
      <xdr:rowOff>206375</xdr:rowOff>
    </xdr:from>
    <xdr:to>
      <xdr:col>35</xdr:col>
      <xdr:colOff>31750</xdr:colOff>
      <xdr:row>67</xdr:row>
      <xdr:rowOff>104419</xdr:rowOff>
    </xdr:to>
    <xdr:pic>
      <xdr:nvPicPr>
        <xdr:cNvPr id="3" name="図 2">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1"/>
        <a:stretch>
          <a:fillRect/>
        </a:stretch>
      </xdr:blipFill>
      <xdr:spPr>
        <a:xfrm>
          <a:off x="222250" y="12715875"/>
          <a:ext cx="9255125" cy="2342794"/>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9</xdr:col>
          <xdr:colOff>142875</xdr:colOff>
          <xdr:row>3</xdr:row>
          <xdr:rowOff>114300</xdr:rowOff>
        </xdr:from>
        <xdr:to>
          <xdr:col>15</xdr:col>
          <xdr:colOff>619125</xdr:colOff>
          <xdr:row>13</xdr:row>
          <xdr:rowOff>114300</xdr:rowOff>
        </xdr:to>
        <xdr:pic>
          <xdr:nvPicPr>
            <xdr:cNvPr id="2" name="図 1">
              <a:extLst>
                <a:ext uri="{FF2B5EF4-FFF2-40B4-BE49-F238E27FC236}">
                  <a16:creationId xmlns:a16="http://schemas.microsoft.com/office/drawing/2014/main" id="{00000000-0008-0000-0D00-000002000000}"/>
                </a:ext>
              </a:extLst>
            </xdr:cNvPr>
            <xdr:cNvPicPr>
              <a:picLocks noChangeAspect="1" noChangeArrowheads="1"/>
              <a:extLst>
                <a:ext uri="{84589F7E-364E-4C9E-8A38-B11213B215E9}">
                  <a14:cameraTool cellRange="$Y$4:$AE$13" spid="_x0000_s68942"/>
                </a:ext>
              </a:extLst>
            </xdr:cNvPicPr>
          </xdr:nvPicPr>
          <xdr:blipFill>
            <a:blip xmlns:r="http://schemas.openxmlformats.org/officeDocument/2006/relationships" r:embed="rId1"/>
            <a:srcRect/>
            <a:stretch>
              <a:fillRect/>
            </a:stretch>
          </xdr:blipFill>
          <xdr:spPr bwMode="auto">
            <a:xfrm>
              <a:off x="7112000" y="1019175"/>
              <a:ext cx="4778375" cy="1905000"/>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16</xdr:col>
          <xdr:colOff>44450</xdr:colOff>
          <xdr:row>0</xdr:row>
          <xdr:rowOff>0</xdr:rowOff>
        </xdr:from>
        <xdr:to>
          <xdr:col>23</xdr:col>
          <xdr:colOff>588169</xdr:colOff>
          <xdr:row>77</xdr:row>
          <xdr:rowOff>174625</xdr:rowOff>
        </xdr:to>
        <xdr:pic>
          <xdr:nvPicPr>
            <xdr:cNvPr id="3" name="図 2">
              <a:extLst>
                <a:ext uri="{FF2B5EF4-FFF2-40B4-BE49-F238E27FC236}">
                  <a16:creationId xmlns:a16="http://schemas.microsoft.com/office/drawing/2014/main" id="{00000000-0008-0000-0F00-000003000000}"/>
                </a:ext>
              </a:extLst>
            </xdr:cNvPr>
            <xdr:cNvPicPr>
              <a:picLocks noChangeAspect="1" noChangeArrowheads="1"/>
              <a:extLst>
                <a:ext uri="{84589F7E-364E-4C9E-8A38-B11213B215E9}">
                  <a14:cameraTool cellRange="$AB$1:$AE$75" spid="_x0000_s7617"/>
                </a:ext>
              </a:extLst>
            </xdr:cNvPicPr>
          </xdr:nvPicPr>
          <xdr:blipFill>
            <a:blip xmlns:r="http://schemas.openxmlformats.org/officeDocument/2006/relationships" r:embed="rId1"/>
            <a:srcRect/>
            <a:stretch>
              <a:fillRect/>
            </a:stretch>
          </xdr:blipFill>
          <xdr:spPr bwMode="auto">
            <a:xfrm>
              <a:off x="11823700" y="0"/>
              <a:ext cx="4274344" cy="21399500"/>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16</xdr:col>
          <xdr:colOff>44450</xdr:colOff>
          <xdr:row>0</xdr:row>
          <xdr:rowOff>163512</xdr:rowOff>
        </xdr:from>
        <xdr:to>
          <xdr:col>23</xdr:col>
          <xdr:colOff>600075</xdr:colOff>
          <xdr:row>75</xdr:row>
          <xdr:rowOff>147637</xdr:rowOff>
        </xdr:to>
        <xdr:pic>
          <xdr:nvPicPr>
            <xdr:cNvPr id="2" name="図 1">
              <a:extLst>
                <a:ext uri="{FF2B5EF4-FFF2-40B4-BE49-F238E27FC236}">
                  <a16:creationId xmlns:a16="http://schemas.microsoft.com/office/drawing/2014/main" id="{00000000-0008-0000-1000-000002000000}"/>
                </a:ext>
              </a:extLst>
            </xdr:cNvPr>
            <xdr:cNvPicPr>
              <a:picLocks noChangeAspect="1" noChangeArrowheads="1"/>
              <a:extLst>
                <a:ext uri="{84589F7E-364E-4C9E-8A38-B11213B215E9}">
                  <a14:cameraTool cellRange="$AB$1:$AE$75" spid="_x0000_s43374"/>
                </a:ext>
              </a:extLst>
            </xdr:cNvPicPr>
          </xdr:nvPicPr>
          <xdr:blipFill>
            <a:blip xmlns:r="http://schemas.openxmlformats.org/officeDocument/2006/relationships" r:embed="rId1"/>
            <a:srcRect/>
            <a:stretch>
              <a:fillRect/>
            </a:stretch>
          </xdr:blipFill>
          <xdr:spPr bwMode="auto">
            <a:xfrm>
              <a:off x="11823700" y="163512"/>
              <a:ext cx="4286250" cy="21145500"/>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6368;&#26032;&#65289;&#22806;&#26469;&#35373;&#2063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テーブル"/>
      <sheetName val="はじめに入力してください"/>
      <sheetName val="《基礎情報》"/>
      <sheetName val="基礎情報"/>
      <sheetName val="振込先情報"/>
      <sheetName val="請求書"/>
      <sheetName val="表紙"/>
      <sheetName val="経費書"/>
      <sheetName val="額内訳書"/>
      <sheetName val="各種明細→"/>
      <sheetName val="防護具"/>
      <sheetName val="消毒"/>
      <sheetName val="増減推移"/>
      <sheetName val="消毒積算"/>
      <sheetName val="空清機・パーテ・ベッド"/>
      <sheetName val="診療室"/>
      <sheetName val="歳入歳出抄本"/>
      <sheetName val="リスト"/>
    </sheetNames>
    <sheetDataSet>
      <sheetData sheetId="0">
        <row r="3">
          <cell r="B3" t="str">
            <v>交付申請兼実績報告（２次）</v>
          </cell>
        </row>
      </sheetData>
      <sheetData sheetId="1"/>
      <sheetData sheetId="2"/>
      <sheetData sheetId="3">
        <row r="48">
          <cell r="M48">
            <v>10</v>
          </cell>
        </row>
      </sheetData>
      <sheetData sheetId="4"/>
      <sheetData sheetId="5"/>
      <sheetData sheetId="6"/>
      <sheetData sheetId="7"/>
      <sheetData sheetId="8"/>
      <sheetData sheetId="9"/>
      <sheetData sheetId="10">
        <row r="14">
          <cell r="B14" t="str">
            <v>45047使い捨て一体型</v>
          </cell>
        </row>
      </sheetData>
      <sheetData sheetId="11">
        <row r="14">
          <cell r="B14" t="str">
            <v/>
          </cell>
          <cell r="AN14" t="str">
            <v/>
          </cell>
        </row>
        <row r="15">
          <cell r="B15" t="str">
            <v>45047消耗品（消毒液）</v>
          </cell>
          <cell r="AN15">
            <v>1000</v>
          </cell>
        </row>
        <row r="16">
          <cell r="B16" t="str">
            <v>45056消耗品（消毒液）</v>
          </cell>
          <cell r="AN16">
            <v>50000</v>
          </cell>
        </row>
        <row r="17">
          <cell r="B17" t="str">
            <v>45082消耗品（消毒液・手指消毒）</v>
          </cell>
          <cell r="AN17" t="str">
            <v/>
          </cell>
        </row>
        <row r="18">
          <cell r="B18" t="str">
            <v>45051消耗品（ペーパータオル）</v>
          </cell>
          <cell r="AN18">
            <v>1000</v>
          </cell>
        </row>
        <row r="19">
          <cell r="B19" t="str">
            <v>45082消耗品（ウェットティッシュ）</v>
          </cell>
          <cell r="AN19">
            <v>1000</v>
          </cell>
        </row>
        <row r="20">
          <cell r="B20" t="str">
            <v>45082消耗品（その他）</v>
          </cell>
          <cell r="AN20" t="str">
            <v/>
          </cell>
        </row>
        <row r="21">
          <cell r="B21" t="str">
            <v>45082備品</v>
          </cell>
          <cell r="AN21" t="str">
            <v/>
          </cell>
        </row>
        <row r="22">
          <cell r="B22" t="str">
            <v>45082備品</v>
          </cell>
          <cell r="AN22" t="str">
            <v/>
          </cell>
        </row>
        <row r="23">
          <cell r="B23" t="str">
            <v>45082委託料</v>
          </cell>
          <cell r="AN23" t="str">
            <v/>
          </cell>
        </row>
        <row r="24">
          <cell r="B24" t="str">
            <v>45082補助対象外</v>
          </cell>
          <cell r="AN24" t="str">
            <v/>
          </cell>
        </row>
        <row r="25">
          <cell r="B25" t="str">
            <v/>
          </cell>
          <cell r="AN25" t="str">
            <v/>
          </cell>
        </row>
        <row r="26">
          <cell r="B26" t="str">
            <v/>
          </cell>
          <cell r="AN26" t="str">
            <v/>
          </cell>
        </row>
        <row r="27">
          <cell r="B27" t="str">
            <v/>
          </cell>
          <cell r="AN27" t="str">
            <v/>
          </cell>
        </row>
        <row r="28">
          <cell r="B28" t="str">
            <v/>
          </cell>
          <cell r="AN28" t="str">
            <v/>
          </cell>
        </row>
        <row r="29">
          <cell r="B29" t="str">
            <v/>
          </cell>
          <cell r="AN29" t="str">
            <v/>
          </cell>
        </row>
        <row r="30">
          <cell r="B30" t="str">
            <v/>
          </cell>
          <cell r="AN30" t="str">
            <v/>
          </cell>
        </row>
        <row r="31">
          <cell r="B31" t="str">
            <v/>
          </cell>
          <cell r="AN31" t="str">
            <v/>
          </cell>
        </row>
        <row r="32">
          <cell r="B32" t="str">
            <v/>
          </cell>
          <cell r="AN32" t="str">
            <v/>
          </cell>
        </row>
        <row r="33">
          <cell r="B33" t="str">
            <v/>
          </cell>
          <cell r="AN33" t="str">
            <v/>
          </cell>
        </row>
        <row r="34">
          <cell r="B34" t="str">
            <v/>
          </cell>
          <cell r="AN34" t="str">
            <v/>
          </cell>
        </row>
        <row r="35">
          <cell r="B35" t="str">
            <v/>
          </cell>
          <cell r="AN35" t="str">
            <v/>
          </cell>
        </row>
        <row r="36">
          <cell r="B36" t="str">
            <v/>
          </cell>
          <cell r="AN36" t="str">
            <v/>
          </cell>
        </row>
        <row r="37">
          <cell r="B37" t="str">
            <v/>
          </cell>
          <cell r="AN37" t="str">
            <v/>
          </cell>
        </row>
        <row r="38">
          <cell r="B38" t="str">
            <v/>
          </cell>
          <cell r="AN38" t="str">
            <v/>
          </cell>
        </row>
        <row r="39">
          <cell r="B39" t="str">
            <v/>
          </cell>
          <cell r="AN39" t="str">
            <v/>
          </cell>
        </row>
        <row r="40">
          <cell r="B40" t="str">
            <v/>
          </cell>
          <cell r="AN40" t="str">
            <v/>
          </cell>
        </row>
        <row r="41">
          <cell r="B41" t="str">
            <v/>
          </cell>
          <cell r="AN41" t="str">
            <v/>
          </cell>
        </row>
        <row r="42">
          <cell r="B42" t="str">
            <v/>
          </cell>
          <cell r="AN42" t="str">
            <v/>
          </cell>
        </row>
        <row r="43">
          <cell r="B43" t="str">
            <v/>
          </cell>
          <cell r="AN43" t="str">
            <v/>
          </cell>
        </row>
        <row r="44">
          <cell r="B44" t="str">
            <v/>
          </cell>
          <cell r="AN44" t="str">
            <v/>
          </cell>
        </row>
        <row r="45">
          <cell r="B45" t="str">
            <v/>
          </cell>
          <cell r="AN45" t="str">
            <v/>
          </cell>
        </row>
        <row r="46">
          <cell r="B46" t="str">
            <v/>
          </cell>
          <cell r="AN46" t="str">
            <v/>
          </cell>
        </row>
        <row r="47">
          <cell r="B47" t="str">
            <v/>
          </cell>
          <cell r="AN47" t="str">
            <v/>
          </cell>
        </row>
        <row r="48">
          <cell r="B48" t="str">
            <v/>
          </cell>
          <cell r="AN48" t="str">
            <v/>
          </cell>
        </row>
        <row r="49">
          <cell r="B49" t="str">
            <v/>
          </cell>
          <cell r="AN49" t="str">
            <v/>
          </cell>
        </row>
        <row r="50">
          <cell r="B50" t="str">
            <v/>
          </cell>
          <cell r="AN50" t="str">
            <v/>
          </cell>
        </row>
        <row r="51">
          <cell r="B51" t="str">
            <v/>
          </cell>
          <cell r="AN51" t="str">
            <v/>
          </cell>
        </row>
        <row r="52">
          <cell r="B52" t="str">
            <v/>
          </cell>
          <cell r="AN52" t="str">
            <v/>
          </cell>
        </row>
        <row r="53">
          <cell r="B53" t="str">
            <v/>
          </cell>
          <cell r="AN53" t="str">
            <v/>
          </cell>
        </row>
        <row r="54">
          <cell r="B54" t="str">
            <v/>
          </cell>
          <cell r="AN54" t="str">
            <v/>
          </cell>
        </row>
        <row r="55">
          <cell r="B55" t="str">
            <v/>
          </cell>
          <cell r="AN55" t="str">
            <v/>
          </cell>
        </row>
        <row r="56">
          <cell r="B56" t="str">
            <v/>
          </cell>
          <cell r="AN56" t="str">
            <v/>
          </cell>
        </row>
        <row r="57">
          <cell r="B57" t="str">
            <v/>
          </cell>
          <cell r="AN57" t="str">
            <v/>
          </cell>
        </row>
        <row r="58">
          <cell r="B58" t="str">
            <v/>
          </cell>
          <cell r="AN58" t="str">
            <v/>
          </cell>
        </row>
        <row r="59">
          <cell r="B59" t="str">
            <v/>
          </cell>
          <cell r="AN59" t="str">
            <v/>
          </cell>
        </row>
        <row r="60">
          <cell r="B60" t="str">
            <v/>
          </cell>
          <cell r="AN60" t="str">
            <v/>
          </cell>
        </row>
        <row r="61">
          <cell r="B61" t="str">
            <v/>
          </cell>
          <cell r="AN61" t="str">
            <v/>
          </cell>
        </row>
        <row r="62">
          <cell r="B62" t="str">
            <v/>
          </cell>
          <cell r="AN62" t="str">
            <v/>
          </cell>
        </row>
        <row r="63">
          <cell r="B63" t="str">
            <v/>
          </cell>
          <cell r="AN63" t="str">
            <v/>
          </cell>
        </row>
        <row r="64">
          <cell r="B64" t="str">
            <v/>
          </cell>
          <cell r="AN64" t="str">
            <v/>
          </cell>
        </row>
        <row r="65">
          <cell r="B65" t="str">
            <v/>
          </cell>
          <cell r="AN65" t="str">
            <v/>
          </cell>
        </row>
        <row r="66">
          <cell r="B66" t="str">
            <v/>
          </cell>
          <cell r="AN66" t="str">
            <v/>
          </cell>
        </row>
        <row r="67">
          <cell r="B67" t="str">
            <v/>
          </cell>
          <cell r="AN67" t="str">
            <v/>
          </cell>
        </row>
        <row r="68">
          <cell r="B68" t="str">
            <v/>
          </cell>
          <cell r="AN68" t="str">
            <v/>
          </cell>
        </row>
        <row r="69">
          <cell r="B69" t="str">
            <v/>
          </cell>
          <cell r="AN69" t="str">
            <v/>
          </cell>
        </row>
        <row r="70">
          <cell r="B70" t="str">
            <v/>
          </cell>
          <cell r="AN70" t="str">
            <v/>
          </cell>
        </row>
        <row r="71">
          <cell r="B71" t="str">
            <v/>
          </cell>
          <cell r="AN71" t="str">
            <v/>
          </cell>
        </row>
        <row r="72">
          <cell r="B72" t="str">
            <v/>
          </cell>
          <cell r="AN72" t="str">
            <v/>
          </cell>
        </row>
        <row r="73">
          <cell r="B73" t="str">
            <v/>
          </cell>
          <cell r="AN73" t="str">
            <v/>
          </cell>
        </row>
        <row r="74">
          <cell r="B74" t="str">
            <v/>
          </cell>
          <cell r="AN74" t="str">
            <v/>
          </cell>
        </row>
        <row r="75">
          <cell r="B75" t="str">
            <v/>
          </cell>
          <cell r="AN75" t="str">
            <v/>
          </cell>
        </row>
        <row r="76">
          <cell r="B76" t="str">
            <v/>
          </cell>
          <cell r="AN76" t="str">
            <v/>
          </cell>
        </row>
        <row r="77">
          <cell r="B77" t="str">
            <v/>
          </cell>
          <cell r="AN77" t="str">
            <v/>
          </cell>
        </row>
        <row r="78">
          <cell r="B78" t="str">
            <v/>
          </cell>
          <cell r="AN78" t="str">
            <v/>
          </cell>
        </row>
        <row r="79">
          <cell r="B79" t="str">
            <v/>
          </cell>
          <cell r="AN79" t="str">
            <v/>
          </cell>
        </row>
        <row r="80">
          <cell r="B80" t="str">
            <v/>
          </cell>
          <cell r="AN80" t="str">
            <v/>
          </cell>
        </row>
        <row r="81">
          <cell r="B81" t="str">
            <v/>
          </cell>
          <cell r="AN81" t="str">
            <v/>
          </cell>
        </row>
        <row r="82">
          <cell r="B82" t="str">
            <v/>
          </cell>
          <cell r="AN82" t="str">
            <v/>
          </cell>
        </row>
        <row r="83">
          <cell r="B83" t="str">
            <v/>
          </cell>
          <cell r="AN83" t="str">
            <v/>
          </cell>
        </row>
        <row r="84">
          <cell r="B84" t="str">
            <v/>
          </cell>
          <cell r="AN84" t="str">
            <v/>
          </cell>
        </row>
        <row r="85">
          <cell r="B85" t="str">
            <v/>
          </cell>
          <cell r="AN85" t="str">
            <v/>
          </cell>
        </row>
        <row r="86">
          <cell r="B86" t="str">
            <v/>
          </cell>
          <cell r="AN86" t="str">
            <v/>
          </cell>
        </row>
        <row r="87">
          <cell r="B87" t="str">
            <v/>
          </cell>
          <cell r="AN87" t="str">
            <v/>
          </cell>
        </row>
        <row r="88">
          <cell r="B88" t="str">
            <v/>
          </cell>
          <cell r="AN88" t="str">
            <v/>
          </cell>
        </row>
        <row r="89">
          <cell r="B89" t="str">
            <v/>
          </cell>
          <cell r="AN89" t="str">
            <v/>
          </cell>
        </row>
        <row r="90">
          <cell r="B90" t="str">
            <v/>
          </cell>
          <cell r="AN90" t="str">
            <v/>
          </cell>
        </row>
        <row r="91">
          <cell r="B91" t="str">
            <v/>
          </cell>
          <cell r="AN91" t="str">
            <v/>
          </cell>
        </row>
        <row r="92">
          <cell r="B92" t="str">
            <v/>
          </cell>
          <cell r="AN92" t="str">
            <v/>
          </cell>
        </row>
        <row r="93">
          <cell r="B93" t="str">
            <v/>
          </cell>
          <cell r="AN93" t="str">
            <v/>
          </cell>
        </row>
        <row r="94">
          <cell r="B94" t="str">
            <v/>
          </cell>
          <cell r="AN94" t="str">
            <v/>
          </cell>
        </row>
        <row r="95">
          <cell r="B95" t="str">
            <v/>
          </cell>
          <cell r="AN95" t="str">
            <v/>
          </cell>
        </row>
        <row r="96">
          <cell r="B96" t="str">
            <v/>
          </cell>
          <cell r="AN96" t="str">
            <v/>
          </cell>
        </row>
        <row r="97">
          <cell r="B97" t="str">
            <v/>
          </cell>
          <cell r="AN97" t="str">
            <v/>
          </cell>
        </row>
        <row r="98">
          <cell r="B98" t="str">
            <v/>
          </cell>
          <cell r="AN98" t="str">
            <v/>
          </cell>
        </row>
        <row r="99">
          <cell r="B99" t="str">
            <v/>
          </cell>
          <cell r="AN99" t="str">
            <v/>
          </cell>
        </row>
        <row r="100">
          <cell r="B100" t="str">
            <v/>
          </cell>
          <cell r="AN100" t="str">
            <v/>
          </cell>
        </row>
        <row r="101">
          <cell r="B101" t="str">
            <v/>
          </cell>
          <cell r="AN101" t="str">
            <v/>
          </cell>
        </row>
        <row r="102">
          <cell r="B102" t="str">
            <v/>
          </cell>
          <cell r="AN102" t="str">
            <v/>
          </cell>
        </row>
        <row r="103">
          <cell r="B103" t="str">
            <v/>
          </cell>
          <cell r="AN103" t="str">
            <v/>
          </cell>
        </row>
        <row r="104">
          <cell r="B104" t="str">
            <v/>
          </cell>
          <cell r="AN104" t="str">
            <v/>
          </cell>
        </row>
        <row r="105">
          <cell r="B105" t="str">
            <v/>
          </cell>
          <cell r="AN105" t="str">
            <v/>
          </cell>
        </row>
        <row r="106">
          <cell r="B106" t="str">
            <v/>
          </cell>
          <cell r="AN106" t="str">
            <v/>
          </cell>
        </row>
        <row r="107">
          <cell r="B107" t="str">
            <v/>
          </cell>
          <cell r="AN107" t="str">
            <v/>
          </cell>
        </row>
        <row r="108">
          <cell r="B108" t="str">
            <v/>
          </cell>
          <cell r="AN108" t="str">
            <v/>
          </cell>
        </row>
        <row r="109">
          <cell r="B109" t="str">
            <v/>
          </cell>
          <cell r="AN109" t="str">
            <v/>
          </cell>
        </row>
        <row r="110">
          <cell r="B110" t="str">
            <v/>
          </cell>
          <cell r="AN110" t="str">
            <v/>
          </cell>
        </row>
        <row r="111">
          <cell r="B111" t="str">
            <v/>
          </cell>
          <cell r="AN111" t="str">
            <v/>
          </cell>
        </row>
        <row r="112">
          <cell r="B112" t="str">
            <v/>
          </cell>
          <cell r="AN112" t="str">
            <v/>
          </cell>
        </row>
        <row r="113">
          <cell r="B113" t="str">
            <v/>
          </cell>
          <cell r="AN113" t="str">
            <v/>
          </cell>
        </row>
      </sheetData>
      <sheetData sheetId="12">
        <row r="52">
          <cell r="B52" t="str">
            <v>リユーサブルゴーグル</v>
          </cell>
        </row>
      </sheetData>
      <sheetData sheetId="13">
        <row r="63">
          <cell r="H63">
            <v>3</v>
          </cell>
        </row>
      </sheetData>
      <sheetData sheetId="14"/>
      <sheetData sheetId="15"/>
      <sheetData sheetId="16"/>
      <sheetData sheetId="17"/>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4.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7.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8.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9.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0.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1.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2.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4.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5.x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6.x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7.x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8.x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9.x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20.xml"/><Relationship Id="rId1" Type="http://schemas.openxmlformats.org/officeDocument/2006/relationships/printerSettings" Target="../printerSettings/printerSettings28.bin"/></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21.x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22.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23.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4.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1.xml"/><Relationship Id="rId1" Type="http://schemas.openxmlformats.org/officeDocument/2006/relationships/printerSettings" Target="../printerSettings/printerSettings3.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7"/>
  <dimension ref="A1:AA197"/>
  <sheetViews>
    <sheetView showGridLines="0" topLeftCell="N1" zoomScale="90" zoomScaleNormal="90" workbookViewId="0">
      <selection activeCell="N24" sqref="N24"/>
    </sheetView>
  </sheetViews>
  <sheetFormatPr defaultColWidth="8.625" defaultRowHeight="9.75"/>
  <cols>
    <col min="1" max="3" width="12.625" style="21" customWidth="1"/>
    <col min="4" max="4" width="3.625" style="24" customWidth="1"/>
    <col min="5" max="6" width="12.625" style="24" customWidth="1"/>
    <col min="7" max="8" width="12.625" style="21" customWidth="1"/>
    <col min="9" max="12" width="8.625" style="21"/>
    <col min="13" max="13" width="12.625" style="21" customWidth="1"/>
    <col min="14" max="14" width="90.625" style="22" customWidth="1"/>
    <col min="15" max="15" width="8.625" style="21"/>
    <col min="16" max="16" width="15.625" style="21" customWidth="1"/>
    <col min="17" max="16384" width="8.625" style="21"/>
  </cols>
  <sheetData>
    <row r="1" spans="2:24" ht="15" customHeight="1">
      <c r="I1" s="29" t="s">
        <v>1390</v>
      </c>
      <c r="J1" s="29" t="s">
        <v>1391</v>
      </c>
      <c r="K1" s="29" t="s">
        <v>1392</v>
      </c>
      <c r="P1" s="779"/>
      <c r="Q1" s="778" t="s">
        <v>1471</v>
      </c>
      <c r="R1" s="778"/>
      <c r="S1" s="778"/>
      <c r="T1" s="778"/>
      <c r="U1" s="778" t="s">
        <v>1476</v>
      </c>
      <c r="V1" s="778"/>
      <c r="W1" s="778"/>
      <c r="X1" s="778"/>
    </row>
    <row r="2" spans="2:24" ht="15" customHeight="1">
      <c r="C2" s="27" t="s">
        <v>484</v>
      </c>
      <c r="I2" s="607">
        <f xml:space="preserve">
IF(表紙!$X$2="事前協議",5,
IF(表紙!$X$2="交付申請（２次）",5,
IF(表紙!$X$2="変更申請",5,
IF(表紙!$X$2="実績報告（１次）",5,
IF(表紙!$X$2="実績報告（２次）",5,
IF(表紙!$X$2="交付申請兼実績報告",5))))))</f>
        <v>5</v>
      </c>
      <c r="J2" s="607">
        <f xml:space="preserve">
IF(表紙!$X$2="事前協議",10,
IF(表紙!$X$2="交付申請（２次）",10,
IF(表紙!$X$2="変更申請",10,
IF(表紙!$X$2="実績報告（１次）",4,
IF(表紙!$X$2="実績報告（２次）",10,
IF(表紙!$X$2="交付申請兼実績報告",10))))))</f>
        <v>10</v>
      </c>
      <c r="K2" s="29">
        <v>1</v>
      </c>
      <c r="P2" s="780"/>
      <c r="Q2" s="663" t="s">
        <v>1472</v>
      </c>
      <c r="R2" s="663" t="s">
        <v>1473</v>
      </c>
      <c r="S2" s="663" t="s">
        <v>1474</v>
      </c>
      <c r="T2" s="663" t="s">
        <v>1475</v>
      </c>
      <c r="U2" s="663" t="s">
        <v>1472</v>
      </c>
      <c r="V2" s="663" t="s">
        <v>1473</v>
      </c>
      <c r="W2" s="663" t="s">
        <v>1474</v>
      </c>
      <c r="X2" s="663" t="s">
        <v>1475</v>
      </c>
    </row>
    <row r="3" spans="2:24" ht="15" customHeight="1">
      <c r="C3" s="28" t="s">
        <v>421</v>
      </c>
      <c r="I3" s="607">
        <f xml:space="preserve">
IF(表紙!$X$2="事前協議",6,
IF(表紙!$X$2="交付申請（２次）",6,
IF(表紙!$X$2="変更申請",6,
IF(表紙!$X$2="実績報告（１次）","",
IF(表紙!$X$2="実績報告（２次）",6,
IF(表紙!$X$2="交付申請兼実績報告",6))))))</f>
        <v>6</v>
      </c>
      <c r="J3" s="607">
        <f xml:space="preserve">
IF(表紙!$X$2="事前協議",11,
IF(表紙!$X$2="交付申請（２次）",11,
IF(表紙!$X$2="変更申請",11,
IF(表紙!$X$2="実績報告（１次）",5,
IF(表紙!$X$2="実績報告（２次）",11,
IF(表紙!$X$2="交付申請兼実績報告",11))))))</f>
        <v>11</v>
      </c>
      <c r="K3" s="29">
        <v>2</v>
      </c>
      <c r="P3" s="776" t="s">
        <v>1477</v>
      </c>
      <c r="Q3" s="663" t="s">
        <v>1480</v>
      </c>
      <c r="R3" s="663" t="s">
        <v>1487</v>
      </c>
      <c r="S3" s="663" t="s">
        <v>1488</v>
      </c>
      <c r="T3" s="663" t="s">
        <v>1489</v>
      </c>
      <c r="U3" s="663" t="s">
        <v>1480</v>
      </c>
      <c r="V3" s="663" t="s">
        <v>1487</v>
      </c>
      <c r="W3" s="663" t="s">
        <v>1488</v>
      </c>
      <c r="X3" s="663" t="s">
        <v>1489</v>
      </c>
    </row>
    <row r="4" spans="2:24" ht="15" customHeight="1">
      <c r="C4" s="28" t="s">
        <v>1380</v>
      </c>
      <c r="I4" s="608"/>
      <c r="J4" s="607">
        <f xml:space="preserve">
IF(表紙!$X$2="事前協議",12,
IF(表紙!$X$2="交付申請（２次）",12,
IF(表紙!$X$2="変更申請",12,
IF(表紙!$X$2="実績報告（１次）",6,
IF(表紙!$X$2="実績報告（２次）",12,
IF(表紙!$X$2="交付申請兼実績報告",12))))))</f>
        <v>12</v>
      </c>
      <c r="K4" s="29">
        <v>3</v>
      </c>
      <c r="P4" s="777" t="s">
        <v>1478</v>
      </c>
      <c r="Q4" s="663" t="s">
        <v>1481</v>
      </c>
      <c r="R4" s="663" t="s">
        <v>1490</v>
      </c>
      <c r="S4" s="663" t="s">
        <v>1490</v>
      </c>
      <c r="T4" s="663" t="s">
        <v>1481</v>
      </c>
      <c r="U4" s="663" t="s">
        <v>1484</v>
      </c>
      <c r="V4" s="663" t="s">
        <v>1493</v>
      </c>
      <c r="W4" s="663" t="s">
        <v>1493</v>
      </c>
      <c r="X4" s="663" t="s">
        <v>1484</v>
      </c>
    </row>
    <row r="5" spans="2:24" ht="15" customHeight="1">
      <c r="C5" s="28" t="s">
        <v>483</v>
      </c>
      <c r="I5" s="608"/>
      <c r="J5" s="607">
        <f xml:space="preserve">
IF(表紙!$X$2="事前協議",1,
IF(表紙!$X$2="交付申請（２次）",1,
IF(表紙!$X$2="変更申請",1,
IF(表紙!$X$2="実績報告（１次）",7,
IF(表紙!$X$2="実績報告（２次）",1,
IF(表紙!$X$2="交付申請兼実績報告",1))))))</f>
        <v>1</v>
      </c>
      <c r="K5" s="29">
        <v>4</v>
      </c>
      <c r="P5" s="777" t="s">
        <v>1479</v>
      </c>
      <c r="Q5" s="663" t="s">
        <v>1482</v>
      </c>
      <c r="R5" s="663" t="s">
        <v>1491</v>
      </c>
      <c r="S5" s="663" t="s">
        <v>1491</v>
      </c>
      <c r="T5" s="663" t="s">
        <v>1482</v>
      </c>
      <c r="U5" s="663" t="s">
        <v>1492</v>
      </c>
      <c r="V5" s="663" t="s">
        <v>1494</v>
      </c>
      <c r="W5" s="663" t="s">
        <v>1494</v>
      </c>
      <c r="X5" s="663" t="s">
        <v>1492</v>
      </c>
    </row>
    <row r="6" spans="2:24" ht="15" customHeight="1">
      <c r="C6" s="28" t="s">
        <v>1381</v>
      </c>
      <c r="I6" s="608"/>
      <c r="J6" s="607">
        <f xml:space="preserve">
IF(表紙!$X$2="事前協議",2,
IF(表紙!$X$2="交付申請（２次）",2,
IF(表紙!$X$2="変更申請",2,
IF(表紙!$X$2="実績報告（１次）",8,
IF(表紙!$X$2="実績報告（２次）",2,
IF(表紙!$X$2="交付申請兼実績報告",2))))))</f>
        <v>2</v>
      </c>
      <c r="K6" s="29">
        <v>5</v>
      </c>
      <c r="P6" s="777" t="s">
        <v>1485</v>
      </c>
      <c r="Q6" s="663" t="s">
        <v>1483</v>
      </c>
      <c r="R6" s="663" t="s">
        <v>1486</v>
      </c>
      <c r="S6" s="663" t="s">
        <v>1486</v>
      </c>
      <c r="T6" s="663" t="s">
        <v>1483</v>
      </c>
      <c r="U6" s="663" t="s">
        <v>1483</v>
      </c>
      <c r="V6" s="663" t="s">
        <v>1486</v>
      </c>
      <c r="W6" s="663" t="s">
        <v>1486</v>
      </c>
      <c r="X6" s="663" t="s">
        <v>1483</v>
      </c>
    </row>
    <row r="7" spans="2:24" ht="15" customHeight="1">
      <c r="C7" s="28" t="s">
        <v>1382</v>
      </c>
      <c r="I7" s="606"/>
      <c r="J7" s="29">
        <f xml:space="preserve">
IF(表紙!$X$2="事前協議",3,
IF(表紙!$X$2="交付申請（２次）",3,
IF(表紙!$X$2="変更申請",3,
IF(表紙!$X$2="実績報告（１次）","9",
IF(表紙!$X$2="実績報告（２次）",3,
IF(表紙!$X$2="交付申請兼実績報告",3))))))</f>
        <v>3</v>
      </c>
      <c r="K7" s="29">
        <v>6</v>
      </c>
    </row>
    <row r="8" spans="2:24" ht="15" customHeight="1">
      <c r="C8" s="28" t="s">
        <v>1029</v>
      </c>
      <c r="I8" s="606"/>
      <c r="J8" s="29"/>
      <c r="K8" s="29">
        <v>7</v>
      </c>
    </row>
    <row r="9" spans="2:24" ht="15" customHeight="1">
      <c r="D9" s="21"/>
      <c r="E9" s="21"/>
      <c r="F9" s="21"/>
      <c r="H9" s="604"/>
      <c r="I9" s="606"/>
      <c r="J9" s="29"/>
      <c r="K9" s="29">
        <v>8</v>
      </c>
    </row>
    <row r="10" spans="2:24" ht="15" customHeight="1">
      <c r="B10" s="26"/>
      <c r="C10" s="26"/>
      <c r="D10" s="26"/>
      <c r="E10" s="26"/>
      <c r="F10" s="26"/>
      <c r="G10" s="26"/>
      <c r="H10" s="605"/>
      <c r="I10" s="606"/>
      <c r="J10" s="29"/>
      <c r="K10" s="29">
        <v>9</v>
      </c>
      <c r="M10" s="21" t="str">
        <f>IF(テーブル!G14&gt;テーブル!G11,"○","×")</f>
        <v>×</v>
      </c>
    </row>
    <row r="11" spans="2:24" ht="15" customHeight="1">
      <c r="B11" s="26"/>
      <c r="C11" s="26"/>
      <c r="D11" s="26"/>
      <c r="E11" s="26"/>
      <c r="F11" s="26"/>
      <c r="G11" s="26"/>
      <c r="H11" s="605"/>
      <c r="I11" s="606"/>
      <c r="J11" s="29"/>
      <c r="K11" s="29">
        <v>10</v>
      </c>
    </row>
    <row r="12" spans="2:24" ht="15" customHeight="1">
      <c r="B12" s="25"/>
      <c r="C12" s="25"/>
      <c r="D12" s="25"/>
      <c r="E12" s="25"/>
      <c r="F12" s="25"/>
      <c r="G12" s="25"/>
      <c r="H12" s="605"/>
      <c r="I12" s="606"/>
      <c r="J12" s="29"/>
      <c r="K12" s="29">
        <v>11</v>
      </c>
    </row>
    <row r="13" spans="2:24" ht="15" customHeight="1">
      <c r="B13" s="25"/>
      <c r="C13" s="25"/>
      <c r="D13" s="25"/>
      <c r="E13" s="25"/>
      <c r="F13" s="25"/>
      <c r="G13" s="25"/>
      <c r="H13" s="605"/>
      <c r="I13" s="606"/>
      <c r="J13" s="29"/>
      <c r="K13" s="29">
        <v>12</v>
      </c>
    </row>
    <row r="14" spans="2:24" ht="15" customHeight="1">
      <c r="B14" s="26"/>
      <c r="C14" s="26"/>
      <c r="D14" s="26"/>
      <c r="E14" s="26"/>
      <c r="F14" s="26"/>
      <c r="G14" s="26"/>
      <c r="H14" s="605"/>
      <c r="I14" s="606"/>
      <c r="J14" s="29"/>
      <c r="K14" s="29">
        <v>13</v>
      </c>
    </row>
    <row r="15" spans="2:24" ht="15" customHeight="1">
      <c r="B15" s="26"/>
      <c r="C15" s="26"/>
      <c r="D15" s="26"/>
      <c r="E15" s="26"/>
      <c r="F15" s="26"/>
      <c r="G15" s="26"/>
      <c r="H15" s="605"/>
      <c r="I15" s="606"/>
      <c r="J15" s="606"/>
      <c r="K15" s="29">
        <v>14</v>
      </c>
    </row>
    <row r="16" spans="2:24" ht="15" customHeight="1">
      <c r="B16" s="26"/>
      <c r="C16" s="26"/>
      <c r="D16" s="26"/>
      <c r="E16" s="26"/>
      <c r="F16" s="26"/>
      <c r="G16" s="26"/>
      <c r="H16" s="605"/>
      <c r="I16" s="606"/>
      <c r="J16" s="606"/>
      <c r="K16" s="29">
        <v>15</v>
      </c>
    </row>
    <row r="17" spans="2:11" ht="15" customHeight="1">
      <c r="B17" s="26"/>
      <c r="C17" s="26"/>
      <c r="D17" s="26"/>
      <c r="E17" s="26"/>
      <c r="F17" s="26"/>
      <c r="G17" s="26"/>
      <c r="H17" s="605"/>
      <c r="I17" s="606"/>
      <c r="J17" s="606"/>
      <c r="K17" s="29">
        <v>16</v>
      </c>
    </row>
    <row r="18" spans="2:11" ht="15" customHeight="1">
      <c r="B18" s="25"/>
      <c r="C18" s="25"/>
      <c r="D18" s="25"/>
      <c r="E18" s="25"/>
      <c r="F18" s="25"/>
      <c r="G18" s="25"/>
      <c r="H18" s="605"/>
      <c r="I18" s="606"/>
      <c r="J18" s="606"/>
      <c r="K18" s="29">
        <v>17</v>
      </c>
    </row>
    <row r="19" spans="2:11" ht="15" customHeight="1">
      <c r="B19" s="21" t="s">
        <v>1006</v>
      </c>
      <c r="C19" s="24">
        <v>1</v>
      </c>
      <c r="I19" s="606"/>
      <c r="J19" s="606"/>
      <c r="K19" s="29">
        <v>18</v>
      </c>
    </row>
    <row r="20" spans="2:11" ht="15" customHeight="1">
      <c r="C20" s="24">
        <v>2</v>
      </c>
      <c r="I20" s="606"/>
      <c r="J20" s="606"/>
      <c r="K20" s="29">
        <v>19</v>
      </c>
    </row>
    <row r="21" spans="2:11" ht="15" customHeight="1">
      <c r="B21" s="21" t="s">
        <v>1174</v>
      </c>
      <c r="C21" s="24" t="s">
        <v>1175</v>
      </c>
      <c r="I21" s="606"/>
      <c r="J21" s="606"/>
      <c r="K21" s="29">
        <v>20</v>
      </c>
    </row>
    <row r="22" spans="2:11" ht="15" customHeight="1">
      <c r="C22" s="24" t="s">
        <v>1176</v>
      </c>
      <c r="I22" s="606"/>
      <c r="J22" s="606"/>
      <c r="K22" s="29">
        <v>21</v>
      </c>
    </row>
    <row r="23" spans="2:11" ht="15" customHeight="1">
      <c r="D23" s="21"/>
      <c r="E23" s="24" t="s">
        <v>1448</v>
      </c>
      <c r="F23" s="24" t="s">
        <v>1449</v>
      </c>
      <c r="G23" s="24" t="s">
        <v>1450</v>
      </c>
      <c r="I23" s="606"/>
      <c r="J23" s="606"/>
      <c r="K23" s="29">
        <v>22</v>
      </c>
    </row>
    <row r="24" spans="2:11" ht="15" customHeight="1">
      <c r="D24" s="24">
        <v>24</v>
      </c>
      <c r="E24" s="29" t="s">
        <v>1443</v>
      </c>
      <c r="F24" s="29" t="s">
        <v>1444</v>
      </c>
      <c r="G24" s="29" t="s">
        <v>1445</v>
      </c>
      <c r="I24" s="606"/>
      <c r="J24" s="606"/>
      <c r="K24" s="29">
        <v>23</v>
      </c>
    </row>
    <row r="25" spans="2:11" ht="15" customHeight="1">
      <c r="D25" s="24">
        <v>25</v>
      </c>
      <c r="E25" s="27" t="s">
        <v>484</v>
      </c>
      <c r="F25" s="30">
        <v>45323</v>
      </c>
      <c r="G25" s="30">
        <v>45351</v>
      </c>
      <c r="I25" s="606"/>
      <c r="J25" s="606"/>
      <c r="K25" s="29">
        <v>24</v>
      </c>
    </row>
    <row r="26" spans="2:11" ht="15" customHeight="1">
      <c r="D26" s="24">
        <v>26</v>
      </c>
      <c r="E26" s="28" t="s">
        <v>421</v>
      </c>
      <c r="F26" s="30" t="s">
        <v>1446</v>
      </c>
      <c r="G26" s="30" t="s">
        <v>1446</v>
      </c>
      <c r="I26" s="606"/>
      <c r="J26" s="606"/>
      <c r="K26" s="29">
        <v>25</v>
      </c>
    </row>
    <row r="27" spans="2:11" ht="15" customHeight="1">
      <c r="D27" s="24">
        <v>27</v>
      </c>
      <c r="E27" s="28" t="s">
        <v>1380</v>
      </c>
      <c r="F27" s="30">
        <v>45323</v>
      </c>
      <c r="G27" s="30">
        <v>45351</v>
      </c>
      <c r="I27" s="606"/>
      <c r="J27" s="606"/>
      <c r="K27" s="29">
        <v>26</v>
      </c>
    </row>
    <row r="28" spans="2:11" ht="15" customHeight="1">
      <c r="D28" s="24">
        <v>28</v>
      </c>
      <c r="E28" s="28" t="s">
        <v>483</v>
      </c>
      <c r="F28" s="30">
        <v>45352</v>
      </c>
      <c r="G28" s="30">
        <v>45382</v>
      </c>
      <c r="I28" s="606"/>
      <c r="J28" s="606"/>
      <c r="K28" s="29">
        <v>27</v>
      </c>
    </row>
    <row r="29" spans="2:11" ht="15" customHeight="1">
      <c r="D29" s="24">
        <v>29</v>
      </c>
      <c r="E29" s="28" t="s">
        <v>1381</v>
      </c>
      <c r="F29" s="718">
        <f>MIN(
DATE(2023,9,30),
IF(COUNTIF(はじめに入力してください!$AF$30:$AF$40,"")=11,DATE(2023,9,30),MAX(はじめに入力してください!$AF$30:$AF$47)),
IFERROR(VLOOKUP(はじめに入力してください!$L$18,リスト!$A:$DZ,130,FALSE),DATE(2023,9,30)))</f>
        <v>45199</v>
      </c>
      <c r="G29" s="718">
        <f>F29+30</f>
        <v>45229</v>
      </c>
      <c r="I29" s="606"/>
      <c r="J29" s="606"/>
      <c r="K29" s="29">
        <v>28</v>
      </c>
    </row>
    <row r="30" spans="2:11" ht="15" customHeight="1">
      <c r="D30" s="24">
        <v>30</v>
      </c>
      <c r="E30" s="28" t="s">
        <v>1382</v>
      </c>
      <c r="F30" s="718">
        <f>MIN(
DATE(2024,3,31),
IF(COUNTIF(はじめに入力してください!$AF$30:$AF$40,"")=11,DATE(2024,3,31),MAX(はじめに入力してください!$AF$30:$AF$47)),
IFERROR(VLOOKUP(はじめに入力してください!$L$18,リスト!$A:$DZ,130,FALSE),DATE(2024,3,31)))</f>
        <v>45382</v>
      </c>
      <c r="G30" s="718">
        <f>F30+30</f>
        <v>45412</v>
      </c>
      <c r="I30" s="606"/>
      <c r="J30" s="606"/>
      <c r="K30" s="29">
        <v>29</v>
      </c>
    </row>
    <row r="31" spans="2:11" ht="15" customHeight="1">
      <c r="D31" s="24">
        <v>31</v>
      </c>
      <c r="E31" s="28" t="s">
        <v>1029</v>
      </c>
      <c r="F31" s="30">
        <v>45352</v>
      </c>
      <c r="G31" s="30">
        <v>45387</v>
      </c>
      <c r="I31" s="606"/>
      <c r="J31" s="606"/>
      <c r="K31" s="29">
        <v>30</v>
      </c>
    </row>
    <row r="32" spans="2:11" ht="15" customHeight="1">
      <c r="I32" s="606"/>
      <c r="J32" s="606"/>
      <c r="K32" s="29">
        <v>31</v>
      </c>
    </row>
    <row r="33" spans="1:27" ht="15" customHeight="1"/>
    <row r="34" spans="1:27" ht="15" customHeight="1"/>
    <row r="35" spans="1:27" ht="15" customHeight="1"/>
    <row r="36" spans="1:27" ht="15" customHeight="1"/>
    <row r="37" spans="1:27" ht="29.25">
      <c r="M37" s="16" t="s">
        <v>422</v>
      </c>
      <c r="N37" s="18" t="s">
        <v>1271</v>
      </c>
      <c r="O37" s="17" t="s">
        <v>437</v>
      </c>
    </row>
    <row r="38" spans="1:27" ht="48.75">
      <c r="M38" s="16" t="s">
        <v>423</v>
      </c>
      <c r="N38" s="18" t="s">
        <v>1219</v>
      </c>
      <c r="O38" s="17" t="s">
        <v>438</v>
      </c>
    </row>
    <row r="39" spans="1:27">
      <c r="M39" s="16" t="s">
        <v>424</v>
      </c>
      <c r="N39" s="18"/>
      <c r="O39" s="17" t="s">
        <v>439</v>
      </c>
    </row>
    <row r="40" spans="1:27" ht="78">
      <c r="M40" s="16" t="s">
        <v>425</v>
      </c>
      <c r="N40" s="18" t="s">
        <v>1280</v>
      </c>
      <c r="O40" s="17" t="s">
        <v>440</v>
      </c>
    </row>
    <row r="41" spans="1:27" ht="48.75">
      <c r="M41" s="16" t="s">
        <v>426</v>
      </c>
      <c r="N41" s="18" t="s">
        <v>1281</v>
      </c>
      <c r="O41" s="17" t="s">
        <v>441</v>
      </c>
    </row>
    <row r="42" spans="1:27" ht="58.5">
      <c r="M42" s="16" t="s">
        <v>427</v>
      </c>
      <c r="N42" s="18" t="s">
        <v>1272</v>
      </c>
      <c r="O42" s="17" t="s">
        <v>442</v>
      </c>
    </row>
    <row r="43" spans="1:27" ht="48.75">
      <c r="M43" s="16" t="s">
        <v>428</v>
      </c>
      <c r="N43" s="18" t="s">
        <v>1282</v>
      </c>
      <c r="O43" s="17" t="s">
        <v>443</v>
      </c>
    </row>
    <row r="44" spans="1:27" ht="39">
      <c r="M44" s="16" t="s">
        <v>429</v>
      </c>
      <c r="N44" s="18" t="s">
        <v>1329</v>
      </c>
      <c r="O44" s="17" t="s">
        <v>444</v>
      </c>
    </row>
    <row r="45" spans="1:27" ht="48.75">
      <c r="M45" s="16" t="s">
        <v>430</v>
      </c>
      <c r="N45" s="23" t="s">
        <v>1273</v>
      </c>
      <c r="O45" s="17" t="s">
        <v>445</v>
      </c>
    </row>
    <row r="46" spans="1:27" ht="48.75">
      <c r="A46" s="11"/>
      <c r="B46" s="11" t="s">
        <v>542</v>
      </c>
      <c r="C46" s="11" t="s">
        <v>544</v>
      </c>
      <c r="D46" s="11" t="s">
        <v>546</v>
      </c>
      <c r="E46" s="11" t="s">
        <v>547</v>
      </c>
      <c r="M46" s="16" t="s">
        <v>431</v>
      </c>
      <c r="N46" s="23" t="s">
        <v>1283</v>
      </c>
      <c r="O46" s="17" t="s">
        <v>446</v>
      </c>
      <c r="W46" s="29"/>
      <c r="X46" s="29" t="s">
        <v>541</v>
      </c>
      <c r="Y46" s="29" t="s">
        <v>543</v>
      </c>
      <c r="Z46" s="29" t="s">
        <v>545</v>
      </c>
      <c r="AA46" s="95"/>
    </row>
    <row r="47" spans="1:27" ht="66">
      <c r="A47" s="11">
        <v>47</v>
      </c>
      <c r="B47" s="11"/>
      <c r="C47" s="11" t="s">
        <v>102</v>
      </c>
      <c r="D47" s="11" t="s">
        <v>103</v>
      </c>
      <c r="E47" s="11" t="s">
        <v>104</v>
      </c>
      <c r="M47" s="16" t="s">
        <v>432</v>
      </c>
      <c r="N47" s="23" t="s">
        <v>1274</v>
      </c>
      <c r="O47" s="17" t="s">
        <v>447</v>
      </c>
      <c r="R47" s="21" t="e">
        <f t="array" aca="1" ref="R47" ca="1">OFFSET(テーブル!$X$48, 0, MATCH(D31,テーブル!$Y$47:$Z$47,0), COUNTA(OFFSET(テーブル!$X$48,0,MATCH(D31,テーブル!$Y$47:$Z$47,0),$X$30,1)),1)</f>
        <v>#N/A</v>
      </c>
      <c r="W47" s="29">
        <v>47</v>
      </c>
      <c r="X47" s="29"/>
      <c r="Y47" s="29" t="s">
        <v>102</v>
      </c>
      <c r="Z47" s="29" t="s">
        <v>691</v>
      </c>
      <c r="AA47" s="95"/>
    </row>
    <row r="48" spans="1:27" ht="66">
      <c r="A48" s="11">
        <v>48</v>
      </c>
      <c r="B48" s="11" t="s">
        <v>102</v>
      </c>
      <c r="C48" s="11" t="s">
        <v>106</v>
      </c>
      <c r="D48" s="11" t="s">
        <v>107</v>
      </c>
      <c r="E48" s="11" t="s">
        <v>108</v>
      </c>
      <c r="M48" s="16" t="s">
        <v>433</v>
      </c>
      <c r="N48" s="23" t="s">
        <v>1284</v>
      </c>
      <c r="O48" s="17" t="s">
        <v>448</v>
      </c>
      <c r="W48" s="29">
        <v>48</v>
      </c>
      <c r="X48" s="29" t="s">
        <v>102</v>
      </c>
      <c r="Y48" s="29" t="s">
        <v>842</v>
      </c>
      <c r="Z48" s="29" t="s">
        <v>692</v>
      </c>
      <c r="AA48" s="95"/>
    </row>
    <row r="49" spans="1:27" ht="66">
      <c r="A49" s="11">
        <v>49</v>
      </c>
      <c r="B49" s="11" t="s">
        <v>103</v>
      </c>
      <c r="C49" s="11"/>
      <c r="D49" s="11" t="s">
        <v>110</v>
      </c>
      <c r="E49" s="11" t="s">
        <v>111</v>
      </c>
      <c r="M49" s="16" t="s">
        <v>434</v>
      </c>
      <c r="N49" s="23" t="s">
        <v>1275</v>
      </c>
      <c r="O49" s="17" t="s">
        <v>449</v>
      </c>
      <c r="W49" s="29">
        <v>49</v>
      </c>
      <c r="X49" s="29" t="s">
        <v>691</v>
      </c>
      <c r="Y49" s="29" t="s">
        <v>843</v>
      </c>
      <c r="Z49" s="29" t="s">
        <v>693</v>
      </c>
      <c r="AA49" s="95"/>
    </row>
    <row r="50" spans="1:27" ht="66">
      <c r="A50" s="11">
        <v>50</v>
      </c>
      <c r="B50" s="11" t="s">
        <v>104</v>
      </c>
      <c r="C50" s="11"/>
      <c r="D50" s="11" t="s">
        <v>113</v>
      </c>
      <c r="E50" s="11" t="s">
        <v>114</v>
      </c>
      <c r="M50" s="16" t="s">
        <v>435</v>
      </c>
      <c r="N50" s="18" t="s">
        <v>1276</v>
      </c>
      <c r="O50" s="17" t="s">
        <v>450</v>
      </c>
      <c r="W50" s="29">
        <v>50</v>
      </c>
      <c r="X50" s="29"/>
      <c r="Y50" s="29" t="s">
        <v>844</v>
      </c>
      <c r="Z50" s="29" t="s">
        <v>694</v>
      </c>
      <c r="AA50" s="95"/>
    </row>
    <row r="51" spans="1:27" ht="66">
      <c r="A51" s="11">
        <v>51</v>
      </c>
      <c r="B51" s="11"/>
      <c r="C51" s="11"/>
      <c r="D51" s="11" t="s">
        <v>116</v>
      </c>
      <c r="E51" s="11" t="s">
        <v>117</v>
      </c>
      <c r="M51" s="16" t="s">
        <v>436</v>
      </c>
      <c r="N51" s="18" t="s">
        <v>1277</v>
      </c>
      <c r="O51" s="17" t="s">
        <v>451</v>
      </c>
      <c r="W51" s="29">
        <v>51</v>
      </c>
      <c r="X51" s="29"/>
      <c r="Y51" s="29" t="s">
        <v>845</v>
      </c>
      <c r="Z51" s="29" t="s">
        <v>695</v>
      </c>
      <c r="AA51" s="95"/>
    </row>
    <row r="52" spans="1:27" ht="15" customHeight="1">
      <c r="A52" s="11">
        <v>52</v>
      </c>
      <c r="B52" s="11"/>
      <c r="C52" s="11"/>
      <c r="D52" s="11" t="s">
        <v>119</v>
      </c>
      <c r="E52" s="11" t="s">
        <v>120</v>
      </c>
      <c r="W52" s="29">
        <v>52</v>
      </c>
      <c r="X52" s="29"/>
      <c r="Y52" s="29" t="s">
        <v>846</v>
      </c>
      <c r="Z52" s="29" t="s">
        <v>696</v>
      </c>
      <c r="AA52" s="95"/>
    </row>
    <row r="53" spans="1:27" ht="15" customHeight="1">
      <c r="A53" s="11">
        <v>53</v>
      </c>
      <c r="B53" s="11"/>
      <c r="C53" s="11"/>
      <c r="D53" s="11" t="s">
        <v>122</v>
      </c>
      <c r="E53" s="11" t="s">
        <v>123</v>
      </c>
      <c r="W53" s="29">
        <v>53</v>
      </c>
      <c r="X53" s="29"/>
      <c r="Y53" s="29" t="s">
        <v>847</v>
      </c>
      <c r="Z53" s="29" t="s">
        <v>697</v>
      </c>
      <c r="AA53" s="95"/>
    </row>
    <row r="54" spans="1:27" ht="15" customHeight="1">
      <c r="A54" s="11">
        <v>54</v>
      </c>
      <c r="B54" s="11"/>
      <c r="C54" s="11"/>
      <c r="D54" s="11" t="s">
        <v>124</v>
      </c>
      <c r="E54" s="11" t="s">
        <v>125</v>
      </c>
      <c r="W54" s="29">
        <v>54</v>
      </c>
      <c r="X54" s="29"/>
      <c r="Y54" s="29" t="s">
        <v>848</v>
      </c>
      <c r="Z54" s="29" t="s">
        <v>698</v>
      </c>
      <c r="AA54" s="95"/>
    </row>
    <row r="55" spans="1:27" ht="15" customHeight="1">
      <c r="A55" s="11">
        <v>55</v>
      </c>
      <c r="B55" s="11"/>
      <c r="C55" s="11"/>
      <c r="D55" s="11" t="s">
        <v>126</v>
      </c>
      <c r="E55" s="11" t="s">
        <v>127</v>
      </c>
      <c r="W55" s="29">
        <v>55</v>
      </c>
      <c r="X55" s="29"/>
      <c r="Y55" s="29" t="s">
        <v>849</v>
      </c>
      <c r="Z55" s="29" t="s">
        <v>699</v>
      </c>
      <c r="AA55" s="95"/>
    </row>
    <row r="56" spans="1:27" ht="15" customHeight="1">
      <c r="A56" s="11">
        <v>56</v>
      </c>
      <c r="B56" s="11"/>
      <c r="C56" s="11"/>
      <c r="D56" s="11" t="s">
        <v>129</v>
      </c>
      <c r="E56" s="11" t="s">
        <v>130</v>
      </c>
      <c r="W56" s="29">
        <v>56</v>
      </c>
      <c r="X56" s="29"/>
      <c r="Y56" s="29" t="s">
        <v>850</v>
      </c>
      <c r="Z56" s="29" t="s">
        <v>700</v>
      </c>
      <c r="AA56" s="95"/>
    </row>
    <row r="57" spans="1:27" ht="15" customHeight="1">
      <c r="A57" s="11">
        <v>57</v>
      </c>
      <c r="B57" s="11"/>
      <c r="C57" s="11"/>
      <c r="D57" s="11" t="s">
        <v>132</v>
      </c>
      <c r="E57" s="11" t="s">
        <v>133</v>
      </c>
      <c r="W57" s="29">
        <v>57</v>
      </c>
      <c r="X57" s="29"/>
      <c r="Y57" s="29" t="s">
        <v>851</v>
      </c>
      <c r="Z57" s="29" t="s">
        <v>701</v>
      </c>
      <c r="AA57" s="95"/>
    </row>
    <row r="58" spans="1:27" ht="15" customHeight="1">
      <c r="A58" s="11">
        <v>58</v>
      </c>
      <c r="B58" s="11"/>
      <c r="C58" s="11"/>
      <c r="D58" s="11" t="s">
        <v>134</v>
      </c>
      <c r="E58" s="11" t="s">
        <v>135</v>
      </c>
      <c r="W58" s="29">
        <v>58</v>
      </c>
      <c r="X58" s="29"/>
      <c r="Y58" s="29" t="s">
        <v>852</v>
      </c>
      <c r="Z58" s="29" t="s">
        <v>702</v>
      </c>
      <c r="AA58" s="95"/>
    </row>
    <row r="59" spans="1:27" ht="15" customHeight="1">
      <c r="A59" s="11">
        <v>59</v>
      </c>
      <c r="B59" s="11"/>
      <c r="C59" s="11"/>
      <c r="D59" s="11" t="s">
        <v>136</v>
      </c>
      <c r="E59" s="11" t="s">
        <v>137</v>
      </c>
      <c r="W59" s="29">
        <v>59</v>
      </c>
      <c r="X59" s="29"/>
      <c r="Y59" s="29" t="s">
        <v>853</v>
      </c>
      <c r="Z59" s="29" t="s">
        <v>703</v>
      </c>
      <c r="AA59" s="95"/>
    </row>
    <row r="60" spans="1:27" ht="15" customHeight="1">
      <c r="A60" s="11">
        <v>60</v>
      </c>
      <c r="B60" s="11"/>
      <c r="C60" s="11"/>
      <c r="D60" s="11" t="s">
        <v>138</v>
      </c>
      <c r="E60" s="11" t="s">
        <v>139</v>
      </c>
      <c r="W60" s="29">
        <v>60</v>
      </c>
      <c r="X60" s="29"/>
      <c r="Y60" s="29" t="s">
        <v>854</v>
      </c>
      <c r="Z60" s="29" t="s">
        <v>704</v>
      </c>
      <c r="AA60" s="95"/>
    </row>
    <row r="61" spans="1:27" ht="15" customHeight="1">
      <c r="A61" s="11">
        <v>61</v>
      </c>
      <c r="B61" s="11"/>
      <c r="C61" s="11"/>
      <c r="D61" s="11" t="s">
        <v>140</v>
      </c>
      <c r="E61" s="11" t="s">
        <v>141</v>
      </c>
      <c r="W61" s="29">
        <v>61</v>
      </c>
      <c r="X61" s="29"/>
      <c r="Y61" s="29" t="s">
        <v>855</v>
      </c>
      <c r="Z61" s="29" t="s">
        <v>705</v>
      </c>
      <c r="AA61" s="95"/>
    </row>
    <row r="62" spans="1:27" ht="15" customHeight="1">
      <c r="A62" s="11">
        <v>62</v>
      </c>
      <c r="B62" s="11"/>
      <c r="C62" s="11"/>
      <c r="D62" s="11" t="s">
        <v>142</v>
      </c>
      <c r="E62" s="11" t="s">
        <v>143</v>
      </c>
      <c r="W62" s="29">
        <v>62</v>
      </c>
      <c r="X62" s="29"/>
      <c r="Y62" s="29" t="s">
        <v>856</v>
      </c>
      <c r="Z62" s="29" t="s">
        <v>706</v>
      </c>
      <c r="AA62" s="95"/>
    </row>
    <row r="63" spans="1:27" ht="15" customHeight="1">
      <c r="A63" s="11">
        <v>63</v>
      </c>
      <c r="B63" s="11"/>
      <c r="C63" s="11"/>
      <c r="D63" s="11" t="s">
        <v>144</v>
      </c>
      <c r="E63" s="11" t="s">
        <v>145</v>
      </c>
      <c r="W63" s="29">
        <v>63</v>
      </c>
      <c r="X63" s="29"/>
      <c r="Y63" s="29" t="s">
        <v>857</v>
      </c>
      <c r="Z63" s="29" t="s">
        <v>707</v>
      </c>
      <c r="AA63" s="95"/>
    </row>
    <row r="64" spans="1:27" ht="15" customHeight="1">
      <c r="A64" s="11">
        <v>64</v>
      </c>
      <c r="B64" s="11"/>
      <c r="C64" s="11"/>
      <c r="D64" s="11" t="s">
        <v>146</v>
      </c>
      <c r="E64" s="11" t="s">
        <v>147</v>
      </c>
      <c r="W64" s="29">
        <v>64</v>
      </c>
      <c r="X64" s="29"/>
      <c r="Y64" s="29" t="s">
        <v>858</v>
      </c>
      <c r="Z64" s="29" t="s">
        <v>708</v>
      </c>
      <c r="AA64" s="95"/>
    </row>
    <row r="65" spans="1:27" ht="15" customHeight="1">
      <c r="A65" s="11">
        <v>65</v>
      </c>
      <c r="B65" s="11"/>
      <c r="C65" s="11"/>
      <c r="D65" s="11" t="s">
        <v>148</v>
      </c>
      <c r="E65" s="11" t="s">
        <v>149</v>
      </c>
      <c r="W65" s="29">
        <v>65</v>
      </c>
      <c r="X65" s="29"/>
      <c r="Y65" s="29" t="s">
        <v>859</v>
      </c>
      <c r="Z65" s="29" t="s">
        <v>709</v>
      </c>
      <c r="AA65" s="95"/>
    </row>
    <row r="66" spans="1:27" ht="15" customHeight="1">
      <c r="A66" s="11">
        <v>66</v>
      </c>
      <c r="B66" s="11"/>
      <c r="C66" s="11"/>
      <c r="D66" s="11" t="s">
        <v>150</v>
      </c>
      <c r="E66" s="11" t="s">
        <v>151</v>
      </c>
      <c r="W66" s="29">
        <v>66</v>
      </c>
      <c r="X66" s="29"/>
      <c r="Y66" s="29" t="s">
        <v>860</v>
      </c>
      <c r="Z66" s="29" t="s">
        <v>710</v>
      </c>
      <c r="AA66" s="95"/>
    </row>
    <row r="67" spans="1:27" ht="15" customHeight="1">
      <c r="A67" s="11">
        <v>67</v>
      </c>
      <c r="B67" s="11"/>
      <c r="C67" s="11"/>
      <c r="D67" s="11" t="s">
        <v>152</v>
      </c>
      <c r="E67" s="11" t="s">
        <v>153</v>
      </c>
      <c r="W67" s="29">
        <v>67</v>
      </c>
      <c r="X67" s="29"/>
      <c r="Y67" s="29" t="s">
        <v>861</v>
      </c>
      <c r="Z67" s="29" t="s">
        <v>711</v>
      </c>
      <c r="AA67" s="95"/>
    </row>
    <row r="68" spans="1:27" ht="15" customHeight="1">
      <c r="A68" s="11">
        <v>68</v>
      </c>
      <c r="B68" s="11"/>
      <c r="C68" s="11"/>
      <c r="D68" s="11" t="s">
        <v>154</v>
      </c>
      <c r="E68" s="11" t="s">
        <v>155</v>
      </c>
      <c r="W68" s="29">
        <v>68</v>
      </c>
      <c r="X68" s="29"/>
      <c r="Y68" s="29" t="s">
        <v>862</v>
      </c>
      <c r="Z68" s="29" t="s">
        <v>712</v>
      </c>
      <c r="AA68" s="95"/>
    </row>
    <row r="69" spans="1:27" ht="15" customHeight="1">
      <c r="A69" s="11">
        <v>69</v>
      </c>
      <c r="B69" s="11"/>
      <c r="C69" s="11"/>
      <c r="D69" s="11" t="s">
        <v>156</v>
      </c>
      <c r="E69" s="11" t="s">
        <v>157</v>
      </c>
      <c r="W69" s="29">
        <v>69</v>
      </c>
      <c r="X69" s="29"/>
      <c r="Y69" s="29" t="s">
        <v>863</v>
      </c>
      <c r="Z69" s="29" t="s">
        <v>713</v>
      </c>
      <c r="AA69" s="95"/>
    </row>
    <row r="70" spans="1:27" ht="15" customHeight="1">
      <c r="A70" s="11">
        <v>70</v>
      </c>
      <c r="B70" s="11"/>
      <c r="C70" s="11"/>
      <c r="D70" s="11" t="s">
        <v>158</v>
      </c>
      <c r="E70" s="11" t="s">
        <v>159</v>
      </c>
      <c r="W70" s="29">
        <v>70</v>
      </c>
      <c r="X70" s="29"/>
      <c r="Y70" s="29" t="s">
        <v>864</v>
      </c>
      <c r="Z70" s="29" t="s">
        <v>714</v>
      </c>
      <c r="AA70" s="95"/>
    </row>
    <row r="71" spans="1:27" ht="15" customHeight="1">
      <c r="A71" s="11">
        <v>71</v>
      </c>
      <c r="B71" s="11"/>
      <c r="C71" s="11"/>
      <c r="D71" s="11" t="s">
        <v>160</v>
      </c>
      <c r="E71" s="11" t="s">
        <v>161</v>
      </c>
      <c r="W71" s="29">
        <v>71</v>
      </c>
      <c r="X71" s="29"/>
      <c r="Y71" s="29" t="s">
        <v>865</v>
      </c>
      <c r="Z71" s="29" t="s">
        <v>715</v>
      </c>
      <c r="AA71" s="95"/>
    </row>
    <row r="72" spans="1:27" ht="15" customHeight="1">
      <c r="A72" s="11">
        <v>72</v>
      </c>
      <c r="B72" s="11"/>
      <c r="C72" s="11"/>
      <c r="D72" s="11" t="s">
        <v>162</v>
      </c>
      <c r="E72" s="11" t="s">
        <v>163</v>
      </c>
      <c r="W72" s="29">
        <v>72</v>
      </c>
      <c r="X72" s="29"/>
      <c r="Y72" s="29" t="s">
        <v>866</v>
      </c>
      <c r="Z72" s="29" t="s">
        <v>716</v>
      </c>
      <c r="AA72" s="95"/>
    </row>
    <row r="73" spans="1:27" ht="15" customHeight="1">
      <c r="A73" s="11">
        <v>73</v>
      </c>
      <c r="B73" s="11"/>
      <c r="C73" s="11"/>
      <c r="D73" s="11" t="s">
        <v>164</v>
      </c>
      <c r="E73" s="11" t="s">
        <v>165</v>
      </c>
      <c r="W73" s="29">
        <v>73</v>
      </c>
      <c r="X73" s="29"/>
      <c r="Y73" s="29" t="s">
        <v>867</v>
      </c>
      <c r="Z73" s="29" t="s">
        <v>717</v>
      </c>
      <c r="AA73" s="95"/>
    </row>
    <row r="74" spans="1:27" ht="15" customHeight="1">
      <c r="A74" s="11">
        <v>74</v>
      </c>
      <c r="B74" s="11"/>
      <c r="C74" s="11"/>
      <c r="D74" s="11" t="s">
        <v>166</v>
      </c>
      <c r="E74" s="11" t="s">
        <v>167</v>
      </c>
      <c r="W74" s="29">
        <v>74</v>
      </c>
      <c r="X74" s="29"/>
      <c r="Y74" s="29" t="s">
        <v>868</v>
      </c>
      <c r="Z74" s="29" t="s">
        <v>718</v>
      </c>
      <c r="AA74" s="95"/>
    </row>
    <row r="75" spans="1:27" ht="15" customHeight="1">
      <c r="A75" s="11">
        <v>75</v>
      </c>
      <c r="B75" s="11"/>
      <c r="C75" s="11"/>
      <c r="D75" s="11" t="s">
        <v>168</v>
      </c>
      <c r="E75" s="11" t="s">
        <v>169</v>
      </c>
      <c r="W75" s="29">
        <v>75</v>
      </c>
      <c r="X75" s="29"/>
      <c r="Y75" s="29" t="s">
        <v>869</v>
      </c>
      <c r="Z75" s="29" t="s">
        <v>719</v>
      </c>
      <c r="AA75" s="95"/>
    </row>
    <row r="76" spans="1:27" ht="15" customHeight="1">
      <c r="A76" s="11">
        <v>76</v>
      </c>
      <c r="B76" s="11"/>
      <c r="C76" s="11"/>
      <c r="D76" s="11" t="s">
        <v>170</v>
      </c>
      <c r="E76" s="11" t="s">
        <v>171</v>
      </c>
      <c r="W76" s="29">
        <v>76</v>
      </c>
      <c r="X76" s="29"/>
      <c r="Y76" s="29" t="s">
        <v>870</v>
      </c>
      <c r="Z76" s="29" t="s">
        <v>720</v>
      </c>
      <c r="AA76" s="95"/>
    </row>
    <row r="77" spans="1:27" ht="15" customHeight="1">
      <c r="A77" s="11">
        <v>77</v>
      </c>
      <c r="B77" s="11"/>
      <c r="C77" s="11"/>
      <c r="D77" s="11" t="s">
        <v>172</v>
      </c>
      <c r="E77" s="11" t="s">
        <v>173</v>
      </c>
      <c r="W77" s="29">
        <v>77</v>
      </c>
      <c r="X77" s="29"/>
      <c r="Y77" s="29" t="s">
        <v>871</v>
      </c>
      <c r="Z77" s="29" t="s">
        <v>721</v>
      </c>
      <c r="AA77" s="95"/>
    </row>
    <row r="78" spans="1:27" ht="15" customHeight="1">
      <c r="A78" s="11">
        <v>78</v>
      </c>
      <c r="B78" s="11"/>
      <c r="C78" s="11"/>
      <c r="D78" s="11" t="s">
        <v>174</v>
      </c>
      <c r="E78" s="11" t="s">
        <v>175</v>
      </c>
      <c r="W78" s="29">
        <v>78</v>
      </c>
      <c r="X78" s="29"/>
      <c r="Y78" s="29" t="s">
        <v>872</v>
      </c>
      <c r="Z78" s="29" t="s">
        <v>722</v>
      </c>
      <c r="AA78" s="95"/>
    </row>
    <row r="79" spans="1:27" ht="15" customHeight="1">
      <c r="A79" s="11">
        <v>79</v>
      </c>
      <c r="B79" s="11"/>
      <c r="C79" s="11"/>
      <c r="D79" s="11" t="s">
        <v>176</v>
      </c>
      <c r="E79" s="11" t="s">
        <v>177</v>
      </c>
      <c r="W79" s="29">
        <v>79</v>
      </c>
      <c r="X79" s="29"/>
      <c r="Y79" s="29" t="s">
        <v>873</v>
      </c>
      <c r="Z79" s="29" t="s">
        <v>723</v>
      </c>
      <c r="AA79" s="95"/>
    </row>
    <row r="80" spans="1:27" ht="15" customHeight="1">
      <c r="A80" s="11">
        <v>80</v>
      </c>
      <c r="B80" s="11"/>
      <c r="C80" s="11"/>
      <c r="D80" s="11" t="s">
        <v>178</v>
      </c>
      <c r="E80" s="11" t="s">
        <v>179</v>
      </c>
      <c r="W80" s="29">
        <v>80</v>
      </c>
      <c r="X80" s="29"/>
      <c r="Y80" s="29" t="s">
        <v>874</v>
      </c>
      <c r="Z80" s="29" t="s">
        <v>724</v>
      </c>
      <c r="AA80" s="95"/>
    </row>
    <row r="81" spans="1:27" ht="15" customHeight="1">
      <c r="A81" s="11">
        <v>81</v>
      </c>
      <c r="B81" s="11"/>
      <c r="C81" s="11"/>
      <c r="D81" s="11" t="s">
        <v>180</v>
      </c>
      <c r="E81" s="11" t="s">
        <v>181</v>
      </c>
      <c r="W81" s="29">
        <v>81</v>
      </c>
      <c r="X81" s="29"/>
      <c r="Y81" s="29" t="s">
        <v>875</v>
      </c>
      <c r="Z81" s="29" t="s">
        <v>725</v>
      </c>
      <c r="AA81" s="95"/>
    </row>
    <row r="82" spans="1:27" ht="15" customHeight="1">
      <c r="A82" s="11">
        <v>82</v>
      </c>
      <c r="B82" s="11"/>
      <c r="C82" s="11"/>
      <c r="D82" s="11" t="s">
        <v>182</v>
      </c>
      <c r="E82" s="11" t="s">
        <v>183</v>
      </c>
      <c r="W82" s="29">
        <v>82</v>
      </c>
      <c r="X82" s="29"/>
      <c r="Y82" s="29" t="s">
        <v>876</v>
      </c>
      <c r="Z82" s="29" t="s">
        <v>726</v>
      </c>
      <c r="AA82" s="95"/>
    </row>
    <row r="83" spans="1:27" ht="15" customHeight="1">
      <c r="A83" s="11">
        <v>83</v>
      </c>
      <c r="B83" s="11"/>
      <c r="C83" s="11"/>
      <c r="D83" s="11" t="s">
        <v>184</v>
      </c>
      <c r="E83" s="11" t="s">
        <v>185</v>
      </c>
      <c r="W83" s="29">
        <v>83</v>
      </c>
      <c r="X83" s="29"/>
      <c r="Y83" s="29" t="s">
        <v>877</v>
      </c>
      <c r="Z83" s="29" t="s">
        <v>727</v>
      </c>
      <c r="AA83" s="95"/>
    </row>
    <row r="84" spans="1:27" ht="15" customHeight="1">
      <c r="A84" s="11">
        <v>84</v>
      </c>
      <c r="B84" s="11"/>
      <c r="C84" s="11"/>
      <c r="D84" s="11" t="s">
        <v>186</v>
      </c>
      <c r="E84" s="11" t="s">
        <v>187</v>
      </c>
      <c r="W84" s="29">
        <v>84</v>
      </c>
      <c r="X84" s="29"/>
      <c r="Y84" s="29" t="s">
        <v>878</v>
      </c>
      <c r="Z84" s="29" t="s">
        <v>728</v>
      </c>
      <c r="AA84" s="95"/>
    </row>
    <row r="85" spans="1:27" ht="15" customHeight="1">
      <c r="A85" s="11">
        <v>85</v>
      </c>
      <c r="B85" s="11"/>
      <c r="C85" s="11"/>
      <c r="D85" s="11" t="s">
        <v>188</v>
      </c>
      <c r="E85" s="11" t="s">
        <v>189</v>
      </c>
      <c r="W85" s="29">
        <v>85</v>
      </c>
      <c r="X85" s="29"/>
      <c r="Y85" s="29" t="s">
        <v>879</v>
      </c>
      <c r="Z85" s="29" t="s">
        <v>729</v>
      </c>
      <c r="AA85" s="95"/>
    </row>
    <row r="86" spans="1:27" ht="15" customHeight="1">
      <c r="A86" s="11">
        <v>86</v>
      </c>
      <c r="B86" s="11"/>
      <c r="C86" s="11"/>
      <c r="D86" s="11" t="s">
        <v>190</v>
      </c>
      <c r="E86" s="11" t="s">
        <v>191</v>
      </c>
      <c r="W86" s="29">
        <v>86</v>
      </c>
      <c r="X86" s="29"/>
      <c r="Y86" s="29" t="s">
        <v>880</v>
      </c>
      <c r="Z86" s="29" t="s">
        <v>730</v>
      </c>
      <c r="AA86" s="95"/>
    </row>
    <row r="87" spans="1:27" ht="15" customHeight="1">
      <c r="A87" s="11">
        <v>87</v>
      </c>
      <c r="B87" s="11"/>
      <c r="C87" s="11"/>
      <c r="D87" s="11" t="s">
        <v>192</v>
      </c>
      <c r="E87" s="11" t="s">
        <v>193</v>
      </c>
      <c r="W87" s="29">
        <v>87</v>
      </c>
      <c r="X87" s="29"/>
      <c r="Y87" s="29" t="s">
        <v>881</v>
      </c>
      <c r="Z87" s="29" t="s">
        <v>731</v>
      </c>
      <c r="AA87" s="95"/>
    </row>
    <row r="88" spans="1:27" ht="15" customHeight="1">
      <c r="A88" s="11">
        <v>88</v>
      </c>
      <c r="B88" s="11"/>
      <c r="C88" s="11"/>
      <c r="D88" s="11" t="s">
        <v>194</v>
      </c>
      <c r="E88" s="11" t="s">
        <v>195</v>
      </c>
      <c r="W88" s="29">
        <v>88</v>
      </c>
      <c r="X88" s="29"/>
      <c r="Y88" s="29" t="s">
        <v>882</v>
      </c>
      <c r="Z88" s="29" t="s">
        <v>732</v>
      </c>
      <c r="AA88" s="95"/>
    </row>
    <row r="89" spans="1:27" ht="15" customHeight="1">
      <c r="A89" s="11">
        <v>89</v>
      </c>
      <c r="B89" s="11"/>
      <c r="C89" s="11"/>
      <c r="D89" s="11" t="s">
        <v>196</v>
      </c>
      <c r="E89" s="11" t="s">
        <v>197</v>
      </c>
      <c r="W89" s="29">
        <v>89</v>
      </c>
      <c r="X89" s="29"/>
      <c r="Y89" s="29" t="s">
        <v>883</v>
      </c>
      <c r="Z89" s="29" t="s">
        <v>733</v>
      </c>
      <c r="AA89" s="95"/>
    </row>
    <row r="90" spans="1:27" ht="15" customHeight="1">
      <c r="A90" s="11">
        <v>90</v>
      </c>
      <c r="B90" s="11"/>
      <c r="C90" s="11"/>
      <c r="D90" s="11" t="s">
        <v>198</v>
      </c>
      <c r="E90" s="11" t="s">
        <v>199</v>
      </c>
      <c r="W90" s="29">
        <v>90</v>
      </c>
      <c r="X90" s="29"/>
      <c r="Y90" s="29" t="s">
        <v>884</v>
      </c>
      <c r="Z90" s="29" t="s">
        <v>734</v>
      </c>
      <c r="AA90" s="95"/>
    </row>
    <row r="91" spans="1:27" ht="15" customHeight="1">
      <c r="A91" s="11">
        <v>91</v>
      </c>
      <c r="B91" s="11"/>
      <c r="C91" s="11"/>
      <c r="D91" s="11" t="s">
        <v>200</v>
      </c>
      <c r="E91" s="11" t="s">
        <v>201</v>
      </c>
      <c r="W91" s="29">
        <v>91</v>
      </c>
      <c r="X91" s="29"/>
      <c r="Y91" s="29" t="s">
        <v>885</v>
      </c>
      <c r="Z91" s="29" t="s">
        <v>735</v>
      </c>
      <c r="AA91" s="95"/>
    </row>
    <row r="92" spans="1:27" ht="15" customHeight="1">
      <c r="A92" s="11">
        <v>92</v>
      </c>
      <c r="B92" s="11"/>
      <c r="C92" s="11"/>
      <c r="D92" s="11" t="s">
        <v>202</v>
      </c>
      <c r="E92" s="11" t="s">
        <v>203</v>
      </c>
      <c r="W92" s="29">
        <v>92</v>
      </c>
      <c r="X92" s="29"/>
      <c r="Y92" s="29" t="s">
        <v>886</v>
      </c>
      <c r="Z92" s="29" t="s">
        <v>736</v>
      </c>
      <c r="AA92" s="95"/>
    </row>
    <row r="93" spans="1:27" ht="15" customHeight="1">
      <c r="A93" s="11">
        <v>93</v>
      </c>
      <c r="B93" s="11"/>
      <c r="C93" s="11"/>
      <c r="D93" s="11" t="s">
        <v>204</v>
      </c>
      <c r="E93" s="11" t="s">
        <v>205</v>
      </c>
      <c r="W93" s="29">
        <v>93</v>
      </c>
      <c r="X93" s="29"/>
      <c r="Y93" s="29" t="s">
        <v>887</v>
      </c>
      <c r="Z93" s="29" t="s">
        <v>737</v>
      </c>
      <c r="AA93" s="95"/>
    </row>
    <row r="94" spans="1:27" ht="15" customHeight="1">
      <c r="A94" s="11">
        <v>94</v>
      </c>
      <c r="B94" s="11"/>
      <c r="C94" s="11"/>
      <c r="D94" s="11" t="s">
        <v>206</v>
      </c>
      <c r="E94" s="11" t="s">
        <v>207</v>
      </c>
      <c r="W94" s="29">
        <v>94</v>
      </c>
      <c r="X94" s="29"/>
      <c r="Y94" s="29" t="s">
        <v>888</v>
      </c>
      <c r="Z94" s="29" t="s">
        <v>738</v>
      </c>
      <c r="AA94" s="95"/>
    </row>
    <row r="95" spans="1:27" ht="15" customHeight="1">
      <c r="A95" s="11">
        <v>95</v>
      </c>
      <c r="B95" s="11"/>
      <c r="C95" s="11"/>
      <c r="D95" s="11" t="s">
        <v>208</v>
      </c>
      <c r="E95" s="11" t="s">
        <v>209</v>
      </c>
      <c r="W95" s="29">
        <v>95</v>
      </c>
      <c r="X95" s="29"/>
      <c r="Y95" s="29" t="s">
        <v>889</v>
      </c>
      <c r="Z95" s="29" t="s">
        <v>739</v>
      </c>
      <c r="AA95" s="95"/>
    </row>
    <row r="96" spans="1:27" ht="15" customHeight="1">
      <c r="A96" s="11">
        <v>96</v>
      </c>
      <c r="B96" s="11"/>
      <c r="C96" s="11"/>
      <c r="D96" s="11" t="s">
        <v>210</v>
      </c>
      <c r="E96" s="11" t="s">
        <v>211</v>
      </c>
      <c r="W96" s="29">
        <v>96</v>
      </c>
      <c r="X96" s="29"/>
      <c r="Y96" s="29" t="s">
        <v>890</v>
      </c>
      <c r="Z96" s="29" t="s">
        <v>740</v>
      </c>
      <c r="AA96" s="95"/>
    </row>
    <row r="97" spans="1:27" ht="15" customHeight="1">
      <c r="A97" s="11">
        <v>97</v>
      </c>
      <c r="B97" s="11"/>
      <c r="C97" s="11"/>
      <c r="D97" s="11" t="s">
        <v>212</v>
      </c>
      <c r="E97" s="11" t="s">
        <v>213</v>
      </c>
      <c r="W97" s="29">
        <v>97</v>
      </c>
      <c r="X97" s="29"/>
      <c r="Y97" s="29" t="s">
        <v>891</v>
      </c>
      <c r="Z97" s="29" t="s">
        <v>741</v>
      </c>
      <c r="AA97" s="95"/>
    </row>
    <row r="98" spans="1:27" ht="15" customHeight="1">
      <c r="A98" s="11">
        <v>98</v>
      </c>
      <c r="B98" s="11"/>
      <c r="C98" s="11"/>
      <c r="D98" s="11" t="s">
        <v>214</v>
      </c>
      <c r="E98" s="11" t="s">
        <v>215</v>
      </c>
      <c r="W98" s="29">
        <v>98</v>
      </c>
      <c r="X98" s="29"/>
      <c r="Y98" s="29" t="s">
        <v>892</v>
      </c>
      <c r="Z98" s="29" t="s">
        <v>742</v>
      </c>
      <c r="AA98" s="95"/>
    </row>
    <row r="99" spans="1:27" ht="15" customHeight="1">
      <c r="A99" s="11">
        <v>99</v>
      </c>
      <c r="B99" s="11"/>
      <c r="C99" s="11"/>
      <c r="D99" s="11" t="s">
        <v>216</v>
      </c>
      <c r="E99" s="11" t="s">
        <v>217</v>
      </c>
      <c r="W99" s="29">
        <v>99</v>
      </c>
      <c r="X99" s="29"/>
      <c r="Y99" s="29" t="s">
        <v>893</v>
      </c>
      <c r="Z99" s="29" t="s">
        <v>743</v>
      </c>
      <c r="AA99" s="95"/>
    </row>
    <row r="100" spans="1:27" ht="15" customHeight="1">
      <c r="A100" s="11">
        <v>100</v>
      </c>
      <c r="B100" s="11"/>
      <c r="C100" s="11"/>
      <c r="D100" s="11" t="s">
        <v>218</v>
      </c>
      <c r="E100" s="11" t="s">
        <v>219</v>
      </c>
      <c r="W100" s="29">
        <v>100</v>
      </c>
      <c r="X100" s="29"/>
      <c r="Y100" s="29" t="s">
        <v>894</v>
      </c>
      <c r="Z100" s="29" t="s">
        <v>744</v>
      </c>
      <c r="AA100" s="95"/>
    </row>
    <row r="101" spans="1:27" ht="15" customHeight="1">
      <c r="A101" s="11">
        <v>101</v>
      </c>
      <c r="B101" s="11"/>
      <c r="C101" s="11"/>
      <c r="D101" s="11" t="s">
        <v>220</v>
      </c>
      <c r="E101" s="11" t="s">
        <v>221</v>
      </c>
      <c r="W101" s="29">
        <v>101</v>
      </c>
      <c r="X101" s="29"/>
      <c r="Y101" s="29" t="s">
        <v>895</v>
      </c>
      <c r="Z101" s="29" t="s">
        <v>745</v>
      </c>
      <c r="AA101" s="95"/>
    </row>
    <row r="102" spans="1:27" ht="15" customHeight="1">
      <c r="A102" s="11">
        <v>102</v>
      </c>
      <c r="B102" s="11"/>
      <c r="C102" s="11"/>
      <c r="D102" s="11" t="s">
        <v>222</v>
      </c>
      <c r="E102" s="11" t="s">
        <v>223</v>
      </c>
      <c r="W102" s="29">
        <v>102</v>
      </c>
      <c r="X102" s="29"/>
      <c r="Y102" s="29" t="s">
        <v>896</v>
      </c>
      <c r="Z102" s="29" t="s">
        <v>746</v>
      </c>
      <c r="AA102" s="95"/>
    </row>
    <row r="103" spans="1:27" ht="15" customHeight="1">
      <c r="A103" s="11">
        <v>103</v>
      </c>
      <c r="B103" s="11"/>
      <c r="C103" s="11"/>
      <c r="D103" s="11" t="s">
        <v>224</v>
      </c>
      <c r="E103" s="11" t="s">
        <v>225</v>
      </c>
      <c r="W103" s="29">
        <v>103</v>
      </c>
      <c r="X103" s="29"/>
      <c r="Y103" s="29" t="s">
        <v>897</v>
      </c>
      <c r="Z103" s="29" t="s">
        <v>747</v>
      </c>
      <c r="AA103" s="95"/>
    </row>
    <row r="104" spans="1:27" ht="15" customHeight="1">
      <c r="A104" s="11">
        <v>104</v>
      </c>
      <c r="B104" s="11"/>
      <c r="C104" s="11"/>
      <c r="D104" s="11" t="s">
        <v>226</v>
      </c>
      <c r="E104" s="11" t="s">
        <v>227</v>
      </c>
      <c r="W104" s="29">
        <v>104</v>
      </c>
      <c r="X104" s="29"/>
      <c r="Y104" s="29" t="s">
        <v>898</v>
      </c>
      <c r="Z104" s="29" t="s">
        <v>748</v>
      </c>
      <c r="AA104" s="95"/>
    </row>
    <row r="105" spans="1:27" ht="15" customHeight="1">
      <c r="A105" s="11">
        <v>105</v>
      </c>
      <c r="B105" s="11"/>
      <c r="C105" s="11"/>
      <c r="D105" s="11" t="s">
        <v>228</v>
      </c>
      <c r="E105" s="11" t="s">
        <v>229</v>
      </c>
      <c r="W105" s="29">
        <v>105</v>
      </c>
      <c r="X105" s="29"/>
      <c r="Y105" s="29" t="s">
        <v>899</v>
      </c>
      <c r="Z105" s="29" t="s">
        <v>749</v>
      </c>
      <c r="AA105" s="95"/>
    </row>
    <row r="106" spans="1:27" ht="15" customHeight="1">
      <c r="A106" s="11">
        <v>106</v>
      </c>
      <c r="B106" s="11"/>
      <c r="C106" s="11"/>
      <c r="D106" s="11" t="s">
        <v>230</v>
      </c>
      <c r="E106" s="11" t="s">
        <v>231</v>
      </c>
      <c r="W106" s="29">
        <v>106</v>
      </c>
      <c r="X106" s="29"/>
      <c r="Y106" s="29" t="s">
        <v>900</v>
      </c>
      <c r="Z106" s="29" t="s">
        <v>750</v>
      </c>
      <c r="AA106" s="95"/>
    </row>
    <row r="107" spans="1:27" ht="15" customHeight="1">
      <c r="A107" s="11">
        <v>107</v>
      </c>
      <c r="B107" s="11"/>
      <c r="C107" s="11"/>
      <c r="D107" s="11" t="s">
        <v>232</v>
      </c>
      <c r="E107" s="11" t="s">
        <v>233</v>
      </c>
      <c r="W107" s="29">
        <v>107</v>
      </c>
      <c r="X107" s="29"/>
      <c r="Y107" s="29" t="s">
        <v>901</v>
      </c>
      <c r="Z107" s="29" t="s">
        <v>751</v>
      </c>
      <c r="AA107" s="95"/>
    </row>
    <row r="108" spans="1:27" ht="15" customHeight="1">
      <c r="A108" s="11">
        <v>108</v>
      </c>
      <c r="B108" s="11"/>
      <c r="C108" s="11"/>
      <c r="D108" s="11" t="s">
        <v>234</v>
      </c>
      <c r="E108" s="11" t="s">
        <v>235</v>
      </c>
      <c r="W108" s="29">
        <v>108</v>
      </c>
      <c r="X108" s="29"/>
      <c r="Y108" s="29" t="s">
        <v>902</v>
      </c>
      <c r="Z108" s="29" t="s">
        <v>752</v>
      </c>
      <c r="AA108" s="95"/>
    </row>
    <row r="109" spans="1:27" ht="15" customHeight="1">
      <c r="A109" s="11">
        <v>109</v>
      </c>
      <c r="B109" s="11"/>
      <c r="C109" s="11"/>
      <c r="D109" s="11" t="s">
        <v>236</v>
      </c>
      <c r="E109" s="11" t="s">
        <v>237</v>
      </c>
      <c r="W109" s="29">
        <v>109</v>
      </c>
      <c r="X109" s="29"/>
      <c r="Y109" s="29" t="s">
        <v>903</v>
      </c>
      <c r="Z109" s="29" t="s">
        <v>753</v>
      </c>
      <c r="AA109" s="95"/>
    </row>
    <row r="110" spans="1:27" ht="15" customHeight="1">
      <c r="A110" s="11">
        <v>110</v>
      </c>
      <c r="B110" s="11"/>
      <c r="C110" s="11"/>
      <c r="D110" s="11" t="s">
        <v>238</v>
      </c>
      <c r="E110" s="11" t="s">
        <v>239</v>
      </c>
      <c r="W110" s="29">
        <v>110</v>
      </c>
      <c r="X110" s="29"/>
      <c r="Y110" s="29" t="s">
        <v>904</v>
      </c>
      <c r="Z110" s="29" t="s">
        <v>754</v>
      </c>
      <c r="AA110" s="95"/>
    </row>
    <row r="111" spans="1:27" ht="15" customHeight="1">
      <c r="A111" s="11">
        <v>111</v>
      </c>
      <c r="B111" s="11"/>
      <c r="C111" s="11"/>
      <c r="D111" s="11" t="s">
        <v>240</v>
      </c>
      <c r="E111" s="11" t="s">
        <v>241</v>
      </c>
      <c r="W111" s="29">
        <v>111</v>
      </c>
      <c r="X111" s="29"/>
      <c r="Y111" s="29" t="s">
        <v>905</v>
      </c>
      <c r="Z111" s="29" t="s">
        <v>755</v>
      </c>
      <c r="AA111" s="95"/>
    </row>
    <row r="112" spans="1:27" ht="15" customHeight="1">
      <c r="A112" s="11">
        <v>112</v>
      </c>
      <c r="B112" s="11"/>
      <c r="C112" s="11"/>
      <c r="D112" s="11" t="s">
        <v>242</v>
      </c>
      <c r="E112" s="11" t="s">
        <v>243</v>
      </c>
      <c r="W112" s="29">
        <v>112</v>
      </c>
      <c r="X112" s="29"/>
      <c r="Y112" s="29" t="s">
        <v>906</v>
      </c>
      <c r="Z112" s="29" t="s">
        <v>756</v>
      </c>
      <c r="AA112" s="95"/>
    </row>
    <row r="113" spans="1:27" ht="15" customHeight="1">
      <c r="A113" s="11">
        <v>113</v>
      </c>
      <c r="B113" s="11"/>
      <c r="C113" s="11"/>
      <c r="D113" s="11" t="s">
        <v>244</v>
      </c>
      <c r="E113" s="11" t="s">
        <v>245</v>
      </c>
      <c r="W113" s="29">
        <v>113</v>
      </c>
      <c r="X113" s="29"/>
      <c r="Y113" s="29" t="s">
        <v>907</v>
      </c>
      <c r="Z113" s="29" t="s">
        <v>757</v>
      </c>
      <c r="AA113" s="95"/>
    </row>
    <row r="114" spans="1:27" ht="15" customHeight="1">
      <c r="A114" s="11">
        <v>114</v>
      </c>
      <c r="B114" s="11"/>
      <c r="C114" s="11"/>
      <c r="D114" s="11" t="s">
        <v>246</v>
      </c>
      <c r="E114" s="11" t="s">
        <v>247</v>
      </c>
      <c r="W114" s="29">
        <v>114</v>
      </c>
      <c r="X114" s="29"/>
      <c r="Y114" s="29" t="s">
        <v>908</v>
      </c>
      <c r="Z114" s="29" t="s">
        <v>758</v>
      </c>
      <c r="AA114" s="95"/>
    </row>
    <row r="115" spans="1:27" ht="15" customHeight="1">
      <c r="A115" s="11">
        <v>115</v>
      </c>
      <c r="B115" s="11"/>
      <c r="C115" s="11"/>
      <c r="D115" s="11" t="s">
        <v>248</v>
      </c>
      <c r="E115" s="11" t="s">
        <v>249</v>
      </c>
      <c r="W115" s="29">
        <v>115</v>
      </c>
      <c r="X115" s="29"/>
      <c r="Y115" s="29" t="s">
        <v>909</v>
      </c>
      <c r="Z115" s="29" t="s">
        <v>759</v>
      </c>
      <c r="AA115" s="95"/>
    </row>
    <row r="116" spans="1:27" ht="15" customHeight="1">
      <c r="A116" s="11">
        <v>116</v>
      </c>
      <c r="B116" s="11"/>
      <c r="C116" s="11"/>
      <c r="D116" s="11" t="s">
        <v>250</v>
      </c>
      <c r="E116" s="11" t="s">
        <v>251</v>
      </c>
      <c r="W116" s="29">
        <v>116</v>
      </c>
      <c r="X116" s="29"/>
      <c r="Y116" s="29" t="s">
        <v>910</v>
      </c>
      <c r="Z116" s="29" t="s">
        <v>760</v>
      </c>
      <c r="AA116" s="95"/>
    </row>
    <row r="117" spans="1:27" ht="15" customHeight="1">
      <c r="A117" s="11">
        <v>117</v>
      </c>
      <c r="B117" s="11"/>
      <c r="C117" s="11"/>
      <c r="D117" s="11" t="s">
        <v>252</v>
      </c>
      <c r="E117" s="11" t="s">
        <v>253</v>
      </c>
      <c r="W117" s="29">
        <v>117</v>
      </c>
      <c r="X117" s="29"/>
      <c r="Y117" s="29" t="s">
        <v>911</v>
      </c>
      <c r="Z117" s="29" t="s">
        <v>761</v>
      </c>
      <c r="AA117" s="95"/>
    </row>
    <row r="118" spans="1:27" ht="15" customHeight="1">
      <c r="A118" s="11">
        <v>118</v>
      </c>
      <c r="B118" s="11"/>
      <c r="C118" s="11"/>
      <c r="D118" s="11" t="s">
        <v>254</v>
      </c>
      <c r="E118" s="11" t="s">
        <v>255</v>
      </c>
      <c r="W118" s="29">
        <v>118</v>
      </c>
      <c r="X118" s="29"/>
      <c r="Y118" s="29" t="s">
        <v>912</v>
      </c>
      <c r="Z118" s="29" t="s">
        <v>762</v>
      </c>
      <c r="AA118" s="95"/>
    </row>
    <row r="119" spans="1:27" ht="15" customHeight="1">
      <c r="A119" s="11">
        <v>119</v>
      </c>
      <c r="B119" s="11"/>
      <c r="C119" s="11"/>
      <c r="D119" s="11" t="s">
        <v>256</v>
      </c>
      <c r="E119" s="11" t="s">
        <v>257</v>
      </c>
      <c r="W119" s="29">
        <v>119</v>
      </c>
      <c r="X119" s="29"/>
      <c r="Y119" s="29" t="s">
        <v>913</v>
      </c>
      <c r="Z119" s="29" t="s">
        <v>763</v>
      </c>
      <c r="AA119" s="95"/>
    </row>
    <row r="120" spans="1:27" ht="15" customHeight="1">
      <c r="A120" s="11">
        <v>120</v>
      </c>
      <c r="B120" s="11"/>
      <c r="C120" s="11"/>
      <c r="D120" s="11" t="s">
        <v>258</v>
      </c>
      <c r="E120" s="11" t="s">
        <v>259</v>
      </c>
      <c r="W120" s="29">
        <v>120</v>
      </c>
      <c r="X120" s="29"/>
      <c r="Y120" s="29" t="s">
        <v>914</v>
      </c>
      <c r="Z120" s="29" t="s">
        <v>764</v>
      </c>
      <c r="AA120" s="95"/>
    </row>
    <row r="121" spans="1:27" ht="15" customHeight="1">
      <c r="A121" s="11">
        <v>121</v>
      </c>
      <c r="B121" s="11"/>
      <c r="C121" s="11"/>
      <c r="D121" s="11" t="s">
        <v>260</v>
      </c>
      <c r="E121" s="11" t="s">
        <v>261</v>
      </c>
      <c r="W121" s="29">
        <v>121</v>
      </c>
      <c r="X121" s="29"/>
      <c r="Y121" s="29" t="s">
        <v>915</v>
      </c>
      <c r="Z121" s="29" t="s">
        <v>765</v>
      </c>
      <c r="AA121" s="95"/>
    </row>
    <row r="122" spans="1:27" ht="15" customHeight="1">
      <c r="A122" s="11">
        <v>122</v>
      </c>
      <c r="B122" s="11"/>
      <c r="C122" s="11"/>
      <c r="D122" s="11" t="s">
        <v>262</v>
      </c>
      <c r="E122" s="11" t="s">
        <v>263</v>
      </c>
      <c r="W122" s="29">
        <v>122</v>
      </c>
      <c r="X122" s="29"/>
      <c r="Y122" s="29" t="s">
        <v>916</v>
      </c>
      <c r="Z122" s="29" t="s">
        <v>766</v>
      </c>
      <c r="AA122" s="95"/>
    </row>
    <row r="123" spans="1:27" ht="15" customHeight="1">
      <c r="A123" s="11">
        <v>123</v>
      </c>
      <c r="B123" s="11"/>
      <c r="C123" s="11"/>
      <c r="D123" s="11" t="s">
        <v>264</v>
      </c>
      <c r="E123" s="11" t="s">
        <v>265</v>
      </c>
      <c r="W123" s="29">
        <v>123</v>
      </c>
      <c r="X123" s="29"/>
      <c r="Y123" s="29" t="s">
        <v>917</v>
      </c>
      <c r="Z123" s="29" t="s">
        <v>767</v>
      </c>
      <c r="AA123" s="95"/>
    </row>
    <row r="124" spans="1:27" ht="15" customHeight="1">
      <c r="A124" s="11">
        <v>124</v>
      </c>
      <c r="B124" s="11"/>
      <c r="C124" s="11"/>
      <c r="D124" s="11" t="s">
        <v>266</v>
      </c>
      <c r="E124" s="11" t="s">
        <v>267</v>
      </c>
      <c r="W124" s="29">
        <v>124</v>
      </c>
      <c r="X124" s="29"/>
      <c r="Y124" s="29" t="s">
        <v>918</v>
      </c>
      <c r="Z124" s="29" t="s">
        <v>768</v>
      </c>
      <c r="AA124" s="95"/>
    </row>
    <row r="125" spans="1:27" ht="15" customHeight="1">
      <c r="A125" s="11">
        <v>125</v>
      </c>
      <c r="B125" s="11"/>
      <c r="C125" s="11"/>
      <c r="D125" s="11" t="s">
        <v>268</v>
      </c>
      <c r="E125" s="11" t="s">
        <v>269</v>
      </c>
      <c r="W125" s="29">
        <v>125</v>
      </c>
      <c r="X125" s="29"/>
      <c r="Y125" s="29" t="s">
        <v>919</v>
      </c>
      <c r="Z125" s="29" t="s">
        <v>769</v>
      </c>
      <c r="AA125" s="95"/>
    </row>
    <row r="126" spans="1:27" ht="15" customHeight="1">
      <c r="A126" s="11">
        <v>126</v>
      </c>
      <c r="B126" s="11"/>
      <c r="C126" s="11"/>
      <c r="D126" s="11" t="s">
        <v>270</v>
      </c>
      <c r="E126" s="11" t="s">
        <v>271</v>
      </c>
      <c r="W126" s="29">
        <v>126</v>
      </c>
      <c r="X126" s="29"/>
      <c r="Y126" s="29" t="s">
        <v>920</v>
      </c>
      <c r="Z126" s="29" t="s">
        <v>770</v>
      </c>
      <c r="AA126" s="95"/>
    </row>
    <row r="127" spans="1:27" ht="15" customHeight="1">
      <c r="A127" s="11">
        <v>127</v>
      </c>
      <c r="B127" s="11"/>
      <c r="C127" s="11"/>
      <c r="D127" s="11" t="s">
        <v>272</v>
      </c>
      <c r="E127" s="11" t="s">
        <v>273</v>
      </c>
      <c r="W127" s="29">
        <v>127</v>
      </c>
      <c r="X127" s="29"/>
      <c r="Y127" s="29" t="s">
        <v>921</v>
      </c>
      <c r="Z127" s="29" t="s">
        <v>771</v>
      </c>
      <c r="AA127" s="95"/>
    </row>
    <row r="128" spans="1:27" ht="15" customHeight="1">
      <c r="A128" s="11">
        <v>128</v>
      </c>
      <c r="B128" s="11"/>
      <c r="C128" s="11"/>
      <c r="D128" s="11" t="s">
        <v>274</v>
      </c>
      <c r="E128" s="11" t="s">
        <v>275</v>
      </c>
      <c r="W128" s="29">
        <v>128</v>
      </c>
      <c r="X128" s="29"/>
      <c r="Y128" s="29" t="s">
        <v>922</v>
      </c>
      <c r="Z128" s="29" t="s">
        <v>772</v>
      </c>
      <c r="AA128" s="95"/>
    </row>
    <row r="129" spans="1:27" ht="15" customHeight="1">
      <c r="A129" s="11">
        <v>129</v>
      </c>
      <c r="B129" s="11"/>
      <c r="C129" s="11"/>
      <c r="D129" s="11" t="s">
        <v>276</v>
      </c>
      <c r="E129" s="11" t="s">
        <v>277</v>
      </c>
      <c r="W129" s="29">
        <v>129</v>
      </c>
      <c r="X129" s="29"/>
      <c r="Y129" s="29" t="s">
        <v>923</v>
      </c>
      <c r="Z129" s="29" t="s">
        <v>773</v>
      </c>
      <c r="AA129" s="95"/>
    </row>
    <row r="130" spans="1:27" ht="15" customHeight="1">
      <c r="A130" s="11">
        <v>130</v>
      </c>
      <c r="B130" s="11"/>
      <c r="C130" s="11"/>
      <c r="D130" s="11" t="s">
        <v>278</v>
      </c>
      <c r="E130" s="11" t="s">
        <v>279</v>
      </c>
      <c r="W130" s="29">
        <v>130</v>
      </c>
      <c r="X130" s="29"/>
      <c r="Y130" s="29" t="s">
        <v>924</v>
      </c>
      <c r="Z130" s="29" t="s">
        <v>774</v>
      </c>
      <c r="AA130" s="95"/>
    </row>
    <row r="131" spans="1:27" ht="15" customHeight="1">
      <c r="A131" s="11">
        <v>131</v>
      </c>
      <c r="B131" s="11"/>
      <c r="C131" s="11"/>
      <c r="D131" s="11" t="s">
        <v>280</v>
      </c>
      <c r="E131" s="11" t="s">
        <v>281</v>
      </c>
      <c r="W131" s="29">
        <v>131</v>
      </c>
      <c r="X131" s="29"/>
      <c r="Y131" s="29" t="s">
        <v>925</v>
      </c>
      <c r="Z131" s="29" t="s">
        <v>775</v>
      </c>
      <c r="AA131" s="95"/>
    </row>
    <row r="132" spans="1:27" ht="15" customHeight="1">
      <c r="A132" s="11">
        <v>132</v>
      </c>
      <c r="B132" s="11"/>
      <c r="C132" s="11"/>
      <c r="D132" s="11" t="s">
        <v>282</v>
      </c>
      <c r="E132" s="11" t="s">
        <v>283</v>
      </c>
      <c r="W132" s="29">
        <v>132</v>
      </c>
      <c r="X132" s="29"/>
      <c r="Y132" s="29" t="s">
        <v>926</v>
      </c>
      <c r="Z132" s="29" t="s">
        <v>776</v>
      </c>
      <c r="AA132" s="95"/>
    </row>
    <row r="133" spans="1:27" ht="15" customHeight="1">
      <c r="A133" s="11">
        <v>133</v>
      </c>
      <c r="B133" s="11"/>
      <c r="C133" s="11"/>
      <c r="D133" s="11" t="s">
        <v>284</v>
      </c>
      <c r="E133" s="11" t="s">
        <v>285</v>
      </c>
      <c r="W133" s="29">
        <v>133</v>
      </c>
      <c r="X133" s="29"/>
      <c r="Y133" s="29" t="s">
        <v>927</v>
      </c>
      <c r="Z133" s="29" t="s">
        <v>777</v>
      </c>
      <c r="AA133" s="95"/>
    </row>
    <row r="134" spans="1:27" ht="15" customHeight="1">
      <c r="A134" s="11">
        <v>134</v>
      </c>
      <c r="B134" s="11"/>
      <c r="C134" s="11"/>
      <c r="D134" s="11" t="s">
        <v>286</v>
      </c>
      <c r="E134" s="11" t="s">
        <v>287</v>
      </c>
      <c r="W134" s="29">
        <v>134</v>
      </c>
      <c r="X134" s="29"/>
      <c r="Y134" s="29" t="s">
        <v>928</v>
      </c>
      <c r="Z134" s="29" t="s">
        <v>778</v>
      </c>
      <c r="AA134" s="95"/>
    </row>
    <row r="135" spans="1:27" ht="15" customHeight="1">
      <c r="A135" s="11">
        <v>135</v>
      </c>
      <c r="B135" s="11"/>
      <c r="C135" s="11"/>
      <c r="D135" s="11" t="s">
        <v>288</v>
      </c>
      <c r="E135" s="11" t="s">
        <v>289</v>
      </c>
      <c r="W135" s="29">
        <v>135</v>
      </c>
      <c r="X135" s="29"/>
      <c r="Y135" s="29" t="s">
        <v>929</v>
      </c>
      <c r="Z135" s="29" t="s">
        <v>779</v>
      </c>
      <c r="AA135" s="95"/>
    </row>
    <row r="136" spans="1:27" ht="15" customHeight="1">
      <c r="A136" s="11">
        <v>136</v>
      </c>
      <c r="B136" s="11"/>
      <c r="C136" s="11"/>
      <c r="D136" s="11" t="s">
        <v>290</v>
      </c>
      <c r="E136" s="11" t="s">
        <v>291</v>
      </c>
      <c r="W136" s="29">
        <v>136</v>
      </c>
      <c r="X136" s="29"/>
      <c r="Y136" s="29" t="s">
        <v>930</v>
      </c>
      <c r="Z136" s="29" t="s">
        <v>780</v>
      </c>
      <c r="AA136" s="95"/>
    </row>
    <row r="137" spans="1:27" ht="15" customHeight="1">
      <c r="A137" s="11">
        <v>137</v>
      </c>
      <c r="B137" s="11"/>
      <c r="C137" s="11"/>
      <c r="D137" s="11" t="s">
        <v>292</v>
      </c>
      <c r="E137" s="11" t="s">
        <v>293</v>
      </c>
      <c r="W137" s="29">
        <v>137</v>
      </c>
      <c r="X137" s="29"/>
      <c r="Y137" s="29" t="s">
        <v>931</v>
      </c>
      <c r="Z137" s="29" t="s">
        <v>781</v>
      </c>
      <c r="AA137" s="95"/>
    </row>
    <row r="138" spans="1:27" ht="15" customHeight="1">
      <c r="A138" s="11">
        <v>138</v>
      </c>
      <c r="B138" s="11"/>
      <c r="C138" s="11"/>
      <c r="D138" s="11" t="s">
        <v>294</v>
      </c>
      <c r="E138" s="11" t="s">
        <v>295</v>
      </c>
      <c r="W138" s="29">
        <v>138</v>
      </c>
      <c r="X138" s="29"/>
      <c r="Y138" s="29" t="s">
        <v>932</v>
      </c>
      <c r="Z138" s="29" t="s">
        <v>782</v>
      </c>
      <c r="AA138" s="95"/>
    </row>
    <row r="139" spans="1:27" ht="15" customHeight="1">
      <c r="A139" s="11">
        <v>139</v>
      </c>
      <c r="B139" s="11"/>
      <c r="C139" s="11"/>
      <c r="D139" s="11" t="s">
        <v>296</v>
      </c>
      <c r="E139" s="11" t="s">
        <v>297</v>
      </c>
      <c r="W139" s="29">
        <v>139</v>
      </c>
      <c r="X139" s="29"/>
      <c r="Y139" s="29" t="s">
        <v>933</v>
      </c>
      <c r="Z139" s="29" t="s">
        <v>783</v>
      </c>
      <c r="AA139" s="95"/>
    </row>
    <row r="140" spans="1:27" ht="15" customHeight="1">
      <c r="A140" s="11">
        <v>140</v>
      </c>
      <c r="B140" s="11"/>
      <c r="C140" s="11"/>
      <c r="D140" s="11" t="s">
        <v>298</v>
      </c>
      <c r="E140" s="11" t="s">
        <v>299</v>
      </c>
      <c r="W140" s="29">
        <v>140</v>
      </c>
      <c r="X140" s="29"/>
      <c r="Y140" s="29" t="s">
        <v>934</v>
      </c>
      <c r="Z140" s="29" t="s">
        <v>784</v>
      </c>
      <c r="AA140" s="95"/>
    </row>
    <row r="141" spans="1:27" ht="15" customHeight="1">
      <c r="A141" s="11">
        <v>141</v>
      </c>
      <c r="B141" s="11"/>
      <c r="C141" s="11"/>
      <c r="D141" s="11" t="s">
        <v>300</v>
      </c>
      <c r="E141" s="11" t="s">
        <v>301</v>
      </c>
      <c r="W141" s="29">
        <v>141</v>
      </c>
      <c r="X141" s="29"/>
      <c r="Y141" s="29" t="s">
        <v>935</v>
      </c>
      <c r="Z141" s="29" t="s">
        <v>785</v>
      </c>
      <c r="AA141" s="95"/>
    </row>
    <row r="142" spans="1:27" ht="15" customHeight="1">
      <c r="A142" s="11">
        <v>142</v>
      </c>
      <c r="B142" s="11"/>
      <c r="C142" s="11"/>
      <c r="D142" s="11" t="s">
        <v>302</v>
      </c>
      <c r="E142" s="11" t="s">
        <v>303</v>
      </c>
      <c r="W142" s="29">
        <v>142</v>
      </c>
      <c r="X142" s="29"/>
      <c r="Y142" s="29" t="s">
        <v>936</v>
      </c>
      <c r="Z142" s="29" t="s">
        <v>786</v>
      </c>
      <c r="AA142" s="95"/>
    </row>
    <row r="143" spans="1:27" ht="15" customHeight="1">
      <c r="A143" s="11">
        <v>143</v>
      </c>
      <c r="B143" s="11"/>
      <c r="C143" s="11"/>
      <c r="D143" s="11" t="s">
        <v>304</v>
      </c>
      <c r="E143" s="11" t="s">
        <v>305</v>
      </c>
      <c r="W143" s="29">
        <v>143</v>
      </c>
      <c r="X143" s="29"/>
      <c r="Y143" s="29" t="s">
        <v>937</v>
      </c>
      <c r="Z143" s="29" t="s">
        <v>787</v>
      </c>
      <c r="AA143" s="95"/>
    </row>
    <row r="144" spans="1:27" ht="15" customHeight="1">
      <c r="A144" s="11">
        <v>144</v>
      </c>
      <c r="B144" s="11"/>
      <c r="C144" s="11"/>
      <c r="D144" s="11" t="s">
        <v>306</v>
      </c>
      <c r="E144" s="11" t="s">
        <v>307</v>
      </c>
      <c r="W144" s="29">
        <v>144</v>
      </c>
      <c r="X144" s="29"/>
      <c r="Y144" s="29" t="s">
        <v>938</v>
      </c>
      <c r="Z144" s="29" t="s">
        <v>788</v>
      </c>
      <c r="AA144" s="95"/>
    </row>
    <row r="145" spans="1:27" ht="15" customHeight="1">
      <c r="A145" s="11">
        <v>145</v>
      </c>
      <c r="B145" s="11"/>
      <c r="C145" s="11"/>
      <c r="D145" s="11" t="s">
        <v>308</v>
      </c>
      <c r="E145" s="11" t="s">
        <v>309</v>
      </c>
      <c r="W145" s="29">
        <v>145</v>
      </c>
      <c r="X145" s="29"/>
      <c r="Y145" s="29" t="s">
        <v>939</v>
      </c>
      <c r="Z145" s="29" t="s">
        <v>789</v>
      </c>
      <c r="AA145" s="95"/>
    </row>
    <row r="146" spans="1:27" ht="15" customHeight="1">
      <c r="A146" s="11">
        <v>146</v>
      </c>
      <c r="B146" s="11"/>
      <c r="C146" s="11"/>
      <c r="D146" s="11" t="s">
        <v>310</v>
      </c>
      <c r="E146" s="11" t="s">
        <v>311</v>
      </c>
      <c r="W146" s="29">
        <v>146</v>
      </c>
      <c r="X146" s="29"/>
      <c r="Y146" s="29" t="s">
        <v>940</v>
      </c>
      <c r="Z146" s="29" t="s">
        <v>790</v>
      </c>
      <c r="AA146" s="95"/>
    </row>
    <row r="147" spans="1:27" ht="15" customHeight="1">
      <c r="A147" s="11">
        <v>147</v>
      </c>
      <c r="B147" s="11"/>
      <c r="C147" s="11"/>
      <c r="D147" s="11" t="s">
        <v>312</v>
      </c>
      <c r="E147" s="11" t="s">
        <v>313</v>
      </c>
      <c r="W147" s="29">
        <v>147</v>
      </c>
      <c r="X147" s="29"/>
      <c r="Y147" s="29" t="s">
        <v>941</v>
      </c>
      <c r="Z147" s="29" t="s">
        <v>791</v>
      </c>
      <c r="AA147" s="95"/>
    </row>
    <row r="148" spans="1:27" ht="15" customHeight="1">
      <c r="A148" s="11">
        <v>148</v>
      </c>
      <c r="B148" s="11"/>
      <c r="C148" s="11"/>
      <c r="D148" s="11" t="s">
        <v>314</v>
      </c>
      <c r="E148" s="11" t="s">
        <v>315</v>
      </c>
      <c r="W148" s="29">
        <v>148</v>
      </c>
      <c r="X148" s="29"/>
      <c r="Y148" s="29" t="s">
        <v>942</v>
      </c>
      <c r="Z148" s="29" t="s">
        <v>792</v>
      </c>
      <c r="AA148" s="95"/>
    </row>
    <row r="149" spans="1:27" ht="15" customHeight="1">
      <c r="A149" s="11">
        <v>149</v>
      </c>
      <c r="B149" s="11"/>
      <c r="C149" s="11"/>
      <c r="D149" s="11" t="s">
        <v>316</v>
      </c>
      <c r="E149" s="11" t="s">
        <v>317</v>
      </c>
      <c r="W149" s="29">
        <v>149</v>
      </c>
      <c r="X149" s="29"/>
      <c r="Y149" s="29" t="s">
        <v>943</v>
      </c>
      <c r="Z149" s="29" t="s">
        <v>793</v>
      </c>
      <c r="AA149" s="95"/>
    </row>
    <row r="150" spans="1:27" ht="15" customHeight="1">
      <c r="A150" s="11">
        <v>150</v>
      </c>
      <c r="B150" s="11"/>
      <c r="C150" s="11"/>
      <c r="D150" s="11" t="s">
        <v>318</v>
      </c>
      <c r="E150" s="11" t="s">
        <v>319</v>
      </c>
      <c r="W150" s="29">
        <v>150</v>
      </c>
      <c r="X150" s="29"/>
      <c r="Y150" s="29" t="s">
        <v>944</v>
      </c>
      <c r="Z150" s="29" t="s">
        <v>794</v>
      </c>
      <c r="AA150" s="95"/>
    </row>
    <row r="151" spans="1:27" ht="15" customHeight="1">
      <c r="A151" s="11">
        <v>151</v>
      </c>
      <c r="B151" s="11"/>
      <c r="C151" s="11"/>
      <c r="D151" s="11" t="s">
        <v>320</v>
      </c>
      <c r="E151" s="11" t="s">
        <v>321</v>
      </c>
      <c r="W151" s="29">
        <v>151</v>
      </c>
      <c r="X151" s="29"/>
      <c r="Y151" s="29" t="s">
        <v>945</v>
      </c>
      <c r="Z151" s="29" t="s">
        <v>795</v>
      </c>
      <c r="AA151" s="95"/>
    </row>
    <row r="152" spans="1:27" ht="15" customHeight="1">
      <c r="A152" s="11">
        <v>152</v>
      </c>
      <c r="B152" s="11"/>
      <c r="C152" s="11"/>
      <c r="D152" s="11" t="s">
        <v>322</v>
      </c>
      <c r="E152" s="11" t="s">
        <v>323</v>
      </c>
      <c r="W152" s="29">
        <v>152</v>
      </c>
      <c r="X152" s="29"/>
      <c r="Y152" s="29" t="s">
        <v>946</v>
      </c>
      <c r="Z152" s="29" t="s">
        <v>796</v>
      </c>
      <c r="AA152" s="95"/>
    </row>
    <row r="153" spans="1:27" ht="15" customHeight="1">
      <c r="A153" s="11">
        <v>153</v>
      </c>
      <c r="B153" s="11"/>
      <c r="C153" s="11"/>
      <c r="D153" s="11" t="s">
        <v>324</v>
      </c>
      <c r="E153" s="11" t="s">
        <v>325</v>
      </c>
      <c r="W153" s="29">
        <v>153</v>
      </c>
      <c r="X153" s="29"/>
      <c r="Y153" s="29" t="s">
        <v>947</v>
      </c>
      <c r="Z153" s="29" t="s">
        <v>797</v>
      </c>
      <c r="AA153" s="95"/>
    </row>
    <row r="154" spans="1:27" ht="15" customHeight="1">
      <c r="A154" s="11">
        <v>154</v>
      </c>
      <c r="B154" s="11"/>
      <c r="C154" s="11"/>
      <c r="D154" s="11" t="s">
        <v>326</v>
      </c>
      <c r="E154" s="11" t="s">
        <v>327</v>
      </c>
      <c r="W154" s="29">
        <v>154</v>
      </c>
      <c r="X154" s="29"/>
      <c r="Y154" s="29" t="s">
        <v>948</v>
      </c>
      <c r="Z154" s="29" t="s">
        <v>798</v>
      </c>
      <c r="AA154" s="95"/>
    </row>
    <row r="155" spans="1:27" ht="15" customHeight="1">
      <c r="A155" s="11">
        <v>155</v>
      </c>
      <c r="B155" s="11"/>
      <c r="C155" s="11"/>
      <c r="D155" s="11" t="s">
        <v>328</v>
      </c>
      <c r="E155" s="11" t="s">
        <v>329</v>
      </c>
      <c r="W155" s="29">
        <v>155</v>
      </c>
      <c r="X155" s="29"/>
      <c r="Y155" s="29" t="s">
        <v>949</v>
      </c>
      <c r="Z155" s="29" t="s">
        <v>799</v>
      </c>
      <c r="AA155" s="95"/>
    </row>
    <row r="156" spans="1:27" ht="15" customHeight="1">
      <c r="A156" s="11">
        <v>156</v>
      </c>
      <c r="B156" s="11"/>
      <c r="C156" s="11"/>
      <c r="D156" s="11" t="s">
        <v>330</v>
      </c>
      <c r="E156" s="11" t="s">
        <v>331</v>
      </c>
      <c r="W156" s="29">
        <v>156</v>
      </c>
      <c r="X156" s="29"/>
      <c r="Y156" s="29" t="s">
        <v>950</v>
      </c>
      <c r="Z156" s="29" t="s">
        <v>800</v>
      </c>
      <c r="AA156" s="95"/>
    </row>
    <row r="157" spans="1:27" ht="15" customHeight="1">
      <c r="A157" s="11">
        <v>157</v>
      </c>
      <c r="B157" s="11"/>
      <c r="C157" s="11"/>
      <c r="D157" s="11" t="s">
        <v>332</v>
      </c>
      <c r="E157" s="11" t="s">
        <v>333</v>
      </c>
      <c r="W157" s="29">
        <v>157</v>
      </c>
      <c r="X157" s="29"/>
      <c r="Y157" s="29" t="s">
        <v>951</v>
      </c>
      <c r="Z157" s="29" t="s">
        <v>801</v>
      </c>
      <c r="AA157" s="95"/>
    </row>
    <row r="158" spans="1:27" ht="15" customHeight="1">
      <c r="A158" s="11">
        <v>158</v>
      </c>
      <c r="B158" s="11"/>
      <c r="C158" s="11"/>
      <c r="D158" s="11" t="s">
        <v>334</v>
      </c>
      <c r="E158" s="11" t="s">
        <v>335</v>
      </c>
      <c r="W158" s="29">
        <v>158</v>
      </c>
      <c r="X158" s="29"/>
      <c r="Y158" s="29" t="s">
        <v>952</v>
      </c>
      <c r="Z158" s="29" t="s">
        <v>802</v>
      </c>
      <c r="AA158" s="95"/>
    </row>
    <row r="159" spans="1:27" ht="15" customHeight="1">
      <c r="A159" s="11">
        <v>159</v>
      </c>
      <c r="B159" s="11"/>
      <c r="C159" s="11"/>
      <c r="D159" s="11" t="s">
        <v>336</v>
      </c>
      <c r="E159" s="11" t="s">
        <v>337</v>
      </c>
      <c r="W159" s="29">
        <v>159</v>
      </c>
      <c r="X159" s="29"/>
      <c r="Y159" s="29" t="s">
        <v>953</v>
      </c>
      <c r="Z159" s="29" t="s">
        <v>803</v>
      </c>
      <c r="AA159" s="95"/>
    </row>
    <row r="160" spans="1:27" ht="15" customHeight="1">
      <c r="A160" s="11">
        <v>160</v>
      </c>
      <c r="B160" s="11"/>
      <c r="C160" s="11"/>
      <c r="D160" s="11" t="s">
        <v>338</v>
      </c>
      <c r="E160" s="11" t="s">
        <v>339</v>
      </c>
      <c r="W160" s="29">
        <v>160</v>
      </c>
      <c r="X160" s="29"/>
      <c r="Y160" s="29" t="s">
        <v>954</v>
      </c>
      <c r="Z160" s="29" t="s">
        <v>804</v>
      </c>
      <c r="AA160" s="95"/>
    </row>
    <row r="161" spans="1:27" ht="15" customHeight="1">
      <c r="A161" s="11">
        <v>161</v>
      </c>
      <c r="B161" s="11"/>
      <c r="C161" s="11"/>
      <c r="D161" s="11" t="s">
        <v>340</v>
      </c>
      <c r="E161" s="11" t="s">
        <v>341</v>
      </c>
      <c r="W161" s="29">
        <v>161</v>
      </c>
      <c r="X161" s="29"/>
      <c r="Y161" s="29" t="s">
        <v>955</v>
      </c>
      <c r="Z161" s="29" t="s">
        <v>805</v>
      </c>
      <c r="AA161" s="95"/>
    </row>
    <row r="162" spans="1:27" ht="15" customHeight="1">
      <c r="A162" s="11">
        <v>162</v>
      </c>
      <c r="B162" s="11"/>
      <c r="C162" s="11"/>
      <c r="D162" s="11" t="s">
        <v>342</v>
      </c>
      <c r="E162" s="11" t="s">
        <v>343</v>
      </c>
      <c r="W162" s="29">
        <v>162</v>
      </c>
      <c r="X162" s="29"/>
      <c r="Y162" s="29" t="s">
        <v>956</v>
      </c>
      <c r="Z162" s="29" t="s">
        <v>806</v>
      </c>
      <c r="AA162" s="95"/>
    </row>
    <row r="163" spans="1:27" ht="15" customHeight="1">
      <c r="A163" s="11">
        <v>163</v>
      </c>
      <c r="B163" s="11"/>
      <c r="C163" s="11"/>
      <c r="D163" s="11" t="s">
        <v>344</v>
      </c>
      <c r="E163" s="11" t="s">
        <v>345</v>
      </c>
      <c r="W163" s="29">
        <v>163</v>
      </c>
      <c r="X163" s="29"/>
      <c r="Y163" s="29" t="s">
        <v>957</v>
      </c>
      <c r="Z163" s="29" t="s">
        <v>807</v>
      </c>
      <c r="AA163" s="95"/>
    </row>
    <row r="164" spans="1:27" ht="15" customHeight="1">
      <c r="A164" s="11">
        <v>164</v>
      </c>
      <c r="B164" s="11"/>
      <c r="C164" s="11"/>
      <c r="D164" s="11" t="s">
        <v>346</v>
      </c>
      <c r="E164" s="11" t="s">
        <v>347</v>
      </c>
      <c r="W164" s="29">
        <v>164</v>
      </c>
      <c r="X164" s="29"/>
      <c r="Y164" s="29" t="s">
        <v>958</v>
      </c>
      <c r="Z164" s="29" t="s">
        <v>808</v>
      </c>
      <c r="AA164" s="95"/>
    </row>
    <row r="165" spans="1:27" ht="15" customHeight="1">
      <c r="A165" s="11">
        <v>165</v>
      </c>
      <c r="B165" s="11"/>
      <c r="C165" s="11"/>
      <c r="D165" s="11" t="s">
        <v>348</v>
      </c>
      <c r="E165" s="11" t="s">
        <v>349</v>
      </c>
      <c r="W165" s="29">
        <v>165</v>
      </c>
      <c r="X165" s="29"/>
      <c r="Y165" s="29" t="s">
        <v>959</v>
      </c>
      <c r="Z165" s="29" t="s">
        <v>809</v>
      </c>
      <c r="AA165" s="95"/>
    </row>
    <row r="166" spans="1:27" ht="15" customHeight="1">
      <c r="A166" s="11">
        <v>166</v>
      </c>
      <c r="B166" s="11"/>
      <c r="C166" s="11"/>
      <c r="D166" s="11" t="s">
        <v>350</v>
      </c>
      <c r="E166" s="11" t="s">
        <v>351</v>
      </c>
      <c r="W166" s="29">
        <v>166</v>
      </c>
      <c r="X166" s="29"/>
      <c r="Y166" s="29" t="s">
        <v>960</v>
      </c>
      <c r="Z166" s="29" t="s">
        <v>810</v>
      </c>
      <c r="AA166" s="95"/>
    </row>
    <row r="167" spans="1:27" ht="15" customHeight="1">
      <c r="A167" s="11">
        <v>167</v>
      </c>
      <c r="B167" s="11"/>
      <c r="C167" s="11"/>
      <c r="D167" s="11" t="s">
        <v>352</v>
      </c>
      <c r="E167" s="11" t="s">
        <v>353</v>
      </c>
      <c r="W167" s="29">
        <v>167</v>
      </c>
      <c r="X167" s="29"/>
      <c r="Y167" s="29" t="s">
        <v>961</v>
      </c>
      <c r="Z167" s="29" t="s">
        <v>811</v>
      </c>
      <c r="AA167" s="95"/>
    </row>
    <row r="168" spans="1:27" ht="15" customHeight="1">
      <c r="A168" s="11">
        <v>168</v>
      </c>
      <c r="B168" s="11"/>
      <c r="C168" s="11"/>
      <c r="D168" s="11" t="s">
        <v>354</v>
      </c>
      <c r="E168" s="11" t="s">
        <v>355</v>
      </c>
      <c r="W168" s="29">
        <v>168</v>
      </c>
      <c r="X168" s="29"/>
      <c r="Y168" s="29" t="s">
        <v>962</v>
      </c>
      <c r="Z168" s="29" t="s">
        <v>812</v>
      </c>
      <c r="AA168" s="95"/>
    </row>
    <row r="169" spans="1:27" ht="15" customHeight="1">
      <c r="A169" s="11">
        <v>169</v>
      </c>
      <c r="B169" s="11"/>
      <c r="C169" s="11"/>
      <c r="D169" s="11" t="s">
        <v>356</v>
      </c>
      <c r="E169" s="11" t="s">
        <v>357</v>
      </c>
      <c r="W169" s="29">
        <v>169</v>
      </c>
      <c r="X169" s="29"/>
      <c r="Y169" s="29" t="s">
        <v>963</v>
      </c>
      <c r="Z169" s="29" t="s">
        <v>813</v>
      </c>
      <c r="AA169" s="95"/>
    </row>
    <row r="170" spans="1:27" ht="15" customHeight="1">
      <c r="A170" s="11">
        <v>170</v>
      </c>
      <c r="B170" s="11"/>
      <c r="C170" s="11"/>
      <c r="D170" s="11" t="s">
        <v>358</v>
      </c>
      <c r="E170" s="11" t="s">
        <v>359</v>
      </c>
      <c r="W170" s="29">
        <v>170</v>
      </c>
      <c r="X170" s="29"/>
      <c r="Y170" s="29" t="s">
        <v>964</v>
      </c>
      <c r="Z170" s="29" t="s">
        <v>814</v>
      </c>
      <c r="AA170" s="95"/>
    </row>
    <row r="171" spans="1:27" ht="15" customHeight="1">
      <c r="A171" s="11">
        <v>171</v>
      </c>
      <c r="B171" s="11"/>
      <c r="C171" s="11"/>
      <c r="D171" s="11" t="s">
        <v>360</v>
      </c>
      <c r="E171" s="11" t="s">
        <v>361</v>
      </c>
      <c r="W171" s="29">
        <v>171</v>
      </c>
      <c r="X171" s="29"/>
      <c r="Y171" s="29" t="s">
        <v>965</v>
      </c>
      <c r="Z171" s="29" t="s">
        <v>815</v>
      </c>
      <c r="AA171" s="95"/>
    </row>
    <row r="172" spans="1:27" ht="15" customHeight="1">
      <c r="A172" s="11">
        <v>172</v>
      </c>
      <c r="B172" s="11"/>
      <c r="C172" s="11"/>
      <c r="D172" s="11" t="s">
        <v>362</v>
      </c>
      <c r="E172" s="11" t="s">
        <v>363</v>
      </c>
      <c r="W172" s="29">
        <v>172</v>
      </c>
      <c r="X172" s="29"/>
      <c r="Y172" s="29" t="s">
        <v>966</v>
      </c>
      <c r="Z172" s="29" t="s">
        <v>816</v>
      </c>
      <c r="AA172" s="95"/>
    </row>
    <row r="173" spans="1:27" ht="15" customHeight="1">
      <c r="A173" s="11">
        <v>173</v>
      </c>
      <c r="B173" s="11"/>
      <c r="C173" s="11"/>
      <c r="D173" s="11" t="s">
        <v>364</v>
      </c>
      <c r="E173" s="11" t="s">
        <v>365</v>
      </c>
      <c r="W173" s="29">
        <v>173</v>
      </c>
      <c r="X173" s="29"/>
      <c r="Y173" s="29" t="s">
        <v>967</v>
      </c>
      <c r="Z173" s="29" t="s">
        <v>817</v>
      </c>
      <c r="AA173" s="95"/>
    </row>
    <row r="174" spans="1:27" ht="15" customHeight="1">
      <c r="A174" s="11">
        <v>174</v>
      </c>
      <c r="B174" s="11"/>
      <c r="C174" s="11"/>
      <c r="D174" s="11" t="s">
        <v>366</v>
      </c>
      <c r="E174" s="11" t="s">
        <v>367</v>
      </c>
      <c r="W174" s="29">
        <v>174</v>
      </c>
      <c r="X174" s="29"/>
      <c r="Y174" s="29" t="s">
        <v>968</v>
      </c>
      <c r="Z174" s="29" t="s">
        <v>818</v>
      </c>
      <c r="AA174" s="95"/>
    </row>
    <row r="175" spans="1:27" ht="15" customHeight="1">
      <c r="A175" s="11">
        <v>175</v>
      </c>
      <c r="B175" s="11"/>
      <c r="C175" s="11"/>
      <c r="D175" s="11" t="s">
        <v>368</v>
      </c>
      <c r="E175" s="11" t="s">
        <v>369</v>
      </c>
      <c r="W175" s="29">
        <v>175</v>
      </c>
      <c r="X175" s="29"/>
      <c r="Y175" s="29" t="s">
        <v>969</v>
      </c>
      <c r="Z175" s="29" t="s">
        <v>819</v>
      </c>
      <c r="AA175" s="95"/>
    </row>
    <row r="176" spans="1:27" ht="15" customHeight="1">
      <c r="A176" s="11">
        <v>176</v>
      </c>
      <c r="B176" s="11"/>
      <c r="C176" s="11"/>
      <c r="D176" s="11" t="s">
        <v>370</v>
      </c>
      <c r="E176" s="11" t="s">
        <v>371</v>
      </c>
      <c r="W176" s="29">
        <v>176</v>
      </c>
      <c r="X176" s="29"/>
      <c r="Y176" s="29" t="s">
        <v>970</v>
      </c>
      <c r="Z176" s="29" t="s">
        <v>820</v>
      </c>
      <c r="AA176" s="95"/>
    </row>
    <row r="177" spans="1:27" ht="15" customHeight="1">
      <c r="A177" s="11">
        <v>177</v>
      </c>
      <c r="B177" s="11"/>
      <c r="C177" s="11"/>
      <c r="D177" s="11" t="s">
        <v>372</v>
      </c>
      <c r="E177" s="11" t="s">
        <v>373</v>
      </c>
      <c r="W177" s="29">
        <v>177</v>
      </c>
      <c r="X177" s="29"/>
      <c r="Y177" s="29" t="s">
        <v>971</v>
      </c>
      <c r="Z177" s="29" t="s">
        <v>821</v>
      </c>
      <c r="AA177" s="95"/>
    </row>
    <row r="178" spans="1:27" ht="15" customHeight="1">
      <c r="A178" s="11">
        <v>178</v>
      </c>
      <c r="B178" s="11"/>
      <c r="C178" s="11"/>
      <c r="D178" s="11" t="s">
        <v>374</v>
      </c>
      <c r="E178" s="11" t="s">
        <v>375</v>
      </c>
      <c r="W178" s="29">
        <v>178</v>
      </c>
      <c r="X178" s="29"/>
      <c r="Y178" s="29" t="s">
        <v>972</v>
      </c>
      <c r="Z178" s="29" t="s">
        <v>822</v>
      </c>
      <c r="AA178" s="95"/>
    </row>
    <row r="179" spans="1:27" ht="15" customHeight="1">
      <c r="A179" s="11">
        <v>179</v>
      </c>
      <c r="B179" s="11"/>
      <c r="C179" s="11"/>
      <c r="D179" s="11" t="s">
        <v>376</v>
      </c>
      <c r="E179" s="11" t="s">
        <v>377</v>
      </c>
      <c r="W179" s="29">
        <v>179</v>
      </c>
      <c r="X179" s="29"/>
      <c r="Y179" s="29" t="s">
        <v>973</v>
      </c>
      <c r="Z179" s="29" t="s">
        <v>823</v>
      </c>
      <c r="AA179" s="95"/>
    </row>
    <row r="180" spans="1:27" ht="15" customHeight="1">
      <c r="A180" s="11">
        <v>180</v>
      </c>
      <c r="B180" s="11"/>
      <c r="C180" s="11"/>
      <c r="D180" s="11" t="s">
        <v>378</v>
      </c>
      <c r="E180" s="11" t="s">
        <v>379</v>
      </c>
      <c r="W180" s="29">
        <v>180</v>
      </c>
      <c r="X180" s="29"/>
      <c r="Y180" s="29" t="s">
        <v>974</v>
      </c>
      <c r="Z180" s="29" t="s">
        <v>824</v>
      </c>
      <c r="AA180" s="95"/>
    </row>
    <row r="181" spans="1:27" ht="15" customHeight="1">
      <c r="A181" s="11">
        <v>181</v>
      </c>
      <c r="B181" s="11"/>
      <c r="C181" s="11"/>
      <c r="D181" s="11" t="s">
        <v>380</v>
      </c>
      <c r="E181" s="11" t="s">
        <v>381</v>
      </c>
      <c r="W181" s="29">
        <v>181</v>
      </c>
      <c r="X181" s="29"/>
      <c r="Y181" s="29" t="s">
        <v>975</v>
      </c>
      <c r="Z181" s="29" t="s">
        <v>825</v>
      </c>
      <c r="AA181" s="95"/>
    </row>
    <row r="182" spans="1:27" ht="15" customHeight="1">
      <c r="A182" s="11">
        <v>182</v>
      </c>
      <c r="B182" s="11"/>
      <c r="C182" s="11"/>
      <c r="D182" s="11" t="s">
        <v>382</v>
      </c>
      <c r="E182" s="11" t="s">
        <v>383</v>
      </c>
      <c r="W182" s="29">
        <v>182</v>
      </c>
      <c r="X182" s="29"/>
      <c r="Y182" s="29" t="s">
        <v>976</v>
      </c>
      <c r="Z182" s="29" t="s">
        <v>826</v>
      </c>
      <c r="AA182" s="95"/>
    </row>
    <row r="183" spans="1:27" ht="15" customHeight="1">
      <c r="A183" s="11">
        <v>183</v>
      </c>
      <c r="B183" s="11"/>
      <c r="C183" s="11"/>
      <c r="D183" s="11" t="s">
        <v>384</v>
      </c>
      <c r="E183" s="11" t="s">
        <v>385</v>
      </c>
      <c r="W183" s="29">
        <v>183</v>
      </c>
      <c r="X183" s="29"/>
      <c r="Y183" s="29" t="s">
        <v>977</v>
      </c>
      <c r="Z183" s="29" t="s">
        <v>827</v>
      </c>
      <c r="AA183" s="95"/>
    </row>
    <row r="184" spans="1:27" ht="15" customHeight="1">
      <c r="A184" s="11">
        <v>184</v>
      </c>
      <c r="B184" s="11"/>
      <c r="C184" s="11"/>
      <c r="D184" s="11" t="s">
        <v>386</v>
      </c>
      <c r="E184" s="11" t="s">
        <v>387</v>
      </c>
      <c r="W184" s="29">
        <v>184</v>
      </c>
      <c r="X184" s="29"/>
      <c r="Y184" s="29" t="s">
        <v>978</v>
      </c>
      <c r="Z184" s="29" t="s">
        <v>828</v>
      </c>
      <c r="AA184" s="95"/>
    </row>
    <row r="185" spans="1:27" ht="15" customHeight="1">
      <c r="A185" s="11">
        <v>185</v>
      </c>
      <c r="B185" s="11"/>
      <c r="C185" s="11"/>
      <c r="D185" s="11" t="s">
        <v>388</v>
      </c>
      <c r="E185" s="11" t="s">
        <v>389</v>
      </c>
      <c r="W185" s="29">
        <v>185</v>
      </c>
      <c r="X185" s="29"/>
      <c r="Y185" s="29" t="s">
        <v>979</v>
      </c>
      <c r="Z185" s="29" t="s">
        <v>829</v>
      </c>
      <c r="AA185" s="95"/>
    </row>
    <row r="186" spans="1:27" ht="15" customHeight="1">
      <c r="A186" s="11">
        <v>186</v>
      </c>
      <c r="B186" s="11"/>
      <c r="C186" s="11"/>
      <c r="D186" s="11" t="s">
        <v>390</v>
      </c>
      <c r="E186" s="11" t="s">
        <v>391</v>
      </c>
      <c r="W186" s="29">
        <v>186</v>
      </c>
      <c r="X186" s="29"/>
      <c r="Y186" s="29" t="s">
        <v>980</v>
      </c>
      <c r="Z186" s="29" t="s">
        <v>830</v>
      </c>
      <c r="AA186" s="95"/>
    </row>
    <row r="187" spans="1:27" ht="15" customHeight="1">
      <c r="A187" s="11">
        <v>187</v>
      </c>
      <c r="B187" s="11"/>
      <c r="C187" s="11"/>
      <c r="D187" s="11" t="s">
        <v>392</v>
      </c>
      <c r="E187" s="11" t="s">
        <v>393</v>
      </c>
      <c r="W187" s="29">
        <v>187</v>
      </c>
      <c r="X187" s="29"/>
      <c r="Y187" s="29" t="s">
        <v>981</v>
      </c>
      <c r="Z187" s="29" t="s">
        <v>831</v>
      </c>
      <c r="AA187" s="95"/>
    </row>
    <row r="188" spans="1:27" ht="15" customHeight="1">
      <c r="A188" s="11">
        <v>188</v>
      </c>
      <c r="B188" s="11"/>
      <c r="C188" s="11"/>
      <c r="D188" s="11" t="s">
        <v>394</v>
      </c>
      <c r="E188" s="11" t="s">
        <v>395</v>
      </c>
      <c r="W188" s="29">
        <v>188</v>
      </c>
      <c r="X188" s="29"/>
      <c r="Y188" s="29" t="s">
        <v>982</v>
      </c>
      <c r="Z188" s="29" t="s">
        <v>832</v>
      </c>
      <c r="AA188" s="95"/>
    </row>
    <row r="189" spans="1:27" ht="15" customHeight="1">
      <c r="A189" s="11">
        <v>189</v>
      </c>
      <c r="B189" s="11"/>
      <c r="C189" s="11"/>
      <c r="D189" s="11" t="s">
        <v>396</v>
      </c>
      <c r="E189" s="11" t="s">
        <v>397</v>
      </c>
      <c r="W189" s="29">
        <v>189</v>
      </c>
      <c r="X189" s="29"/>
      <c r="Y189" s="29" t="s">
        <v>983</v>
      </c>
      <c r="Z189" s="29" t="s">
        <v>833</v>
      </c>
      <c r="AA189" s="95"/>
    </row>
    <row r="190" spans="1:27" ht="15" customHeight="1">
      <c r="A190" s="11">
        <v>190</v>
      </c>
      <c r="B190" s="11"/>
      <c r="C190" s="11"/>
      <c r="D190" s="11" t="s">
        <v>398</v>
      </c>
      <c r="E190" s="11" t="s">
        <v>399</v>
      </c>
      <c r="W190" s="29">
        <v>190</v>
      </c>
      <c r="X190" s="29"/>
      <c r="Y190" s="29" t="s">
        <v>984</v>
      </c>
      <c r="Z190" s="29" t="s">
        <v>834</v>
      </c>
      <c r="AA190" s="95"/>
    </row>
    <row r="191" spans="1:27" ht="15" customHeight="1">
      <c r="A191" s="11">
        <v>191</v>
      </c>
      <c r="B191" s="11"/>
      <c r="C191" s="11"/>
      <c r="D191" s="11" t="s">
        <v>400</v>
      </c>
      <c r="E191" s="11" t="s">
        <v>401</v>
      </c>
      <c r="W191" s="29">
        <v>191</v>
      </c>
      <c r="X191" s="29"/>
      <c r="Y191" s="29" t="s">
        <v>985</v>
      </c>
      <c r="Z191" s="29" t="s">
        <v>835</v>
      </c>
      <c r="AA191" s="95"/>
    </row>
    <row r="192" spans="1:27" ht="15" customHeight="1">
      <c r="A192" s="11">
        <v>192</v>
      </c>
      <c r="B192" s="11"/>
      <c r="C192" s="11"/>
      <c r="D192" s="11" t="s">
        <v>402</v>
      </c>
      <c r="E192" s="11" t="s">
        <v>403</v>
      </c>
      <c r="W192" s="29">
        <v>192</v>
      </c>
      <c r="X192" s="29"/>
      <c r="Y192" s="29" t="s">
        <v>986</v>
      </c>
      <c r="Z192" s="29" t="s">
        <v>836</v>
      </c>
      <c r="AA192" s="95"/>
    </row>
    <row r="193" spans="1:27" ht="15" customHeight="1">
      <c r="A193" s="11">
        <v>193</v>
      </c>
      <c r="B193" s="11"/>
      <c r="C193" s="11"/>
      <c r="D193" s="11" t="s">
        <v>404</v>
      </c>
      <c r="E193" s="11" t="s">
        <v>405</v>
      </c>
      <c r="W193" s="29">
        <v>193</v>
      </c>
      <c r="X193" s="29"/>
      <c r="Y193" s="29" t="s">
        <v>987</v>
      </c>
      <c r="Z193" s="29" t="s">
        <v>837</v>
      </c>
      <c r="AA193" s="95"/>
    </row>
    <row r="194" spans="1:27" ht="15" customHeight="1">
      <c r="A194" s="11">
        <v>194</v>
      </c>
      <c r="B194" s="11"/>
      <c r="C194" s="11"/>
      <c r="D194" s="11" t="s">
        <v>406</v>
      </c>
      <c r="E194" s="11" t="s">
        <v>407</v>
      </c>
      <c r="W194" s="29">
        <v>194</v>
      </c>
      <c r="X194" s="29"/>
      <c r="Y194" s="29" t="s">
        <v>988</v>
      </c>
      <c r="Z194" s="29" t="s">
        <v>838</v>
      </c>
      <c r="AA194" s="95"/>
    </row>
    <row r="195" spans="1:27" ht="15" customHeight="1">
      <c r="A195" s="11">
        <v>195</v>
      </c>
      <c r="B195" s="11"/>
      <c r="C195" s="11"/>
      <c r="D195" s="11" t="s">
        <v>408</v>
      </c>
      <c r="E195" s="11" t="s">
        <v>409</v>
      </c>
      <c r="W195" s="29">
        <v>195</v>
      </c>
      <c r="X195" s="29"/>
      <c r="Y195" s="29" t="s">
        <v>989</v>
      </c>
      <c r="Z195" s="29" t="s">
        <v>839</v>
      </c>
      <c r="AA195" s="95"/>
    </row>
    <row r="196" spans="1:27" ht="15" customHeight="1">
      <c r="A196" s="11">
        <v>196</v>
      </c>
      <c r="B196" s="11"/>
      <c r="C196" s="11"/>
      <c r="D196" s="11" t="s">
        <v>410</v>
      </c>
      <c r="E196" s="11" t="s">
        <v>411</v>
      </c>
      <c r="W196" s="29">
        <v>196</v>
      </c>
      <c r="X196" s="29"/>
      <c r="Y196" s="29" t="s">
        <v>990</v>
      </c>
      <c r="Z196" s="29" t="s">
        <v>840</v>
      </c>
      <c r="AA196" s="95"/>
    </row>
    <row r="197" spans="1:27" ht="15" customHeight="1">
      <c r="A197" s="11">
        <v>197</v>
      </c>
      <c r="B197" s="11"/>
      <c r="C197" s="11"/>
      <c r="D197" s="11" t="s">
        <v>412</v>
      </c>
      <c r="E197" s="11" t="s">
        <v>413</v>
      </c>
      <c r="W197" s="29">
        <v>197</v>
      </c>
      <c r="X197" s="29"/>
      <c r="Y197" s="29" t="s">
        <v>991</v>
      </c>
      <c r="Z197" s="29" t="s">
        <v>841</v>
      </c>
      <c r="AA197" s="95"/>
    </row>
  </sheetData>
  <phoneticPr fontId="9"/>
  <pageMargins left="0.7" right="0.7" top="0.75" bottom="0.75" header="0.3" footer="0.3"/>
  <pageSetup paperSize="9"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2"/>
  <dimension ref="A2:AZ56"/>
  <sheetViews>
    <sheetView showGridLines="0" view="pageBreakPreview" zoomScale="60" zoomScaleNormal="100" workbookViewId="0">
      <selection activeCell="P6" sqref="P6:AB6"/>
    </sheetView>
  </sheetViews>
  <sheetFormatPr defaultColWidth="9" defaultRowHeight="18"/>
  <cols>
    <col min="1" max="36" width="3.625" style="72" customWidth="1"/>
    <col min="37" max="47" width="9" style="72"/>
    <col min="48" max="48" width="9.375" style="72" bestFit="1" customWidth="1"/>
    <col min="49" max="49" width="75.625" style="72" customWidth="1"/>
    <col min="50" max="16384" width="9" style="72"/>
  </cols>
  <sheetData>
    <row r="2" spans="1:49" s="77" customFormat="1" ht="24">
      <c r="A2" s="73"/>
      <c r="B2" s="74"/>
      <c r="C2" s="75"/>
      <c r="D2" s="76"/>
      <c r="E2" s="76"/>
      <c r="F2" s="76"/>
      <c r="G2" s="76"/>
      <c r="H2" s="76"/>
      <c r="I2" s="76"/>
      <c r="J2" s="76"/>
      <c r="K2" s="76"/>
      <c r="L2" s="76"/>
      <c r="M2" s="76"/>
      <c r="N2" s="76"/>
      <c r="O2" s="76"/>
      <c r="P2" s="76"/>
      <c r="Q2" s="76"/>
      <c r="R2" s="76"/>
      <c r="S2" s="76"/>
      <c r="T2" s="76"/>
      <c r="U2" s="76"/>
      <c r="V2" s="76"/>
      <c r="W2" s="76"/>
      <c r="X2" s="76"/>
      <c r="Y2" s="76"/>
      <c r="Z2" s="76"/>
      <c r="AA2" s="76"/>
      <c r="AB2" s="76"/>
      <c r="AC2" s="76"/>
      <c r="AD2" s="76"/>
      <c r="AE2" s="76"/>
      <c r="AF2" s="76"/>
      <c r="AG2" s="76"/>
      <c r="AH2" s="76"/>
      <c r="AI2" s="76"/>
      <c r="AJ2" s="568" t="str">
        <f xml:space="preserve">
IF(表紙!$X$2="事前協議","（10月１日～３月31日分）",
IF(表紙!$X$2="交付申請（２次）","（10月１日～３月31日分）",
IF(表紙!$X$2="変更申請","（10月１日～３月31日分）",
IF(表紙!$X$2="実績報告（１次）","（５月８日～10月31日分）",
IF(表紙!$X$2="実績報告（２次）","（10月１日～３月31日分）",
IF(表紙!$X$2="交付申請兼実績報告","（10月１日～３月31日分）"))))))</f>
        <v>（10月１日～３月31日分）</v>
      </c>
      <c r="AV2" s="78"/>
      <c r="AW2" s="79"/>
    </row>
    <row r="3" spans="1:49" s="77" customFormat="1" ht="19.5">
      <c r="A3" s="1657" t="s">
        <v>1312</v>
      </c>
      <c r="B3" s="1658"/>
      <c r="C3" s="1658"/>
      <c r="D3" s="1658"/>
      <c r="E3" s="1658"/>
      <c r="F3" s="1658"/>
      <c r="G3" s="1658"/>
      <c r="H3" s="1658"/>
      <c r="I3" s="1658"/>
      <c r="J3" s="1658"/>
      <c r="K3" s="1658"/>
      <c r="L3" s="1658"/>
      <c r="M3" s="1658"/>
      <c r="N3" s="1658"/>
      <c r="O3" s="1658"/>
      <c r="P3" s="1658"/>
      <c r="Q3" s="1658"/>
      <c r="R3" s="1658"/>
      <c r="S3" s="1658"/>
      <c r="T3" s="1658"/>
      <c r="U3" s="1658"/>
      <c r="V3" s="1658"/>
      <c r="W3" s="1658"/>
      <c r="X3" s="1658"/>
      <c r="Y3" s="1658"/>
      <c r="Z3" s="1658"/>
      <c r="AA3" s="1658"/>
      <c r="AB3" s="1658"/>
      <c r="AC3" s="1658"/>
      <c r="AD3" s="1658"/>
      <c r="AE3" s="1658"/>
      <c r="AF3" s="1658"/>
      <c r="AG3" s="1658"/>
      <c r="AH3" s="1658"/>
      <c r="AI3" s="1658"/>
      <c r="AJ3" s="1658"/>
      <c r="AV3" s="78"/>
      <c r="AW3" s="79"/>
    </row>
    <row r="4" spans="1:49" s="77" customFormat="1" ht="19.5">
      <c r="A4" s="1657"/>
      <c r="B4" s="1658"/>
      <c r="C4" s="1658"/>
      <c r="D4" s="1658"/>
      <c r="E4" s="1658"/>
      <c r="F4" s="1658"/>
      <c r="G4" s="1658"/>
      <c r="H4" s="1658"/>
      <c r="I4" s="1658"/>
      <c r="J4" s="1658"/>
      <c r="K4" s="1658"/>
      <c r="L4" s="1658"/>
      <c r="M4" s="1658"/>
      <c r="N4" s="1658"/>
      <c r="O4" s="1658"/>
      <c r="P4" s="1658"/>
      <c r="Q4" s="1658"/>
      <c r="R4" s="1658"/>
      <c r="S4" s="1658"/>
      <c r="T4" s="1658"/>
      <c r="U4" s="1658"/>
      <c r="V4" s="1658"/>
      <c r="W4" s="1658"/>
      <c r="X4" s="1658"/>
      <c r="Y4" s="1658"/>
      <c r="Z4" s="1658"/>
      <c r="AA4" s="1658"/>
      <c r="AB4" s="1658"/>
      <c r="AC4" s="1658"/>
      <c r="AD4" s="1658"/>
      <c r="AE4" s="1658"/>
      <c r="AF4" s="1658"/>
      <c r="AG4" s="1658"/>
      <c r="AH4" s="1658"/>
      <c r="AI4" s="1658"/>
      <c r="AJ4" s="1658"/>
      <c r="AV4" s="78"/>
      <c r="AW4" s="79"/>
    </row>
    <row r="5" spans="1:49" s="77" customFormat="1" ht="19.5">
      <c r="A5" s="1658"/>
      <c r="B5" s="1658"/>
      <c r="C5" s="1658"/>
      <c r="D5" s="1658"/>
      <c r="E5" s="1658"/>
      <c r="F5" s="1658"/>
      <c r="G5" s="1658"/>
      <c r="H5" s="1658"/>
      <c r="I5" s="1658"/>
      <c r="J5" s="1658"/>
      <c r="K5" s="1658"/>
      <c r="L5" s="1658"/>
      <c r="M5" s="1658"/>
      <c r="N5" s="1658"/>
      <c r="O5" s="1658"/>
      <c r="P5" s="1658"/>
      <c r="Q5" s="1658"/>
      <c r="R5" s="1658"/>
      <c r="S5" s="1658"/>
      <c r="T5" s="1658"/>
      <c r="U5" s="1658"/>
      <c r="V5" s="1658"/>
      <c r="W5" s="1658"/>
      <c r="X5" s="1658"/>
      <c r="Y5" s="1658"/>
      <c r="Z5" s="1658"/>
      <c r="AA5" s="1658"/>
      <c r="AB5" s="1658"/>
      <c r="AC5" s="1658"/>
      <c r="AD5" s="1658"/>
      <c r="AE5" s="1658"/>
      <c r="AF5" s="1658"/>
      <c r="AG5" s="1658"/>
      <c r="AH5" s="1658"/>
      <c r="AI5" s="1658"/>
      <c r="AJ5" s="1658"/>
      <c r="AV5" s="78"/>
      <c r="AW5" s="79"/>
    </row>
    <row r="6" spans="1:49" s="77" customFormat="1" ht="19.5">
      <c r="AV6" s="78"/>
      <c r="AW6" s="79"/>
    </row>
    <row r="7" spans="1:49" s="77" customFormat="1" ht="19.5">
      <c r="N7" s="1648" t="s">
        <v>1008</v>
      </c>
      <c r="O7" s="1648"/>
      <c r="P7" s="1648"/>
      <c r="Q7" s="1648"/>
      <c r="R7" s="1648"/>
      <c r="S7" s="1659" t="str">
        <f>表紙!L9</f>
        <v/>
      </c>
      <c r="T7" s="1659"/>
      <c r="U7" s="1659"/>
      <c r="V7" s="1659"/>
      <c r="W7" s="1659"/>
      <c r="X7" s="1659"/>
      <c r="Y7" s="1659"/>
      <c r="Z7" s="1659"/>
      <c r="AA7" s="1659"/>
      <c r="AB7" s="1659"/>
      <c r="AC7" s="1659"/>
      <c r="AD7" s="1659"/>
      <c r="AE7" s="1659"/>
      <c r="AF7" s="1659"/>
      <c r="AG7" s="1659"/>
      <c r="AH7" s="1659"/>
      <c r="AI7" s="1659"/>
      <c r="AJ7" s="1659"/>
      <c r="AV7" s="78"/>
      <c r="AW7" s="79"/>
    </row>
    <row r="8" spans="1:49" s="77" customFormat="1" ht="19.5">
      <c r="N8" s="1648"/>
      <c r="O8" s="1648"/>
      <c r="P8" s="1648"/>
      <c r="Q8" s="1648"/>
      <c r="R8" s="1648"/>
      <c r="S8" s="1659"/>
      <c r="T8" s="1659"/>
      <c r="U8" s="1659"/>
      <c r="V8" s="1659"/>
      <c r="W8" s="1659"/>
      <c r="X8" s="1659"/>
      <c r="Y8" s="1659"/>
      <c r="Z8" s="1659"/>
      <c r="AA8" s="1659"/>
      <c r="AB8" s="1659"/>
      <c r="AC8" s="1659"/>
      <c r="AD8" s="1659"/>
      <c r="AE8" s="1659"/>
      <c r="AF8" s="1659"/>
      <c r="AG8" s="1659"/>
      <c r="AH8" s="1659"/>
      <c r="AI8" s="1659"/>
      <c r="AJ8" s="1659"/>
      <c r="AV8" s="78"/>
      <c r="AW8" s="79"/>
    </row>
    <row r="9" spans="1:49" s="77" customFormat="1" ht="19.5">
      <c r="N9" s="1648" t="s">
        <v>1009</v>
      </c>
      <c r="O9" s="1648"/>
      <c r="P9" s="1648"/>
      <c r="Q9" s="1648"/>
      <c r="R9" s="1648"/>
      <c r="S9" s="1659" t="str">
        <f>表紙!L8</f>
        <v/>
      </c>
      <c r="T9" s="1659"/>
      <c r="U9" s="1659"/>
      <c r="V9" s="1659"/>
      <c r="W9" s="1659"/>
      <c r="X9" s="1659"/>
      <c r="Y9" s="1659"/>
      <c r="Z9" s="1659"/>
      <c r="AA9" s="1659"/>
      <c r="AB9" s="1659"/>
      <c r="AC9" s="1659"/>
      <c r="AD9" s="1659"/>
      <c r="AE9" s="1659"/>
      <c r="AF9" s="1659"/>
      <c r="AG9" s="1659"/>
      <c r="AH9" s="1659"/>
      <c r="AI9" s="1659"/>
      <c r="AJ9" s="1659"/>
      <c r="AV9" s="78"/>
      <c r="AW9" s="79"/>
    </row>
    <row r="10" spans="1:49" s="77" customFormat="1" ht="19.5">
      <c r="N10" s="1648"/>
      <c r="O10" s="1648"/>
      <c r="P10" s="1648"/>
      <c r="Q10" s="1648"/>
      <c r="R10" s="1648"/>
      <c r="S10" s="1659"/>
      <c r="T10" s="1659"/>
      <c r="U10" s="1659"/>
      <c r="V10" s="1659"/>
      <c r="W10" s="1659"/>
      <c r="X10" s="1659"/>
      <c r="Y10" s="1659"/>
      <c r="Z10" s="1659"/>
      <c r="AA10" s="1659"/>
      <c r="AB10" s="1659"/>
      <c r="AC10" s="1659"/>
      <c r="AD10" s="1659"/>
      <c r="AE10" s="1659"/>
      <c r="AF10" s="1659"/>
      <c r="AG10" s="1659"/>
      <c r="AH10" s="1659"/>
      <c r="AI10" s="1659"/>
      <c r="AJ10" s="1659"/>
      <c r="AV10" s="78"/>
      <c r="AW10" s="79"/>
    </row>
    <row r="11" spans="1:49" s="77" customFormat="1" ht="19.5">
      <c r="N11" s="1648" t="s">
        <v>1010</v>
      </c>
      <c r="O11" s="1648"/>
      <c r="P11" s="1648"/>
      <c r="Q11" s="1648"/>
      <c r="R11" s="1648"/>
      <c r="S11" s="1649" t="str">
        <f>表紙!L10</f>
        <v/>
      </c>
      <c r="T11" s="1650"/>
      <c r="U11" s="1650"/>
      <c r="V11" s="1650"/>
      <c r="W11" s="1650"/>
      <c r="X11" s="1651"/>
      <c r="Y11" s="1651"/>
      <c r="Z11" s="1651"/>
      <c r="AA11" s="1651"/>
      <c r="AB11" s="1651"/>
      <c r="AC11" s="1651"/>
      <c r="AD11" s="1651"/>
      <c r="AE11" s="1651"/>
      <c r="AF11" s="1651"/>
      <c r="AG11" s="1651"/>
      <c r="AH11" s="1651"/>
      <c r="AI11" s="1651"/>
      <c r="AJ11" s="1652"/>
      <c r="AV11" s="78"/>
      <c r="AW11" s="79"/>
    </row>
    <row r="12" spans="1:49" s="77" customFormat="1" ht="19.5">
      <c r="N12" s="1648"/>
      <c r="O12" s="1648"/>
      <c r="P12" s="1648"/>
      <c r="Q12" s="1648"/>
      <c r="R12" s="1648"/>
      <c r="S12" s="1653"/>
      <c r="T12" s="1654"/>
      <c r="U12" s="1654"/>
      <c r="V12" s="1654"/>
      <c r="W12" s="1654"/>
      <c r="X12" s="1655"/>
      <c r="Y12" s="1655"/>
      <c r="Z12" s="1655"/>
      <c r="AA12" s="1655"/>
      <c r="AB12" s="1655"/>
      <c r="AC12" s="1655"/>
      <c r="AD12" s="1655"/>
      <c r="AE12" s="1655"/>
      <c r="AF12" s="1655"/>
      <c r="AG12" s="1655"/>
      <c r="AH12" s="1655"/>
      <c r="AI12" s="1655"/>
      <c r="AJ12" s="1656"/>
      <c r="AV12" s="78"/>
      <c r="AW12" s="79"/>
    </row>
    <row r="13" spans="1:49" s="77" customFormat="1" ht="19.5">
      <c r="N13" s="1648" t="s">
        <v>652</v>
      </c>
      <c r="O13" s="1648"/>
      <c r="P13" s="1648"/>
      <c r="Q13" s="1648"/>
      <c r="R13" s="1648"/>
      <c r="S13" s="1663" t="s">
        <v>653</v>
      </c>
      <c r="T13" s="1663"/>
      <c r="U13" s="1663"/>
      <c r="V13" s="1663"/>
      <c r="W13" s="1664" t="str">
        <f>表紙!L44</f>
        <v/>
      </c>
      <c r="X13" s="1664"/>
      <c r="Y13" s="1664"/>
      <c r="Z13" s="1664"/>
      <c r="AA13" s="1664"/>
      <c r="AB13" s="1664"/>
      <c r="AC13" s="1664"/>
      <c r="AD13" s="1664"/>
      <c r="AE13" s="1664"/>
      <c r="AF13" s="1664"/>
      <c r="AG13" s="1664"/>
      <c r="AH13" s="1664"/>
      <c r="AI13" s="1664"/>
      <c r="AJ13" s="1664"/>
      <c r="AV13" s="78"/>
      <c r="AW13" s="79"/>
    </row>
    <row r="14" spans="1:49" s="77" customFormat="1" ht="19.5">
      <c r="N14" s="1648"/>
      <c r="O14" s="1648"/>
      <c r="P14" s="1648"/>
      <c r="Q14" s="1648"/>
      <c r="R14" s="1648"/>
      <c r="S14" s="1663"/>
      <c r="T14" s="1663"/>
      <c r="U14" s="1663"/>
      <c r="V14" s="1663"/>
      <c r="W14" s="1664"/>
      <c r="X14" s="1664"/>
      <c r="Y14" s="1664"/>
      <c r="Z14" s="1664"/>
      <c r="AA14" s="1664"/>
      <c r="AB14" s="1664"/>
      <c r="AC14" s="1664"/>
      <c r="AD14" s="1664"/>
      <c r="AE14" s="1664"/>
      <c r="AF14" s="1664"/>
      <c r="AG14" s="1664"/>
      <c r="AH14" s="1664"/>
      <c r="AI14" s="1664"/>
      <c r="AJ14" s="1664"/>
      <c r="AV14" s="78"/>
      <c r="AW14" s="79"/>
    </row>
    <row r="15" spans="1:49" s="77" customFormat="1" ht="19.5">
      <c r="N15" s="1648"/>
      <c r="O15" s="1648"/>
      <c r="P15" s="1648"/>
      <c r="Q15" s="1648"/>
      <c r="R15" s="1648"/>
      <c r="S15" s="1663" t="s">
        <v>654</v>
      </c>
      <c r="T15" s="1663"/>
      <c r="U15" s="1663"/>
      <c r="V15" s="1663"/>
      <c r="W15" s="1664" t="str">
        <f>表紙!L45</f>
        <v/>
      </c>
      <c r="X15" s="1664"/>
      <c r="Y15" s="1664"/>
      <c r="Z15" s="1664"/>
      <c r="AA15" s="1664"/>
      <c r="AB15" s="1664"/>
      <c r="AC15" s="1664"/>
      <c r="AD15" s="1664"/>
      <c r="AE15" s="1664"/>
      <c r="AF15" s="1664"/>
      <c r="AG15" s="1664"/>
      <c r="AH15" s="1664"/>
      <c r="AI15" s="1664"/>
      <c r="AJ15" s="1664"/>
      <c r="AV15" s="78"/>
      <c r="AW15" s="79"/>
    </row>
    <row r="16" spans="1:49" s="77" customFormat="1" ht="19.5">
      <c r="N16" s="1648"/>
      <c r="O16" s="1648"/>
      <c r="P16" s="1648"/>
      <c r="Q16" s="1648"/>
      <c r="R16" s="1648"/>
      <c r="S16" s="1663"/>
      <c r="T16" s="1663"/>
      <c r="U16" s="1663"/>
      <c r="V16" s="1663"/>
      <c r="W16" s="1664"/>
      <c r="X16" s="1664"/>
      <c r="Y16" s="1664"/>
      <c r="Z16" s="1664"/>
      <c r="AA16" s="1664"/>
      <c r="AB16" s="1664"/>
      <c r="AC16" s="1664"/>
      <c r="AD16" s="1664"/>
      <c r="AE16" s="1664"/>
      <c r="AF16" s="1664"/>
      <c r="AG16" s="1664"/>
      <c r="AH16" s="1664"/>
      <c r="AI16" s="1664"/>
      <c r="AJ16" s="1664"/>
      <c r="AV16" s="78"/>
      <c r="AW16" s="79"/>
    </row>
    <row r="17" spans="1:52" s="77" customFormat="1" ht="19.5">
      <c r="N17" s="1648"/>
      <c r="O17" s="1648"/>
      <c r="P17" s="1648"/>
      <c r="Q17" s="1648"/>
      <c r="R17" s="1648"/>
      <c r="S17" s="1663" t="s">
        <v>655</v>
      </c>
      <c r="T17" s="1663"/>
      <c r="U17" s="1663"/>
      <c r="V17" s="1663"/>
      <c r="W17" s="1665" t="str">
        <f>表紙!L46</f>
        <v/>
      </c>
      <c r="X17" s="1664"/>
      <c r="Y17" s="1664"/>
      <c r="Z17" s="1664"/>
      <c r="AA17" s="1664"/>
      <c r="AB17" s="1664"/>
      <c r="AC17" s="1664"/>
      <c r="AD17" s="1664"/>
      <c r="AE17" s="1664"/>
      <c r="AF17" s="1664"/>
      <c r="AG17" s="1664"/>
      <c r="AH17" s="1664"/>
      <c r="AI17" s="1664"/>
      <c r="AJ17" s="1664"/>
      <c r="AV17" s="78"/>
      <c r="AW17" s="79"/>
    </row>
    <row r="18" spans="1:52" s="77" customFormat="1" ht="19.5">
      <c r="N18" s="1648"/>
      <c r="O18" s="1648"/>
      <c r="P18" s="1648"/>
      <c r="Q18" s="1648"/>
      <c r="R18" s="1648"/>
      <c r="S18" s="1663"/>
      <c r="T18" s="1663"/>
      <c r="U18" s="1663"/>
      <c r="V18" s="1663"/>
      <c r="W18" s="1664"/>
      <c r="X18" s="1664"/>
      <c r="Y18" s="1664"/>
      <c r="Z18" s="1664"/>
      <c r="AA18" s="1664"/>
      <c r="AB18" s="1664"/>
      <c r="AC18" s="1664"/>
      <c r="AD18" s="1664"/>
      <c r="AE18" s="1664"/>
      <c r="AF18" s="1664"/>
      <c r="AG18" s="1664"/>
      <c r="AH18" s="1664"/>
      <c r="AI18" s="1664"/>
      <c r="AJ18" s="1664"/>
      <c r="AV18" s="78"/>
      <c r="AW18" s="79"/>
    </row>
    <row r="19" spans="1:52" s="77" customFormat="1" ht="19.5">
      <c r="AV19" s="78"/>
      <c r="AW19" s="79"/>
    </row>
    <row r="20" spans="1:52" s="77" customFormat="1" ht="24">
      <c r="A20" s="1666" t="str">
        <f>"　標記の補助金交付申請（申請額："&amp;IF(表紙!G20="金　　　　　　　　　円","金　　　　　　　　　　",TEXT(表紙!G20,"###,0"))&amp;"円）に係る振込先口座情報及び当該口座の通帳写しについては"</f>
        <v>　標記の補助金交付申請（申請額：金　　　　　　　　　　円）に係る振込先口座情報及び当該口座の通帳写しについては</v>
      </c>
      <c r="B20" s="1667"/>
      <c r="C20" s="1667"/>
      <c r="D20" s="1667"/>
      <c r="E20" s="1667"/>
      <c r="F20" s="1667"/>
      <c r="G20" s="1667"/>
      <c r="H20" s="1668"/>
      <c r="I20" s="1668"/>
      <c r="J20" s="1668"/>
      <c r="K20" s="1668"/>
      <c r="L20" s="1668"/>
      <c r="M20" s="1668"/>
      <c r="N20" s="1668"/>
      <c r="O20" s="1668"/>
      <c r="P20" s="1668"/>
      <c r="Q20" s="1668"/>
      <c r="R20" s="1668"/>
      <c r="S20" s="1668"/>
      <c r="T20" s="1668"/>
      <c r="U20" s="1668"/>
      <c r="V20" s="1668"/>
      <c r="W20" s="1668"/>
      <c r="X20" s="1668"/>
      <c r="Y20" s="1668"/>
      <c r="Z20" s="1668"/>
      <c r="AA20" s="1668"/>
      <c r="AB20" s="1668"/>
      <c r="AC20" s="1668"/>
      <c r="AD20" s="1668"/>
      <c r="AE20" s="1668"/>
      <c r="AF20" s="1668"/>
      <c r="AG20" s="1668"/>
      <c r="AH20" s="1668"/>
      <c r="AI20" s="1668"/>
      <c r="AJ20" s="1668"/>
      <c r="AV20" s="78"/>
      <c r="AW20" s="79"/>
    </row>
    <row r="21" spans="1:52" s="77" customFormat="1" ht="24">
      <c r="A21" s="80" t="s">
        <v>656</v>
      </c>
      <c r="B21" s="80"/>
      <c r="C21" s="80"/>
      <c r="D21" s="80"/>
      <c r="E21" s="80"/>
      <c r="F21" s="80"/>
      <c r="G21" s="80"/>
      <c r="H21" s="80"/>
      <c r="I21" s="80"/>
      <c r="J21" s="80"/>
      <c r="K21" s="80"/>
      <c r="L21" s="80"/>
      <c r="M21" s="80"/>
      <c r="N21" s="80"/>
      <c r="O21" s="80"/>
      <c r="P21" s="80"/>
      <c r="Q21" s="80"/>
      <c r="R21" s="80"/>
      <c r="S21" s="80"/>
      <c r="T21" s="80"/>
      <c r="U21" s="80"/>
      <c r="V21" s="80"/>
      <c r="W21" s="80"/>
      <c r="X21" s="80"/>
      <c r="Y21" s="80"/>
      <c r="Z21" s="80"/>
      <c r="AA21" s="80"/>
      <c r="AB21" s="80"/>
      <c r="AC21" s="80"/>
      <c r="AD21" s="80"/>
      <c r="AE21" s="80"/>
      <c r="AF21" s="80"/>
      <c r="AG21" s="80"/>
      <c r="AH21" s="80"/>
      <c r="AI21" s="80"/>
      <c r="AJ21" s="80"/>
      <c r="AV21" s="78"/>
      <c r="AW21" s="79"/>
    </row>
    <row r="22" spans="1:52" s="77" customFormat="1" ht="19.5">
      <c r="AV22" s="81" t="str">
        <f>IF(COUNTIF(AV23:AV31,"○")=8,"○","×")</f>
        <v>×</v>
      </c>
      <c r="AW22" s="1646" t="str">
        <f>IF(COUNTIF(AV23:AV31,"×")&gt;=1,"【総合判定】入力が不十分な箇所があります。以下の赤着色の箇所を御確認ください。","【総合判定】全ての情報が正しく入力されました。")</f>
        <v>【総合判定】入力が不十分な箇所があります。以下の赤着色の箇所を御確認ください。</v>
      </c>
      <c r="AX22" s="1647"/>
    </row>
    <row r="23" spans="1:52" s="77" customFormat="1" ht="24">
      <c r="A23" s="1690" t="s">
        <v>657</v>
      </c>
      <c r="B23" s="1669" t="s">
        <v>658</v>
      </c>
      <c r="C23" s="1670"/>
      <c r="D23" s="1670"/>
      <c r="E23" s="1670"/>
      <c r="F23" s="1671"/>
      <c r="G23" s="89" t="str">
        <f>IF(はじめに入力してください!H19="","",はじめに入力してください!H19)</f>
        <v/>
      </c>
      <c r="H23" s="90" t="str">
        <f>IF(はじめに入力してください!I19="","",はじめに入力してください!I19)</f>
        <v/>
      </c>
      <c r="I23" s="90" t="str">
        <f>IF(はじめに入力してください!J19="","",はじめに入力してください!J19)</f>
        <v/>
      </c>
      <c r="J23" s="91" t="str">
        <f>IF(はじめに入力してください!K19="","",はじめに入力してください!K19)</f>
        <v/>
      </c>
      <c r="K23" s="1672" t="s">
        <v>659</v>
      </c>
      <c r="L23" s="1673"/>
      <c r="M23" s="1673"/>
      <c r="N23" s="1673"/>
      <c r="O23" s="1673"/>
      <c r="P23" s="1673"/>
      <c r="Q23" s="1673"/>
      <c r="R23" s="1673"/>
      <c r="S23" s="1673"/>
      <c r="T23" s="1673"/>
      <c r="U23" s="1673"/>
      <c r="V23" s="1673"/>
      <c r="W23" s="1673"/>
      <c r="X23" s="1673"/>
      <c r="Y23" s="1673"/>
      <c r="Z23" s="1673"/>
      <c r="AA23" s="1673"/>
      <c r="AB23" s="1673"/>
      <c r="AC23" s="1673"/>
      <c r="AD23" s="1673"/>
      <c r="AE23" s="1673"/>
      <c r="AF23" s="1673"/>
      <c r="AG23" s="1673"/>
      <c r="AH23" s="1673"/>
      <c r="AI23" s="1673"/>
      <c r="AJ23" s="1673"/>
      <c r="AV23" s="82" t="str">
        <f>IF(COUNTA(G23:J23)=4,"○","×")</f>
        <v>○</v>
      </c>
      <c r="AW23" s="1646" t="str">
        <f>IF(AV23="×","【金融機関コード】４桁の番号が未入力又は正しく入力されていません。","４桁の金融機関コードが正しく入力されました。")</f>
        <v>４桁の金融機関コードが正しく入力されました。</v>
      </c>
      <c r="AX23" s="1647"/>
      <c r="AY23" s="77" t="str">
        <f>IF(AV23="×","４桁の金融機関コードが未入力又は正しく入力されていません。/","")</f>
        <v/>
      </c>
    </row>
    <row r="24" spans="1:52" s="77" customFormat="1" ht="24">
      <c r="A24" s="1691"/>
      <c r="B24" s="1700" t="s">
        <v>660</v>
      </c>
      <c r="C24" s="1664"/>
      <c r="D24" s="1664"/>
      <c r="E24" s="1664"/>
      <c r="F24" s="1664"/>
      <c r="G24" s="89" t="str">
        <f>IF(はじめに入力してください!H21="","",はじめに入力してください!H21)</f>
        <v/>
      </c>
      <c r="H24" s="90" t="str">
        <f>IF(はじめに入力してください!I21="","",はじめに入力してください!I21)</f>
        <v/>
      </c>
      <c r="I24" s="91" t="str">
        <f>IF(はじめに入力してください!J21="","",はじめに入力してください!J21)</f>
        <v/>
      </c>
      <c r="J24" s="88"/>
      <c r="K24" s="1673" t="s">
        <v>661</v>
      </c>
      <c r="L24" s="1699"/>
      <c r="M24" s="1699"/>
      <c r="N24" s="1699"/>
      <c r="O24" s="1699"/>
      <c r="P24" s="1699"/>
      <c r="Q24" s="1699"/>
      <c r="R24" s="1699"/>
      <c r="S24" s="1699"/>
      <c r="T24" s="1699"/>
      <c r="U24" s="1699"/>
      <c r="V24" s="1699"/>
      <c r="W24" s="1699"/>
      <c r="X24" s="1699"/>
      <c r="Y24" s="1699"/>
      <c r="Z24" s="1699"/>
      <c r="AA24" s="1699"/>
      <c r="AB24" s="1699"/>
      <c r="AC24" s="1699"/>
      <c r="AD24" s="1699"/>
      <c r="AE24" s="1699"/>
      <c r="AF24" s="1699"/>
      <c r="AG24" s="1699"/>
      <c r="AH24" s="1699"/>
      <c r="AI24" s="1699"/>
      <c r="AJ24" s="1699"/>
      <c r="AV24" s="82" t="str">
        <f>IF(COUNTA(G24:I24)=3,"○","×")</f>
        <v>○</v>
      </c>
      <c r="AW24" s="1646" t="str">
        <f>IF(AV24="×","【支店番号】３桁の番号が未入力又は正しく入力されていません。","３桁の支店番号が正しく入力されました。")</f>
        <v>３桁の支店番号が正しく入力されました。</v>
      </c>
      <c r="AX24" s="1647"/>
      <c r="AY24" s="77" t="str">
        <f>IF(AV24="×","３桁の支店番号が未入力又は正しく入力されていません。/","")</f>
        <v/>
      </c>
    </row>
    <row r="25" spans="1:52" s="77" customFormat="1" ht="24">
      <c r="A25" s="1691"/>
      <c r="B25" s="1660" t="s">
        <v>662</v>
      </c>
      <c r="C25" s="1661"/>
      <c r="D25" s="1661"/>
      <c r="E25" s="1661"/>
      <c r="F25" s="1662"/>
      <c r="G25" s="1695" t="str">
        <f>IF(はじめに入力してください!H20="","",はじめに入力してください!H20)</f>
        <v/>
      </c>
      <c r="H25" s="1696"/>
      <c r="I25" s="1696"/>
      <c r="J25" s="1696"/>
      <c r="K25" s="1696"/>
      <c r="L25" s="1696"/>
      <c r="M25" s="1697"/>
      <c r="N25" s="1698" t="s">
        <v>663</v>
      </c>
      <c r="O25" s="1699"/>
      <c r="P25" s="1699"/>
      <c r="Q25" s="1699"/>
      <c r="R25" s="1699"/>
      <c r="S25" s="1699"/>
      <c r="T25" s="1699"/>
      <c r="U25" s="1699"/>
      <c r="V25" s="1699"/>
      <c r="W25" s="1699"/>
      <c r="X25" s="1699"/>
      <c r="Y25" s="1699"/>
      <c r="Z25" s="1699"/>
      <c r="AA25" s="1699"/>
      <c r="AB25" s="1699"/>
      <c r="AC25" s="1699"/>
      <c r="AD25" s="1699"/>
      <c r="AE25" s="1699"/>
      <c r="AF25" s="1699"/>
      <c r="AG25" s="1699"/>
      <c r="AH25" s="1699"/>
      <c r="AI25" s="1699"/>
      <c r="AJ25" s="1699"/>
      <c r="AV25" s="82" t="str">
        <f>IF(COUNTA(G25)=1,"○","×")</f>
        <v>○</v>
      </c>
      <c r="AW25" s="1646" t="str">
        <f>IF(AV25="×","【金融機関名】名称が未入力です","金融機関の名称が正しく入力されました。")</f>
        <v>金融機関の名称が正しく入力されました。</v>
      </c>
      <c r="AX25" s="1647"/>
      <c r="AY25" s="77" t="str">
        <f>IF(AV25="×","金融機関名が未入力です。/","")</f>
        <v/>
      </c>
    </row>
    <row r="26" spans="1:52" s="77" customFormat="1" ht="24">
      <c r="A26" s="1691"/>
      <c r="B26" s="1660" t="s">
        <v>664</v>
      </c>
      <c r="C26" s="1661"/>
      <c r="D26" s="1661"/>
      <c r="E26" s="1661"/>
      <c r="F26" s="1662"/>
      <c r="G26" s="1698" t="str">
        <f>IF(はじめに入力してください!H22="","",はじめに入力してください!H22)</f>
        <v/>
      </c>
      <c r="H26" s="1672"/>
      <c r="I26" s="1672"/>
      <c r="J26" s="1672"/>
      <c r="K26" s="1672"/>
      <c r="L26" s="1672"/>
      <c r="M26" s="1703"/>
      <c r="N26" s="1672" t="s">
        <v>665</v>
      </c>
      <c r="O26" s="1673"/>
      <c r="P26" s="1673"/>
      <c r="Q26" s="1673"/>
      <c r="R26" s="1673"/>
      <c r="S26" s="1673"/>
      <c r="T26" s="1673"/>
      <c r="U26" s="1673"/>
      <c r="V26" s="1673"/>
      <c r="W26" s="1673"/>
      <c r="X26" s="1673"/>
      <c r="Y26" s="1673"/>
      <c r="Z26" s="1673"/>
      <c r="AA26" s="1673"/>
      <c r="AB26" s="1673"/>
      <c r="AC26" s="1673"/>
      <c r="AD26" s="1673"/>
      <c r="AE26" s="1673"/>
      <c r="AF26" s="1673"/>
      <c r="AG26" s="1673"/>
      <c r="AH26" s="1673"/>
      <c r="AI26" s="1673"/>
      <c r="AJ26" s="1673"/>
      <c r="AV26" s="82" t="str">
        <f>IF(COUNTA(G26)=1,"○","×")</f>
        <v>○</v>
      </c>
      <c r="AW26" s="1646" t="str">
        <f>IF(AV26="×","【支店名】金融機関の支店名称が未入力です","金融機関の支店名称が正しく入力されました。")</f>
        <v>金融機関の支店名称が正しく入力されました。</v>
      </c>
      <c r="AX26" s="1647"/>
      <c r="AY26" s="77" t="str">
        <f>IF(AV26="×","金融機関の支店名称が未入力です。/","")</f>
        <v/>
      </c>
    </row>
    <row r="27" spans="1:52" s="77" customFormat="1" ht="24" hidden="1" customHeight="1">
      <c r="A27" s="1691"/>
      <c r="B27" s="1674"/>
      <c r="C27" s="1673"/>
      <c r="D27" s="1673"/>
      <c r="E27" s="1673"/>
      <c r="F27" s="1673"/>
      <c r="G27" s="1673"/>
      <c r="H27" s="1673"/>
      <c r="I27" s="1673"/>
      <c r="J27" s="1673"/>
      <c r="K27" s="1673"/>
      <c r="L27" s="1673"/>
      <c r="M27" s="1673"/>
      <c r="N27" s="1673"/>
      <c r="O27" s="1673"/>
      <c r="P27" s="1673"/>
      <c r="Q27" s="1673"/>
      <c r="R27" s="1673"/>
      <c r="S27" s="1673"/>
      <c r="T27" s="1673"/>
      <c r="U27" s="1673"/>
      <c r="V27" s="1673"/>
      <c r="W27" s="1673"/>
      <c r="X27" s="1673"/>
      <c r="Y27" s="1673"/>
      <c r="Z27" s="1673"/>
      <c r="AA27" s="1673"/>
      <c r="AB27" s="1673"/>
      <c r="AC27" s="1673"/>
      <c r="AD27" s="1673"/>
      <c r="AE27" s="1673"/>
      <c r="AF27" s="1673"/>
      <c r="AG27" s="1673"/>
      <c r="AH27" s="1673"/>
      <c r="AI27" s="1673"/>
      <c r="AJ27" s="1673"/>
      <c r="AV27" s="82"/>
      <c r="AW27" s="83"/>
      <c r="AX27" s="84"/>
    </row>
    <row r="28" spans="1:52" s="77" customFormat="1" ht="24">
      <c r="A28" s="1691"/>
      <c r="B28" s="1660" t="s">
        <v>666</v>
      </c>
      <c r="C28" s="1661"/>
      <c r="D28" s="1661"/>
      <c r="E28" s="1661"/>
      <c r="F28" s="1661"/>
      <c r="G28" s="1675" t="str">
        <f>IF(はじめに入力してください!H23="","",はじめに入力してください!H23)</f>
        <v/>
      </c>
      <c r="H28" s="1662"/>
      <c r="I28" s="1676" t="s">
        <v>667</v>
      </c>
      <c r="J28" s="1673"/>
      <c r="K28" s="1673"/>
      <c r="L28" s="1673"/>
      <c r="M28" s="1673"/>
      <c r="N28" s="1673"/>
      <c r="O28" s="1673"/>
      <c r="P28" s="1673"/>
      <c r="Q28" s="1673"/>
      <c r="R28" s="1673"/>
      <c r="S28" s="1673"/>
      <c r="T28" s="1673"/>
      <c r="U28" s="1673"/>
      <c r="V28" s="1673"/>
      <c r="W28" s="1673"/>
      <c r="X28" s="1673"/>
      <c r="Y28" s="1673"/>
      <c r="Z28" s="1673"/>
      <c r="AA28" s="1673"/>
      <c r="AB28" s="1673"/>
      <c r="AC28" s="1673"/>
      <c r="AD28" s="1673"/>
      <c r="AE28" s="1673"/>
      <c r="AF28" s="1673"/>
      <c r="AG28" s="1673"/>
      <c r="AH28" s="1673"/>
      <c r="AI28" s="1673"/>
      <c r="AJ28" s="1673"/>
      <c r="AV28" s="82" t="str">
        <f>IF(COUNTA(G28)=1,"○","×")</f>
        <v>○</v>
      </c>
      <c r="AW28" s="1646" t="str">
        <f>IF(AV28="×","【預金種別】預金種別の番号が未入力です","預金種別の番号が正しく入力されました。")</f>
        <v>預金種別の番号が正しく入力されました。</v>
      </c>
      <c r="AX28" s="1647"/>
      <c r="AY28" s="77" t="str">
        <f>IF(AV28="×","預金種別の番号が未入力です。/","")</f>
        <v/>
      </c>
    </row>
    <row r="29" spans="1:52" s="77" customFormat="1" ht="24">
      <c r="A29" s="1691"/>
      <c r="B29" s="1660" t="s">
        <v>668</v>
      </c>
      <c r="C29" s="1661"/>
      <c r="D29" s="1661"/>
      <c r="E29" s="1661"/>
      <c r="F29" s="1661"/>
      <c r="G29" s="92" t="str">
        <f>IF(はじめに入力してください!H24="","",はじめに入力してください!H24)</f>
        <v/>
      </c>
      <c r="H29" s="93" t="str">
        <f>IF(はじめに入力してください!I24="","",はじめに入力してください!I24)</f>
        <v/>
      </c>
      <c r="I29" s="93" t="str">
        <f>IF(はじめに入力してください!J24="","",はじめに入力してください!J24)</f>
        <v/>
      </c>
      <c r="J29" s="93" t="str">
        <f>IF(はじめに入力してください!K24="","",はじめに入力してください!K24)</f>
        <v/>
      </c>
      <c r="K29" s="93" t="str">
        <f>IF(はじめに入力してください!L24="","",はじめに入力してください!L24)</f>
        <v/>
      </c>
      <c r="L29" s="93" t="str">
        <f>IF(はじめに入力してください!M24="","",はじめに入力してください!M24)</f>
        <v/>
      </c>
      <c r="M29" s="94" t="str">
        <f>IF(はじめに入力してください!N24="","",はじめに入力してください!N24)</f>
        <v/>
      </c>
      <c r="N29" s="1677" t="s">
        <v>669</v>
      </c>
      <c r="O29" s="1678"/>
      <c r="P29" s="1678"/>
      <c r="Q29" s="1678"/>
      <c r="R29" s="1678"/>
      <c r="S29" s="1678"/>
      <c r="T29" s="1678"/>
      <c r="U29" s="1678"/>
      <c r="V29" s="1678"/>
      <c r="W29" s="1678"/>
      <c r="X29" s="1678"/>
      <c r="Y29" s="1678"/>
      <c r="Z29" s="1678"/>
      <c r="AA29" s="1678"/>
      <c r="AB29" s="1678"/>
      <c r="AC29" s="1678"/>
      <c r="AD29" s="1678"/>
      <c r="AE29" s="1678"/>
      <c r="AF29" s="1678"/>
      <c r="AG29" s="1678"/>
      <c r="AH29" s="1678"/>
      <c r="AI29" s="1678"/>
      <c r="AJ29" s="1678"/>
      <c r="AV29" s="82" t="str">
        <f>IF(COUNTA(G29:M29)=7,"○","×")</f>
        <v>○</v>
      </c>
      <c r="AW29" s="1646" t="str">
        <f>IF(AV29="×","【口座番号】７桁の口座番号が未入力又は正しく入力されていません。","７桁の口座番号が正しく入力されました。")</f>
        <v>７桁の口座番号が正しく入力されました。</v>
      </c>
      <c r="AX29" s="1647"/>
      <c r="AY29" s="77" t="str">
        <f>IF(AV29="×","７桁の口座番号が未入力又は正しく入力されていません。/","")</f>
        <v/>
      </c>
    </row>
    <row r="30" spans="1:52" s="77" customFormat="1" ht="24.75" customHeight="1">
      <c r="A30" s="1692"/>
      <c r="B30" s="1670" t="s">
        <v>670</v>
      </c>
      <c r="C30" s="1670"/>
      <c r="D30" s="1670"/>
      <c r="E30" s="1670"/>
      <c r="F30" s="1671"/>
      <c r="G30" s="1693" t="str">
        <f>IF(はじめに入力してください!H25="","",はじめに入力してください!H25)</f>
        <v/>
      </c>
      <c r="H30" s="1694"/>
      <c r="I30" s="1694"/>
      <c r="J30" s="1694"/>
      <c r="K30" s="1694"/>
      <c r="L30" s="1694"/>
      <c r="M30" s="1694"/>
      <c r="N30" s="1694"/>
      <c r="O30" s="1694"/>
      <c r="P30" s="1694"/>
      <c r="Q30" s="1694"/>
      <c r="R30" s="1694"/>
      <c r="S30" s="1694"/>
      <c r="T30" s="1694"/>
      <c r="U30" s="1694"/>
      <c r="V30" s="1694"/>
      <c r="W30" s="1694"/>
      <c r="X30" s="1694"/>
      <c r="Y30" s="1694"/>
      <c r="Z30" s="1694"/>
      <c r="AA30" s="1694"/>
      <c r="AB30" s="1694"/>
      <c r="AC30" s="1694"/>
      <c r="AD30" s="1694"/>
      <c r="AE30" s="1694"/>
      <c r="AF30" s="1694"/>
      <c r="AG30" s="1694"/>
      <c r="AH30" s="1694"/>
      <c r="AI30" s="1694"/>
      <c r="AJ30" s="1694"/>
      <c r="AV30" s="82" t="str">
        <f>IF(COUNTA(G30:AJ30)&gt;=1,"○","×")</f>
        <v>○</v>
      </c>
      <c r="AW30" s="1646" t="str">
        <f>IF(AV30="×","【口座名義（ｶﾅ）】口座のｶﾅ名義が未入力です。","口座のｶﾅ名義がが正しく入力されました。")</f>
        <v>口座のｶﾅ名義がが正しく入力されました。</v>
      </c>
      <c r="AX30" s="1647"/>
      <c r="AY30" s="77" t="str">
        <f>IF(AV30="×","口座のｶﾅ名義が未入力です。/","")</f>
        <v/>
      </c>
    </row>
    <row r="31" spans="1:52" s="77" customFormat="1" ht="24.75" hidden="1" customHeight="1">
      <c r="A31" s="87"/>
      <c r="B31" s="1670" t="s">
        <v>671</v>
      </c>
      <c r="C31" s="1670"/>
      <c r="D31" s="1670"/>
      <c r="E31" s="1670"/>
      <c r="F31" s="1671"/>
      <c r="G31" s="1701"/>
      <c r="H31" s="1702"/>
      <c r="I31" s="1702"/>
      <c r="J31" s="1702"/>
      <c r="K31" s="1702"/>
      <c r="L31" s="1702"/>
      <c r="M31" s="1702"/>
      <c r="N31" s="1702"/>
      <c r="O31" s="1702"/>
      <c r="P31" s="1702"/>
      <c r="Q31" s="1702"/>
      <c r="R31" s="1702"/>
      <c r="S31" s="1702"/>
      <c r="T31" s="1702"/>
      <c r="U31" s="1702"/>
      <c r="V31" s="1702"/>
      <c r="W31" s="1702"/>
      <c r="X31" s="1702"/>
      <c r="Y31" s="1702"/>
      <c r="Z31" s="1702"/>
      <c r="AA31" s="1702"/>
      <c r="AB31" s="1702"/>
      <c r="AC31" s="1702"/>
      <c r="AD31" s="1702"/>
      <c r="AE31" s="1702"/>
      <c r="AF31" s="1702"/>
      <c r="AG31" s="1702"/>
      <c r="AH31" s="1702"/>
      <c r="AI31" s="1702"/>
      <c r="AJ31" s="1702"/>
      <c r="AV31" s="82" t="str">
        <f>IF(COUNTA(G31:AJ31)&gt;=1,"○","×")</f>
        <v>×</v>
      </c>
      <c r="AW31" s="1646" t="str">
        <f>IF(AV31="×","【口座名義】口座の名義が未入力です。","口座の名義がが正しく入力されました。")</f>
        <v>【口座名義】口座の名義が未入力です。</v>
      </c>
      <c r="AX31" s="1647"/>
      <c r="AY31" s="77" t="str">
        <f>IF(AV31="×","口座の名義が未入力です。/","")</f>
        <v>口座の名義が未入力です。/</v>
      </c>
    </row>
    <row r="32" spans="1:52" s="77" customFormat="1" ht="24">
      <c r="A32" s="1679"/>
      <c r="B32" s="1680"/>
      <c r="C32" s="1680"/>
      <c r="D32" s="1680"/>
      <c r="E32" s="1680"/>
      <c r="F32" s="1680"/>
      <c r="G32" s="1680"/>
      <c r="H32" s="1680"/>
      <c r="I32" s="1680"/>
      <c r="J32" s="1680"/>
      <c r="K32" s="1680"/>
      <c r="L32" s="1680"/>
      <c r="M32" s="1680"/>
      <c r="N32" s="1680"/>
      <c r="O32" s="1680"/>
      <c r="P32" s="1680"/>
      <c r="Q32" s="1680"/>
      <c r="R32" s="1680"/>
      <c r="S32" s="1680"/>
      <c r="T32" s="1680"/>
      <c r="U32" s="1680"/>
      <c r="V32" s="1680"/>
      <c r="W32" s="1680"/>
      <c r="X32" s="1680"/>
      <c r="Y32" s="1680"/>
      <c r="Z32" s="1680"/>
      <c r="AA32" s="1680"/>
      <c r="AB32" s="1680"/>
      <c r="AC32" s="1680"/>
      <c r="AD32" s="1680"/>
      <c r="AE32" s="1680"/>
      <c r="AF32" s="1680"/>
      <c r="AG32" s="1680"/>
      <c r="AH32" s="1680"/>
      <c r="AI32" s="1680"/>
      <c r="AJ32" s="1680"/>
      <c r="AV32" s="78"/>
      <c r="AW32" s="79"/>
      <c r="AY32" s="85" t="str">
        <f>AY23&amp;AY24&amp;AY25&amp;AY26&amp;AY28&amp;AY29&amp;AY30&amp;AY31</f>
        <v>口座の名義が未入力です。/</v>
      </c>
      <c r="AZ32" s="77" t="s">
        <v>672</v>
      </c>
    </row>
    <row r="33" spans="2:49" s="77" customFormat="1" ht="24.75" thickBot="1">
      <c r="C33" s="86"/>
      <c r="AV33" s="78"/>
      <c r="AW33" s="79"/>
    </row>
    <row r="34" spans="2:49" s="77" customFormat="1" ht="19.5">
      <c r="B34" s="1681" t="s">
        <v>1465</v>
      </c>
      <c r="C34" s="1682"/>
      <c r="D34" s="1682"/>
      <c r="E34" s="1682"/>
      <c r="F34" s="1682"/>
      <c r="G34" s="1682"/>
      <c r="H34" s="1682"/>
      <c r="I34" s="1682"/>
      <c r="J34" s="1682"/>
      <c r="K34" s="1682"/>
      <c r="L34" s="1682"/>
      <c r="M34" s="1682"/>
      <c r="N34" s="1682"/>
      <c r="O34" s="1682"/>
      <c r="P34" s="1682"/>
      <c r="Q34" s="1682"/>
      <c r="R34" s="1682"/>
      <c r="S34" s="1682"/>
      <c r="T34" s="1682"/>
      <c r="U34" s="1682"/>
      <c r="V34" s="1682"/>
      <c r="W34" s="1682"/>
      <c r="X34" s="1682"/>
      <c r="Y34" s="1682"/>
      <c r="Z34" s="1682"/>
      <c r="AA34" s="1682"/>
      <c r="AB34" s="1682"/>
      <c r="AC34" s="1682"/>
      <c r="AD34" s="1682"/>
      <c r="AE34" s="1682"/>
      <c r="AF34" s="1682"/>
      <c r="AG34" s="1682"/>
      <c r="AH34" s="1682"/>
      <c r="AI34" s="1683"/>
      <c r="AV34" s="78"/>
      <c r="AW34" s="79"/>
    </row>
    <row r="35" spans="2:49" s="77" customFormat="1" ht="19.5">
      <c r="B35" s="1684"/>
      <c r="C35" s="1685"/>
      <c r="D35" s="1685"/>
      <c r="E35" s="1685"/>
      <c r="F35" s="1685"/>
      <c r="G35" s="1685"/>
      <c r="H35" s="1685"/>
      <c r="I35" s="1685"/>
      <c r="J35" s="1685"/>
      <c r="K35" s="1685"/>
      <c r="L35" s="1685"/>
      <c r="M35" s="1685"/>
      <c r="N35" s="1685"/>
      <c r="O35" s="1685"/>
      <c r="P35" s="1685"/>
      <c r="Q35" s="1685"/>
      <c r="R35" s="1685"/>
      <c r="S35" s="1685"/>
      <c r="T35" s="1685"/>
      <c r="U35" s="1685"/>
      <c r="V35" s="1685"/>
      <c r="W35" s="1685"/>
      <c r="X35" s="1685"/>
      <c r="Y35" s="1685"/>
      <c r="Z35" s="1685"/>
      <c r="AA35" s="1685"/>
      <c r="AB35" s="1685"/>
      <c r="AC35" s="1685"/>
      <c r="AD35" s="1685"/>
      <c r="AE35" s="1685"/>
      <c r="AF35" s="1685"/>
      <c r="AG35" s="1685"/>
      <c r="AH35" s="1685"/>
      <c r="AI35" s="1686"/>
      <c r="AV35" s="78"/>
      <c r="AW35" s="79"/>
    </row>
    <row r="36" spans="2:49" s="77" customFormat="1" ht="19.5">
      <c r="B36" s="1684"/>
      <c r="C36" s="1685"/>
      <c r="D36" s="1685"/>
      <c r="E36" s="1685"/>
      <c r="F36" s="1685"/>
      <c r="G36" s="1685"/>
      <c r="H36" s="1685"/>
      <c r="I36" s="1685"/>
      <c r="J36" s="1685"/>
      <c r="K36" s="1685"/>
      <c r="L36" s="1685"/>
      <c r="M36" s="1685"/>
      <c r="N36" s="1685"/>
      <c r="O36" s="1685"/>
      <c r="P36" s="1685"/>
      <c r="Q36" s="1685"/>
      <c r="R36" s="1685"/>
      <c r="S36" s="1685"/>
      <c r="T36" s="1685"/>
      <c r="U36" s="1685"/>
      <c r="V36" s="1685"/>
      <c r="W36" s="1685"/>
      <c r="X36" s="1685"/>
      <c r="Y36" s="1685"/>
      <c r="Z36" s="1685"/>
      <c r="AA36" s="1685"/>
      <c r="AB36" s="1685"/>
      <c r="AC36" s="1685"/>
      <c r="AD36" s="1685"/>
      <c r="AE36" s="1685"/>
      <c r="AF36" s="1685"/>
      <c r="AG36" s="1685"/>
      <c r="AH36" s="1685"/>
      <c r="AI36" s="1686"/>
      <c r="AV36" s="78"/>
      <c r="AW36" s="79"/>
    </row>
    <row r="37" spans="2:49" s="77" customFormat="1" ht="19.5">
      <c r="B37" s="1684"/>
      <c r="C37" s="1685"/>
      <c r="D37" s="1685"/>
      <c r="E37" s="1685"/>
      <c r="F37" s="1685"/>
      <c r="G37" s="1685"/>
      <c r="H37" s="1685"/>
      <c r="I37" s="1685"/>
      <c r="J37" s="1685"/>
      <c r="K37" s="1685"/>
      <c r="L37" s="1685"/>
      <c r="M37" s="1685"/>
      <c r="N37" s="1685"/>
      <c r="O37" s="1685"/>
      <c r="P37" s="1685"/>
      <c r="Q37" s="1685"/>
      <c r="R37" s="1685"/>
      <c r="S37" s="1685"/>
      <c r="T37" s="1685"/>
      <c r="U37" s="1685"/>
      <c r="V37" s="1685"/>
      <c r="W37" s="1685"/>
      <c r="X37" s="1685"/>
      <c r="Y37" s="1685"/>
      <c r="Z37" s="1685"/>
      <c r="AA37" s="1685"/>
      <c r="AB37" s="1685"/>
      <c r="AC37" s="1685"/>
      <c r="AD37" s="1685"/>
      <c r="AE37" s="1685"/>
      <c r="AF37" s="1685"/>
      <c r="AG37" s="1685"/>
      <c r="AH37" s="1685"/>
      <c r="AI37" s="1686"/>
      <c r="AV37" s="78"/>
      <c r="AW37" s="79"/>
    </row>
    <row r="38" spans="2:49" s="77" customFormat="1" ht="19.5">
      <c r="B38" s="1684"/>
      <c r="C38" s="1685"/>
      <c r="D38" s="1685"/>
      <c r="E38" s="1685"/>
      <c r="F38" s="1685"/>
      <c r="G38" s="1685"/>
      <c r="H38" s="1685"/>
      <c r="I38" s="1685"/>
      <c r="J38" s="1685"/>
      <c r="K38" s="1685"/>
      <c r="L38" s="1685"/>
      <c r="M38" s="1685"/>
      <c r="N38" s="1685"/>
      <c r="O38" s="1685"/>
      <c r="P38" s="1685"/>
      <c r="Q38" s="1685"/>
      <c r="R38" s="1685"/>
      <c r="S38" s="1685"/>
      <c r="T38" s="1685"/>
      <c r="U38" s="1685"/>
      <c r="V38" s="1685"/>
      <c r="W38" s="1685"/>
      <c r="X38" s="1685"/>
      <c r="Y38" s="1685"/>
      <c r="Z38" s="1685"/>
      <c r="AA38" s="1685"/>
      <c r="AB38" s="1685"/>
      <c r="AC38" s="1685"/>
      <c r="AD38" s="1685"/>
      <c r="AE38" s="1685"/>
      <c r="AF38" s="1685"/>
      <c r="AG38" s="1685"/>
      <c r="AH38" s="1685"/>
      <c r="AI38" s="1686"/>
      <c r="AV38" s="78"/>
      <c r="AW38" s="79"/>
    </row>
    <row r="39" spans="2:49" s="77" customFormat="1" ht="19.5">
      <c r="B39" s="1684"/>
      <c r="C39" s="1685"/>
      <c r="D39" s="1685"/>
      <c r="E39" s="1685"/>
      <c r="F39" s="1685"/>
      <c r="G39" s="1685"/>
      <c r="H39" s="1685"/>
      <c r="I39" s="1685"/>
      <c r="J39" s="1685"/>
      <c r="K39" s="1685"/>
      <c r="L39" s="1685"/>
      <c r="M39" s="1685"/>
      <c r="N39" s="1685"/>
      <c r="O39" s="1685"/>
      <c r="P39" s="1685"/>
      <c r="Q39" s="1685"/>
      <c r="R39" s="1685"/>
      <c r="S39" s="1685"/>
      <c r="T39" s="1685"/>
      <c r="U39" s="1685"/>
      <c r="V39" s="1685"/>
      <c r="W39" s="1685"/>
      <c r="X39" s="1685"/>
      <c r="Y39" s="1685"/>
      <c r="Z39" s="1685"/>
      <c r="AA39" s="1685"/>
      <c r="AB39" s="1685"/>
      <c r="AC39" s="1685"/>
      <c r="AD39" s="1685"/>
      <c r="AE39" s="1685"/>
      <c r="AF39" s="1685"/>
      <c r="AG39" s="1685"/>
      <c r="AH39" s="1685"/>
      <c r="AI39" s="1686"/>
      <c r="AV39" s="78"/>
      <c r="AW39" s="79"/>
    </row>
    <row r="40" spans="2:49" s="77" customFormat="1" ht="19.5">
      <c r="B40" s="1684"/>
      <c r="C40" s="1685"/>
      <c r="D40" s="1685"/>
      <c r="E40" s="1685"/>
      <c r="F40" s="1685"/>
      <c r="G40" s="1685"/>
      <c r="H40" s="1685"/>
      <c r="I40" s="1685"/>
      <c r="J40" s="1685"/>
      <c r="K40" s="1685"/>
      <c r="L40" s="1685"/>
      <c r="M40" s="1685"/>
      <c r="N40" s="1685"/>
      <c r="O40" s="1685"/>
      <c r="P40" s="1685"/>
      <c r="Q40" s="1685"/>
      <c r="R40" s="1685"/>
      <c r="S40" s="1685"/>
      <c r="T40" s="1685"/>
      <c r="U40" s="1685"/>
      <c r="V40" s="1685"/>
      <c r="W40" s="1685"/>
      <c r="X40" s="1685"/>
      <c r="Y40" s="1685"/>
      <c r="Z40" s="1685"/>
      <c r="AA40" s="1685"/>
      <c r="AB40" s="1685"/>
      <c r="AC40" s="1685"/>
      <c r="AD40" s="1685"/>
      <c r="AE40" s="1685"/>
      <c r="AF40" s="1685"/>
      <c r="AG40" s="1685"/>
      <c r="AH40" s="1685"/>
      <c r="AI40" s="1686"/>
      <c r="AV40" s="78"/>
      <c r="AW40" s="79"/>
    </row>
    <row r="41" spans="2:49" s="77" customFormat="1" ht="19.5">
      <c r="B41" s="1684"/>
      <c r="C41" s="1685"/>
      <c r="D41" s="1685"/>
      <c r="E41" s="1685"/>
      <c r="F41" s="1685"/>
      <c r="G41" s="1685"/>
      <c r="H41" s="1685"/>
      <c r="I41" s="1685"/>
      <c r="J41" s="1685"/>
      <c r="K41" s="1685"/>
      <c r="L41" s="1685"/>
      <c r="M41" s="1685"/>
      <c r="N41" s="1685"/>
      <c r="O41" s="1685"/>
      <c r="P41" s="1685"/>
      <c r="Q41" s="1685"/>
      <c r="R41" s="1685"/>
      <c r="S41" s="1685"/>
      <c r="T41" s="1685"/>
      <c r="U41" s="1685"/>
      <c r="V41" s="1685"/>
      <c r="W41" s="1685"/>
      <c r="X41" s="1685"/>
      <c r="Y41" s="1685"/>
      <c r="Z41" s="1685"/>
      <c r="AA41" s="1685"/>
      <c r="AB41" s="1685"/>
      <c r="AC41" s="1685"/>
      <c r="AD41" s="1685"/>
      <c r="AE41" s="1685"/>
      <c r="AF41" s="1685"/>
      <c r="AG41" s="1685"/>
      <c r="AH41" s="1685"/>
      <c r="AI41" s="1686"/>
      <c r="AV41" s="78"/>
      <c r="AW41" s="79"/>
    </row>
    <row r="42" spans="2:49" s="77" customFormat="1" ht="19.5">
      <c r="B42" s="1684"/>
      <c r="C42" s="1685"/>
      <c r="D42" s="1685"/>
      <c r="E42" s="1685"/>
      <c r="F42" s="1685"/>
      <c r="G42" s="1685"/>
      <c r="H42" s="1685"/>
      <c r="I42" s="1685"/>
      <c r="J42" s="1685"/>
      <c r="K42" s="1685"/>
      <c r="L42" s="1685"/>
      <c r="M42" s="1685"/>
      <c r="N42" s="1685"/>
      <c r="O42" s="1685"/>
      <c r="P42" s="1685"/>
      <c r="Q42" s="1685"/>
      <c r="R42" s="1685"/>
      <c r="S42" s="1685"/>
      <c r="T42" s="1685"/>
      <c r="U42" s="1685"/>
      <c r="V42" s="1685"/>
      <c r="W42" s="1685"/>
      <c r="X42" s="1685"/>
      <c r="Y42" s="1685"/>
      <c r="Z42" s="1685"/>
      <c r="AA42" s="1685"/>
      <c r="AB42" s="1685"/>
      <c r="AC42" s="1685"/>
      <c r="AD42" s="1685"/>
      <c r="AE42" s="1685"/>
      <c r="AF42" s="1685"/>
      <c r="AG42" s="1685"/>
      <c r="AH42" s="1685"/>
      <c r="AI42" s="1686"/>
      <c r="AV42" s="78"/>
      <c r="AW42" s="79"/>
    </row>
    <row r="43" spans="2:49" s="77" customFormat="1" ht="19.5" hidden="1">
      <c r="B43" s="1684"/>
      <c r="C43" s="1685"/>
      <c r="D43" s="1685"/>
      <c r="E43" s="1685"/>
      <c r="F43" s="1685"/>
      <c r="G43" s="1685"/>
      <c r="H43" s="1685"/>
      <c r="I43" s="1685"/>
      <c r="J43" s="1685"/>
      <c r="K43" s="1685"/>
      <c r="L43" s="1685"/>
      <c r="M43" s="1685"/>
      <c r="N43" s="1685"/>
      <c r="O43" s="1685"/>
      <c r="P43" s="1685"/>
      <c r="Q43" s="1685"/>
      <c r="R43" s="1685"/>
      <c r="S43" s="1685"/>
      <c r="T43" s="1685"/>
      <c r="U43" s="1685"/>
      <c r="V43" s="1685"/>
      <c r="W43" s="1685"/>
      <c r="X43" s="1685"/>
      <c r="Y43" s="1685"/>
      <c r="Z43" s="1685"/>
      <c r="AA43" s="1685"/>
      <c r="AB43" s="1685"/>
      <c r="AC43" s="1685"/>
      <c r="AD43" s="1685"/>
      <c r="AE43" s="1685"/>
      <c r="AF43" s="1685"/>
      <c r="AG43" s="1685"/>
      <c r="AH43" s="1685"/>
      <c r="AI43" s="1686"/>
      <c r="AV43" s="78"/>
      <c r="AW43" s="79"/>
    </row>
    <row r="44" spans="2:49" s="77" customFormat="1" ht="19.5" hidden="1">
      <c r="B44" s="1684"/>
      <c r="C44" s="1685"/>
      <c r="D44" s="1685"/>
      <c r="E44" s="1685"/>
      <c r="F44" s="1685"/>
      <c r="G44" s="1685"/>
      <c r="H44" s="1685"/>
      <c r="I44" s="1685"/>
      <c r="J44" s="1685"/>
      <c r="K44" s="1685"/>
      <c r="L44" s="1685"/>
      <c r="M44" s="1685"/>
      <c r="N44" s="1685"/>
      <c r="O44" s="1685"/>
      <c r="P44" s="1685"/>
      <c r="Q44" s="1685"/>
      <c r="R44" s="1685"/>
      <c r="S44" s="1685"/>
      <c r="T44" s="1685"/>
      <c r="U44" s="1685"/>
      <c r="V44" s="1685"/>
      <c r="W44" s="1685"/>
      <c r="X44" s="1685"/>
      <c r="Y44" s="1685"/>
      <c r="Z44" s="1685"/>
      <c r="AA44" s="1685"/>
      <c r="AB44" s="1685"/>
      <c r="AC44" s="1685"/>
      <c r="AD44" s="1685"/>
      <c r="AE44" s="1685"/>
      <c r="AF44" s="1685"/>
      <c r="AG44" s="1685"/>
      <c r="AH44" s="1685"/>
      <c r="AI44" s="1686"/>
      <c r="AV44" s="78"/>
      <c r="AW44" s="79"/>
    </row>
    <row r="45" spans="2:49" s="77" customFormat="1" ht="19.5" hidden="1">
      <c r="B45" s="1684"/>
      <c r="C45" s="1685"/>
      <c r="D45" s="1685"/>
      <c r="E45" s="1685"/>
      <c r="F45" s="1685"/>
      <c r="G45" s="1685"/>
      <c r="H45" s="1685"/>
      <c r="I45" s="1685"/>
      <c r="J45" s="1685"/>
      <c r="K45" s="1685"/>
      <c r="L45" s="1685"/>
      <c r="M45" s="1685"/>
      <c r="N45" s="1685"/>
      <c r="O45" s="1685"/>
      <c r="P45" s="1685"/>
      <c r="Q45" s="1685"/>
      <c r="R45" s="1685"/>
      <c r="S45" s="1685"/>
      <c r="T45" s="1685"/>
      <c r="U45" s="1685"/>
      <c r="V45" s="1685"/>
      <c r="W45" s="1685"/>
      <c r="X45" s="1685"/>
      <c r="Y45" s="1685"/>
      <c r="Z45" s="1685"/>
      <c r="AA45" s="1685"/>
      <c r="AB45" s="1685"/>
      <c r="AC45" s="1685"/>
      <c r="AD45" s="1685"/>
      <c r="AE45" s="1685"/>
      <c r="AF45" s="1685"/>
      <c r="AG45" s="1685"/>
      <c r="AH45" s="1685"/>
      <c r="AI45" s="1686"/>
      <c r="AV45" s="78"/>
      <c r="AW45" s="79"/>
    </row>
    <row r="46" spans="2:49" s="77" customFormat="1" ht="19.5" hidden="1">
      <c r="B46" s="1684"/>
      <c r="C46" s="1685"/>
      <c r="D46" s="1685"/>
      <c r="E46" s="1685"/>
      <c r="F46" s="1685"/>
      <c r="G46" s="1685"/>
      <c r="H46" s="1685"/>
      <c r="I46" s="1685"/>
      <c r="J46" s="1685"/>
      <c r="K46" s="1685"/>
      <c r="L46" s="1685"/>
      <c r="M46" s="1685"/>
      <c r="N46" s="1685"/>
      <c r="O46" s="1685"/>
      <c r="P46" s="1685"/>
      <c r="Q46" s="1685"/>
      <c r="R46" s="1685"/>
      <c r="S46" s="1685"/>
      <c r="T46" s="1685"/>
      <c r="U46" s="1685"/>
      <c r="V46" s="1685"/>
      <c r="W46" s="1685"/>
      <c r="X46" s="1685"/>
      <c r="Y46" s="1685"/>
      <c r="Z46" s="1685"/>
      <c r="AA46" s="1685"/>
      <c r="AB46" s="1685"/>
      <c r="AC46" s="1685"/>
      <c r="AD46" s="1685"/>
      <c r="AE46" s="1685"/>
      <c r="AF46" s="1685"/>
      <c r="AG46" s="1685"/>
      <c r="AH46" s="1685"/>
      <c r="AI46" s="1686"/>
      <c r="AV46" s="78"/>
      <c r="AW46" s="79"/>
    </row>
    <row r="47" spans="2:49" s="77" customFormat="1" ht="19.5" hidden="1">
      <c r="B47" s="1684"/>
      <c r="C47" s="1685"/>
      <c r="D47" s="1685"/>
      <c r="E47" s="1685"/>
      <c r="F47" s="1685"/>
      <c r="G47" s="1685"/>
      <c r="H47" s="1685"/>
      <c r="I47" s="1685"/>
      <c r="J47" s="1685"/>
      <c r="K47" s="1685"/>
      <c r="L47" s="1685"/>
      <c r="M47" s="1685"/>
      <c r="N47" s="1685"/>
      <c r="O47" s="1685"/>
      <c r="P47" s="1685"/>
      <c r="Q47" s="1685"/>
      <c r="R47" s="1685"/>
      <c r="S47" s="1685"/>
      <c r="T47" s="1685"/>
      <c r="U47" s="1685"/>
      <c r="V47" s="1685"/>
      <c r="W47" s="1685"/>
      <c r="X47" s="1685"/>
      <c r="Y47" s="1685"/>
      <c r="Z47" s="1685"/>
      <c r="AA47" s="1685"/>
      <c r="AB47" s="1685"/>
      <c r="AC47" s="1685"/>
      <c r="AD47" s="1685"/>
      <c r="AE47" s="1685"/>
      <c r="AF47" s="1685"/>
      <c r="AG47" s="1685"/>
      <c r="AH47" s="1685"/>
      <c r="AI47" s="1686"/>
      <c r="AV47" s="78"/>
      <c r="AW47" s="79"/>
    </row>
    <row r="48" spans="2:49" s="77" customFormat="1" ht="19.5" hidden="1">
      <c r="B48" s="1684"/>
      <c r="C48" s="1685"/>
      <c r="D48" s="1685"/>
      <c r="E48" s="1685"/>
      <c r="F48" s="1685"/>
      <c r="G48" s="1685"/>
      <c r="H48" s="1685"/>
      <c r="I48" s="1685"/>
      <c r="J48" s="1685"/>
      <c r="K48" s="1685"/>
      <c r="L48" s="1685"/>
      <c r="M48" s="1685"/>
      <c r="N48" s="1685"/>
      <c r="O48" s="1685"/>
      <c r="P48" s="1685"/>
      <c r="Q48" s="1685"/>
      <c r="R48" s="1685"/>
      <c r="S48" s="1685"/>
      <c r="T48" s="1685"/>
      <c r="U48" s="1685"/>
      <c r="V48" s="1685"/>
      <c r="W48" s="1685"/>
      <c r="X48" s="1685"/>
      <c r="Y48" s="1685"/>
      <c r="Z48" s="1685"/>
      <c r="AA48" s="1685"/>
      <c r="AB48" s="1685"/>
      <c r="AC48" s="1685"/>
      <c r="AD48" s="1685"/>
      <c r="AE48" s="1685"/>
      <c r="AF48" s="1685"/>
      <c r="AG48" s="1685"/>
      <c r="AH48" s="1685"/>
      <c r="AI48" s="1686"/>
      <c r="AV48" s="78"/>
      <c r="AW48" s="79"/>
    </row>
    <row r="49" spans="2:49" s="77" customFormat="1" ht="19.5" hidden="1">
      <c r="B49" s="1684"/>
      <c r="C49" s="1685"/>
      <c r="D49" s="1685"/>
      <c r="E49" s="1685"/>
      <c r="F49" s="1685"/>
      <c r="G49" s="1685"/>
      <c r="H49" s="1685"/>
      <c r="I49" s="1685"/>
      <c r="J49" s="1685"/>
      <c r="K49" s="1685"/>
      <c r="L49" s="1685"/>
      <c r="M49" s="1685"/>
      <c r="N49" s="1685"/>
      <c r="O49" s="1685"/>
      <c r="P49" s="1685"/>
      <c r="Q49" s="1685"/>
      <c r="R49" s="1685"/>
      <c r="S49" s="1685"/>
      <c r="T49" s="1685"/>
      <c r="U49" s="1685"/>
      <c r="V49" s="1685"/>
      <c r="W49" s="1685"/>
      <c r="X49" s="1685"/>
      <c r="Y49" s="1685"/>
      <c r="Z49" s="1685"/>
      <c r="AA49" s="1685"/>
      <c r="AB49" s="1685"/>
      <c r="AC49" s="1685"/>
      <c r="AD49" s="1685"/>
      <c r="AE49" s="1685"/>
      <c r="AF49" s="1685"/>
      <c r="AG49" s="1685"/>
      <c r="AH49" s="1685"/>
      <c r="AI49" s="1686"/>
      <c r="AV49" s="78"/>
      <c r="AW49" s="79"/>
    </row>
    <row r="50" spans="2:49" s="77" customFormat="1" ht="19.5">
      <c r="B50" s="1684"/>
      <c r="C50" s="1685"/>
      <c r="D50" s="1685"/>
      <c r="E50" s="1685"/>
      <c r="F50" s="1685"/>
      <c r="G50" s="1685"/>
      <c r="H50" s="1685"/>
      <c r="I50" s="1685"/>
      <c r="J50" s="1685"/>
      <c r="K50" s="1685"/>
      <c r="L50" s="1685"/>
      <c r="M50" s="1685"/>
      <c r="N50" s="1685"/>
      <c r="O50" s="1685"/>
      <c r="P50" s="1685"/>
      <c r="Q50" s="1685"/>
      <c r="R50" s="1685"/>
      <c r="S50" s="1685"/>
      <c r="T50" s="1685"/>
      <c r="U50" s="1685"/>
      <c r="V50" s="1685"/>
      <c r="W50" s="1685"/>
      <c r="X50" s="1685"/>
      <c r="Y50" s="1685"/>
      <c r="Z50" s="1685"/>
      <c r="AA50" s="1685"/>
      <c r="AB50" s="1685"/>
      <c r="AC50" s="1685"/>
      <c r="AD50" s="1685"/>
      <c r="AE50" s="1685"/>
      <c r="AF50" s="1685"/>
      <c r="AG50" s="1685"/>
      <c r="AH50" s="1685"/>
      <c r="AI50" s="1686"/>
      <c r="AV50" s="78"/>
      <c r="AW50" s="79"/>
    </row>
    <row r="51" spans="2:49" s="77" customFormat="1" ht="19.5">
      <c r="B51" s="1684"/>
      <c r="C51" s="1685"/>
      <c r="D51" s="1685"/>
      <c r="E51" s="1685"/>
      <c r="F51" s="1685"/>
      <c r="G51" s="1685"/>
      <c r="H51" s="1685"/>
      <c r="I51" s="1685"/>
      <c r="J51" s="1685"/>
      <c r="K51" s="1685"/>
      <c r="L51" s="1685"/>
      <c r="M51" s="1685"/>
      <c r="N51" s="1685"/>
      <c r="O51" s="1685"/>
      <c r="P51" s="1685"/>
      <c r="Q51" s="1685"/>
      <c r="R51" s="1685"/>
      <c r="S51" s="1685"/>
      <c r="T51" s="1685"/>
      <c r="U51" s="1685"/>
      <c r="V51" s="1685"/>
      <c r="W51" s="1685"/>
      <c r="X51" s="1685"/>
      <c r="Y51" s="1685"/>
      <c r="Z51" s="1685"/>
      <c r="AA51" s="1685"/>
      <c r="AB51" s="1685"/>
      <c r="AC51" s="1685"/>
      <c r="AD51" s="1685"/>
      <c r="AE51" s="1685"/>
      <c r="AF51" s="1685"/>
      <c r="AG51" s="1685"/>
      <c r="AH51" s="1685"/>
      <c r="AI51" s="1686"/>
      <c r="AV51" s="78"/>
      <c r="AW51" s="79"/>
    </row>
    <row r="52" spans="2:49" s="77" customFormat="1" ht="19.5">
      <c r="B52" s="1684"/>
      <c r="C52" s="1685"/>
      <c r="D52" s="1685"/>
      <c r="E52" s="1685"/>
      <c r="F52" s="1685"/>
      <c r="G52" s="1685"/>
      <c r="H52" s="1685"/>
      <c r="I52" s="1685"/>
      <c r="J52" s="1685"/>
      <c r="K52" s="1685"/>
      <c r="L52" s="1685"/>
      <c r="M52" s="1685"/>
      <c r="N52" s="1685"/>
      <c r="O52" s="1685"/>
      <c r="P52" s="1685"/>
      <c r="Q52" s="1685"/>
      <c r="R52" s="1685"/>
      <c r="S52" s="1685"/>
      <c r="T52" s="1685"/>
      <c r="U52" s="1685"/>
      <c r="V52" s="1685"/>
      <c r="W52" s="1685"/>
      <c r="X52" s="1685"/>
      <c r="Y52" s="1685"/>
      <c r="Z52" s="1685"/>
      <c r="AA52" s="1685"/>
      <c r="AB52" s="1685"/>
      <c r="AC52" s="1685"/>
      <c r="AD52" s="1685"/>
      <c r="AE52" s="1685"/>
      <c r="AF52" s="1685"/>
      <c r="AG52" s="1685"/>
      <c r="AH52" s="1685"/>
      <c r="AI52" s="1686"/>
      <c r="AV52" s="78"/>
      <c r="AW52" s="79"/>
    </row>
    <row r="53" spans="2:49" s="77" customFormat="1" ht="19.5">
      <c r="B53" s="1684"/>
      <c r="C53" s="1685"/>
      <c r="D53" s="1685"/>
      <c r="E53" s="1685"/>
      <c r="F53" s="1685"/>
      <c r="G53" s="1685"/>
      <c r="H53" s="1685"/>
      <c r="I53" s="1685"/>
      <c r="J53" s="1685"/>
      <c r="K53" s="1685"/>
      <c r="L53" s="1685"/>
      <c r="M53" s="1685"/>
      <c r="N53" s="1685"/>
      <c r="O53" s="1685"/>
      <c r="P53" s="1685"/>
      <c r="Q53" s="1685"/>
      <c r="R53" s="1685"/>
      <c r="S53" s="1685"/>
      <c r="T53" s="1685"/>
      <c r="U53" s="1685"/>
      <c r="V53" s="1685"/>
      <c r="W53" s="1685"/>
      <c r="X53" s="1685"/>
      <c r="Y53" s="1685"/>
      <c r="Z53" s="1685"/>
      <c r="AA53" s="1685"/>
      <c r="AB53" s="1685"/>
      <c r="AC53" s="1685"/>
      <c r="AD53" s="1685"/>
      <c r="AE53" s="1685"/>
      <c r="AF53" s="1685"/>
      <c r="AG53" s="1685"/>
      <c r="AH53" s="1685"/>
      <c r="AI53" s="1686"/>
      <c r="AV53" s="78"/>
      <c r="AW53" s="79"/>
    </row>
    <row r="54" spans="2:49" s="77" customFormat="1" ht="19.5">
      <c r="B54" s="1684"/>
      <c r="C54" s="1685"/>
      <c r="D54" s="1685"/>
      <c r="E54" s="1685"/>
      <c r="F54" s="1685"/>
      <c r="G54" s="1685"/>
      <c r="H54" s="1685"/>
      <c r="I54" s="1685"/>
      <c r="J54" s="1685"/>
      <c r="K54" s="1685"/>
      <c r="L54" s="1685"/>
      <c r="M54" s="1685"/>
      <c r="N54" s="1685"/>
      <c r="O54" s="1685"/>
      <c r="P54" s="1685"/>
      <c r="Q54" s="1685"/>
      <c r="R54" s="1685"/>
      <c r="S54" s="1685"/>
      <c r="T54" s="1685"/>
      <c r="U54" s="1685"/>
      <c r="V54" s="1685"/>
      <c r="W54" s="1685"/>
      <c r="X54" s="1685"/>
      <c r="Y54" s="1685"/>
      <c r="Z54" s="1685"/>
      <c r="AA54" s="1685"/>
      <c r="AB54" s="1685"/>
      <c r="AC54" s="1685"/>
      <c r="AD54" s="1685"/>
      <c r="AE54" s="1685"/>
      <c r="AF54" s="1685"/>
      <c r="AG54" s="1685"/>
      <c r="AH54" s="1685"/>
      <c r="AI54" s="1686"/>
      <c r="AV54" s="78"/>
      <c r="AW54" s="79"/>
    </row>
    <row r="55" spans="2:49" s="77" customFormat="1" ht="19.5">
      <c r="B55" s="1684"/>
      <c r="C55" s="1685"/>
      <c r="D55" s="1685"/>
      <c r="E55" s="1685"/>
      <c r="F55" s="1685"/>
      <c r="G55" s="1685"/>
      <c r="H55" s="1685"/>
      <c r="I55" s="1685"/>
      <c r="J55" s="1685"/>
      <c r="K55" s="1685"/>
      <c r="L55" s="1685"/>
      <c r="M55" s="1685"/>
      <c r="N55" s="1685"/>
      <c r="O55" s="1685"/>
      <c r="P55" s="1685"/>
      <c r="Q55" s="1685"/>
      <c r="R55" s="1685"/>
      <c r="S55" s="1685"/>
      <c r="T55" s="1685"/>
      <c r="U55" s="1685"/>
      <c r="V55" s="1685"/>
      <c r="W55" s="1685"/>
      <c r="X55" s="1685"/>
      <c r="Y55" s="1685"/>
      <c r="Z55" s="1685"/>
      <c r="AA55" s="1685"/>
      <c r="AB55" s="1685"/>
      <c r="AC55" s="1685"/>
      <c r="AD55" s="1685"/>
      <c r="AE55" s="1685"/>
      <c r="AF55" s="1685"/>
      <c r="AG55" s="1685"/>
      <c r="AH55" s="1685"/>
      <c r="AI55" s="1686"/>
      <c r="AV55" s="78"/>
      <c r="AW55" s="79"/>
    </row>
    <row r="56" spans="2:49" s="77" customFormat="1" ht="20.25" thickBot="1">
      <c r="B56" s="1687"/>
      <c r="C56" s="1688"/>
      <c r="D56" s="1688"/>
      <c r="E56" s="1688"/>
      <c r="F56" s="1688"/>
      <c r="G56" s="1688"/>
      <c r="H56" s="1688"/>
      <c r="I56" s="1688"/>
      <c r="J56" s="1688"/>
      <c r="K56" s="1688"/>
      <c r="L56" s="1688"/>
      <c r="M56" s="1688"/>
      <c r="N56" s="1688"/>
      <c r="O56" s="1688"/>
      <c r="P56" s="1688"/>
      <c r="Q56" s="1688"/>
      <c r="R56" s="1688"/>
      <c r="S56" s="1688"/>
      <c r="T56" s="1688"/>
      <c r="U56" s="1688"/>
      <c r="V56" s="1688"/>
      <c r="W56" s="1688"/>
      <c r="X56" s="1688"/>
      <c r="Y56" s="1688"/>
      <c r="Z56" s="1688"/>
      <c r="AA56" s="1688"/>
      <c r="AB56" s="1688"/>
      <c r="AC56" s="1688"/>
      <c r="AD56" s="1688"/>
      <c r="AE56" s="1688"/>
      <c r="AF56" s="1688"/>
      <c r="AG56" s="1688"/>
      <c r="AH56" s="1688"/>
      <c r="AI56" s="1689"/>
      <c r="AV56" s="78"/>
      <c r="AW56" s="79"/>
    </row>
  </sheetData>
  <sheetProtection algorithmName="SHA-512" hashValue="WUKLYbC2Pg/6p5TGfd+7ffxkT6yadk52v/usYw3jZ3PwgK39/49rbG5iDMK8oQYPkWcAPDKGBKEB7MzV5zOM2Q==" saltValue="bhpOYEUItYqxot3awnL0Bw==" spinCount="100000" sheet="1" objects="1" scenarios="1"/>
  <mergeCells count="47">
    <mergeCell ref="A32:AJ32"/>
    <mergeCell ref="B34:AI56"/>
    <mergeCell ref="A23:A30"/>
    <mergeCell ref="B30:F30"/>
    <mergeCell ref="G30:AJ30"/>
    <mergeCell ref="G25:M25"/>
    <mergeCell ref="N25:AJ25"/>
    <mergeCell ref="B24:F24"/>
    <mergeCell ref="K24:AJ24"/>
    <mergeCell ref="B31:F31"/>
    <mergeCell ref="G31:AJ31"/>
    <mergeCell ref="B26:F26"/>
    <mergeCell ref="G26:M26"/>
    <mergeCell ref="N26:AJ26"/>
    <mergeCell ref="AW31:AX31"/>
    <mergeCell ref="B27:AJ27"/>
    <mergeCell ref="B28:F28"/>
    <mergeCell ref="G28:H28"/>
    <mergeCell ref="I28:AJ28"/>
    <mergeCell ref="AW28:AX28"/>
    <mergeCell ref="B29:F29"/>
    <mergeCell ref="N29:AJ29"/>
    <mergeCell ref="AW29:AX29"/>
    <mergeCell ref="AW26:AX26"/>
    <mergeCell ref="AW30:AX30"/>
    <mergeCell ref="AW24:AX24"/>
    <mergeCell ref="B25:F25"/>
    <mergeCell ref="N13:R18"/>
    <mergeCell ref="S13:V14"/>
    <mergeCell ref="W13:AJ14"/>
    <mergeCell ref="S15:V16"/>
    <mergeCell ref="W15:AJ16"/>
    <mergeCell ref="S17:V18"/>
    <mergeCell ref="W17:AJ18"/>
    <mergeCell ref="A20:AJ20"/>
    <mergeCell ref="AW22:AX22"/>
    <mergeCell ref="B23:F23"/>
    <mergeCell ref="K23:AJ23"/>
    <mergeCell ref="AW23:AX23"/>
    <mergeCell ref="AW25:AX25"/>
    <mergeCell ref="N11:R12"/>
    <mergeCell ref="S11:AJ12"/>
    <mergeCell ref="A3:AJ5"/>
    <mergeCell ref="N7:R8"/>
    <mergeCell ref="S7:AJ8"/>
    <mergeCell ref="N9:R10"/>
    <mergeCell ref="S9:AJ10"/>
  </mergeCells>
  <phoneticPr fontId="9"/>
  <conditionalFormatting sqref="AV22:AV31">
    <cfRule type="containsText" dxfId="162" priority="6" operator="containsText" text="×">
      <formula>NOT(ISERROR(SEARCH("×",AV22)))</formula>
    </cfRule>
  </conditionalFormatting>
  <conditionalFormatting sqref="AW23:AX31">
    <cfRule type="containsText" dxfId="161" priority="5" operator="containsText" text="未入力">
      <formula>NOT(ISERROR(SEARCH("未入力",AW23)))</formula>
    </cfRule>
  </conditionalFormatting>
  <conditionalFormatting sqref="AW22:AX22">
    <cfRule type="containsText" dxfId="160" priority="3" operator="containsText" text="不十分">
      <formula>NOT(ISERROR(SEARCH("不十分",AW22)))</formula>
    </cfRule>
    <cfRule type="containsText" dxfId="159" priority="4" operator="containsText" text="藤生bん">
      <formula>NOT(ISERROR(SEARCH("藤生bん",AW22)))</formula>
    </cfRule>
  </conditionalFormatting>
  <conditionalFormatting sqref="AK22">
    <cfRule type="containsText" dxfId="158" priority="1" operator="containsText" text="不十分">
      <formula>NOT(ISERROR(SEARCH("不十分",AK22)))</formula>
    </cfRule>
    <cfRule type="containsText" dxfId="157" priority="2" operator="containsText" text="藤生bん">
      <formula>NOT(ISERROR(SEARCH("藤生bん",AK22)))</formula>
    </cfRule>
  </conditionalFormatting>
  <dataValidations count="5">
    <dataValidation type="textLength" imeMode="halfKatakana" allowBlank="1" showInputMessage="1" showErrorMessage="1" errorTitle="入力された文字列が長すぎます。" error="入力文字数は30字以内としてください。" prompt="左詰めで半角カタカナ30字以内で入力してください。" sqref="G31" xr:uid="{00000000-0002-0000-0800-000000000000}">
      <formula1>1</formula1>
      <formula2>30</formula2>
    </dataValidation>
    <dataValidation allowBlank="1" showInputMessage="1" showErrorMessage="1" errorTitle="指定口座への振り込みが希望されています。" error="国保連登録口座以外への振込を希望する際は上段で「希望する」を選択してください。" promptTitle="金融機関名の入力" prompt="略称等は用いず、正式な名称を誤りのないように入力してください。" sqref="G25" xr:uid="{00000000-0002-0000-0800-000001000000}"/>
    <dataValidation type="custom" imeMode="halfAlpha" allowBlank="1" showInputMessage="1" showErrorMessage="1" errorTitle="半角数字以外が入力されています。" error="全角数字等の入力は制限されています。_x000a_必ず半角数字で入力してください。" promptTitle="半角数字を入力" prompt="全角数字等の入力は制限されています。_x000a_半角数字を１マスに１字ずつ入力してください。" sqref="G29:M29" xr:uid="{00000000-0002-0000-0800-000002000000}">
      <formula1>AND(LENB(G29:M29)=LEN(G29:M29))</formula1>
    </dataValidation>
    <dataValidation type="custom" allowBlank="1" showInputMessage="1" showErrorMessage="1" errorTitle="半角数字以外が入力されています。" error="全角数字等の入力は制限されています。_x000a_必ず半角数字で入力してください。" promptTitle="半角数字を入力" prompt="全角数字等の入力は制限されています。_x000a_半角数字を１マスに１字ずつ入力してください。" sqref="G24:I24" xr:uid="{00000000-0002-0000-0800-000003000000}">
      <formula1>AND(LENB(G24:I24)=LEN(G24:I24))</formula1>
    </dataValidation>
    <dataValidation type="custom" allowBlank="1" showInputMessage="1" showErrorMessage="1" errorTitle="半角数字以外が入力されています。" error="全角数字等の入力は制限されています。_x000a_必ず半角数字で入力してください。" promptTitle="半角数字を入力" prompt="全角数字等の入力は制限されています。_x000a_半角数字を１マスに１字ずつ入力してください。" sqref="G23:J23" xr:uid="{00000000-0002-0000-0800-000004000000}">
      <formula1>AND(LENB(D23:G23)=LEN(D23:G23))</formula1>
    </dataValidation>
  </dataValidations>
  <pageMargins left="0.7" right="0.7" top="0.75" bottom="0.75" header="0.3" footer="0.3"/>
  <pageSetup paperSize="9" scale="61"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3"/>
  <dimension ref="A1:M45"/>
  <sheetViews>
    <sheetView showGridLines="0" view="pageBreakPreview" zoomScale="60" zoomScaleNormal="100" workbookViewId="0">
      <selection activeCell="D24" sqref="D24:H24"/>
    </sheetView>
  </sheetViews>
  <sheetFormatPr defaultColWidth="8.625" defaultRowHeight="35.25"/>
  <cols>
    <col min="1" max="4" width="15.625" style="446" customWidth="1"/>
    <col min="5" max="5" width="30.625" style="446" customWidth="1"/>
    <col min="6" max="9" width="15.625" style="446" customWidth="1"/>
    <col min="10" max="12" width="8.625" style="446"/>
    <col min="13" max="13" width="90.625" style="446" customWidth="1"/>
    <col min="14" max="16384" width="8.625" style="446"/>
  </cols>
  <sheetData>
    <row r="1" spans="1:9" ht="45" customHeight="1">
      <c r="F1" s="447"/>
      <c r="G1" s="1708" t="str">
        <f xml:space="preserve">
IF(表紙!X2="交付申請兼実績報告","（４月１日～５月７日分）",
IF(OR(表紙!X2="事前協議",表紙!X2="交付申請",表紙!X2="変更申請",表紙!X2="実績報告"),"（５月８日～９月30日分）",
))</f>
        <v>（５月８日～９月30日分）</v>
      </c>
      <c r="H1" s="1388"/>
      <c r="I1" s="1388"/>
    </row>
    <row r="2" spans="1:9" ht="45" customHeight="1"/>
    <row r="3" spans="1:9" ht="45" customHeight="1">
      <c r="I3" s="448" t="s">
        <v>1024</v>
      </c>
    </row>
    <row r="4" spans="1:9" ht="45" customHeight="1">
      <c r="A4" s="1711" t="s">
        <v>642</v>
      </c>
      <c r="B4" s="1712"/>
      <c r="C4" s="1712"/>
    </row>
    <row r="5" spans="1:9" ht="45" customHeight="1"/>
    <row r="6" spans="1:9" ht="45" customHeight="1">
      <c r="E6" s="1713" t="s">
        <v>643</v>
      </c>
      <c r="F6" s="1715" t="str">
        <f>表紙!L8</f>
        <v/>
      </c>
      <c r="G6" s="1716"/>
      <c r="H6" s="1716"/>
      <c r="I6" s="1716"/>
    </row>
    <row r="7" spans="1:9" ht="45" customHeight="1">
      <c r="E7" s="1714"/>
      <c r="F7" s="1716"/>
      <c r="G7" s="1716"/>
      <c r="H7" s="1716"/>
      <c r="I7" s="1716"/>
    </row>
    <row r="8" spans="1:9" ht="45" customHeight="1">
      <c r="E8" s="449" t="s">
        <v>632</v>
      </c>
      <c r="F8" s="1715" t="str">
        <f>表紙!L9</f>
        <v/>
      </c>
      <c r="G8" s="1716"/>
      <c r="H8" s="1716"/>
      <c r="I8" s="1716"/>
    </row>
    <row r="9" spans="1:9" ht="45" customHeight="1">
      <c r="E9" s="449" t="s">
        <v>634</v>
      </c>
      <c r="F9" s="1715" t="str">
        <f>表紙!L10</f>
        <v/>
      </c>
      <c r="G9" s="1716"/>
      <c r="H9" s="1716"/>
      <c r="I9" s="1716"/>
    </row>
    <row r="10" spans="1:9" ht="45" customHeight="1">
      <c r="E10" s="449" t="s">
        <v>644</v>
      </c>
      <c r="F10" s="1715" t="str">
        <f>表紙!C17</f>
        <v/>
      </c>
      <c r="G10" s="1716"/>
      <c r="H10" s="1716"/>
      <c r="I10" s="1716"/>
    </row>
    <row r="11" spans="1:9" ht="45" customHeight="1"/>
    <row r="12" spans="1:9" ht="45" customHeight="1">
      <c r="A12" s="1717" t="s">
        <v>645</v>
      </c>
      <c r="B12" s="1718"/>
      <c r="C12" s="1718"/>
      <c r="D12" s="1718"/>
      <c r="E12" s="1718"/>
      <c r="F12" s="1718"/>
      <c r="G12" s="1718"/>
      <c r="H12" s="1718"/>
      <c r="I12" s="1718"/>
    </row>
    <row r="13" spans="1:9" ht="45" customHeight="1">
      <c r="A13" s="1718"/>
      <c r="B13" s="1718"/>
      <c r="C13" s="1718"/>
      <c r="D13" s="1718"/>
      <c r="E13" s="1718"/>
      <c r="F13" s="1718"/>
      <c r="G13" s="1718"/>
      <c r="H13" s="1718"/>
      <c r="I13" s="1718"/>
    </row>
    <row r="14" spans="1:9" ht="45" customHeight="1"/>
    <row r="15" spans="1:9" ht="45" customHeight="1">
      <c r="A15" s="1719" t="s">
        <v>1144</v>
      </c>
      <c r="B15" s="1720"/>
      <c r="C15" s="1720"/>
      <c r="D15" s="1720"/>
      <c r="E15" s="1720"/>
      <c r="F15" s="1720"/>
      <c r="G15" s="1720"/>
      <c r="H15" s="1720"/>
      <c r="I15" s="1720"/>
    </row>
    <row r="16" spans="1:9" ht="45" customHeight="1">
      <c r="A16" s="1720"/>
      <c r="B16" s="1720"/>
      <c r="C16" s="1720"/>
      <c r="D16" s="1720"/>
      <c r="E16" s="1720"/>
      <c r="F16" s="1720"/>
      <c r="G16" s="1720"/>
      <c r="H16" s="1720"/>
      <c r="I16" s="1720"/>
    </row>
    <row r="17" spans="1:13" ht="45" customHeight="1">
      <c r="A17" s="1721" t="s">
        <v>635</v>
      </c>
      <c r="B17" s="1722"/>
      <c r="C17" s="1722"/>
      <c r="D17" s="1722"/>
      <c r="E17" s="1722"/>
      <c r="F17" s="1722"/>
      <c r="G17" s="1722"/>
      <c r="H17" s="1722"/>
      <c r="I17" s="1722"/>
    </row>
    <row r="18" spans="1:13" ht="45" customHeight="1">
      <c r="A18" s="446" t="s">
        <v>646</v>
      </c>
    </row>
    <row r="19" spans="1:13" ht="45" customHeight="1">
      <c r="A19" s="446" t="str">
        <f>IF(表紙!G20="金　　　　　　　　　円","　　金　　　　　　　　　円","　　金"&amp;TEXT(表紙!G20,"#,###")&amp;"円")</f>
        <v>　　金　　　　　　　　　円</v>
      </c>
    </row>
    <row r="20" spans="1:13" ht="45" customHeight="1"/>
    <row r="21" spans="1:13" ht="45" customHeight="1">
      <c r="A21" s="446" t="s">
        <v>647</v>
      </c>
    </row>
    <row r="22" spans="1:13" ht="45" customHeight="1">
      <c r="B22" s="1704" t="s">
        <v>648</v>
      </c>
      <c r="C22" s="1705"/>
      <c r="D22" s="1709" t="str">
        <f>IF(はじめに入力してください!L18="","",VLOOKUP(はじめに入力してください!L18,リスト!A:DX,126,FALSE))</f>
        <v/>
      </c>
      <c r="E22" s="1710"/>
      <c r="F22" s="1710"/>
      <c r="G22" s="1710"/>
      <c r="H22" s="1710"/>
    </row>
    <row r="23" spans="1:13" ht="45" customHeight="1">
      <c r="B23" s="1704" t="s">
        <v>649</v>
      </c>
      <c r="C23" s="1705"/>
      <c r="D23" s="1709" t="str">
        <f>IF(はじめに入力してください!L18="","",VLOOKUP(はじめに入力してください!L18,リスト!A:DX,127,FALSE))</f>
        <v/>
      </c>
      <c r="E23" s="1710"/>
      <c r="F23" s="1710"/>
      <c r="G23" s="1710"/>
      <c r="H23" s="1710"/>
    </row>
    <row r="24" spans="1:13" ht="45" customHeight="1">
      <c r="B24" s="1704" t="s">
        <v>650</v>
      </c>
      <c r="C24" s="1705"/>
      <c r="D24" s="1709" t="str">
        <f>IF(はじめに入力してください!L18="","",VLOOKUP(はじめに入力してください!L18,リスト!A:DX,128,FALSE))</f>
        <v/>
      </c>
      <c r="E24" s="1710"/>
      <c r="F24" s="1710"/>
      <c r="G24" s="1710"/>
      <c r="H24" s="1710"/>
    </row>
    <row r="25" spans="1:13" ht="45" customHeight="1">
      <c r="B25" s="1704" t="s">
        <v>651</v>
      </c>
      <c r="C25" s="1705"/>
      <c r="D25" s="1706" t="str">
        <f>IF(はじめに入力してください!AF24="","",はじめに入力してください!AF24)</f>
        <v/>
      </c>
      <c r="E25" s="1707"/>
      <c r="F25" s="1707"/>
      <c r="G25" s="1707"/>
      <c r="H25" s="1707"/>
    </row>
    <row r="26" spans="1:13" ht="45" customHeight="1"/>
    <row r="27" spans="1:13" ht="45" customHeight="1"/>
    <row r="28" spans="1:13" ht="45" customHeight="1"/>
    <row r="29" spans="1:13" ht="45" customHeight="1"/>
    <row r="30" spans="1:13" ht="45" customHeight="1"/>
    <row r="31" spans="1:13" ht="45" customHeight="1"/>
    <row r="32" spans="1:13" ht="45" customHeight="1">
      <c r="L32" s="388"/>
      <c r="M32" s="388"/>
    </row>
    <row r="33" spans="12:13" ht="45" customHeight="1">
      <c r="L33" s="388"/>
      <c r="M33" s="450"/>
    </row>
    <row r="34" spans="12:13" ht="45" customHeight="1">
      <c r="L34" s="451"/>
      <c r="M34" s="452"/>
    </row>
    <row r="35" spans="12:13" ht="45" customHeight="1"/>
    <row r="36" spans="12:13" ht="45" customHeight="1"/>
    <row r="37" spans="12:13" ht="45" customHeight="1"/>
    <row r="38" spans="12:13" ht="45" customHeight="1"/>
    <row r="39" spans="12:13" ht="45" customHeight="1"/>
    <row r="40" spans="12:13" ht="45" customHeight="1"/>
    <row r="41" spans="12:13" ht="45" customHeight="1"/>
    <row r="42" spans="12:13" ht="45" customHeight="1"/>
    <row r="43" spans="12:13" ht="45" customHeight="1"/>
    <row r="44" spans="12:13" ht="45" customHeight="1"/>
    <row r="45" spans="12:13" ht="45" customHeight="1"/>
  </sheetData>
  <mergeCells count="18">
    <mergeCell ref="B22:C22"/>
    <mergeCell ref="D22:H22"/>
    <mergeCell ref="B25:C25"/>
    <mergeCell ref="D25:H25"/>
    <mergeCell ref="G1:I1"/>
    <mergeCell ref="B23:C23"/>
    <mergeCell ref="D23:H23"/>
    <mergeCell ref="B24:C24"/>
    <mergeCell ref="D24:H24"/>
    <mergeCell ref="A4:C4"/>
    <mergeCell ref="E6:E7"/>
    <mergeCell ref="F6:I7"/>
    <mergeCell ref="F8:I8"/>
    <mergeCell ref="F9:I9"/>
    <mergeCell ref="F10:I10"/>
    <mergeCell ref="A12:I13"/>
    <mergeCell ref="A15:I16"/>
    <mergeCell ref="A17:I17"/>
  </mergeCells>
  <phoneticPr fontId="9"/>
  <conditionalFormatting sqref="L33:L34">
    <cfRule type="containsText" dxfId="156" priority="2" operator="containsText" text="×">
      <formula>NOT(ISERROR(SEARCH("×",L33)))</formula>
    </cfRule>
  </conditionalFormatting>
  <conditionalFormatting sqref="M33:M34">
    <cfRule type="containsText" dxfId="155" priority="1" operator="containsText" text="要修正">
      <formula>NOT(ISERROR(SEARCH("要修正",M33)))</formula>
    </cfRule>
  </conditionalFormatting>
  <pageMargins left="0.7" right="0.7" top="0.75" bottom="0.75" header="0.3" footer="0.3"/>
  <pageSetup paperSize="9" scale="51"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5">
    <pageSetUpPr fitToPage="1"/>
  </sheetPr>
  <dimension ref="B1:P52"/>
  <sheetViews>
    <sheetView showGridLines="0" view="pageBreakPreview" zoomScale="60" zoomScaleNormal="100" workbookViewId="0">
      <selection activeCell="D25" sqref="D25"/>
    </sheetView>
  </sheetViews>
  <sheetFormatPr defaultColWidth="9" defaultRowHeight="18"/>
  <cols>
    <col min="1" max="1" width="2.625" style="48" customWidth="1"/>
    <col min="2" max="3" width="20.625" style="48" customWidth="1"/>
    <col min="4" max="11" width="18.625" style="48" customWidth="1"/>
    <col min="12" max="12" width="11.125" style="48" customWidth="1"/>
    <col min="13" max="13" width="2.625" style="48" customWidth="1"/>
    <col min="14" max="14" width="2.625" style="48" hidden="1" customWidth="1"/>
    <col min="15" max="15" width="18.625" style="48" customWidth="1"/>
    <col min="16" max="16" width="12.75" style="49" customWidth="1"/>
    <col min="17" max="16384" width="9" style="48"/>
  </cols>
  <sheetData>
    <row r="1" spans="2:16" ht="18" customHeight="1">
      <c r="B1" s="48" t="str">
        <f xml:space="preserve">
IF(表紙!$X$2="事前協議","様式２－４",
IF(表紙!$X$2="交付申請（２次）","様式２－４",
IF(表紙!$X$2="変更申請","様式２－４",
IF(表紙!$X$2="実績報告（１次）","様式１－１",
IF(表紙!$X$2="実績報告（２次）","様式１－４",
IF(表紙!$X$2="交付申請兼実績報告","様式１－４"))))))</f>
        <v>様式２－４</v>
      </c>
      <c r="K1" s="1745" t="str">
        <f xml:space="preserve">
IF(表紙!$X$2="事前協議","（10月１日～３月31日分）",
IF(表紙!$X$2="交付申請（２次）","（10月１日～３月31日分）",
IF(表紙!$X$2="変更申請","（10月１日～３月31日分）",
IF(表紙!$X$2="実績報告（１次）","（５月８日～10月31日分）",
IF(表紙!$X$2="実績報告（２次）","（10月１日～３月31日分）",
IF(表紙!$X$2="交付申請兼実績報告","（10月１日～３月31日分）"))))))</f>
        <v>（10月１日～３月31日分）</v>
      </c>
      <c r="L1" s="1746"/>
      <c r="M1" s="1746"/>
    </row>
    <row r="2" spans="2:16" ht="18" customHeight="1">
      <c r="B2" s="1747" t="str">
        <f xml:space="preserve">
IF(表紙!$X$2="事前協議","令和５年度　新型コロナウイルス感染症患者等入院医療機関設備整備費補助金経費所要額調書",
IF(表紙!$X$2="交付申請（２次）","令和５年度　新型コロナウイルス感染症患者等入院医療機関設備整備費補助金経費所要額調書",
IF(表紙!$X$2="変更申請","令和５年度　新型コロナウイルス感染症患者等入院医療機関設備整備費補助金経費所要額調書",
IF(表紙!$X$2="実績報告（１次）","令和５年度　新型コロナウイルス感染症患者等入院医療機関設備整備費補助金経費精算書",
IF(表紙!$X$2="実績報告（２次）","令和５年度　新型コロナウイルス感染症患者等入院医療機関設備整備費補助金経費精算書",
IF(表紙!$X$2="交付申請兼実績報告","令和５年度　新型コロナウイルス感染症患者等入院医療機関設備整備費補助金経費精算書"))))))</f>
        <v>令和５年度　新型コロナウイルス感染症患者等入院医療機関設備整備費補助金経費所要額調書</v>
      </c>
      <c r="C2" s="1747"/>
      <c r="D2" s="1747"/>
      <c r="E2" s="1747"/>
      <c r="F2" s="1747"/>
      <c r="G2" s="1747"/>
      <c r="H2" s="1747"/>
      <c r="I2" s="1747"/>
      <c r="J2" s="1747"/>
      <c r="K2" s="1747"/>
      <c r="L2" s="1747"/>
    </row>
    <row r="3" spans="2:16" ht="18" customHeight="1">
      <c r="B3" s="389"/>
      <c r="C3" s="389"/>
      <c r="D3" s="389"/>
      <c r="E3" s="389"/>
      <c r="F3" s="389"/>
      <c r="G3" s="389"/>
      <c r="I3" s="453" t="s">
        <v>73</v>
      </c>
      <c r="J3" s="1748" t="str">
        <f>IF(はじめに入力してください!H10=0,"",はじめに入力してください!H10)</f>
        <v/>
      </c>
      <c r="K3" s="1749"/>
      <c r="L3" s="50"/>
    </row>
    <row r="4" spans="2:16" ht="18" customHeight="1">
      <c r="B4" s="51"/>
      <c r="C4" s="51"/>
      <c r="D4" s="51"/>
      <c r="E4" s="51"/>
      <c r="F4" s="51"/>
      <c r="G4" s="51"/>
      <c r="I4" s="454" t="str">
        <f xml:space="preserve">
IF(表紙!$X$2="事前協議","事業完了予定日",
IF(表紙!$X$2="交付申請（２次）","事業完了予定日",
IF(表紙!$X$2="変更申請","事業完了予定日",
IF(表紙!$X$2="実績報告（１次）","事業完了日",
IF(表紙!$X$2="実績報告（２次）","事業完了日",
IF(表紙!$X$2="交付申請兼実績報告","事業完了日"))))))</f>
        <v>事業完了予定日</v>
      </c>
      <c r="J4" s="1750" t="str">
        <f>IF(MAX(はじめに入力してください!AF30:AF47)=0,"",MAX(はじめに入力してください!AF30:AF47))</f>
        <v/>
      </c>
      <c r="K4" s="1750"/>
      <c r="L4" s="52"/>
    </row>
    <row r="5" spans="2:16" s="54" customFormat="1" ht="69.95" customHeight="1" thickBot="1">
      <c r="B5" s="53" t="s">
        <v>522</v>
      </c>
      <c r="C5" s="53"/>
      <c r="D5" s="53" t="s">
        <v>523</v>
      </c>
      <c r="E5" s="53" t="str">
        <f xml:space="preserve">
IF(表紙!$X$2="事前協議","寄付金その他の"&amp;CHAR(10)&amp;"収入予定額"&amp;CHAR(10)&amp;"(B)",
IF(表紙!$X$2="交付申請（２次）","寄付金その他の"&amp;CHAR(10)&amp;"収入予定額"&amp;CHAR(10)&amp;"(B)",
IF(表紙!$X$2="変更申請","寄付金その他の"&amp;CHAR(10)&amp;"収入予定額"&amp;CHAR(10)&amp;"(B)",
IF(表紙!$X$2="実績報告（１次）","寄付金その他の"&amp;CHAR(10)&amp;"収入済額"&amp;CHAR(10)&amp;"(B)",
IF(表紙!$X$2="実績報告（２次）","寄付金その他の"&amp;CHAR(10)&amp;"収入済額"&amp;CHAR(10)&amp;"(B)",
IF(表紙!$X$2="交付申請兼実績報告","寄付金その他の"&amp;CHAR(10)&amp;"収入済額"&amp;CHAR(10)&amp;"(B)"))))))</f>
        <v>寄付金その他の
収入予定額
(B)</v>
      </c>
      <c r="F5" s="53" t="s">
        <v>524</v>
      </c>
      <c r="G5" s="53" t="str">
        <f xml:space="preserve">
IF(表紙!$X$2="事前協議","対象経費"&amp;CHAR(10)&amp;"支出予定額"&amp;CHAR(10)&amp;"(D)",
IF(表紙!$X$2="交付申請（２次）","対象経費"&amp;CHAR(10)&amp;"支出予定額"&amp;CHAR(10)&amp;"(D)",
IF(表紙!$X$2="変更申請","対象経費"&amp;CHAR(10)&amp;"支出予定額"&amp;CHAR(10)&amp;"(D)",
IF(表紙!$X$2="実績報告（１次）","対象経費"&amp;CHAR(10)&amp;"支出済額"&amp;CHAR(10)&amp;"(D)",
IF(表紙!$X$2="実績報告（２次）","対象経費"&amp;CHAR(10)&amp;"支出済額"&amp;CHAR(10)&amp;"(D)",
IF(表紙!$X$2="交付申請兼実績報告","対象経費"&amp;CHAR(10)&amp;"支出済額"&amp;CHAR(10)&amp;"(D)"))))))</f>
        <v>対象経費
支出予定額
(D)</v>
      </c>
      <c r="H5" s="53" t="s">
        <v>525</v>
      </c>
      <c r="I5" s="53" t="s">
        <v>526</v>
      </c>
      <c r="J5" s="53" t="s">
        <v>527</v>
      </c>
      <c r="K5" s="53" t="s">
        <v>1451</v>
      </c>
      <c r="L5" s="53" t="s">
        <v>528</v>
      </c>
      <c r="O5" s="53" t="s">
        <v>1017</v>
      </c>
      <c r="P5" s="55"/>
    </row>
    <row r="6" spans="2:16" ht="20.100000000000001" hidden="1" customHeight="1">
      <c r="B6" s="56"/>
      <c r="C6" s="56"/>
      <c r="D6" s="57" t="s">
        <v>501</v>
      </c>
      <c r="E6" s="57" t="s">
        <v>501</v>
      </c>
      <c r="F6" s="57" t="s">
        <v>501</v>
      </c>
      <c r="G6" s="57" t="s">
        <v>501</v>
      </c>
      <c r="H6" s="57" t="s">
        <v>501</v>
      </c>
      <c r="I6" s="57" t="s">
        <v>501</v>
      </c>
      <c r="J6" s="57" t="s">
        <v>501</v>
      </c>
      <c r="K6" s="57" t="s">
        <v>501</v>
      </c>
      <c r="L6" s="58"/>
    </row>
    <row r="7" spans="2:16" ht="20.100000000000001" customHeight="1">
      <c r="B7" s="1723" t="s">
        <v>562</v>
      </c>
      <c r="C7" s="1729" t="s">
        <v>101</v>
      </c>
      <c r="D7" s="59">
        <f>額内訳書!K7</f>
        <v>0</v>
      </c>
      <c r="E7" s="193">
        <v>0</v>
      </c>
      <c r="F7" s="59">
        <f>D7-E7</f>
        <v>0</v>
      </c>
      <c r="G7" s="59">
        <f>F7</f>
        <v>0</v>
      </c>
      <c r="H7" s="59">
        <f>額内訳書!G7</f>
        <v>0</v>
      </c>
      <c r="I7" s="59">
        <f>ROUNDDOWN(MIN(G7,H7),-3)</f>
        <v>0</v>
      </c>
      <c r="J7" s="59">
        <f>I7</f>
        <v>0</v>
      </c>
      <c r="K7" s="59">
        <f>ROUNDDOWN(J7,-3)</f>
        <v>0</v>
      </c>
      <c r="L7" s="1740" t="str">
        <f>"内訳は"&amp;CHAR(10)&amp;額内訳書!B1&amp;CHAR(10)&amp;"のとおり"</f>
        <v>内訳は
様式２－５
のとおり</v>
      </c>
      <c r="O7" s="117" t="str">
        <f>IF(はじめに入力してください!L18="","",VLOOKUP(はじめに入力してください!L18,リスト!A:EO,10,FALSE))</f>
        <v/>
      </c>
    </row>
    <row r="8" spans="2:16" ht="20.100000000000001" customHeight="1">
      <c r="B8" s="1724"/>
      <c r="C8" s="1728"/>
      <c r="D8" s="60" t="str">
        <f>IF(表紙!X2="変更申請",IFERROR(VLOOKUP(はじめに入力してください!L18,リスト!A:EO,3,FALSE),""),"")</f>
        <v/>
      </c>
      <c r="E8" s="194" t="str">
        <f>IF(表紙!X2="変更申請",IFERROR(VLOOKUP(はじめに入力してください!L18,リスト!A:EO,4,FALSE),""),"")</f>
        <v/>
      </c>
      <c r="F8" s="60" t="str">
        <f>IF(表紙!X2="変更申請",IFERROR(VLOOKUP(はじめに入力してください!L18,リスト!A:EO,5,FALSE),""),"")</f>
        <v/>
      </c>
      <c r="G8" s="60" t="str">
        <f>IF(表紙!X2="変更申請",IFERROR(VLOOKUP(はじめに入力してくださいL20,リスト!A:EO,6,FALSE),""),"")</f>
        <v/>
      </c>
      <c r="H8" s="60" t="str">
        <f>IF(表紙!X2="変更申請",IFERROR(VLOOKUP(はじめに入力してください!L18,リスト!A:EO,7,FALSE),""),"")</f>
        <v/>
      </c>
      <c r="I8" s="60" t="str">
        <f>IF(表紙!X2="変更申請",IFERROR(VLOOKUP(はじめに入力してください!L18,リスト!A:EO,8,FALSE),""),"")</f>
        <v/>
      </c>
      <c r="J8" s="60" t="str">
        <f>IF(表紙!X2="変更申請",IFERROR(VLOOKUP(はじめに入力してください!L18,リスト!A:EO,9,FALSE),""),"")</f>
        <v/>
      </c>
      <c r="K8" s="60" t="str">
        <f>IF(表紙!X2="変更申請",IFERROR(VLOOKUP(はじめに入力してください!L18,リスト!A:EO,10,FALSE),""),"")</f>
        <v/>
      </c>
      <c r="L8" s="1741"/>
      <c r="O8" s="118" t="str">
        <f>IF(はじめに入力してください!$L$18="","",MIN(K7,O7))</f>
        <v/>
      </c>
      <c r="P8" s="61"/>
    </row>
    <row r="9" spans="2:16" ht="20.100000000000001" customHeight="1">
      <c r="B9" s="1725"/>
      <c r="C9" s="1727" t="s">
        <v>105</v>
      </c>
      <c r="D9" s="62">
        <f>額内訳書!K8</f>
        <v>0</v>
      </c>
      <c r="E9" s="195">
        <v>0</v>
      </c>
      <c r="F9" s="62">
        <f>D9-E9</f>
        <v>0</v>
      </c>
      <c r="G9" s="62">
        <f>F9</f>
        <v>0</v>
      </c>
      <c r="H9" s="62">
        <f>額内訳書!G8</f>
        <v>0</v>
      </c>
      <c r="I9" s="62">
        <f>ROUNDDOWN(MIN(G9,H9),-3)</f>
        <v>0</v>
      </c>
      <c r="J9" s="62">
        <f>I9</f>
        <v>0</v>
      </c>
      <c r="K9" s="62">
        <f>ROUNDDOWN(J9,-3)</f>
        <v>0</v>
      </c>
      <c r="L9" s="1741"/>
      <c r="O9" s="117" t="str">
        <f>IF(はじめに入力してください!L18="","",VLOOKUP(はじめに入力してください!L18,リスト!A:EO,18,FALSE))</f>
        <v/>
      </c>
      <c r="P9" s="61"/>
    </row>
    <row r="10" spans="2:16" ht="20.100000000000001" customHeight="1">
      <c r="B10" s="1725"/>
      <c r="C10" s="1728"/>
      <c r="D10" s="60" t="str">
        <f>IF(表紙!X2="変更申請",IFERROR(VLOOKUP(はじめに入力してください!L18,リスト!A:EO,11,FALSE),""),"")</f>
        <v/>
      </c>
      <c r="E10" s="194" t="str">
        <f>IF(表紙!X2="変更申請",IFERROR(VLOOKUP(はじめに入力してください!L18,リスト!A:EO,12,FALSE),""),"")</f>
        <v/>
      </c>
      <c r="F10" s="60" t="str">
        <f>IF(表紙!X2="変更申請",IFERROR(VLOOKUP(はじめに入力してください!L18,リスト!A:EO,13,FALSE),""),"")</f>
        <v/>
      </c>
      <c r="G10" s="60" t="str">
        <f>IF(表紙!X2="変更申請",IFERROR(VLOOKUP(はじめに入力してください!L18,リスト!A:EO,14,FALSE),""),"")</f>
        <v/>
      </c>
      <c r="H10" s="60" t="str">
        <f>IF(表紙!X2="変更申請",IFERROR(VLOOKUP(はじめに入力してください!L18,リスト!A:EO,15,FALSE),""),"")</f>
        <v/>
      </c>
      <c r="I10" s="60" t="str">
        <f>IF(表紙!X2="変更申請",IFERROR(VLOOKUP(はじめに入力してください!L18,リスト!A:EO,16,FALSE),""),"")</f>
        <v/>
      </c>
      <c r="J10" s="60" t="str">
        <f>IF(表紙!X2="変更申請",IFERROR(VLOOKUP(はじめに入力してください!L18,リスト!A:EO,17,FALSE),""),"")</f>
        <v/>
      </c>
      <c r="K10" s="60" t="str">
        <f>IF(表紙!X2="変更申請",IFERROR(VLOOKUP(はじめに入力してください!L18,リスト!A:EO,18,FALSE),""),"")</f>
        <v/>
      </c>
      <c r="L10" s="1741"/>
      <c r="O10" s="118" t="str">
        <f>IF(はじめに入力してください!$L$18="","",MIN(K9,O9))</f>
        <v/>
      </c>
    </row>
    <row r="11" spans="2:16" ht="20.100000000000001" customHeight="1">
      <c r="B11" s="1725"/>
      <c r="C11" s="1727" t="s">
        <v>109</v>
      </c>
      <c r="D11" s="62">
        <f>額内訳書!K9</f>
        <v>0</v>
      </c>
      <c r="E11" s="195">
        <v>0</v>
      </c>
      <c r="F11" s="62">
        <f>D11-E11</f>
        <v>0</v>
      </c>
      <c r="G11" s="62">
        <f>F11</f>
        <v>0</v>
      </c>
      <c r="H11" s="62">
        <f>額内訳書!G9</f>
        <v>0</v>
      </c>
      <c r="I11" s="62">
        <f>ROUNDDOWN(MIN(G11,H11),-3)</f>
        <v>0</v>
      </c>
      <c r="J11" s="62">
        <f>I11</f>
        <v>0</v>
      </c>
      <c r="K11" s="62">
        <f>ROUNDDOWN(J11,-3)</f>
        <v>0</v>
      </c>
      <c r="L11" s="1741"/>
      <c r="O11" s="117" t="str">
        <f>IF(はじめに入力してください!L18="","",VLOOKUP(はじめに入力してください!L18,リスト!A:EO,26,FALSE))</f>
        <v/>
      </c>
    </row>
    <row r="12" spans="2:16" ht="20.100000000000001" customHeight="1">
      <c r="B12" s="1725"/>
      <c r="C12" s="1728"/>
      <c r="D12" s="60" t="str">
        <f>IF(表紙!X2="変更申請",IFERROR(VLOOKUP(はじめに入力してください!L18,リスト!A:EO,19,FALSE),""),"")</f>
        <v/>
      </c>
      <c r="E12" s="194" t="str">
        <f>IF(表紙!X2="変更申請",IFERROR(VLOOKUP(はじめに入力してください!L18,リスト!A:EO,20,FALSE),""),"")</f>
        <v/>
      </c>
      <c r="F12" s="60" t="str">
        <f>IF(表紙!X2="変更申請",IFERROR(VLOOKUP(はじめに入力してください!L18,リスト!A:EO,21,FALSE),""),"")</f>
        <v/>
      </c>
      <c r="G12" s="60" t="str">
        <f>IF(表紙!X2="変更申請",IFERROR(VLOOKUP(はじめに入力してください!L18,リスト!A:EO,22,FALSE),""),"")</f>
        <v/>
      </c>
      <c r="H12" s="60" t="str">
        <f>IF(表紙!X2="変更申請",IFERROR(VLOOKUP(はじめに入力してください!L18,リスト!A:EO,23,FALSE),""),"")</f>
        <v/>
      </c>
      <c r="I12" s="60" t="str">
        <f>IF(表紙!X2="変更申請",IFERROR(VLOOKUP(はじめに入力してください!L18,リスト!A:EO,24,FALSE),""),"")</f>
        <v/>
      </c>
      <c r="J12" s="60" t="str">
        <f>IF(表紙!X2="変更申請",IFERROR(VLOOKUP(はじめに入力してください!L18,リスト!A:EO,25,FALSE),""),"")</f>
        <v/>
      </c>
      <c r="K12" s="60" t="str">
        <f>IF(表紙!X2="変更申請",IFERROR(VLOOKUP(はじめに入力してください!L18,リスト!A:EO,26,FALSE),""),"")</f>
        <v/>
      </c>
      <c r="L12" s="1741"/>
      <c r="O12" s="118" t="str">
        <f>IF(はじめに入力してください!$L$18="","",MIN(K11,O11))</f>
        <v/>
      </c>
    </row>
    <row r="13" spans="2:16" ht="20.100000000000001" customHeight="1">
      <c r="B13" s="1725"/>
      <c r="C13" s="1727" t="s">
        <v>530</v>
      </c>
      <c r="D13" s="62">
        <f>額内訳書!K10</f>
        <v>0</v>
      </c>
      <c r="E13" s="195">
        <v>0</v>
      </c>
      <c r="F13" s="62">
        <f>D13-E13</f>
        <v>0</v>
      </c>
      <c r="G13" s="62">
        <f>F13</f>
        <v>0</v>
      </c>
      <c r="H13" s="62">
        <f>額内訳書!G10</f>
        <v>0</v>
      </c>
      <c r="I13" s="62">
        <f>ROUNDDOWN(MIN(G13,H13),-3)</f>
        <v>0</v>
      </c>
      <c r="J13" s="62">
        <f>I13</f>
        <v>0</v>
      </c>
      <c r="K13" s="62">
        <f>ROUNDDOWN(J13,-3)</f>
        <v>0</v>
      </c>
      <c r="L13" s="1741"/>
      <c r="O13" s="117" t="str">
        <f>IF(はじめに入力してください!L18="","",VLOOKUP(はじめに入力してください!L18,リスト!A:EO,34,FALSE))</f>
        <v/>
      </c>
    </row>
    <row r="14" spans="2:16" ht="20.100000000000001" customHeight="1">
      <c r="B14" s="1725"/>
      <c r="C14" s="1728"/>
      <c r="D14" s="60" t="str">
        <f>IF(表紙!X2="変更申請",IFERROR(VLOOKUP(はじめに入力してください!L18,リスト!A:EO,27,FALSE),""),"")</f>
        <v/>
      </c>
      <c r="E14" s="194" t="str">
        <f>IF(表紙!X2="変更申請",IFERROR(VLOOKUP(はじめに入力してください!L18,リスト!A:EO,28,FALSE),""),"")</f>
        <v/>
      </c>
      <c r="F14" s="60" t="str">
        <f>IF(表紙!X2="変更申請",IFERROR(VLOOKUP(はじめに入力してください!L18,リスト!A:EO,29,FALSE),""),"")</f>
        <v/>
      </c>
      <c r="G14" s="60" t="str">
        <f>IF(表紙!X2="変更申請",IFERROR(VLOOKUP(はじめに入力してください!L18,リスト!A:EO,30,FALSE),""),"")</f>
        <v/>
      </c>
      <c r="H14" s="60" t="str">
        <f>IF(表紙!X2="変更申請",IFERROR(VLOOKUP(はじめに入力してください!L18,リスト!A:EO,31,FALSE),""),"")</f>
        <v/>
      </c>
      <c r="I14" s="60" t="str">
        <f>IF(表紙!X2="変更申請",IFERROR(VLOOKUP(はじめに入力してください!L18,リスト!A:EO,32,FALSE),""),"")</f>
        <v/>
      </c>
      <c r="J14" s="60" t="str">
        <f>IF(表紙!X2="変更申請",IFERROR(VLOOKUP(はじめに入力してください!L18,リスト!A:EO,33,FALSE),""),"")</f>
        <v/>
      </c>
      <c r="K14" s="60" t="str">
        <f>IF(表紙!X2="変更申請",IFERROR(VLOOKUP(はじめに入力してください!L18,リスト!A:EO,34,FALSE),""),"")</f>
        <v/>
      </c>
      <c r="L14" s="1741"/>
      <c r="O14" s="118" t="str">
        <f>IF(はじめに入力してください!$L$18="","",MIN(K13,O13))</f>
        <v/>
      </c>
    </row>
    <row r="15" spans="2:16" ht="20.100000000000001" customHeight="1">
      <c r="B15" s="1725"/>
      <c r="C15" s="1734" t="s">
        <v>1393</v>
      </c>
      <c r="D15" s="204">
        <f>額内訳書!K11</f>
        <v>0</v>
      </c>
      <c r="E15" s="204">
        <v>0</v>
      </c>
      <c r="F15" s="204">
        <f>D15-E15</f>
        <v>0</v>
      </c>
      <c r="G15" s="204">
        <f>F15</f>
        <v>0</v>
      </c>
      <c r="H15" s="204">
        <f>額内訳書!G11</f>
        <v>0</v>
      </c>
      <c r="I15" s="195">
        <f>ROUNDDOWN(MIN(G15,H15),-3)</f>
        <v>0</v>
      </c>
      <c r="J15" s="195">
        <f>I15</f>
        <v>0</v>
      </c>
      <c r="K15" s="195">
        <f>ROUNDDOWN(J15,-3)</f>
        <v>0</v>
      </c>
      <c r="L15" s="1741"/>
      <c r="O15" s="148" t="str">
        <f>IF(はじめに入力してください!L18="","",VLOOKUP(はじめに入力してください!L18,リスト!A:EO,137,FALSE))</f>
        <v/>
      </c>
    </row>
    <row r="16" spans="2:16" ht="20.100000000000001" customHeight="1">
      <c r="B16" s="1725"/>
      <c r="C16" s="1735"/>
      <c r="D16" s="196" t="str">
        <f>IF(表紙!X2="変更申請",IFERROR(VLOOKUP(はじめに入力してください!L18,リスト!A:EO,130,FALSE),""),"")</f>
        <v/>
      </c>
      <c r="E16" s="196" t="str">
        <f>IF(表紙!X2="変更申請",IFERROR(VLOOKUP(はじめに入力してください!L18,リスト!A:EO,131,FALSE),""),"")</f>
        <v/>
      </c>
      <c r="F16" s="196" t="str">
        <f>IF(表紙!X2="変更申請",IFERROR(VLOOKUP(はじめに入力してください!L18,リスト!A:EO,132,FALSE),""),"")</f>
        <v/>
      </c>
      <c r="G16" s="196" t="str">
        <f>IF(表紙!X2="変更申請",IFERROR(VLOOKUP(はじめに入力してください!L18,リスト!A:EO,133,FALSE),""),"")</f>
        <v/>
      </c>
      <c r="H16" s="196" t="str">
        <f>IF(表紙!X2="変更申請",IFERROR(VLOOKUP(はじめに入力してください!L18,リスト!A:EO,134,FALSE),""),"")</f>
        <v/>
      </c>
      <c r="I16" s="196" t="str">
        <f>IF(表紙!X2="変更申請",IFERROR(VLOOKUP(はじめに入力してください!L18,リスト!A:EO,135,FALSE),""),"")</f>
        <v/>
      </c>
      <c r="J16" s="196" t="str">
        <f>IF(表紙!X2="変更申請",IFERROR(VLOOKUP(はじめに入力してください!L18,リスト!A:EO,136,FALSE),""),"")</f>
        <v/>
      </c>
      <c r="K16" s="196" t="str">
        <f>IF(表紙!X2="変更申請",IFERROR(VLOOKUP(はじめに入力してください!L18,リスト!A:EO,137,FALSE),""),"")</f>
        <v/>
      </c>
      <c r="L16" s="1741"/>
      <c r="O16" s="118" t="str">
        <f>IF(はじめに入力してください!$L$18="","",MIN(K15,O15))</f>
        <v/>
      </c>
    </row>
    <row r="17" spans="2:16" ht="20.100000000000001" customHeight="1">
      <c r="B17" s="1725"/>
      <c r="C17" s="1734" t="s">
        <v>1394</v>
      </c>
      <c r="D17" s="195">
        <f>額内訳書!K12</f>
        <v>0</v>
      </c>
      <c r="E17" s="195">
        <v>0</v>
      </c>
      <c r="F17" s="195">
        <f>D17-E17</f>
        <v>0</v>
      </c>
      <c r="G17" s="195">
        <f>F17</f>
        <v>0</v>
      </c>
      <c r="H17" s="195">
        <f>額内訳書!G12</f>
        <v>0</v>
      </c>
      <c r="I17" s="195">
        <f>ROUNDDOWN(MIN(G17,H17),-3)</f>
        <v>0</v>
      </c>
      <c r="J17" s="195">
        <f>I17</f>
        <v>0</v>
      </c>
      <c r="K17" s="195">
        <f>ROUNDDOWN(J17,-3)</f>
        <v>0</v>
      </c>
      <c r="L17" s="1741"/>
      <c r="O17" s="117" t="str">
        <f>IF(はじめに入力してください!L18="","",VLOOKUP(はじめに入力してください!L18,リスト!A:EO,144,FALSE))</f>
        <v/>
      </c>
    </row>
    <row r="18" spans="2:16" ht="20.100000000000001" customHeight="1">
      <c r="B18" s="1725"/>
      <c r="C18" s="1735"/>
      <c r="D18" s="194" t="str">
        <f>IF(テーブル!B1="変更申請",IFERROR(VLOOKUP(はじめに入力してください!L16,リスト!A:EO,138,FALSE),""),"")</f>
        <v/>
      </c>
      <c r="E18" s="194" t="str">
        <f>IF(テーブル!B1="変更申請",IFERROR(VLOOKUP(はじめに入力してください!L16,リスト!A:EO,139,FALSE),""),"")</f>
        <v/>
      </c>
      <c r="F18" s="194" t="str">
        <f>IF(テーブル!B1="変更申請",IFERROR(VLOOKUP(はじめに入力してください!L16,リスト!A:EO,140,FALSE),""),"")</f>
        <v/>
      </c>
      <c r="G18" s="194" t="str">
        <f>IF(テーブル!B1="変更申請",IFERROR(VLOOKUP(はじめに入力してください!L16,リスト!A:EO,141,FALSE),""),"")</f>
        <v/>
      </c>
      <c r="H18" s="194" t="str">
        <f>IF(テーブル!B1="変更申請",IFERROR(VLOOKUP(はじめに入力してください!L16,リスト!A:EO,142,FALSE),""),"")</f>
        <v/>
      </c>
      <c r="I18" s="194" t="str">
        <f>IF(テーブル!B1="変更申請",IFERROR(VLOOKUP(はじめに入力してください!L16,リスト!A:EO,143,FALSE),""),"")</f>
        <v/>
      </c>
      <c r="J18" s="194" t="str">
        <f>IF(テーブル!B1="変更申請",IFERROR(VLOOKUP(はじめに入力してください!L16,リスト!A:EO,144,FALSE),""),"")</f>
        <v/>
      </c>
      <c r="K18" s="194" t="str">
        <f>IF(テーブル!B1="変更申請",IFERROR(VLOOKUP(はじめに入力してください!L16,リスト!A:EO,145,FALSE),""),"")</f>
        <v/>
      </c>
      <c r="L18" s="1741"/>
      <c r="O18" s="118" t="str">
        <f>IF(はじめに入力してください!$L$18="","",MIN(K17,O17))</f>
        <v/>
      </c>
    </row>
    <row r="19" spans="2:16" ht="20.100000000000001" customHeight="1">
      <c r="B19" s="1725"/>
      <c r="C19" s="1727" t="s">
        <v>532</v>
      </c>
      <c r="D19" s="62">
        <f>額内訳書!K13</f>
        <v>0</v>
      </c>
      <c r="E19" s="195">
        <v>0</v>
      </c>
      <c r="F19" s="62">
        <f>D19-E19</f>
        <v>0</v>
      </c>
      <c r="G19" s="62">
        <f>F19</f>
        <v>0</v>
      </c>
      <c r="H19" s="62">
        <f>額内訳書!G13</f>
        <v>0</v>
      </c>
      <c r="I19" s="62">
        <f>ROUNDDOWN(MIN(G19,H19),-3)</f>
        <v>0</v>
      </c>
      <c r="J19" s="62">
        <f>I19</f>
        <v>0</v>
      </c>
      <c r="K19" s="62">
        <f>ROUNDDOWN(J19,-3)</f>
        <v>0</v>
      </c>
      <c r="L19" s="1741"/>
      <c r="O19" s="117" t="str">
        <f>IF(はじめに入力してください!L18="","",VLOOKUP(はじめに入力してください!L18,リスト!A:EO,42,FALSE))</f>
        <v/>
      </c>
    </row>
    <row r="20" spans="2:16" ht="20.100000000000001" customHeight="1">
      <c r="B20" s="1725"/>
      <c r="C20" s="1728"/>
      <c r="D20" s="60" t="str">
        <f>IF(表紙!X2="変更申請",IFERROR(VLOOKUP(はじめに入力してください!L18,リスト!A:EO,35,FALSE),""),"")</f>
        <v/>
      </c>
      <c r="E20" s="194" t="str">
        <f>IF(表紙!X2="変更申請",IFERROR(VLOOKUP(はじめに入力してください!L18,リスト!A:EO,36,FALSE),""),"")</f>
        <v/>
      </c>
      <c r="F20" s="60" t="str">
        <f>IF(表紙!X2="変更申請",IFERROR(VLOOKUP(はじめに入力してください!L18,リスト!A:EO,37,FALSE),""),"")</f>
        <v/>
      </c>
      <c r="G20" s="60" t="str">
        <f>IF(表紙!X2="変更申請",IFERROR(VLOOKUP(はじめに入力してください!L18,リスト!A:EO,38,FALSE),""),"")</f>
        <v/>
      </c>
      <c r="H20" s="60" t="str">
        <f>IF(表紙!X2="変更申請",IFERROR(VLOOKUP(はじめに入力してください!L18,リスト!A:EO,39,FALSE),""),"")</f>
        <v/>
      </c>
      <c r="I20" s="60" t="str">
        <f>IF(表紙!X2="変更申請",IFERROR(VLOOKUP(はじめに入力してください!L18,リスト!A:EO,40,FALSE),""),"")</f>
        <v/>
      </c>
      <c r="J20" s="60" t="str">
        <f>IF(表紙!X2="変更申請",IFERROR(VLOOKUP(はじめに入力してください!L18,リスト!A:EO,41,FALSE),""),"")</f>
        <v/>
      </c>
      <c r="K20" s="60" t="str">
        <f>IF(表紙!X2="変更申請",IFERROR(VLOOKUP(はじめに入力してください!L18,リスト!A:EO,42,FALSE),""),"")</f>
        <v/>
      </c>
      <c r="L20" s="1741"/>
      <c r="O20" s="118" t="str">
        <f>IF(はじめに入力してください!$L$18="","",MIN(K19,O19))</f>
        <v/>
      </c>
    </row>
    <row r="21" spans="2:16" ht="20.100000000000001" customHeight="1">
      <c r="B21" s="1725"/>
      <c r="C21" s="1727" t="s">
        <v>509</v>
      </c>
      <c r="D21" s="62">
        <f>額内訳書!K14</f>
        <v>0</v>
      </c>
      <c r="E21" s="195">
        <v>0</v>
      </c>
      <c r="F21" s="62">
        <f>D21-E21</f>
        <v>0</v>
      </c>
      <c r="G21" s="62">
        <f>F21</f>
        <v>0</v>
      </c>
      <c r="H21" s="62">
        <f>額内訳書!G14</f>
        <v>0</v>
      </c>
      <c r="I21" s="62">
        <f>ROUNDDOWN(MIN(G21,H21),-3)</f>
        <v>0</v>
      </c>
      <c r="J21" s="62">
        <f>I21</f>
        <v>0</v>
      </c>
      <c r="K21" s="62">
        <f>ROUNDDOWN(J21,-3)</f>
        <v>0</v>
      </c>
      <c r="L21" s="1741"/>
      <c r="O21" s="117" t="str">
        <f>IF(はじめに入力してください!L18="","",VLOOKUP(はじめに入力してください!L18,リスト!A:EO,50,FALSE))</f>
        <v/>
      </c>
      <c r="P21" s="61"/>
    </row>
    <row r="22" spans="2:16" ht="20.100000000000001" customHeight="1">
      <c r="B22" s="1725"/>
      <c r="C22" s="1728"/>
      <c r="D22" s="60" t="str">
        <f>IF(表紙!X2="変更申請",IFERROR(VLOOKUP(はじめに入力してください!L18,リスト!A:EO,43,FALSE),""),"")</f>
        <v/>
      </c>
      <c r="E22" s="194" t="str">
        <f>IF(表紙!X2="変更申請",IFERROR(VLOOKUP(はじめに入力してください!L18,リスト!A:EO,44,FALSE),""),"")</f>
        <v/>
      </c>
      <c r="F22" s="60" t="str">
        <f>IF(表紙!X2="変更申請",IFERROR(VLOOKUP(はじめに入力してください!L18,リスト!A:EO,45,FALSE),""),"")</f>
        <v/>
      </c>
      <c r="G22" s="60" t="str">
        <f>IF(表紙!X2="変更申請",IFERROR(VLOOKUP(はじめに入力してください!L18,リスト!A:EO,46,FALSE),""),"")</f>
        <v/>
      </c>
      <c r="H22" s="60" t="str">
        <f>IF(表紙!X2="変更申請",IFERROR(VLOOKUP(はじめに入力してください!L18,リスト!A:EO,47,FALSE),""),"")</f>
        <v/>
      </c>
      <c r="I22" s="60" t="str">
        <f>IF(表紙!X2="変更申請",IFERROR(VLOOKUP(はじめに入力してください!L18,リスト!A:EO,48,FALSE),""),"")</f>
        <v/>
      </c>
      <c r="J22" s="60" t="str">
        <f>IF(表紙!X2="変更申請",IFERROR(VLOOKUP(はじめに入力してください!L18,リスト!A:EO,49,FALSE),""),"")</f>
        <v/>
      </c>
      <c r="K22" s="60" t="str">
        <f>IF(表紙!X2="変更申請",IFERROR(VLOOKUP(はじめに入力してください!L18,リスト!A:EO,50,FALSE),""),"")</f>
        <v/>
      </c>
      <c r="L22" s="1741"/>
      <c r="O22" s="118" t="str">
        <f>IF(はじめに入力してください!$L$18="","",MIN(K21,O21))</f>
        <v/>
      </c>
    </row>
    <row r="23" spans="2:16" ht="20.100000000000001" customHeight="1">
      <c r="B23" s="1725"/>
      <c r="C23" s="1727" t="s">
        <v>112</v>
      </c>
      <c r="D23" s="62">
        <f>額内訳書!K15</f>
        <v>0</v>
      </c>
      <c r="E23" s="195">
        <v>0</v>
      </c>
      <c r="F23" s="62">
        <f>D23-E23</f>
        <v>0</v>
      </c>
      <c r="G23" s="62">
        <f>F23</f>
        <v>0</v>
      </c>
      <c r="H23" s="62">
        <f>額内訳書!G15</f>
        <v>0</v>
      </c>
      <c r="I23" s="62">
        <f>ROUNDDOWN(MIN(G23,H23),-3)</f>
        <v>0</v>
      </c>
      <c r="J23" s="62">
        <f>I23</f>
        <v>0</v>
      </c>
      <c r="K23" s="62">
        <f>ROUNDDOWN(J23,-3)</f>
        <v>0</v>
      </c>
      <c r="L23" s="1741"/>
      <c r="O23" s="117" t="str">
        <f>IF(はじめに入力してください!L18="","",VLOOKUP(はじめに入力してください!L18,リスト!A:EO,58,FALSE))</f>
        <v/>
      </c>
    </row>
    <row r="24" spans="2:16" ht="20.100000000000001" customHeight="1">
      <c r="B24" s="1726"/>
      <c r="C24" s="1728"/>
      <c r="D24" s="60" t="str">
        <f>IF(表紙!X2="変更申請",IFERROR(VLOOKUP(はじめに入力してください!L18,リスト!A:EO,51,FALSE),""),"")</f>
        <v/>
      </c>
      <c r="E24" s="194" t="str">
        <f>IF(表紙!X2="変更申請",IFERROR(VLOOKUP(はじめに入力してください!L18,リスト!A:EO,52,FALSE),""),"")</f>
        <v/>
      </c>
      <c r="F24" s="60" t="str">
        <f>IF(表紙!X2="変更申請",IFERROR(VLOOKUP(はじめに入力してください!L18,リスト!A:EO,53,FALSE),""),"")</f>
        <v/>
      </c>
      <c r="G24" s="60" t="str">
        <f>IF(表紙!X2="変更申請",IFERROR(VLOOKUP(はじめに入力してください!L18,リスト!A:EO,54,FALSE),""),"")</f>
        <v/>
      </c>
      <c r="H24" s="60" t="str">
        <f>IF(表紙!X2="変更申請",IFERROR(VLOOKUP(はじめに入力してください!L18,リスト!A:EO,55,FALSE),""),"")</f>
        <v/>
      </c>
      <c r="I24" s="60" t="str">
        <f>IF(表紙!X2="変更申請",IFERROR(VLOOKUP(はじめに入力してください!L18,リスト!A:EO,56,FALSE),""),"")</f>
        <v/>
      </c>
      <c r="J24" s="60" t="str">
        <f>IF(表紙!X2="変更申請",IFERROR(VLOOKUP(はじめに入力してください!L18,リスト!A:EO,57,FALSE),""),"")</f>
        <v/>
      </c>
      <c r="K24" s="60" t="str">
        <f>IF(表紙!X2="変更申請",IFERROR(VLOOKUP(はじめに入力してください!L18,リスト!A:EO,58,FALSE),""),"")</f>
        <v/>
      </c>
      <c r="L24" s="1741"/>
      <c r="O24" s="118" t="str">
        <f>IF(はじめに入力してください!$L$18="","",MIN(K23,O23))</f>
        <v/>
      </c>
    </row>
    <row r="25" spans="2:16" ht="20.100000000000001" customHeight="1">
      <c r="B25" s="1736" t="s">
        <v>563</v>
      </c>
      <c r="C25" s="1739" t="s">
        <v>1215</v>
      </c>
      <c r="D25" s="62">
        <f>額内訳書!K16</f>
        <v>0</v>
      </c>
      <c r="E25" s="195">
        <v>0</v>
      </c>
      <c r="F25" s="62">
        <f>D25-E25</f>
        <v>0</v>
      </c>
      <c r="G25" s="62">
        <f>F25</f>
        <v>0</v>
      </c>
      <c r="H25" s="62">
        <f>額内訳書!G16</f>
        <v>0</v>
      </c>
      <c r="I25" s="62">
        <f>ROUNDDOWN(MIN(G25,H25),-3)</f>
        <v>0</v>
      </c>
      <c r="J25" s="62">
        <f>I25</f>
        <v>0</v>
      </c>
      <c r="K25" s="62">
        <f>ROUNDDOWN(J25*1/2,-3)</f>
        <v>0</v>
      </c>
      <c r="L25" s="1741"/>
      <c r="O25" s="117" t="str">
        <f>IF(はじめに入力してください!L18="","",VLOOKUP(はじめに入力してください!L18,リスト!A:EO,66,FALSE))</f>
        <v/>
      </c>
    </row>
    <row r="26" spans="2:16" ht="20.100000000000001" customHeight="1" thickBot="1">
      <c r="B26" s="1724"/>
      <c r="C26" s="1738"/>
      <c r="D26" s="60" t="str">
        <f>IF(表紙!X2="変更申請",IFERROR(VLOOKUP(はじめに入力してください!L18,リスト!A:EO,59,FALSE),""),"")</f>
        <v/>
      </c>
      <c r="E26" s="194" t="str">
        <f>IF(表紙!X2="変更申請",IFERROR(VLOOKUP(はじめに入力してください!L18,リスト!A:EO,60,FALSE),""),"")</f>
        <v/>
      </c>
      <c r="F26" s="60" t="str">
        <f>IF(表紙!X2="変更申請",IFERROR(VLOOKUP(はじめに入力してください!L18,リスト!A:EO,61,FALSE),""),"")</f>
        <v/>
      </c>
      <c r="G26" s="60" t="str">
        <f>IF(表紙!X2="変更申請",IFERROR(VLOOKUP(はじめに入力してください!L18,リスト!A:EO,62,FALSE),""),"")</f>
        <v/>
      </c>
      <c r="H26" s="60" t="str">
        <f>IF(表紙!X2="変更申請",IFERROR(VLOOKUP(はじめに入力してください!L18,リスト!A:EO,63,FALSE),""),"")</f>
        <v/>
      </c>
      <c r="I26" s="60" t="str">
        <f>IF(表紙!X2="変更申請",IFERROR(VLOOKUP(はじめに入力してください!L18,リスト!A:EO,64,FALSE),""),"")</f>
        <v/>
      </c>
      <c r="J26" s="60" t="str">
        <f>IF(表紙!X2="変更申請",IFERROR(VLOOKUP(はじめに入力してください!L18,リスト!A:EO,65,FALSE),""),"")</f>
        <v/>
      </c>
      <c r="K26" s="60" t="str">
        <f>IF(表紙!X2="変更申請",IFERROR(VLOOKUP(はじめに入力してください!L18,リスト!A:EO,66,FALSE),""),"")</f>
        <v/>
      </c>
      <c r="L26" s="1741"/>
      <c r="O26" s="118" t="str">
        <f>IF(はじめに入力してください!$L$18="","",MIN(K25,O25))</f>
        <v/>
      </c>
    </row>
    <row r="27" spans="2:16" ht="20.100000000000001" hidden="1" customHeight="1" thickTop="1">
      <c r="B27" s="1730" t="s">
        <v>76</v>
      </c>
      <c r="C27" s="1731"/>
      <c r="D27" s="175">
        <f t="shared" ref="D27:K27" si="0">SUM(D7,D9,D11,D13,D15,D17,D19,D21,D23,D25)</f>
        <v>0</v>
      </c>
      <c r="E27" s="175">
        <f t="shared" si="0"/>
        <v>0</v>
      </c>
      <c r="F27" s="175">
        <f t="shared" si="0"/>
        <v>0</v>
      </c>
      <c r="G27" s="175">
        <f t="shared" si="0"/>
        <v>0</v>
      </c>
      <c r="H27" s="175">
        <f t="shared" si="0"/>
        <v>0</v>
      </c>
      <c r="I27" s="175">
        <f t="shared" si="0"/>
        <v>0</v>
      </c>
      <c r="J27" s="175">
        <f t="shared" si="0"/>
        <v>0</v>
      </c>
      <c r="K27" s="175">
        <f t="shared" si="0"/>
        <v>0</v>
      </c>
      <c r="L27" s="1742"/>
      <c r="O27" s="117" t="str">
        <f>IF(はじめに入力してください!L18="","",SUM(O7,O9,O11,O13,O19,O21,O23,O25))</f>
        <v/>
      </c>
      <c r="P27" s="48"/>
    </row>
    <row r="28" spans="2:16" ht="20.100000000000001" hidden="1" customHeight="1" thickBot="1">
      <c r="B28" s="1732"/>
      <c r="C28" s="1733"/>
      <c r="D28" s="176" t="str">
        <f>IF(表紙!X2="変更申請",SUM(D8,D10,D12,D14,D20,D22,D24,D26),"")</f>
        <v/>
      </c>
      <c r="E28" s="176" t="str">
        <f>IF(表紙!X2="変更申請",SUM(E8,E10,E12,E14,E20,E22,E24,E26),"")</f>
        <v/>
      </c>
      <c r="F28" s="176" t="str">
        <f>IF(表紙!X2="変更申請",SUM(F8,F10,F12,F14,F20,F22,F24,F26),"")</f>
        <v/>
      </c>
      <c r="G28" s="176" t="str">
        <f>IF(表紙!X2="変更申請",SUM(G8,G10,G12,G14,G20,G22,G24,G26),"")</f>
        <v/>
      </c>
      <c r="H28" s="176" t="str">
        <f>IF(表紙!X2="変更申請",SUM(H8,H10,H12,H14,H20,H22,H24,H26),"")</f>
        <v/>
      </c>
      <c r="I28" s="176" t="str">
        <f>IF(表紙!X2="変更申請",SUM(I8,I10,I12,I14,I20,I22,I24,I26),"")</f>
        <v/>
      </c>
      <c r="J28" s="176" t="str">
        <f>IF(表紙!X2="変更申請",SUM(J8,J10,J12,J14,J20,J22,J24,J26),"")</f>
        <v/>
      </c>
      <c r="K28" s="176" t="str">
        <f>IF(表紙!X2="変更申請",SUM(K8,K10,K12,K14,K20,K22,K24,K26),"")</f>
        <v/>
      </c>
      <c r="L28" s="1742"/>
      <c r="O28" s="118" t="str">
        <f>IF(はじめに入力してください!L18="","",SUM(O8,O10,O12,O14,O20,O22,O24,O26))</f>
        <v/>
      </c>
      <c r="P28" s="48"/>
    </row>
    <row r="29" spans="2:16" ht="20.100000000000001" hidden="1" customHeight="1">
      <c r="B29" s="1736" t="str">
        <f xml:space="preserve">
IF(表紙!$X$2="事前協議","－",
IF(表紙!$X$2="交付申請（２次）","－",
IF(表紙!$X$2="変更申請","－",
IF(表紙!$X$2="実績報告（１次）","感染症対策事業",
IF(表紙!$X$2="実績報告（２次）","－",
IF(表紙!$X$2="交付申請兼実績報告","－"))))))</f>
        <v>－</v>
      </c>
      <c r="C29" s="1737" t="str">
        <f xml:space="preserve">
IF(表紙!$X$2="事前協議","－",
IF(表紙!$X$2="交付申請（２次）","－",
IF(表紙!$X$2="変更申請","－",
IF(表紙!$X$2="実績報告（１次）","消毒経費",
IF(表紙!$X$2="実績報告（２次）","－",
IF(表紙!$X$2="交付申請兼実績報告","－"))))))</f>
        <v>－</v>
      </c>
      <c r="D29" s="62">
        <f>額内訳書!K18</f>
        <v>0</v>
      </c>
      <c r="E29" s="195">
        <v>0</v>
      </c>
      <c r="F29" s="62">
        <f>D29-E29</f>
        <v>0</v>
      </c>
      <c r="G29" s="62">
        <f>F29</f>
        <v>0</v>
      </c>
      <c r="H29" s="62">
        <f>額内訳書!G18</f>
        <v>0</v>
      </c>
      <c r="I29" s="62">
        <f>ROUNDDOWN(MIN(G29,H29),-3)</f>
        <v>0</v>
      </c>
      <c r="J29" s="62">
        <f>I29</f>
        <v>0</v>
      </c>
      <c r="K29" s="62">
        <f>ROUNDDOWN(J29,-3)</f>
        <v>0</v>
      </c>
      <c r="L29" s="1742"/>
      <c r="O29" s="148"/>
      <c r="P29" s="48"/>
    </row>
    <row r="30" spans="2:16" ht="20.100000000000001" hidden="1" customHeight="1" thickBot="1">
      <c r="B30" s="1724"/>
      <c r="C30" s="1738"/>
      <c r="D30" s="60" t="str">
        <f>IF(テーブル!B9="変更申請",IFERROR(VLOOKUP(はじめに入力してください!L24,リスト!A:EO,59,FALSE),""),"")</f>
        <v/>
      </c>
      <c r="E30" s="194" t="str">
        <f>IF(テーブル!B9="変更申請",IFERROR(VLOOKUP(はじめに入力してください!L24,リスト!A:EO,60,FALSE),""),"")</f>
        <v/>
      </c>
      <c r="F30" s="60" t="str">
        <f>IF(テーブル!B9="変更申請",IFERROR(VLOOKUP(はじめに入力してください!L24,リスト!A:EO,61,FALSE),""),"")</f>
        <v/>
      </c>
      <c r="G30" s="60" t="str">
        <f>IF(テーブル!B9="変更申請",IFERROR(VLOOKUP(はじめに入力してください!L24,リスト!A:EO,62,FALSE),""),"")</f>
        <v/>
      </c>
      <c r="H30" s="60" t="str">
        <f>IF(テーブル!B9="変更申請",IFERROR(VLOOKUP(はじめに入力してください!L24,リスト!A:EO,63,FALSE),""),"")</f>
        <v/>
      </c>
      <c r="I30" s="60" t="str">
        <f>IF(テーブル!B9="変更申請",IFERROR(VLOOKUP(はじめに入力してください!L24,リスト!A:EO,64,FALSE),""),"")</f>
        <v/>
      </c>
      <c r="J30" s="60" t="str">
        <f>IF(テーブル!B9="変更申請",IFERROR(VLOOKUP(はじめに入力してください!L24,リスト!A:EO,65,FALSE),""),"")</f>
        <v/>
      </c>
      <c r="K30" s="60" t="str">
        <f>IF(テーブル!B9="変更申請",IFERROR(VLOOKUP(はじめに入力してください!L24,リスト!A:EO,66,FALSE),""),"")</f>
        <v/>
      </c>
      <c r="L30" s="1742"/>
      <c r="O30" s="148"/>
      <c r="P30" s="48"/>
    </row>
    <row r="31" spans="2:16" ht="20.100000000000001" hidden="1" customHeight="1">
      <c r="B31" s="1723" t="str">
        <f xml:space="preserve">
IF(表紙!$X$2="事前協議","－",
IF(表紙!$X$2="交付申請（２次）","－",
IF(表紙!$X$2="変更申請","－",
IF(表紙!$X$2="実績報告（１次）","重点医療機関等"&amp;CHAR(10)&amp;"設備整備事業",
IF(表紙!$X$2="実績報告（２次）","－",
IF(表紙!$X$2="交付申請兼実績報告","－"))))))</f>
        <v>－</v>
      </c>
      <c r="C31" s="1729" t="str">
        <f xml:space="preserve">
IF(表紙!$X$2="事前協議","－",
IF(表紙!$X$2="交付申請（２次）","－",
IF(表紙!$X$2="変更申請","－",
IF(表紙!$X$2="実績報告（１次）","超音波画像診断装置",
IF(表紙!$X$2="実績報告（２次）","－",
IF(表紙!$X$2="交付申請兼実績報告","－"))))))</f>
        <v>－</v>
      </c>
      <c r="D31" s="59">
        <f>額内訳書!K19</f>
        <v>0</v>
      </c>
      <c r="E31" s="193">
        <v>0</v>
      </c>
      <c r="F31" s="59">
        <f>D31-E31</f>
        <v>0</v>
      </c>
      <c r="G31" s="59">
        <f>F31</f>
        <v>0</v>
      </c>
      <c r="H31" s="59">
        <f>額内訳書!G19</f>
        <v>0</v>
      </c>
      <c r="I31" s="59">
        <f>ROUNDDOWN(MIN(G31,H31),-3)</f>
        <v>0</v>
      </c>
      <c r="J31" s="59">
        <f>I31</f>
        <v>0</v>
      </c>
      <c r="K31" s="59">
        <f>ROUNDDOWN(J31,-3)</f>
        <v>0</v>
      </c>
      <c r="L31" s="1742"/>
      <c r="O31" s="117" t="str">
        <f>IF(はじめに入力してください!L18="","",VLOOKUP(はじめに入力してください!L18,リスト!A:EO,74,FALSE))</f>
        <v/>
      </c>
    </row>
    <row r="32" spans="2:16" ht="20.100000000000001" hidden="1" customHeight="1">
      <c r="B32" s="1724"/>
      <c r="C32" s="1728"/>
      <c r="D32" s="60" t="str">
        <f>IF(表紙!X2="変更申請",IFERROR(VLOOKUP(はじめに入力してください!L18,リスト!A:EO,67,FALSE),""),"")</f>
        <v/>
      </c>
      <c r="E32" s="194" t="str">
        <f>IF(表紙!X2="変更申請",IFERROR(VLOOKUP(はじめに入力してください!L18,リスト!A:EO,68,FALSE),""),"")</f>
        <v/>
      </c>
      <c r="F32" s="60" t="str">
        <f>IF(表紙!X2="変更申請",IFERROR(VLOOKUP(はじめに入力してください!L18,リスト!A:EO,69,FALSE),""),"")</f>
        <v/>
      </c>
      <c r="G32" s="60" t="str">
        <f>IF(表紙!X2="変更申請",IFERROR(VLOOKUP(はじめに入力してください!L18,リスト!A:EO,70,FALSE),""),"")</f>
        <v/>
      </c>
      <c r="H32" s="60" t="str">
        <f>IF(表紙!X2="変更申請",IFERROR(VLOOKUP(はじめに入力してください!L18,リスト!A:EO,71,FALSE),""),"")</f>
        <v/>
      </c>
      <c r="I32" s="60" t="str">
        <f>IF(表紙!X2="変更申請",IFERROR(VLOOKUP(はじめに入力してください!L18,リスト!A:EO,72,FALSE),""),"")</f>
        <v/>
      </c>
      <c r="J32" s="60" t="str">
        <f>IF(表紙!X2="変更申請",IFERROR(VLOOKUP(はじめに入力してください!L18,リスト!A:EO,73,FALSE),""),"")</f>
        <v/>
      </c>
      <c r="K32" s="60" t="str">
        <f>IF(表紙!X2="変更申請",IFERROR(VLOOKUP(はじめに入力してください!L18,リスト!A:EO,74,FALSE),""),"")</f>
        <v/>
      </c>
      <c r="L32" s="1742"/>
      <c r="O32" s="118" t="str">
        <f>IF(はじめに入力してください!$L$18="","",MIN(K31,O31))</f>
        <v/>
      </c>
      <c r="P32" s="61"/>
    </row>
    <row r="33" spans="2:16" ht="20.100000000000001" hidden="1" customHeight="1">
      <c r="B33" s="1725"/>
      <c r="C33" s="1727" t="str">
        <f xml:space="preserve">
IF(表紙!$X$2="事前協議","－",
IF(表紙!$X$2="交付申請（２次）","－",
IF(表紙!$X$2="変更申請","－",
IF(表紙!$X$2="実績報告（１次）","血液浄化装置",
IF(表紙!$X$2="実績報告（２次）","－",
IF(表紙!$X$2="交付申請兼実績報告","－"))))))</f>
        <v>－</v>
      </c>
      <c r="D33" s="62">
        <f>額内訳書!K20</f>
        <v>0</v>
      </c>
      <c r="E33" s="195">
        <v>0</v>
      </c>
      <c r="F33" s="62">
        <f>D33-E33</f>
        <v>0</v>
      </c>
      <c r="G33" s="62">
        <f>F33</f>
        <v>0</v>
      </c>
      <c r="H33" s="62">
        <f>額内訳書!G20</f>
        <v>0</v>
      </c>
      <c r="I33" s="62">
        <f>ROUNDDOWN(MIN(G33,H33),-3)</f>
        <v>0</v>
      </c>
      <c r="J33" s="62">
        <f>I33</f>
        <v>0</v>
      </c>
      <c r="K33" s="62">
        <f>ROUNDDOWN(J33,-3)</f>
        <v>0</v>
      </c>
      <c r="L33" s="1742"/>
      <c r="O33" s="117" t="str">
        <f>IF(はじめに入力してください!L18="","",VLOOKUP(はじめに入力してください!L18,リスト!A:EO,82,FALSE))</f>
        <v/>
      </c>
      <c r="P33" s="61"/>
    </row>
    <row r="34" spans="2:16" ht="20.100000000000001" hidden="1" customHeight="1">
      <c r="B34" s="1725"/>
      <c r="C34" s="1728"/>
      <c r="D34" s="60" t="str">
        <f>IF(表紙!X2="変更申請",IFERROR(VLOOKUP(はじめに入力してください!L18,リスト!A:EO,75,FALSE),""),"")</f>
        <v/>
      </c>
      <c r="E34" s="194" t="str">
        <f>IF(表紙!X2="変更申請",IFERROR(VLOOKUP(はじめに入力してください!L18,リスト!A:EO,76,FALSE),""),"")</f>
        <v/>
      </c>
      <c r="F34" s="60" t="str">
        <f>IF(表紙!X2="変更申請",IFERROR(VLOOKUP(はじめに入力してください!L18,リスト!A:EO,77,FALSE),""),"")</f>
        <v/>
      </c>
      <c r="G34" s="60" t="str">
        <f>IF(表紙!X2="変更申請",IFERROR(VLOOKUP(はじめに入力してください!L18,リスト!A:EO,78,FALSE),""),"")</f>
        <v/>
      </c>
      <c r="H34" s="60" t="str">
        <f>IF(表紙!X2="変更申請",IFERROR(VLOOKUP(はじめに入力してください!L18,リスト!A:EO,79,FALSE),""),"")</f>
        <v/>
      </c>
      <c r="I34" s="60" t="str">
        <f>IF(表紙!X2="変更申請",IFERROR(VLOOKUP(はじめに入力してください!L18,リスト!A:EO,80,FALSE),""),"")</f>
        <v/>
      </c>
      <c r="J34" s="60" t="str">
        <f>IF(表紙!X2="変更申請",IFERROR(VLOOKUP(はじめに入力してください!L18,リスト!A:EO,81,FALSE),""),"")</f>
        <v/>
      </c>
      <c r="K34" s="60" t="str">
        <f>IF(表紙!X2="変更申請",IFERROR(VLOOKUP(はじめに入力してください!L18,リスト!A:EO,82,FALSE),""),"")</f>
        <v/>
      </c>
      <c r="L34" s="1742"/>
      <c r="O34" s="118" t="str">
        <f>IF(はじめに入力してください!$L$18="","",MIN(K33,O33))</f>
        <v/>
      </c>
    </row>
    <row r="35" spans="2:16" ht="20.100000000000001" hidden="1" customHeight="1">
      <c r="B35" s="1725"/>
      <c r="C35" s="1727" t="str">
        <f xml:space="preserve">
IF(表紙!$X$2="事前協議","－",
IF(表紙!$X$2="交付申請（２次）","－",
IF(表紙!$X$2="変更申請","－",
IF(表紙!$X$2="実績報告（１次）","気管支鏡",
IF(表紙!$X$2="実績報告（２次）","－",
IF(表紙!$X$2="交付申請兼実績報告","－"))))))</f>
        <v>－</v>
      </c>
      <c r="D35" s="62">
        <f>額内訳書!K21</f>
        <v>0</v>
      </c>
      <c r="E35" s="195">
        <v>0</v>
      </c>
      <c r="F35" s="62">
        <f>D35-E35</f>
        <v>0</v>
      </c>
      <c r="G35" s="62">
        <f>F35</f>
        <v>0</v>
      </c>
      <c r="H35" s="62">
        <f>額内訳書!G21</f>
        <v>0</v>
      </c>
      <c r="I35" s="62">
        <f>ROUNDDOWN(MIN(G35,H35),-3)</f>
        <v>0</v>
      </c>
      <c r="J35" s="62">
        <f>I35</f>
        <v>0</v>
      </c>
      <c r="K35" s="62">
        <f>ROUNDDOWN(J35,-3)</f>
        <v>0</v>
      </c>
      <c r="L35" s="1742"/>
      <c r="O35" s="117" t="str">
        <f>IF(はじめに入力してください!L18="","",VLOOKUP(はじめに入力してください!L18,リスト!A:EO,90,FALSE))</f>
        <v/>
      </c>
    </row>
    <row r="36" spans="2:16" ht="20.100000000000001" hidden="1" customHeight="1">
      <c r="B36" s="1725"/>
      <c r="C36" s="1728"/>
      <c r="D36" s="60" t="str">
        <f>IF(表紙!X2="変更申請",IFERROR(VLOOKUP(はじめに入力してください!L18,リスト!A:EO,83,FALSE),""),"")</f>
        <v/>
      </c>
      <c r="E36" s="194" t="str">
        <f>IF(表紙!X2="変更申請",IFERROR(VLOOKUP(はじめに入力してください!L18,リスト!A:EO,84,FALSE),""),"")</f>
        <v/>
      </c>
      <c r="F36" s="60" t="str">
        <f>IF(表紙!X2="変更申請",IFERROR(VLOOKUP(はじめに入力してください!L18,リスト!A:EO,85,FALSE),""),"")</f>
        <v/>
      </c>
      <c r="G36" s="60" t="str">
        <f>IF(表紙!X2="変更申請",IFERROR(VLOOKUP(はじめに入力してください!L18,リスト!A:EO,86,FALSE),""),"")</f>
        <v/>
      </c>
      <c r="H36" s="60" t="str">
        <f>IF(表紙!X2="変更申請",IFERROR(VLOOKUP(はじめに入力してください!L18,リスト!A:EO,87,FALSE),""),"")</f>
        <v/>
      </c>
      <c r="I36" s="60" t="str">
        <f>IF(表紙!X2="変更申請",IFERROR(VLOOKUP(はじめに入力してください!L18,リスト!A:EO,88,FALSE),""),"")</f>
        <v/>
      </c>
      <c r="J36" s="60" t="str">
        <f>IF(表紙!X2="変更申請",IFERROR(VLOOKUP(はじめに入力してください!L18,リスト!A:EO,89,FALSE),""),"")</f>
        <v/>
      </c>
      <c r="K36" s="60" t="str">
        <f>IF(表紙!X2="変更申請",IFERROR(VLOOKUP(はじめに入力してください!L18,リスト!A:EO,90,FALSE),""),"")</f>
        <v/>
      </c>
      <c r="L36" s="1742"/>
      <c r="O36" s="118" t="str">
        <f>IF(はじめに入力してください!$L$18="","",MIN(K35,O35))</f>
        <v/>
      </c>
    </row>
    <row r="37" spans="2:16" ht="20.100000000000001" hidden="1" customHeight="1">
      <c r="B37" s="1725"/>
      <c r="C37" s="1727" t="str">
        <f xml:space="preserve">
IF(表紙!$X$2="事前協議","－",
IF(表紙!$X$2="交付申請（２次）","－",
IF(表紙!$X$2="変更申請","－",
IF(表紙!$X$2="実績報告（１次）","CT撮影装置",
IF(表紙!$X$2="実績報告（２次）","－",
IF(表紙!$X$2="交付申請兼実績報告","－"))))))</f>
        <v>－</v>
      </c>
      <c r="D37" s="62">
        <f>額内訳書!K22</f>
        <v>0</v>
      </c>
      <c r="E37" s="195">
        <v>0</v>
      </c>
      <c r="F37" s="62">
        <f>D37-E37</f>
        <v>0</v>
      </c>
      <c r="G37" s="62">
        <f>F37</f>
        <v>0</v>
      </c>
      <c r="H37" s="62">
        <f>額内訳書!G22</f>
        <v>0</v>
      </c>
      <c r="I37" s="62">
        <f>ROUNDDOWN(MIN(G37,H37),-3)</f>
        <v>0</v>
      </c>
      <c r="J37" s="62">
        <f>I37</f>
        <v>0</v>
      </c>
      <c r="K37" s="62">
        <f>ROUNDDOWN(J37,-3)</f>
        <v>0</v>
      </c>
      <c r="L37" s="1742"/>
      <c r="O37" s="117" t="str">
        <f>IF(はじめに入力してください!L18="","",VLOOKUP(はじめに入力してください!L18,リスト!A:EO,98,FALSE))</f>
        <v/>
      </c>
    </row>
    <row r="38" spans="2:16" ht="20.100000000000001" hidden="1" customHeight="1">
      <c r="B38" s="1725"/>
      <c r="C38" s="1728"/>
      <c r="D38" s="60" t="str">
        <f>IF(表紙!X2="変更申請",IFERROR(VLOOKUP(はじめに入力してください!L18,リスト!A:EO,91,FALSE),""),"")</f>
        <v/>
      </c>
      <c r="E38" s="194" t="str">
        <f>IF(表紙!X2="変更申請",IFERROR(VLOOKUP(はじめに入力してくださいL20,リスト!A:EO,92,FALSE),""),"")</f>
        <v/>
      </c>
      <c r="F38" s="60" t="str">
        <f>IF(表紙!X2="変更申請",IFERROR(VLOOKUP(はじめに入力してください!L18,リスト!A:EO,93,FALSE),""),"")</f>
        <v/>
      </c>
      <c r="G38" s="60" t="str">
        <f>IF(表紙!X2="変更申請",IFERROR(VLOOKUP(はじめに入力してください!L18,リスト!A:EO,94,FALSE),""),"")</f>
        <v/>
      </c>
      <c r="H38" s="60" t="str">
        <f>IF(表紙!X2="変更申請",IFERROR(VLOOKUP(はじめに入力してください!L18,リスト!A:EO,95,FALSE),""),"")</f>
        <v/>
      </c>
      <c r="I38" s="60" t="str">
        <f>IF(表紙!X2="変更申請",IFERROR(VLOOKUP(はじめに入力してください!L18,リスト!A:EO,96,FALSE),""),"")</f>
        <v/>
      </c>
      <c r="J38" s="60" t="str">
        <f>IF(表紙!X2="変更申請",IFERROR(VLOOKUP(はじめに入力してください!L18,リスト!A:EO,97,FALSE),""),"")</f>
        <v/>
      </c>
      <c r="K38" s="60" t="str">
        <f>IF(表紙!X2="変更申請",IFERROR(VLOOKUP(はじめに入力してください!L18,リスト!A:EO,98,FALSE),""),"")</f>
        <v/>
      </c>
      <c r="L38" s="1742"/>
      <c r="O38" s="118" t="str">
        <f>IF(はじめに入力してください!$L$18="","",MIN(K37,O37))</f>
        <v/>
      </c>
    </row>
    <row r="39" spans="2:16" ht="20.100000000000001" hidden="1" customHeight="1">
      <c r="B39" s="1725"/>
      <c r="C39" s="1727" t="str">
        <f xml:space="preserve">
IF(表紙!$X$2="事前協議","－",
IF(表紙!$X$2="交付申請（２次）","－",
IF(表紙!$X$2="変更申請","－",
IF(表紙!$X$2="実績報告（１次）","生体情報モニタ",
IF(表紙!$X$2="実績報告（２次）","－",
IF(表紙!$X$2="交付申請兼実績報告","－"))))))</f>
        <v>－</v>
      </c>
      <c r="D39" s="62">
        <f>額内訳書!K23</f>
        <v>0</v>
      </c>
      <c r="E39" s="195">
        <v>0</v>
      </c>
      <c r="F39" s="62">
        <f>D39-E39</f>
        <v>0</v>
      </c>
      <c r="G39" s="62">
        <f>F39</f>
        <v>0</v>
      </c>
      <c r="H39" s="62">
        <f>額内訳書!G23</f>
        <v>0</v>
      </c>
      <c r="I39" s="62">
        <f>ROUNDDOWN(MIN(G39,H39),-3)</f>
        <v>0</v>
      </c>
      <c r="J39" s="62">
        <f>I39</f>
        <v>0</v>
      </c>
      <c r="K39" s="62">
        <f>ROUNDDOWN(J39,-3)</f>
        <v>0</v>
      </c>
      <c r="L39" s="1742"/>
      <c r="O39" s="117" t="str">
        <f>IF(はじめに入力してください!L18="","",VLOOKUP(はじめに入力してください!L18,リスト!A:EO,106,FALSE))</f>
        <v/>
      </c>
    </row>
    <row r="40" spans="2:16" ht="20.100000000000001" hidden="1" customHeight="1">
      <c r="B40" s="1725"/>
      <c r="C40" s="1728"/>
      <c r="D40" s="60" t="str">
        <f>IF(表紙!X2="変更申請",IFERROR(VLOOKUP(はじめに入力してください!L18,リスト!A:EO,99,FALSE),""),"")</f>
        <v/>
      </c>
      <c r="E40" s="194" t="str">
        <f>IF(表紙!X2="変更申請",IFERROR(VLOOKUP(はじめに入力してください!L18,リスト!A:EO,100,FALSE),""),"")</f>
        <v/>
      </c>
      <c r="F40" s="60" t="str">
        <f>IF(表紙!X2="変更申請",IFERROR(VLOOKUP(はじめに入力してください!L18,リスト!A:EO,101,FALSE),""),"")</f>
        <v/>
      </c>
      <c r="G40" s="60" t="str">
        <f>IF(表紙!X2="変更申請",IFERROR(VLOOKUP(はじめに入力してください!L18,リスト!A:EO,102,FALSE),""),"")</f>
        <v/>
      </c>
      <c r="H40" s="60" t="str">
        <f>IF(表紙!X2="変更申請",IFERROR(VLOOKUP(はじめに入力してください!L18,リスト!A:EO,103,FALSE),""),"")</f>
        <v/>
      </c>
      <c r="I40" s="60" t="str">
        <f>IF(表紙!X2="変更申請",IFERROR(VLOOKUP(はじめに入力してください!L18,リスト!A:EO,104,FALSE),""),"")</f>
        <v/>
      </c>
      <c r="J40" s="60" t="str">
        <f>IF(表紙!X2="変更申請",IFERROR(VLOOKUP(はじめに入力してください!L18,リスト!A:EO,105,FALSE),""),"")</f>
        <v/>
      </c>
      <c r="K40" s="60" t="str">
        <f>IF(表紙!X2="変更申請",IFERROR(VLOOKUP(はじめに入力してください!L18,リスト!A:EO,106,FALSE),""),"")</f>
        <v/>
      </c>
      <c r="L40" s="1742"/>
      <c r="O40" s="118" t="str">
        <f>IF(はじめに入力してください!$L$18="","",MIN(K39,O39))</f>
        <v/>
      </c>
    </row>
    <row r="41" spans="2:16" ht="20.100000000000001" hidden="1" customHeight="1">
      <c r="B41" s="1725"/>
      <c r="C41" s="1727" t="str">
        <f xml:space="preserve">
IF(表紙!$X$2="事前協議","－",
IF(表紙!$X$2="交付申請（２次）","－",
IF(表紙!$X$2="変更申請","－",
IF(表紙!$X$2="実績報告（１次）","分娩監視装置",
IF(表紙!$X$2="実績報告（２次）","－",
IF(表紙!$X$2="交付申請兼実績報告","－"))))))</f>
        <v>－</v>
      </c>
      <c r="D41" s="62">
        <f>額内訳書!K24</f>
        <v>0</v>
      </c>
      <c r="E41" s="195">
        <v>0</v>
      </c>
      <c r="F41" s="62">
        <f>D41-E41</f>
        <v>0</v>
      </c>
      <c r="G41" s="62">
        <f>F41</f>
        <v>0</v>
      </c>
      <c r="H41" s="62">
        <f>額内訳書!G24</f>
        <v>0</v>
      </c>
      <c r="I41" s="62">
        <f>ROUNDDOWN(MIN(G41,H41),-3)</f>
        <v>0</v>
      </c>
      <c r="J41" s="62">
        <f>I41</f>
        <v>0</v>
      </c>
      <c r="K41" s="62">
        <f>ROUNDDOWN(J41,-3)</f>
        <v>0</v>
      </c>
      <c r="L41" s="1742"/>
      <c r="O41" s="117" t="str">
        <f>IF(はじめに入力してください!L18="","",VLOOKUP(はじめに入力してください!L18,リスト!A:EO,114,FALSE))</f>
        <v/>
      </c>
      <c r="P41" s="61"/>
    </row>
    <row r="42" spans="2:16" ht="20.100000000000001" hidden="1" customHeight="1">
      <c r="B42" s="1725"/>
      <c r="C42" s="1728"/>
      <c r="D42" s="60" t="str">
        <f>IF(表紙!X2="変更申請",IFERROR(VLOOKUP(はじめに入力してください!L18,リスト!A:EO,107,FALSE),""),"")</f>
        <v/>
      </c>
      <c r="E42" s="194" t="str">
        <f>IF(表紙!X2="変更申請",IFERROR(VLOOKUP(はじめに入力してください!L18,リスト!A:EO,108,FALSE),""),"")</f>
        <v/>
      </c>
      <c r="F42" s="60" t="str">
        <f>IF(表紙!X2="変更申請",IFERROR(VLOOKUP(はじめに入力してください!L18,リスト!A:EO,109,FALSE),""),"")</f>
        <v/>
      </c>
      <c r="G42" s="60" t="str">
        <f>IF(表紙!X2="変更申請",IFERROR(VLOOKUP(はじめに入力してください!L18,リスト!A:EO,110,FALSE),""),"")</f>
        <v/>
      </c>
      <c r="H42" s="60" t="str">
        <f>IF(表紙!X2="変更申請",IFERROR(VLOOKUP(はじめに入力してください!L18,リスト!A:EO,111,FALSE),""),"")</f>
        <v/>
      </c>
      <c r="I42" s="60" t="str">
        <f>IF(表紙!X2="変更申請",IFERROR(VLOOKUP(はじめに入力してください!L18,リスト!A:EO,112,FALSE),""),"")</f>
        <v/>
      </c>
      <c r="J42" s="60" t="str">
        <f>IF(表紙!X2="変更申請",IFERROR(VLOOKUP(はじめに入力してください!L18,リスト!A:EO,113,FALSE),""),"")</f>
        <v/>
      </c>
      <c r="K42" s="60" t="str">
        <f>IF(表紙!X2="変更申請",IFERROR(VLOOKUP(はじめに入力してください!L18,リスト!A:EO,114,FALSE),""),"")</f>
        <v/>
      </c>
      <c r="L42" s="1742"/>
      <c r="O42" s="118" t="str">
        <f>IF(はじめに入力してください!$L$18="","",MIN(K41,O41))</f>
        <v/>
      </c>
    </row>
    <row r="43" spans="2:16" ht="20.100000000000001" hidden="1" customHeight="1">
      <c r="B43" s="1725"/>
      <c r="C43" s="1727" t="str">
        <f xml:space="preserve">
IF(表紙!$X$2="事前協議","－",
IF(表紙!$X$2="交付申請（２次）","－",
IF(表紙!$X$2="変更申請","－",
IF(表紙!$X$2="実績報告（１次）","新生児モニタ",
IF(表紙!$X$2="実績報告（２次）","－",
IF(表紙!$X$2="交付申請兼実績報告","－"))))))</f>
        <v>－</v>
      </c>
      <c r="D43" s="62">
        <f>額内訳書!K25</f>
        <v>0</v>
      </c>
      <c r="E43" s="195">
        <v>0</v>
      </c>
      <c r="F43" s="62">
        <f>D43-E43</f>
        <v>0</v>
      </c>
      <c r="G43" s="62">
        <f>F43</f>
        <v>0</v>
      </c>
      <c r="H43" s="62">
        <f>額内訳書!G25</f>
        <v>0</v>
      </c>
      <c r="I43" s="62">
        <f>ROUNDDOWN(MIN(G43,H43),-3)</f>
        <v>0</v>
      </c>
      <c r="J43" s="62">
        <f>I43</f>
        <v>0</v>
      </c>
      <c r="K43" s="62">
        <f>ROUNDDOWN(J43,-3)</f>
        <v>0</v>
      </c>
      <c r="L43" s="1742"/>
      <c r="O43" s="117" t="str">
        <f>IF(はじめに入力してください!L18="","",VLOOKUP(はじめに入力してください!L18,リスト!A:EO,122,FALSE))</f>
        <v/>
      </c>
    </row>
    <row r="44" spans="2:16" ht="20.100000000000001" hidden="1" customHeight="1" thickBot="1">
      <c r="B44" s="1726"/>
      <c r="C44" s="1728"/>
      <c r="D44" s="60" t="str">
        <f>IF(表紙!X2="変更申請",IFERROR(VLOOKUP(はじめに入力してください!L18,リスト!A:EO,115,FALSE),""),"")</f>
        <v/>
      </c>
      <c r="E44" s="194" t="str">
        <f>IF(表紙!X2="変更申請",IFERROR(VLOOKUP(はじめに入力してください!L18,リスト!A:EO,116,FALSE),""),"")</f>
        <v/>
      </c>
      <c r="F44" s="60" t="str">
        <f>IF(表紙!X2="変更申請",IFERROR(VLOOKUP(はじめに入力してください!L18,リスト!A:EO,117,FALSE),""),"")</f>
        <v/>
      </c>
      <c r="G44" s="60" t="str">
        <f>IF(表紙!X2="変更申請",IFERROR(VLOOKUP(はじめに入力してください!L18,リスト!A:EO,118,FALSE),""),"")</f>
        <v/>
      </c>
      <c r="H44" s="60" t="str">
        <f>IF(表紙!X2="変更申請",IFERROR(VLOOKUP(はじめに入力してください!L18,リスト!A:EO,119,FALSE),""),"")</f>
        <v/>
      </c>
      <c r="I44" s="60" t="str">
        <f>IF(表紙!X2="変更申請",IFERROR(VLOOKUP(はじめに入力してください!L18,リスト!A:EO,120,FALSE),""),"")</f>
        <v/>
      </c>
      <c r="J44" s="60" t="str">
        <f>IF(表紙!X2="変更申請",IFERROR(VLOOKUP(はじめに入力してください!L18,リスト!A:EO,121,FALSE),""),"")</f>
        <v/>
      </c>
      <c r="K44" s="60" t="str">
        <f>IF(表紙!X2="変更申請",IFERROR(VLOOKUP(はじめに入力してください!L18,リスト!A:EO,122,FALSE),""),"")</f>
        <v/>
      </c>
      <c r="L44" s="1742"/>
      <c r="O44" s="118" t="str">
        <f>IF(はじめに入力してください!$L$18="","",MIN(K43,O43))</f>
        <v/>
      </c>
    </row>
    <row r="45" spans="2:16" ht="20.100000000000001" hidden="1" customHeight="1" thickTop="1">
      <c r="B45" s="1730" t="s">
        <v>76</v>
      </c>
      <c r="C45" s="1731"/>
      <c r="D45" s="175">
        <f>SUM(D31,D33,D35,D37,D39,D41,D43)</f>
        <v>0</v>
      </c>
      <c r="E45" s="175">
        <f t="shared" ref="E45:J45" si="1">SUM(E31,E33,E35,E37,E39,E41,E43)</f>
        <v>0</v>
      </c>
      <c r="F45" s="175">
        <f>SUM(F31,F33,F35,F37,F39,F41,F43)</f>
        <v>0</v>
      </c>
      <c r="G45" s="175">
        <f t="shared" si="1"/>
        <v>0</v>
      </c>
      <c r="H45" s="175">
        <f t="shared" si="1"/>
        <v>0</v>
      </c>
      <c r="I45" s="175">
        <f t="shared" si="1"/>
        <v>0</v>
      </c>
      <c r="J45" s="175">
        <f t="shared" si="1"/>
        <v>0</v>
      </c>
      <c r="K45" s="175">
        <f>SUM(K31,K33,K35,K37,K39,K41,K43)</f>
        <v>0</v>
      </c>
      <c r="L45" s="1742"/>
      <c r="O45" s="117" t="str">
        <f>IF(はじめに入力してください!L18="","",SUM(O31,O33,O35,O37,O39,O41,O43))</f>
        <v/>
      </c>
      <c r="P45" s="48"/>
    </row>
    <row r="46" spans="2:16" ht="20.100000000000001" hidden="1" customHeight="1" thickBot="1">
      <c r="B46" s="1751"/>
      <c r="C46" s="1752"/>
      <c r="D46" s="728" t="str">
        <f>IF(表紙!X2="変更申請",SUM(D32,D34,D36,D38,D40,D42,D44),"")</f>
        <v/>
      </c>
      <c r="E46" s="728" t="str">
        <f>IF(表紙!X2="変更申請",SUM(E32,E34,E36,E38,E40,E42,E44),"")</f>
        <v/>
      </c>
      <c r="F46" s="728" t="str">
        <f>IF(表紙!X2="変更申請",SUM(F32,F34,F36,F38,F40,F42,F44),"")</f>
        <v/>
      </c>
      <c r="G46" s="728" t="str">
        <f>IF(表紙!X2="変更申請",SUM(G32,G34,G36,G38,G40,G42,G44),"")</f>
        <v/>
      </c>
      <c r="H46" s="728" t="str">
        <f>IF(表紙!X2="変更申請",SUM(H32,H34,H36,H38,H40,H42,H44),"")</f>
        <v/>
      </c>
      <c r="I46" s="728" t="str">
        <f>IF(表紙!X2="変更申請",SUM(I32,I34,I36,I38,I40,I42,I44),"")</f>
        <v/>
      </c>
      <c r="J46" s="728" t="str">
        <f>IF(表紙!X2="変更申請",SUM(J32,J34,J36,J38,J40,J42,J44),"")</f>
        <v/>
      </c>
      <c r="K46" s="728" t="str">
        <f>IF(表紙!X2="変更申請",SUM(K32,K34,K36,K38,K40,K42,K44),"")</f>
        <v/>
      </c>
      <c r="L46" s="1742"/>
      <c r="O46" s="118" t="str">
        <f>IF(はじめに入力してください!L18="","",SUM(O32,O34,O36,O38,O40,O42,O44))</f>
        <v/>
      </c>
      <c r="P46" s="48"/>
    </row>
    <row r="47" spans="2:16" ht="20.100000000000001" customHeight="1" thickTop="1">
      <c r="B47" s="1730" t="s">
        <v>535</v>
      </c>
      <c r="C47" s="1731"/>
      <c r="D47" s="175">
        <f>SUM(D27,D29,D45)</f>
        <v>0</v>
      </c>
      <c r="E47" s="175">
        <f t="shared" ref="E47:K47" si="2">SUM(E27,E29,E45)</f>
        <v>0</v>
      </c>
      <c r="F47" s="175">
        <f t="shared" si="2"/>
        <v>0</v>
      </c>
      <c r="G47" s="175">
        <f t="shared" si="2"/>
        <v>0</v>
      </c>
      <c r="H47" s="175">
        <f t="shared" si="2"/>
        <v>0</v>
      </c>
      <c r="I47" s="175">
        <f t="shared" si="2"/>
        <v>0</v>
      </c>
      <c r="J47" s="175">
        <f t="shared" si="2"/>
        <v>0</v>
      </c>
      <c r="K47" s="729">
        <f t="shared" si="2"/>
        <v>0</v>
      </c>
      <c r="L47" s="1743"/>
      <c r="O47" s="117" t="str">
        <f>IF(はじめに入力してください!L18="","",SUM(O27,O45))</f>
        <v/>
      </c>
      <c r="P47" s="48"/>
    </row>
    <row r="48" spans="2:16" ht="20.100000000000001" customHeight="1" thickBot="1">
      <c r="B48" s="1732"/>
      <c r="C48" s="1733"/>
      <c r="D48" s="176" t="str">
        <f>IF(表紙!X2="変更申請",SUM(D28,D46),"")</f>
        <v/>
      </c>
      <c r="E48" s="176" t="str">
        <f>IF(表紙!X2="変更申請",SUM(E28,E46),"")</f>
        <v/>
      </c>
      <c r="F48" s="176" t="str">
        <f>IF(表紙!X2="変更申請",SUM(F28,F46),"")</f>
        <v/>
      </c>
      <c r="G48" s="176" t="str">
        <f>IF(表紙!X2="変更申請",SUM(G28,G46),"")</f>
        <v/>
      </c>
      <c r="H48" s="176" t="str">
        <f>IF(表紙!X2="変更申請",SUM(H28,H46),"")</f>
        <v/>
      </c>
      <c r="I48" s="176" t="str">
        <f>IF(表紙!X2="変更申請",SUM(I28,I46),"")</f>
        <v/>
      </c>
      <c r="J48" s="176" t="str">
        <f>IF(表紙!X2="変更申請",SUM(J28,J46),"")</f>
        <v/>
      </c>
      <c r="K48" s="730" t="str">
        <f>IF(表紙!X2="変更申請",SUM(K28,K46),"")</f>
        <v/>
      </c>
      <c r="L48" s="1744"/>
      <c r="O48" s="118" t="str">
        <f>IF(はじめに入力してください!$L$18="","",MIN(K47,O47))</f>
        <v/>
      </c>
      <c r="P48" s="48"/>
    </row>
    <row r="49" spans="2:16" ht="20.100000000000001" customHeight="1">
      <c r="B49" s="48" t="s">
        <v>536</v>
      </c>
      <c r="P49" s="48"/>
    </row>
    <row r="50" spans="2:16" ht="20.100000000000001" customHeight="1">
      <c r="P50" s="48"/>
    </row>
    <row r="51" spans="2:16" ht="20.100000000000001" customHeight="1">
      <c r="P51" s="48"/>
    </row>
    <row r="52" spans="2:16" ht="20.100000000000001" customHeight="1">
      <c r="P52" s="48"/>
    </row>
  </sheetData>
  <sheetProtection algorithmName="SHA-512" hashValue="P8l5D6NPbCKPC1vQGcuf5PTDHO60QEdf4SDzg+dZP8Vfr+O1/PbiWV511+OzkBEKmsSOma0CuPHqE/Ms7MIRiQ==" saltValue="8dFCmcZvlXH0hC9sk5jgYg==" spinCount="100000" sheet="1" objects="1" scenarios="1"/>
  <mergeCells count="30">
    <mergeCell ref="L7:L48"/>
    <mergeCell ref="K1:M1"/>
    <mergeCell ref="B2:L2"/>
    <mergeCell ref="J3:K3"/>
    <mergeCell ref="J4:K4"/>
    <mergeCell ref="B7:B24"/>
    <mergeCell ref="C7:C8"/>
    <mergeCell ref="C9:C10"/>
    <mergeCell ref="C11:C12"/>
    <mergeCell ref="C13:C14"/>
    <mergeCell ref="C19:C20"/>
    <mergeCell ref="C21:C22"/>
    <mergeCell ref="C23:C24"/>
    <mergeCell ref="B25:B26"/>
    <mergeCell ref="B45:C46"/>
    <mergeCell ref="B47:C48"/>
    <mergeCell ref="B27:C28"/>
    <mergeCell ref="C17:C18"/>
    <mergeCell ref="C15:C16"/>
    <mergeCell ref="B29:B30"/>
    <mergeCell ref="C29:C30"/>
    <mergeCell ref="C25:C26"/>
    <mergeCell ref="B31:B44"/>
    <mergeCell ref="C41:C42"/>
    <mergeCell ref="C43:C44"/>
    <mergeCell ref="C31:C32"/>
    <mergeCell ref="C33:C34"/>
    <mergeCell ref="C35:C36"/>
    <mergeCell ref="C37:C38"/>
    <mergeCell ref="C39:C40"/>
  </mergeCells>
  <phoneticPr fontId="9"/>
  <dataValidations xWindow="1012" yWindow="547" count="1">
    <dataValidation allowBlank="1" showInputMessage="1" showErrorMessage="1" promptTitle="「寄付金その他の収入予定額（B）」欄について" prompt="本補助金で申請した「総事業費（A）」に対して、本補助金以外の寄付金やその他の収入を充てている場合はその金額を、ない場合は「0」円を入力してください。 _x000a_" sqref="E29:E44 E7:E26" xr:uid="{00000000-0002-0000-0A00-000000000000}"/>
  </dataValidations>
  <printOptions horizontalCentered="1"/>
  <pageMargins left="0.59055118110236227" right="0.39370078740157483" top="0.98425196850393704" bottom="0.39370078740157483" header="0.31496062992125984" footer="0.31496062992125984"/>
  <pageSetup paperSize="9" scale="60" orientation="landscape" r:id="rId1"/>
  <colBreaks count="1" manualBreakCount="1">
    <brk id="15" max="42" man="1"/>
  </colBreaks>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6">
    <pageSetUpPr fitToPage="1"/>
  </sheetPr>
  <dimension ref="B1:AA30"/>
  <sheetViews>
    <sheetView showGridLines="0" view="pageBreakPreview" zoomScale="50" zoomScaleNormal="100" zoomScaleSheetLayoutView="50" workbookViewId="0">
      <selection activeCell="E14" sqref="E14"/>
    </sheetView>
  </sheetViews>
  <sheetFormatPr defaultColWidth="9" defaultRowHeight="19.5"/>
  <cols>
    <col min="1" max="1" width="2.625" style="32" customWidth="1"/>
    <col min="2" max="3" width="30.625" style="32" customWidth="1"/>
    <col min="4" max="4" width="20.625" style="32" customWidth="1"/>
    <col min="5" max="5" width="10.625" style="32" customWidth="1"/>
    <col min="6" max="8" width="20.625" style="32" customWidth="1"/>
    <col min="9" max="9" width="10.625" style="32" customWidth="1"/>
    <col min="10" max="11" width="20.625" style="32" customWidth="1"/>
    <col min="12" max="17" width="5.625" style="32" customWidth="1"/>
    <col min="18" max="18" width="5.625" style="33" customWidth="1"/>
    <col min="19" max="19" width="2.625" style="32" customWidth="1"/>
    <col min="20" max="20" width="15.625" style="32" customWidth="1"/>
    <col min="21" max="27" width="8.625" style="32" customWidth="1"/>
    <col min="28" max="16384" width="9" style="32"/>
  </cols>
  <sheetData>
    <row r="1" spans="2:27" ht="24.95" customHeight="1">
      <c r="B1" s="31" t="str">
        <f xml:space="preserve">
IF(表紙!$X$2="事前協議","様式２－５",
IF(表紙!$X$2="交付申請（２次）","様式２－５",
IF(表紙!$X$2="変更申請","様式２－５",
IF(表紙!$X$2="実績報告（１次）","様式１－２",
IF(表紙!$X$2="実績報告（２次）","様式１－４",
IF(表紙!$X$2="交付申請兼実績報告","様式１－４"))))))</f>
        <v>様式２－５</v>
      </c>
      <c r="D1" s="33"/>
      <c r="L1" s="1756" t="str">
        <f xml:space="preserve">
IF(表紙!$X$2="事前協議","（10月１日～３月31日分）",
IF(表紙!$X$2="交付申請（２次）","（10月１日～３月31日分）",
IF(表紙!$X$2="変更申請","（10月１日～３月31日分）",
IF(表紙!$X$2="実績報告（１次）","（５月８日～10月31日分）",
IF(表紙!$X$2="実績報告（２次）","（10月１日～３月31日分）",
IF(表紙!$X$2="交付申請兼実績報告","（10月１日～３月31日分）"))))))</f>
        <v>（10月１日～３月31日分）</v>
      </c>
      <c r="M1" s="1757"/>
      <c r="N1" s="1757"/>
      <c r="O1" s="1757"/>
      <c r="P1" s="1757"/>
      <c r="Q1" s="1757"/>
      <c r="R1" s="1757"/>
      <c r="AA1" s="35"/>
    </row>
    <row r="2" spans="2:27" s="191" customFormat="1" ht="35.1" customHeight="1">
      <c r="B2" s="1774" t="str">
        <f xml:space="preserve">
IF(表紙!$X$2="事前協議","設備整備基準算出内訳及び対象経費支出予定額内訳",
IF(表紙!$X$2="交付申請（２次）","設備整備基準算出内訳及び対象経費支出予定額内訳",
IF(表紙!$X$2="変更申請","設備整備基準算出内訳及び対象経費支出予定額内訳",
IF(表紙!$X$2="実績報告（１次）","設備整備基準算出内訳及び対象経費実支出額内訳",
IF(表紙!$X$2="実績報告（２次）","設備整備基準算出内訳及び対象経費実支出額内訳",
IF(表紙!$X$2="交付申請兼実績報告","設備整備基準算出内訳及び対象経費実支出額内訳"))))))</f>
        <v>設備整備基準算出内訳及び対象経費支出予定額内訳</v>
      </c>
      <c r="C2" s="1775"/>
      <c r="D2" s="1775"/>
      <c r="E2" s="1775"/>
      <c r="F2" s="1775"/>
      <c r="G2" s="1775"/>
      <c r="H2" s="1775"/>
      <c r="I2" s="1775"/>
      <c r="J2" s="1775"/>
      <c r="K2" s="1775"/>
      <c r="L2" s="1775"/>
      <c r="M2" s="1775"/>
      <c r="N2" s="1775"/>
      <c r="O2" s="1775"/>
      <c r="P2" s="1775"/>
      <c r="Q2" s="1775"/>
      <c r="R2" s="1775"/>
      <c r="AA2" s="192"/>
    </row>
    <row r="3" spans="2:27" ht="9.9499999999999993" customHeight="1">
      <c r="C3" s="35"/>
      <c r="D3" s="35"/>
      <c r="E3" s="35"/>
      <c r="F3" s="35"/>
      <c r="G3" s="35"/>
      <c r="H3" s="35"/>
      <c r="I3" s="35"/>
      <c r="J3" s="35"/>
      <c r="K3" s="35"/>
      <c r="L3" s="35"/>
      <c r="M3" s="35"/>
      <c r="N3" s="35"/>
      <c r="O3" s="35"/>
      <c r="P3" s="35"/>
      <c r="Q3" s="35"/>
      <c r="R3" s="34"/>
      <c r="T3" s="33"/>
      <c r="AA3" s="35"/>
    </row>
    <row r="4" spans="2:27" ht="36" customHeight="1">
      <c r="B4" s="1770" t="s">
        <v>485</v>
      </c>
      <c r="C4" s="1770" t="s">
        <v>486</v>
      </c>
      <c r="D4" s="1773" t="s">
        <v>487</v>
      </c>
      <c r="E4" s="1773" t="s">
        <v>488</v>
      </c>
      <c r="F4" s="1773"/>
      <c r="G4" s="1773"/>
      <c r="H4" s="1773" t="str">
        <f xml:space="preserve">
IF(表紙!$X$2="事前協議","対象経費支出予定額",
IF(表紙!$X$2="交付申請（２次）","対象経費支出予定額",
IF(表紙!$X$2="変更申請","対象経費支出予定額",
IF(表紙!$X$2="実績報告（１次）","対象経費実支出額",
IF(表紙!$X$2="実績報告（２次）","対象経費実支出額",
IF(表紙!$X$2="交付申請兼実績報告","対象経費実支出額"))))))</f>
        <v>対象経費支出予定額</v>
      </c>
      <c r="I4" s="1773"/>
      <c r="J4" s="1773"/>
      <c r="K4" s="1773"/>
      <c r="L4" s="1779" t="str">
        <f xml:space="preserve">
IF(表紙!$X$2="事前協議","事業完了予定日"&amp;CHAR(10)&amp;"（複数の場合は最終納品の予定日）",
IF(表紙!$X$2="交付申請（２次）","事業完了予定日"&amp;CHAR(10)&amp;"（複数の場合は最終納品の予定日）",
IF(表紙!$X$2="変更申請","事業完了予定日"&amp;CHAR(10)&amp;"（複数の場合は最終納品の予定日）",
IF(表紙!$X$2="実績報告（１次）","事業完了日"&amp;CHAR(10)&amp;"（複数の場合は最終納品日）",
IF(表紙!$X$2="実績報告（２次）","事業完了日"&amp;CHAR(10)&amp;"（複数の場合は最終納品日）",
IF(表紙!$X$2="交付申請兼実績報告","事業完了日"&amp;CHAR(10)&amp;"（複数の場合は最終納品日）"))))))</f>
        <v>事業完了予定日
（複数の場合は最終納品の予定日）</v>
      </c>
      <c r="M4" s="1780"/>
      <c r="N4" s="1780"/>
      <c r="O4" s="1780"/>
      <c r="P4" s="1765"/>
      <c r="Q4" s="1765"/>
      <c r="R4" s="1768"/>
      <c r="AA4" s="35"/>
    </row>
    <row r="5" spans="2:27" ht="36" customHeight="1" thickBot="1">
      <c r="B5" s="1770"/>
      <c r="C5" s="1770"/>
      <c r="D5" s="1773"/>
      <c r="E5" s="178" t="s">
        <v>490</v>
      </c>
      <c r="F5" s="178" t="s">
        <v>491</v>
      </c>
      <c r="G5" s="178" t="s">
        <v>492</v>
      </c>
      <c r="H5" s="179" t="s">
        <v>493</v>
      </c>
      <c r="I5" s="178" t="s">
        <v>494</v>
      </c>
      <c r="J5" s="180" t="s">
        <v>495</v>
      </c>
      <c r="K5" s="178" t="s">
        <v>492</v>
      </c>
      <c r="L5" s="1764" t="s">
        <v>79</v>
      </c>
      <c r="M5" s="1765"/>
      <c r="N5" s="1765"/>
      <c r="O5" s="1766" t="s">
        <v>498</v>
      </c>
      <c r="P5" s="1767"/>
      <c r="Q5" s="1765" t="s">
        <v>500</v>
      </c>
      <c r="R5" s="1768"/>
      <c r="T5" s="781">
        <f>IF(COUNTIF($T$7:$T$18,"×")=18,"",MAX($T$7:$T$18))</f>
        <v>0</v>
      </c>
      <c r="U5" s="32" t="s">
        <v>1386</v>
      </c>
      <c r="AA5" s="35"/>
    </row>
    <row r="6" spans="2:27" ht="36" hidden="1" customHeight="1" thickBot="1">
      <c r="B6" s="96"/>
      <c r="C6" s="96"/>
      <c r="D6" s="36"/>
      <c r="E6" s="36"/>
      <c r="F6" s="37" t="s">
        <v>501</v>
      </c>
      <c r="G6" s="37" t="s">
        <v>501</v>
      </c>
      <c r="H6" s="38"/>
      <c r="I6" s="37"/>
      <c r="J6" s="37" t="s">
        <v>501</v>
      </c>
      <c r="K6" s="37" t="s">
        <v>501</v>
      </c>
      <c r="L6" s="37"/>
      <c r="M6" s="37"/>
      <c r="N6" s="37"/>
      <c r="O6" s="37"/>
      <c r="P6" s="37"/>
      <c r="Q6" s="37"/>
      <c r="R6" s="36"/>
      <c r="T6" s="782"/>
      <c r="AA6" s="35"/>
    </row>
    <row r="7" spans="2:27" s="139" customFormat="1" ht="45" customHeight="1">
      <c r="B7" s="1769" t="s">
        <v>502</v>
      </c>
      <c r="C7" s="39" t="s">
        <v>101</v>
      </c>
      <c r="D7" s="40" t="str">
        <f>IF(E7=0,"-","（添付明細のとおり）")</f>
        <v>-</v>
      </c>
      <c r="E7" s="144">
        <f>IF(AND(基礎情報!$AZ$77="○",はじめに入力してください!$K$50&gt;=1,初度設備!$AC$3="◎"),COUNTIF(初度設備!$D$30:$D$74,"設備"),0)</f>
        <v>0</v>
      </c>
      <c r="F7" s="138">
        <f>IF(E7=0,0,133000)</f>
        <v>0</v>
      </c>
      <c r="G7" s="138">
        <f>E7*F7</f>
        <v>0</v>
      </c>
      <c r="H7" s="145" t="str">
        <f>IF(E7=0,"",D7)</f>
        <v/>
      </c>
      <c r="I7" s="154">
        <f t="shared" ref="I7:I16" si="0">IF(E7=0,0,1)</f>
        <v>0</v>
      </c>
      <c r="J7" s="156">
        <f>IF(E7=0,0,初度設備!J3)</f>
        <v>0</v>
      </c>
      <c r="K7" s="156">
        <f>I7*J7</f>
        <v>0</v>
      </c>
      <c r="L7" s="171" t="s">
        <v>78</v>
      </c>
      <c r="M7" s="200" t="str">
        <f xml:space="preserve">
IF(AND(基礎情報!$AZ$77="○",はじめに入力してください!$K$50&gt;=1,初度設備!$AC$3="◎"),
VLOOKUP(MAX(初度設備!$Q$30:$Q$74),初度設備!$Q$30:$T$74,2,FALSE),"")</f>
        <v/>
      </c>
      <c r="N7" s="172" t="s">
        <v>68</v>
      </c>
      <c r="O7" s="200" t="str">
        <f xml:space="preserve">
IF(AND(基礎情報!$AZ$77="○",はじめに入力してください!$K$50&gt;=1,初度設備!$AC$3="◎"),
VLOOKUP(MAX(初度設備!$Q$30:$Q$74),初度設備!$Q$30:$T$74,3,FALSE),"")</f>
        <v/>
      </c>
      <c r="P7" s="132" t="s">
        <v>69</v>
      </c>
      <c r="Q7" s="200" t="str">
        <f xml:space="preserve">
IF(AND(基礎情報!$AZ$77="○",はじめに入力してください!$K$50&gt;=1,初度設備!$AC$3="◎"),
VLOOKUP(MAX(初度設備!$Q$30:$Q$74),初度設備!$Q$30:$T$74,4,FALSE),"")</f>
        <v/>
      </c>
      <c r="R7" s="173" t="s">
        <v>70</v>
      </c>
      <c r="T7" s="781" t="str">
        <f xml:space="preserve">
IF(基礎情報!$AZ$77="×","×",
IF(OR(はじめに入力してください!$K$50=0,はじめに入力してください!$K$50=""),"×",
IF(初度設備!$AC$3="×","×",
IF(初度設備!$AC$3="○","○",
IF(初度設備!$AC$3="◎",DATE(IF(M7=5,2023,IF(M7=6,2024)),O7,Q7))))))</f>
        <v>×</v>
      </c>
      <c r="U7" s="139" t="str">
        <f xml:space="preserve">
IF(基礎情報!$AZ$77="×",
"【要修正】基礎情報シートが入力不十分です。",
IF(OR(はじめに入力してください!$K$50=0,はじめに入力してください!$K$50=""),
"【要修正】はじめに入力してくださいシートの整備対象病床数が未入力です。",
IF(初度設備!$AC$3="×",
"【要修正】品目別の明細シートが入力不十分です。",
IF(初度設備!$AC$3="○",
"申請しない場合は入力不要です。",
IF(初度設備!$AC$3="◎",
"適切に入力がされました。")))))</f>
        <v>【要修正】基礎情報シートが入力不十分です。</v>
      </c>
      <c r="AA7" s="34"/>
    </row>
    <row r="8" spans="2:27" s="139" customFormat="1" ht="45" customHeight="1">
      <c r="B8" s="1759"/>
      <c r="C8" s="121" t="s">
        <v>105</v>
      </c>
      <c r="D8" s="41" t="str">
        <f>IF(K8=0,"‐","（別添明細のとおり）")</f>
        <v>‐</v>
      </c>
      <c r="E8" s="140">
        <f>IF(AND(基礎情報!$AZ$77="○",はじめに入力してください!$K$50&gt;=1,人工呼吸器!$AC$3="◎"),COUNTIF(人工呼吸器!$D$30:$D$74,"設備"),0)</f>
        <v>0</v>
      </c>
      <c r="F8" s="141">
        <f>IFERROR(G8/E8,0)</f>
        <v>0</v>
      </c>
      <c r="G8" s="141">
        <f>IF(E8=0,0,人工呼吸器!J3)</f>
        <v>0</v>
      </c>
      <c r="H8" s="70" t="str">
        <f>IF(E8=0,"-",D8)</f>
        <v>-</v>
      </c>
      <c r="I8" s="155">
        <f t="shared" si="0"/>
        <v>0</v>
      </c>
      <c r="J8" s="147">
        <f>IF(E8=0,0,人工呼吸器!J3)</f>
        <v>0</v>
      </c>
      <c r="K8" s="147">
        <f>I8*J8</f>
        <v>0</v>
      </c>
      <c r="L8" s="133" t="s">
        <v>78</v>
      </c>
      <c r="M8" s="201" t="str">
        <f xml:space="preserve">
IF(AND(基礎情報!$AZ$77="○",はじめに入力してください!$K$50&gt;=1,人工呼吸器!$AC$3="◎"),
VLOOKUP(MAX(人工呼吸器!$Q$30:$Q$74),人工呼吸器!$Q$30:$T$74,2,FALSE),"")</f>
        <v/>
      </c>
      <c r="N8" s="134" t="s">
        <v>68</v>
      </c>
      <c r="O8" s="201" t="str">
        <f xml:space="preserve">
IF(AND(基礎情報!$AZ$77="○",はじめに入力してください!$K$50&gt;=1,人工呼吸器!$AC$3="◎"),
VLOOKUP(MAX(人工呼吸器!$Q$30:$Q$74),人工呼吸器!$Q$30:$T$74,3,FALSE),"")</f>
        <v/>
      </c>
      <c r="P8" s="134" t="s">
        <v>69</v>
      </c>
      <c r="Q8" s="201" t="str">
        <f xml:space="preserve">
IF(AND(基礎情報!$AZ$77="○",はじめに入力してください!$K$50&gt;=1,人工呼吸器!$AC$3="◎"),
VLOOKUP(MAX(人工呼吸器!$Q$30:$Q$74),人工呼吸器!$Q$30:$T$74,4,FALSE),"")</f>
        <v/>
      </c>
      <c r="R8" s="135" t="s">
        <v>70</v>
      </c>
      <c r="T8" s="781" t="str">
        <f xml:space="preserve">
IF(基礎情報!$AZ$77="×","×",
IF(OR(はじめに入力してください!$K$50=0,はじめに入力してください!$K$50=""),"×",
IF(人工呼吸器!$AC$3="×","×",
IF(人工呼吸器!$AC$3="○","○",
IF(人工呼吸器!$AC$3="◎",DATE(IF(M8=5,2023,IF(M8=6,2024)),O8,Q8))))))</f>
        <v>×</v>
      </c>
      <c r="U8" s="139" t="str">
        <f xml:space="preserve">
IF(基礎情報!$AZ$77="×",
"【要修正】基礎情報シートが入力不十分です。",
IF(OR(はじめに入力してください!$K$50=0,はじめに入力してください!$K$50=""),
"【要修正】はじめに入力してくださいシートの整備対象病床数が未入力です。",
IF(人工呼吸器!$AC$3="×",
"【要修正】品目別の明細シートが入力不十分です。",
IF(人工呼吸器!$AC$3="○",
"申請しない場合は入力不要です。",
IF(人工呼吸器!$AC$3="◎",
"適切に入力がされました。")))))</f>
        <v>【要修正】基礎情報シートが入力不十分です。</v>
      </c>
      <c r="AA8" s="34"/>
    </row>
    <row r="9" spans="2:27" s="139" customFormat="1" ht="45" customHeight="1">
      <c r="B9" s="1759"/>
      <c r="C9" s="622" t="s">
        <v>506</v>
      </c>
      <c r="D9" s="41" t="str">
        <f t="shared" ref="D9:D16" si="1">IF(E9=0,"-","（別添明細のとおり）")</f>
        <v>-</v>
      </c>
      <c r="E9" s="626">
        <f xml:space="preserve">
IF(防護具!$AU$118="◎",防護具!C8,0)</f>
        <v>0</v>
      </c>
      <c r="F9" s="146">
        <f>IF(E9=0,0,3600)</f>
        <v>0</v>
      </c>
      <c r="G9" s="146">
        <f>ROUNDDOWN(E9*F9,0)</f>
        <v>0</v>
      </c>
      <c r="H9" s="41" t="str">
        <f t="shared" ref="H9:H16" si="2">IF(E9=0,"-","（別添明細のとおり）")</f>
        <v>-</v>
      </c>
      <c r="I9" s="142">
        <f t="shared" si="0"/>
        <v>0</v>
      </c>
      <c r="J9" s="146">
        <f>IF(E9=0,0,防護具!R2)</f>
        <v>0</v>
      </c>
      <c r="K9" s="146">
        <f t="shared" ref="K9:K16" si="3">ROUNDDOWN(I9*J9,0)</f>
        <v>0</v>
      </c>
      <c r="L9" s="133" t="s">
        <v>78</v>
      </c>
      <c r="M9" s="627" t="str">
        <f xml:space="preserve">
IF(防護具!$AU$118="◎",
VLOOKUP(MAX(防護具!$U$13:$U$212),防護具!$U$13:$X$212,2,FALSE),"")</f>
        <v/>
      </c>
      <c r="N9" s="134" t="s">
        <v>68</v>
      </c>
      <c r="O9" s="201" t="str">
        <f xml:space="preserve">
IF(防護具!$AU$118="◎",
VLOOKUP(MAX(防護具!$U$13:$U$212),防護具!$U$13:$X$212,3,FALSE),"")</f>
        <v/>
      </c>
      <c r="P9" s="134" t="s">
        <v>69</v>
      </c>
      <c r="Q9" s="201" t="str">
        <f xml:space="preserve">
IF(防護具!$AU$118="◎",
VLOOKUP(MAX(防護具!$U$13:$U$212),防護具!$U$13:$X$212,4,FALSE),"")</f>
        <v/>
      </c>
      <c r="R9" s="135" t="s">
        <v>70</v>
      </c>
      <c r="T9" s="781" t="str">
        <f xml:space="preserve">
IF(基礎情報!AZ99="×","×",
IF(AND(基礎情報!AZ99="○",防護具!AT119="×"),"×",
IF(AND(基礎情報!AZ99="○",防護具!AT119="○"),"○",
IF(AND(基礎情報!AZ99="○",防護具!AT119="◎"),DATE(IF(M9=5,2023,IF(M9=6,2024)),O9,Q9)))))</f>
        <v>×</v>
      </c>
      <c r="U9" s="139" t="str">
        <f xml:space="preserve">
IF(基礎情報!AZ77="×","【要修正】基礎情報が入力不十分です。",
IF(AND(基礎情報!AZ99="○",防護具!AT119="×"),"【要修正】個人防護具明細シートが入力不十分です。",
IF(AND(基礎情報!AZ99="○",防護具!AT119="○"),"申請しない場合は入力不要です。",
IF(AND(基礎情報!AZ99="○",防護具!AT119="◎"),"適切に入力がされました。"))))</f>
        <v>【要修正】基礎情報が入力不十分です。</v>
      </c>
      <c r="AA9" s="42"/>
    </row>
    <row r="10" spans="2:27" s="139" customFormat="1" ht="45" customHeight="1">
      <c r="B10" s="1759"/>
      <c r="C10" s="43" t="s">
        <v>507</v>
      </c>
      <c r="D10" s="41" t="str">
        <f t="shared" si="1"/>
        <v>-</v>
      </c>
      <c r="E10" s="143">
        <f>IF(AND(基礎情報!$AZ$77="○",はじめに入力してください!$K$50&gt;=1,簡易陰圧装置!$AC$3="◎"),COUNTIF(簡易陰圧装置!$D$30:$D$74,"設備"),0)</f>
        <v>0</v>
      </c>
      <c r="F10" s="147">
        <f>IF(E10=0,0,4320000)</f>
        <v>0</v>
      </c>
      <c r="G10" s="147">
        <f>E10*F10</f>
        <v>0</v>
      </c>
      <c r="H10" s="45" t="str">
        <f t="shared" si="2"/>
        <v>-</v>
      </c>
      <c r="I10" s="142">
        <f t="shared" si="0"/>
        <v>0</v>
      </c>
      <c r="J10" s="146">
        <f>IF(E10=0,0,簡易陰圧装置!J3)</f>
        <v>0</v>
      </c>
      <c r="K10" s="146">
        <f t="shared" si="3"/>
        <v>0</v>
      </c>
      <c r="L10" s="133" t="s">
        <v>78</v>
      </c>
      <c r="M10" s="201" t="str">
        <f xml:space="preserve">
IF(AND(基礎情報!$AZ$77="○",はじめに入力してください!$K$50&gt;=1,簡易陰圧装置!$AC$3="◎"),
VLOOKUP(MAX(簡易陰圧装置!$Q$30:$Q$74),簡易陰圧装置!$Q$30:$T$74,2,FALSE),"")</f>
        <v/>
      </c>
      <c r="N10" s="134" t="s">
        <v>68</v>
      </c>
      <c r="O10" s="201" t="str">
        <f xml:space="preserve">
IF(AND(基礎情報!$AZ$77="○",はじめに入力してください!$K$50&gt;=1,簡易陰圧装置!$AC$3="◎"),
VLOOKUP(MAX(簡易陰圧装置!$Q$30:$Q$74),簡易陰圧装置!$Q$30:$T$74,3,FALSE),"")</f>
        <v/>
      </c>
      <c r="P10" s="134" t="s">
        <v>69</v>
      </c>
      <c r="Q10" s="201" t="str">
        <f xml:space="preserve">
IF(AND(基礎情報!$AZ$77="○",はじめに入力してください!$K$50&gt;=1,簡易陰圧装置!$AC$3="◎"),
VLOOKUP(MAX(簡易陰圧装置!$Q$30:$Q$74),簡易陰圧装置!$Q$30:$T$74,4,FALSE),"")</f>
        <v/>
      </c>
      <c r="R10" s="135" t="s">
        <v>70</v>
      </c>
      <c r="T10" s="781" t="str">
        <f xml:space="preserve">
IF(基礎情報!$AZ$77="×","×",
IF(OR(はじめに入力してください!$K$50=0,はじめに入力してください!$K$50=""),"×",
IF(簡易陰圧装置!$AC$3="×","×",
IF(簡易陰圧装置!$AC$3="○","○",
IF(簡易陰圧装置!$AC$3="◎",DATE(IF(M10=5,2023,IF(M10=6,2024)),O10,Q10))))))</f>
        <v>×</v>
      </c>
      <c r="U10" s="139" t="str">
        <f xml:space="preserve">
IF(基礎情報!$AZ$77="×",
"【要修正】基礎情報シートが入力不十分です。",
IF(OR(はじめに入力してください!$K$50=0,はじめに入力してください!$K$50=""),
"【要修正】はじめに入力してくださいシートの整備対象病床数が未入力です。",
IF(簡易陰圧装置!$AC$3="×",
"【要修正】品目別の明細シートが入力不十分です。",
IF(簡易陰圧装置!$AC$3="○",
"申請しない場合は入力不要です。",
IF(簡易陰圧装置!$AC$3="◎",
"適切に入力がされました。")))))</f>
        <v>【要修正】基礎情報シートが入力不十分です。</v>
      </c>
      <c r="AA10" s="34"/>
    </row>
    <row r="11" spans="2:27" s="139" customFormat="1" ht="45" customHeight="1">
      <c r="B11" s="1759"/>
      <c r="C11" s="622" t="s">
        <v>1393</v>
      </c>
      <c r="D11" s="41" t="str">
        <f t="shared" si="1"/>
        <v>-</v>
      </c>
      <c r="E11" s="623">
        <f xml:space="preserve">
IF(AND(基礎情報!$AZ$77="○",はじめに入力してください!$K$50&gt;=1,空清機・パーテ・ベッド!$BF$3="◎",空清機・パーテ・ベッド!BG3="◎"),1,0)</f>
        <v>0</v>
      </c>
      <c r="F11" s="147">
        <f>IF(E11=0,0,905000)</f>
        <v>0</v>
      </c>
      <c r="G11" s="147">
        <f>E11*F11</f>
        <v>0</v>
      </c>
      <c r="H11" s="45" t="str">
        <f>IF(E11=0,"-","（別添明細のとおり）")</f>
        <v>-</v>
      </c>
      <c r="I11" s="142">
        <f>IF(E11=0,0,1)</f>
        <v>0</v>
      </c>
      <c r="J11" s="146">
        <f>IF(E11=0,0,空清機・パーテ・ベッド!AG31)</f>
        <v>0</v>
      </c>
      <c r="K11" s="146">
        <f t="shared" si="3"/>
        <v>0</v>
      </c>
      <c r="L11" s="133" t="s">
        <v>78</v>
      </c>
      <c r="M11" s="201" t="str">
        <f xml:space="preserve">
IF(AND(基礎情報!$AZ$77="○",はじめに入力してください!$K$50&gt;=1,空清機・パーテ・ベッド!$BF$3="◎",空清機・パーテ・ベッド!BG3="◎"),空清機・パーテ・ベッド!D17,"")</f>
        <v/>
      </c>
      <c r="N11" s="134" t="s">
        <v>68</v>
      </c>
      <c r="O11" s="201" t="str">
        <f xml:space="preserve">
IF(AND(基礎情報!$AZ$77="○",はじめに入力してください!$K$50&gt;=1,空清機・パーテ・ベッド!$BF$3="◎",空清機・パーテ・ベッド!BG3="◎"),空清機・パーテ・ベッド!G17,"")</f>
        <v/>
      </c>
      <c r="P11" s="134" t="s">
        <v>69</v>
      </c>
      <c r="Q11" s="201" t="str">
        <f xml:space="preserve">
IF(AND(基礎情報!$AZ$77="○",はじめに入力してください!$K$50&gt;=1,空清機・パーテ・ベッド!$BF$3="◎",空清機・パーテ・ベッド!BG3="◎"),空清機・パーテ・ベッド!J17,"")</f>
        <v/>
      </c>
      <c r="R11" s="135" t="s">
        <v>70</v>
      </c>
      <c r="T11" s="783" t="str">
        <f xml:space="preserve">
IF(基礎情報!$AZ$77="×","×",
IF(OR(はじめに入力してください!$K$50=0,はじめに入力してください!$K$50=""),"×",
IF(空清機・パーテ・ベッド!$BF$3="×","×",
IF(空清機・パーテ・ベッド!$BF$3="○","○",
IF(空清機・パーテ・ベッド!BG3="◎",DATE(IF(M11=5,2023,IF(M11=6,2024)),O11,Q11))))))</f>
        <v>×</v>
      </c>
      <c r="U11" s="139" t="str">
        <f xml:space="preserve">
IF(基礎情報!$AZ$77="×","【要修正】基礎情報シートが入力不十分です",
IF(OR(はじめに入力してください!$K$50=0,はじめに入力してください!$K$50=""),"【要修正】はじめに入力してくださいシートの整備対象病床数が０または未入力です。",
IF(空清機・パーテ・ベッド!$BF$3="×","【要修正】「空清機・パーテ・ベッド」が入力不十分です。",
IF(空清機・パーテ・ベッド!$BF$3="○","申請しない場合は入力不要です。",
IF(空清機・パーテ・ベッド!BG3="◎","適切に入力がされました。")))))</f>
        <v>【要修正】基礎情報シートが入力不十分です</v>
      </c>
      <c r="AA11" s="34"/>
    </row>
    <row r="12" spans="2:27" s="139" customFormat="1" ht="45" customHeight="1">
      <c r="B12" s="1759"/>
      <c r="C12" s="622" t="s">
        <v>1394</v>
      </c>
      <c r="D12" s="41" t="str">
        <f t="shared" si="1"/>
        <v>-</v>
      </c>
      <c r="E12" s="624">
        <f xml:space="preserve">
IF(AND(基礎情報!$AZ$77="○",はじめに入力してください!$K$50&gt;=1,空清機・パーテ・ベッド!$BF$3="◎",空清機・パーテ・ベッド!BG4="◎"),空清機・パーテ・ベッド!AE3,0)</f>
        <v>0</v>
      </c>
      <c r="F12" s="147">
        <f>IF(E12=0,0,205000)</f>
        <v>0</v>
      </c>
      <c r="G12" s="147">
        <f>E12*F12</f>
        <v>0</v>
      </c>
      <c r="H12" s="45" t="str">
        <f>IF(E12=0,"-","（別添明細のとおり）")</f>
        <v>-</v>
      </c>
      <c r="I12" s="142">
        <f>IF(E12=0,0,1)</f>
        <v>0</v>
      </c>
      <c r="J12" s="146">
        <f>IF(E12=0,0,空清機・パーテ・ベッド!AG48)</f>
        <v>0</v>
      </c>
      <c r="K12" s="146">
        <f t="shared" si="3"/>
        <v>0</v>
      </c>
      <c r="L12" s="133" t="s">
        <v>78</v>
      </c>
      <c r="M12" s="201" t="str">
        <f xml:space="preserve">
IF(AND(基礎情報!$AZ$77="○",はじめに入力してください!$K$50&gt;=1,空清機・パーテ・ベッド!$BF$3="◎",空清機・パーテ・ベッド!BG4="◎"),空清機・パーテ・ベッド!D39,"")</f>
        <v/>
      </c>
      <c r="N12" s="134" t="s">
        <v>68</v>
      </c>
      <c r="O12" s="201" t="str">
        <f xml:space="preserve">
IF(AND(基礎情報!$AZ$77="○",はじめに入力してください!$K$50&gt;=1,空清機・パーテ・ベッド!$BF$3="◎",空清機・パーテ・ベッド!BG4="◎"),空清機・パーテ・ベッド!G39,"")</f>
        <v/>
      </c>
      <c r="P12" s="134" t="s">
        <v>69</v>
      </c>
      <c r="Q12" s="201" t="str">
        <f xml:space="preserve">
IF(AND(基礎情報!$AZ$77="○",はじめに入力してください!$K$50&gt;=1,空清機・パーテ・ベッド!$BF$3="◎",空清機・パーテ・ベッド!BG4="◎"),空清機・パーテ・ベッド!J39,"")</f>
        <v/>
      </c>
      <c r="R12" s="135" t="s">
        <v>70</v>
      </c>
      <c r="T12" s="783" t="str">
        <f xml:space="preserve">
IF(基礎情報!$AZ$77="×","×",
IF(OR(はじめに入力してください!$K$50=0,はじめに入力してください!$K$50=""),"×",
IF(空清機・パーテ・ベッド!$BF$3="×","×",
IF(空清機・パーテ・ベッド!$BF$3="○","○",
IF(空清機・パーテ・ベッド!BG4="◎",DATE(IF(M12=5,2023,IF(M12=6,2024)),O12,Q12))))))</f>
        <v>×</v>
      </c>
      <c r="U12" s="139" t="str">
        <f xml:space="preserve">
IF(基礎情報!$AZ$77="×","【要修正】基礎情報シートが入力不十分です",
IF(OR(はじめに入力してください!$K$50=0,はじめに入力してください!$K$50=""),"【要修正】はじめに入力してくださいシートの整備対象病床数が０または未入力です。",
IF(空清機・パーテ・ベッド!$BF$3="×","【要修正】「空清機・パーテ・ベッド」が入力不十分です。",
IF(空清機・パーテ・ベッド!$BF$3="○","申請しない場合は入力不要です。",
IF(空清機・パーテ・ベッド!BG4="◎","適切に入力がされました。")))))</f>
        <v>【要修正】基礎情報シートが入力不十分です</v>
      </c>
      <c r="AA12" s="34"/>
    </row>
    <row r="13" spans="2:27" s="139" customFormat="1" ht="45" customHeight="1">
      <c r="B13" s="1759"/>
      <c r="C13" s="622" t="s">
        <v>508</v>
      </c>
      <c r="D13" s="45" t="str">
        <f t="shared" si="1"/>
        <v>-</v>
      </c>
      <c r="E13" s="143">
        <f xml:space="preserve">
IF(AND(基礎情報!$AZ$77="○",はじめに入力してください!$K$50&gt;=1,空清機・パーテ・ベッド!$BF$3="◎",空清機・パーテ・ベッド!BG5="◎"),空清機・パーテ・ベッド!AE4,0)</f>
        <v>0</v>
      </c>
      <c r="F13" s="147">
        <f>IF(E13=0,0,51400)</f>
        <v>0</v>
      </c>
      <c r="G13" s="147">
        <f>E13*F13</f>
        <v>0</v>
      </c>
      <c r="H13" s="45" t="str">
        <f t="shared" si="2"/>
        <v>-</v>
      </c>
      <c r="I13" s="155">
        <f t="shared" si="0"/>
        <v>0</v>
      </c>
      <c r="J13" s="146">
        <f>IF(E13=0,0,空清機・パーテ・ベッド!AG63)</f>
        <v>0</v>
      </c>
      <c r="K13" s="147">
        <f t="shared" si="3"/>
        <v>0</v>
      </c>
      <c r="L13" s="133" t="s">
        <v>78</v>
      </c>
      <c r="M13" s="201" t="str">
        <f xml:space="preserve">
IF(AND(基礎情報!$AZ$77="○",はじめに入力してください!$K$50&gt;=1,空清機・パーテ・ベッド!$BF$3="◎",空清機・パーテ・ベッド!BG5="◎"),空清機・パーテ・ベッド!D55,"")</f>
        <v/>
      </c>
      <c r="N13" s="134" t="s">
        <v>68</v>
      </c>
      <c r="O13" s="201" t="str">
        <f xml:space="preserve">
IF(AND(基礎情報!$AZ$77="○",はじめに入力してください!$K$50&gt;=1,空清機・パーテ・ベッド!$BF$3="◎",空清機・パーテ・ベッド!BG5="◎"),空清機・パーテ・ベッド!G55,"")</f>
        <v/>
      </c>
      <c r="P13" s="134" t="s">
        <v>69</v>
      </c>
      <c r="Q13" s="201" t="str">
        <f xml:space="preserve">
IF(AND(基礎情報!$AZ$77="○",はじめに入力してください!$K$50&gt;=1,空清機・パーテ・ベッド!$BF$3="◎",空清機・パーテ・ベッド!BG5="◎"),空清機・パーテ・ベッド!J55,"")</f>
        <v/>
      </c>
      <c r="R13" s="135" t="s">
        <v>70</v>
      </c>
      <c r="T13" s="783" t="str">
        <f xml:space="preserve">
IF(基礎情報!$AZ$77="×","×",
IF(OR(はじめに入力してください!$K$50=0,はじめに入力してください!$K$50=""),"×",
IF(空清機・パーテ・ベッド!$BF$3="×","×",
IF(空清機・パーテ・ベッド!$BF$3="○","○",
IF(空清機・パーテ・ベッド!BG5="◎",DATE(IF(M13=5,2023,IF(M13=6,2024)),O13,Q13))))))</f>
        <v>×</v>
      </c>
      <c r="U13" s="139" t="str">
        <f xml:space="preserve">
IF(基礎情報!$AZ$77="×","【要修正】基礎情報シートが入力不十分です",
IF(OR(はじめに入力してください!$K$50=0,はじめに入力してください!$K$50=""),"【要修正】はじめに入力してくださいシートの整備対象病床数が０または未入力です。",
IF(空清機・パーテ・ベッド!$BF$3="×","【要修正】「空清機・パーテ・ベッド」が入力不十分です。",
IF(空清機・パーテ・ベッド!$BF$3="○","申請しない場合は入力不要です。",
IF(空清機・パーテ・ベッド!BG5="◎","適切に入力がされました。")))))</f>
        <v>【要修正】基礎情報シートが入力不十分です</v>
      </c>
      <c r="AA13" s="34"/>
    </row>
    <row r="14" spans="2:27" s="139" customFormat="1" ht="45" customHeight="1">
      <c r="B14" s="1759"/>
      <c r="C14" s="121" t="s">
        <v>509</v>
      </c>
      <c r="D14" s="41" t="str">
        <f t="shared" si="1"/>
        <v>-</v>
      </c>
      <c r="E14" s="162">
        <f>IF(AND(基礎情報!$AZ$77="○",はじめに入力してください!$K$50&gt;=1,体外式膜型人工肺!$AC$3="◎"),COUNTIF(簡易陰圧装置!$D$30:$D$74,"設備"),0)</f>
        <v>0</v>
      </c>
      <c r="F14" s="146">
        <f>IFERROR(G14/E14,0)</f>
        <v>0</v>
      </c>
      <c r="G14" s="146">
        <f>IF(E8=0,0,体外式膜型人工肺!J3)</f>
        <v>0</v>
      </c>
      <c r="H14" s="41" t="str">
        <f t="shared" si="2"/>
        <v>-</v>
      </c>
      <c r="I14" s="163">
        <f t="shared" si="0"/>
        <v>0</v>
      </c>
      <c r="J14" s="146">
        <f>IF(E14=0,0,体外式膜型人工肺!J3)</f>
        <v>0</v>
      </c>
      <c r="K14" s="146">
        <f t="shared" si="3"/>
        <v>0</v>
      </c>
      <c r="L14" s="133" t="s">
        <v>78</v>
      </c>
      <c r="M14" s="201" t="str">
        <f xml:space="preserve">
IF(AND(基礎情報!$AZ$77="○",はじめに入力してください!$K$50&gt;=1,体外式膜型人工肺!$AC$3="◎"),
VLOOKUP(MAX(体外式膜型人工肺!$Q$30:$Q$74),体外式膜型人工肺!$Q$30:$T$74,2,FALSE),"")</f>
        <v/>
      </c>
      <c r="N14" s="134" t="s">
        <v>68</v>
      </c>
      <c r="O14" s="201" t="str">
        <f xml:space="preserve">
IF(AND(基礎情報!$AZ$77="○",はじめに入力してください!$K$50&gt;=1,体外式膜型人工肺!$AC$3="◎"),
VLOOKUP(MAX(体外式膜型人工肺!$Q$30:$Q$74),体外式膜型人工肺!$Q$30:$T$74,3,FALSE),"")</f>
        <v/>
      </c>
      <c r="P14" s="134" t="s">
        <v>69</v>
      </c>
      <c r="Q14" s="201" t="str">
        <f xml:space="preserve">
IF(AND(基礎情報!$AZ$77="○",はじめに入力してください!$K$50&gt;=1,体外式膜型人工肺!$AC$3="◎"),
VLOOKUP(MAX(体外式膜型人工肺!$Q$30:$Q$74),体外式膜型人工肺!$Q$30:$T$74,4,FALSE),"")</f>
        <v/>
      </c>
      <c r="R14" s="135" t="s">
        <v>70</v>
      </c>
      <c r="T14" s="781" t="str">
        <f xml:space="preserve">
IF(基礎情報!$AZ$77="×","×",
IF(OR(はじめに入力してください!$K$50=0,はじめに入力してください!$K$50=""),"×",
IF(体外式膜型人工肺!$AC$3="×","×",
IF(体外式膜型人工肺!$AC$3="○","○",
IF(体外式膜型人工肺!$AC$3="◎",DATE(IF(M14=5,2023,IF(M14=6,2024)),O14,Q14))))))</f>
        <v>×</v>
      </c>
      <c r="U14" s="139" t="str">
        <f xml:space="preserve">
IF(基礎情報!$AZ$77="×",
"【要修正】基礎情報シートが入力不十分です。",
IF(OR(はじめに入力してください!$K$50=0,はじめに入力してください!$K$50=""),
"【要修正】はじめに入力してくださいシートの整備対象病床数が未入力です。",
IF(体外式膜型人工肺!$AC$3="×",
"【要修正】品目別の明細シートが入力不十分です。",
IF(体外式膜型人工肺!$AC$3="○",
"申請しない場合は入力不要です。",
IF(体外式膜型人工肺!$AC$3="◎",
"適切に入力がされました。")))))</f>
        <v>【要修正】基礎情報シートが入力不十分です。</v>
      </c>
      <c r="AA14" s="34"/>
    </row>
    <row r="15" spans="2:27" s="139" customFormat="1" ht="45" customHeight="1">
      <c r="B15" s="1760"/>
      <c r="C15" s="43" t="s">
        <v>510</v>
      </c>
      <c r="D15" s="45" t="str">
        <f t="shared" si="1"/>
        <v>-</v>
      </c>
      <c r="E15" s="162">
        <f>IF(AND(基礎情報!$AZ$77="○",はじめに入力してください!$K$50&gt;=1,簡易病室!$AC$3="◎"),COUNTIF(簡易病室!$D$30:$D$74,"設備"),0)</f>
        <v>0</v>
      </c>
      <c r="F15" s="147">
        <f>IF(E15=0,0,簡易病室!J3)</f>
        <v>0</v>
      </c>
      <c r="G15" s="147">
        <f>E15*F15</f>
        <v>0</v>
      </c>
      <c r="H15" s="45" t="str">
        <f t="shared" si="2"/>
        <v>-</v>
      </c>
      <c r="I15" s="155">
        <f t="shared" si="0"/>
        <v>0</v>
      </c>
      <c r="J15" s="147">
        <f>IF(E15=0,0,簡易病室!J3)</f>
        <v>0</v>
      </c>
      <c r="K15" s="147">
        <f t="shared" si="3"/>
        <v>0</v>
      </c>
      <c r="L15" s="133" t="s">
        <v>78</v>
      </c>
      <c r="M15" s="201" t="str">
        <f xml:space="preserve">
IF(AND(基礎情報!$AZ$77="○",はじめに入力してください!$K$50&gt;=1,簡易病室!$AC$3="◎"),
VLOOKUP(MAX(簡易病室!$Q$30:$Q$74),簡易病室!$Q$30:$T$74,2,FALSE),"")</f>
        <v/>
      </c>
      <c r="N15" s="134" t="s">
        <v>68</v>
      </c>
      <c r="O15" s="201" t="str">
        <f xml:space="preserve">
IF(AND(基礎情報!$AZ$77="○",はじめに入力してください!$K$50&gt;=1,簡易病室!$AC$3="◎"),
VLOOKUP(MAX(簡易病室!$Q$30:$Q$74),簡易病室!$Q$30:$T$74,3,FALSE),"")</f>
        <v/>
      </c>
      <c r="P15" s="134" t="s">
        <v>69</v>
      </c>
      <c r="Q15" s="201" t="str">
        <f xml:space="preserve">
IF(AND(基礎情報!$AZ$77="○",はじめに入力してください!$K$50&gt;=1,簡易病室!$AC$3="◎"),
VLOOKUP(MAX(簡易病室!$Q$30:$Q$74),簡易病室!$Q$30:$T$74,4,FALSE),"")</f>
        <v/>
      </c>
      <c r="R15" s="135" t="s">
        <v>70</v>
      </c>
      <c r="T15" s="781" t="str">
        <f xml:space="preserve">
IF(基礎情報!$AZ$77="×","×",
IF(OR(はじめに入力してください!$K$50=0,はじめに入力してください!$K$50=""),"×",
IF(簡易病室!$AC$3="×","×",
IF(簡易病室!$AC$3="○","○",
IF(簡易病室!$AC$3="◎",DATE(IF(M15=5,2023,IF(M15=6,2024)),O15,Q15))))))</f>
        <v>×</v>
      </c>
      <c r="U15" s="139" t="str">
        <f xml:space="preserve">
IF(基礎情報!$AZ$77="×",
"【要修正】基礎情報シートが入力不十分です。",
IF(OR(はじめに入力してください!$K$50=0,はじめに入力してください!$K$50=""),
"【要修正】はじめに入力してくださいシートの整備対象病床数が未入力です。",
IF(簡易病室!$AC$3="×",
"【要修正】品目別の明細シートが入力不十分です。",
IF(簡易病室!$AC$3="○",
"申請しない場合は入力不要です。",
IF(簡易病室!$AC$3="◎",
"適切に入力がされました。")))))</f>
        <v>【要修正】基礎情報シートが入力不十分です。</v>
      </c>
      <c r="AA15" s="34"/>
    </row>
    <row r="16" spans="2:27" s="139" customFormat="1" ht="45" customHeight="1" thickBot="1">
      <c r="B16" s="119" t="s">
        <v>511</v>
      </c>
      <c r="C16" s="120" t="s">
        <v>513</v>
      </c>
      <c r="D16" s="41" t="str">
        <f t="shared" si="1"/>
        <v>-</v>
      </c>
      <c r="E16" s="162">
        <f>IF(AND(基礎情報!$AZ$77="○",はじめに入力してください!$K$50&gt;=1,紫外線照射装置!$AC$3="◎"),COUNTIF(紫外線照射装置!$D$30:$D$74,"設備"),0)</f>
        <v>0</v>
      </c>
      <c r="F16" s="147">
        <f>IF(E16=0,0,4000000)</f>
        <v>0</v>
      </c>
      <c r="G16" s="147">
        <f>E16*F16</f>
        <v>0</v>
      </c>
      <c r="H16" s="45" t="str">
        <f t="shared" si="2"/>
        <v>-</v>
      </c>
      <c r="I16" s="155">
        <f t="shared" si="0"/>
        <v>0</v>
      </c>
      <c r="J16" s="141">
        <f>IF(E16=0,0,紫外線照射装置!J3)</f>
        <v>0</v>
      </c>
      <c r="K16" s="146">
        <f t="shared" si="3"/>
        <v>0</v>
      </c>
      <c r="L16" s="136" t="s">
        <v>78</v>
      </c>
      <c r="M16" s="201" t="str">
        <f xml:space="preserve">
IF(AND(基礎情報!$AZ$77="○",はじめに入力してください!$K$50&gt;=1,紫外線照射装置!$AC$3="◎"),
VLOOKUP(MAX(紫外線照射装置!$Q$30:$Q$74),紫外線照射装置!$Q$30:$T$74,2,FALSE),"")</f>
        <v/>
      </c>
      <c r="N16" s="137" t="s">
        <v>68</v>
      </c>
      <c r="O16" s="201" t="str">
        <f xml:space="preserve">
IF(AND(基礎情報!$AZ$77="○",はじめに入力してください!$K$50&gt;=1,紫外線照射装置!$AC$3="◎"),
VLOOKUP(MAX(紫外線照射装置!$Q$30:$Q$74),紫外線照射装置!$Q$30:$T$74,3,FALSE),"")</f>
        <v/>
      </c>
      <c r="P16" s="134" t="s">
        <v>69</v>
      </c>
      <c r="Q16" s="201" t="str">
        <f xml:space="preserve">
IF(AND(基礎情報!$AZ$77="○",はじめに入力してください!$K$50&gt;=1,紫外線照射装置!$AC$3="◎"),
VLOOKUP(MAX(紫外線照射装置!$Q$30:$Q$74),紫外線照射装置!$Q$30:$T$74,4,FALSE),"")</f>
        <v/>
      </c>
      <c r="R16" s="135" t="s">
        <v>70</v>
      </c>
      <c r="T16" s="781" t="str">
        <f xml:space="preserve">
IF(基礎情報!$AZ$77="×","×",
IF(OR(はじめに入力してください!$K$50=0,はじめに入力してください!$K$50=""),"×",
IF(紫外線照射装置!$AC$3="×","×",
IF(紫外線照射装置!$AC$3="○","○",
IF(紫外線照射装置!$AC$3="◎",DATE(IF(M16=5,2023,IF(M16=6,2024)),O16,Q16))))))</f>
        <v>×</v>
      </c>
      <c r="U16" s="139" t="str">
        <f xml:space="preserve">
IF(基礎情報!$AZ$77="×",
"【要修正】基礎情報シートが入力不十分です。",
IF(OR(はじめに入力してください!$K$50=0,はじめに入力してください!$K$50=""),
"【要修正】はじめに入力してくださいシートの整備対象病床数が未入力です。",
IF(紫外線照射装置!$AC$3="×",
"【要修正】品目別の明細シートが入力不十分です。",
IF(紫外線照射装置!$AC$3="○",
"申請しない場合は入力不要です。",
IF(紫外線照射装置!$AC$3="◎",
"適切に入力がされました。")))))</f>
        <v>【要修正】基礎情報シートが入力不十分です。</v>
      </c>
      <c r="AA16" s="34"/>
    </row>
    <row r="17" spans="2:27" s="139" customFormat="1" ht="45" hidden="1" customHeight="1" thickTop="1" thickBot="1">
      <c r="B17" s="161" t="s">
        <v>514</v>
      </c>
      <c r="C17" s="1753"/>
      <c r="D17" s="1754"/>
      <c r="E17" s="1754"/>
      <c r="F17" s="1772"/>
      <c r="G17" s="157">
        <f>SUM(G7:G16)</f>
        <v>0</v>
      </c>
      <c r="H17" s="1771"/>
      <c r="I17" s="1754"/>
      <c r="J17" s="1772"/>
      <c r="K17" s="157">
        <f>SUM(K7:K16)</f>
        <v>0</v>
      </c>
      <c r="L17" s="1776"/>
      <c r="M17" s="1777"/>
      <c r="N17" s="1777"/>
      <c r="O17" s="1777"/>
      <c r="P17" s="1777"/>
      <c r="Q17" s="1777"/>
      <c r="R17" s="1778"/>
      <c r="T17" s="598"/>
      <c r="AA17" s="174"/>
    </row>
    <row r="18" spans="2:27" s="139" customFormat="1" ht="45" hidden="1" customHeight="1" thickBot="1">
      <c r="B18" s="149" t="str">
        <f xml:space="preserve">
IF(表紙!$X$2="事前協議","－",
IF(表紙!$X$2="交付申請（２次）","－",
IF(表紙!$X$2="変更申請","－",
IF(表紙!$X$2="実績報告（１次）","感染症対策事業",
IF(表紙!$X$2="実績報告（２次）","－",
IF(表紙!$X$2="交付申請兼実績報告","－"))))))</f>
        <v>－</v>
      </c>
      <c r="C18" s="150" t="str">
        <f xml:space="preserve">
IF(表紙!$X$2="事前協議","－",
IF(表紙!$X$2="交付申請（２次）","－",
IF(表紙!$X$2="変更申請","－",
IF(表紙!$X$2="実績報告（１次）","消毒経費",
IF(表紙!$X$2="実績報告（２次）","－",
IF(表紙!$X$2="交付申請兼実績報告","－"))))))</f>
        <v>－</v>
      </c>
      <c r="D18" s="158" t="str">
        <f t="shared" ref="D18:D25" si="4">IF(E18=0,"-","（別添明細のとおり）")</f>
        <v>-</v>
      </c>
      <c r="E18" s="716">
        <f xml:space="preserve">
IF(表紙!$X$2="事前協議",0,
IF(表紙!$X$2="交付申請（２次）",0,
IF(表紙!$X$2="変更申請",0,
IF(AND(基礎情報!$AZ$77="○",表紙!$X$2="実績報告（１次）",基礎情報!$AZ$77="×"),0,
IF(AND(基礎情報!$AZ$77="○",表紙!$X$2="実績報告（１次）",消毒経費!AP119="×"),0,
IF(AND(基礎情報!$AZ$77="○",表紙!$X$2="実績報告（１次）",消毒経費!AP119="○"),0,
IF(AND(基礎情報!$AZ$77="○",表紙!$X$2="実績報告（１次）",消毒経費!AP119="◎"),消毒経費!C6,
IF(表紙!$X$2="実績報告（２次）",0,
IF(表紙!$X$2="交付申請兼実績報告",0)))))))))</f>
        <v>0</v>
      </c>
      <c r="F18" s="160">
        <f>IF(E18=0,0,消毒経費!C7)</f>
        <v>0</v>
      </c>
      <c r="G18" s="160">
        <f t="shared" ref="G18:G25" si="5">E18*F18</f>
        <v>0</v>
      </c>
      <c r="H18" s="158" t="str">
        <f t="shared" ref="H18:H25" si="6">IF(E18=0,"-","（別添明細のとおり）")</f>
        <v>-</v>
      </c>
      <c r="I18" s="159">
        <f>IF(E18=0,0,1)</f>
        <v>0</v>
      </c>
      <c r="J18" s="160">
        <f>IF(E18=0,0,消毒経費!N2)</f>
        <v>0</v>
      </c>
      <c r="K18" s="160">
        <f t="shared" ref="K18:K25" si="7">ROUNDDOWN(I18*J18,0)</f>
        <v>0</v>
      </c>
      <c r="L18" s="151" t="s">
        <v>78</v>
      </c>
      <c r="M18" s="202" t="str">
        <f xml:space="preserve">
IF(基礎情報!AZ15="×","",
IF(表紙!$X$2="事前協議","",
IF(表紙!$X$2="交付申請（２次）","",
IF(表紙!$X$2="変更申請","",
IF(AND(表紙!$X$2="実績報告（１次）",基礎情報!$AZ$77="×"),"",
IF(AND(表紙!$X$2="実績報告（１次）",消毒経費!AP119="×"),"",
IF(AND(表紙!$X$2="実績報告（１次）",消毒経費!AP119="○"),"",
IF(AND(表紙!$X$2="実績報告（１次）",消毒経費!AP119="◎"),VLOOKUP(MAX(消毒経費!$Q$13:$Q$112),消毒経費!$Q$13:$T$112,2,FALSE),
IF(表紙!$X$2="実績報告（２次）","○",
IF(表紙!$X$2="交付申請兼実績報告","○"))))))))))</f>
        <v/>
      </c>
      <c r="N18" s="152" t="s">
        <v>68</v>
      </c>
      <c r="O18" s="202" t="str">
        <f xml:space="preserve">
IF(基礎情報!AZ15="×","",
IF(表紙!$X$2="事前協議","",
IF(表紙!$X$2="交付申請（２次）","",
IF(表紙!$X$2="変更申請","",
IF(AND(表紙!$X$2="実績報告（１次）",基礎情報!$AZ$77="×"),"",
IF(AND(表紙!$X$2="実績報告（１次）",消毒経費!AP119="×"),"",
IF(AND(表紙!$X$2="実績報告（１次）",消毒経費!AP119="○"),"",
IF(AND(表紙!$X$2="実績報告（１次）",消毒経費!AP119="◎"),VLOOKUP(MAX(消毒経費!$Q$13:$Q$112),消毒経費!$Q$13:$T$112,3,FALSE),
IF(表紙!$X$2="実績報告（２次）","○",
IF(表紙!$X$2="交付申請兼実績報告","○"))))))))))</f>
        <v/>
      </c>
      <c r="P18" s="152" t="s">
        <v>1217</v>
      </c>
      <c r="Q18" s="202" t="str">
        <f xml:space="preserve">
IF(基礎情報!AZ15="×","",
IF(表紙!$X$2="事前協議","",
IF(表紙!$X$2="交付申請（２次）","",
IF(表紙!$X$2="変更申請","",
IF(AND(表紙!$X$2="実績報告（１次）",基礎情報!$AZ$77="×"),"",
IF(AND(表紙!$X$2="実績報告（１次）",消毒経費!AP119="×"),"",
IF(AND(表紙!$X$2="実績報告（１次）",消毒経費!AP119="○"),"",
IF(AND(表紙!$X$2="実績報告（１次）",消毒経費!AP119="◎"),VLOOKUP(MAX(消毒経費!$Q$13:$Q$112),消毒経費!$Q$13:$T$112,4,FALSE),
IF(表紙!$X$2="実績報告（２次）","○",
IF(表紙!$X$2="交付申請兼実績報告","○"))))))))))</f>
        <v/>
      </c>
      <c r="R18" s="153" t="s">
        <v>1218</v>
      </c>
      <c r="T18" s="599" t="str">
        <f xml:space="preserve">
IF(基礎情報!AZ15="×","×",
IF(表紙!$X$2="事前協議","○",
IF(表紙!$X$2="交付申請（２次）","○",
IF(表紙!$X$2="変更申請","○",
IF(AND(表紙!$X$2="実績報告（１次）",基礎情報!$AZ$77="×"),"×",
IF(AND(表紙!$X$2="実績報告（１次）",消毒経費!AP119="×"),"×",
IF(AND(表紙!$X$2="実績報告（１次）",消毒経費!AP119="○"),"○",
IF(AND(表紙!$X$2="実績報告（１次）",消毒経費!AP119="◎"),DATE(IF(M18=5,2023,IF(M18=6,2024)),O18,Q18),
IF(表紙!$X$2="実績報告（２次）","○",
IF(表紙!$X$2="交付申請兼実績報告","○"))))))))))</f>
        <v>×</v>
      </c>
      <c r="U18" s="139" t="str">
        <f xml:space="preserve">
IF(基礎情報!AZ15="×","【要修正】基礎情報シートが入力不十分です。",
IF(表紙!$X$2="事前協議","令和５年10月以降は申請できません。",
IF(表紙!$X$2="交付申請（２次）","令和５年10月以降は申請できません。",
IF(表紙!$X$2="変更申請","令和５年10月以降は申請できません。",
IF(AND(表紙!$X$2="実績報告（１次）",基礎情報!$AZ$77="×"),"【要修正】基礎情報シートが入力不十分です。",
IF(AND(表紙!$X$2="実績報告（１次）",消毒経費!AP119="×"),"【要修正】消毒経費シートが入力不十分です。",
IF(AND(表紙!$X$2="実績報告（１次）",消毒経費!AP119="○"),"申請しない場合は入力不要です。",
IF(AND(表紙!$X$2="実績報告（１次）",消毒経費!AP119="◎"),"適切に入力がされました。",
IF(表紙!$X$2="実績報告（２次）","令和５年10月以降は申請できません。",
IF(表紙!$X$2="交付申請兼実績報告","令和５年10月以降は申請できません。"))))))))))</f>
        <v>【要修正】基礎情報シートが入力不十分です。</v>
      </c>
      <c r="V18" s="717"/>
      <c r="AA18" s="34"/>
    </row>
    <row r="19" spans="2:27" s="139" customFormat="1" ht="45" hidden="1" customHeight="1">
      <c r="B19" s="1758" t="str">
        <f>"重点医療機関等"&amp;CHAR(10)&amp;"設備整備事業"</f>
        <v>重点医療機関等
設備整備事業</v>
      </c>
      <c r="C19" s="169" t="s">
        <v>1435</v>
      </c>
      <c r="D19" s="164" t="str">
        <f t="shared" si="4"/>
        <v>-</v>
      </c>
      <c r="E19" s="661">
        <v>0</v>
      </c>
      <c r="F19" s="170">
        <f>IF(E19=0,0,11000000)</f>
        <v>0</v>
      </c>
      <c r="G19" s="170">
        <f t="shared" si="5"/>
        <v>0</v>
      </c>
      <c r="H19" s="164" t="str">
        <f t="shared" si="6"/>
        <v>-</v>
      </c>
      <c r="I19" s="166">
        <f>IF(E19=0,0,1)</f>
        <v>0</v>
      </c>
      <c r="J19" s="170">
        <f>IF(E19=0,0,超音波画像診断装置!J3)</f>
        <v>0</v>
      </c>
      <c r="K19" s="170">
        <f t="shared" si="7"/>
        <v>0</v>
      </c>
      <c r="L19" s="197" t="s">
        <v>505</v>
      </c>
      <c r="M19" s="203"/>
      <c r="N19" s="198" t="s">
        <v>68</v>
      </c>
      <c r="O19" s="203"/>
      <c r="P19" s="198" t="s">
        <v>1217</v>
      </c>
      <c r="Q19" s="203"/>
      <c r="R19" s="199" t="s">
        <v>1218</v>
      </c>
      <c r="T19" s="599"/>
      <c r="AA19" s="34"/>
    </row>
    <row r="20" spans="2:27" s="139" customFormat="1" ht="45" hidden="1" customHeight="1">
      <c r="B20" s="1759"/>
      <c r="C20" s="43" t="s">
        <v>1436</v>
      </c>
      <c r="D20" s="45" t="str">
        <f t="shared" si="4"/>
        <v>-</v>
      </c>
      <c r="E20" s="143">
        <v>0</v>
      </c>
      <c r="F20" s="147">
        <f>IF(E20=0,0,6600000)</f>
        <v>0</v>
      </c>
      <c r="G20" s="147">
        <f t="shared" si="5"/>
        <v>0</v>
      </c>
      <c r="H20" s="45" t="str">
        <f t="shared" si="6"/>
        <v>-</v>
      </c>
      <c r="I20" s="155">
        <f t="shared" ref="I20:I25" si="8">IF(E20=0,0,1)</f>
        <v>0</v>
      </c>
      <c r="J20" s="147">
        <f>IF(E20=0,0,血液浄化装置!J3)</f>
        <v>0</v>
      </c>
      <c r="K20" s="147">
        <f t="shared" si="7"/>
        <v>0</v>
      </c>
      <c r="L20" s="133" t="s">
        <v>505</v>
      </c>
      <c r="M20" s="201"/>
      <c r="N20" s="134" t="s">
        <v>68</v>
      </c>
      <c r="O20" s="201"/>
      <c r="P20" s="134" t="s">
        <v>1217</v>
      </c>
      <c r="Q20" s="201"/>
      <c r="R20" s="135" t="s">
        <v>1218</v>
      </c>
      <c r="T20" s="599"/>
      <c r="AA20" s="34"/>
    </row>
    <row r="21" spans="2:27" s="139" customFormat="1" ht="45" hidden="1" customHeight="1">
      <c r="B21" s="1759"/>
      <c r="C21" s="43" t="s">
        <v>1437</v>
      </c>
      <c r="D21" s="45" t="str">
        <f t="shared" si="4"/>
        <v>-</v>
      </c>
      <c r="E21" s="143">
        <v>0</v>
      </c>
      <c r="F21" s="147">
        <f>IF(E21=0,0,5500000)</f>
        <v>0</v>
      </c>
      <c r="G21" s="147">
        <f t="shared" si="5"/>
        <v>0</v>
      </c>
      <c r="H21" s="45" t="str">
        <f t="shared" si="6"/>
        <v>-</v>
      </c>
      <c r="I21" s="155">
        <f t="shared" si="8"/>
        <v>0</v>
      </c>
      <c r="J21" s="147">
        <f>IF(E21=0,0,気管支鏡!J3)</f>
        <v>0</v>
      </c>
      <c r="K21" s="147">
        <f t="shared" si="7"/>
        <v>0</v>
      </c>
      <c r="L21" s="133" t="s">
        <v>505</v>
      </c>
      <c r="M21" s="201"/>
      <c r="N21" s="134" t="s">
        <v>68</v>
      </c>
      <c r="O21" s="201"/>
      <c r="P21" s="134" t="s">
        <v>1217</v>
      </c>
      <c r="Q21" s="201"/>
      <c r="R21" s="135" t="s">
        <v>1218</v>
      </c>
      <c r="T21" s="599"/>
      <c r="AA21" s="42"/>
    </row>
    <row r="22" spans="2:27" s="139" customFormat="1" ht="45" hidden="1" customHeight="1">
      <c r="B22" s="1759"/>
      <c r="C22" s="43" t="s">
        <v>1438</v>
      </c>
      <c r="D22" s="45" t="str">
        <f t="shared" si="4"/>
        <v>-</v>
      </c>
      <c r="E22" s="143">
        <v>0</v>
      </c>
      <c r="F22" s="147">
        <f>IF(E22=0,0,66000000)</f>
        <v>0</v>
      </c>
      <c r="G22" s="147">
        <f t="shared" si="5"/>
        <v>0</v>
      </c>
      <c r="H22" s="45" t="str">
        <f t="shared" si="6"/>
        <v>-</v>
      </c>
      <c r="I22" s="155">
        <f t="shared" si="8"/>
        <v>0</v>
      </c>
      <c r="J22" s="147">
        <f>IF(E22=0,0,CT撮影装置!J3)</f>
        <v>0</v>
      </c>
      <c r="K22" s="147">
        <f t="shared" si="7"/>
        <v>0</v>
      </c>
      <c r="L22" s="133" t="s">
        <v>505</v>
      </c>
      <c r="M22" s="201"/>
      <c r="N22" s="134" t="s">
        <v>68</v>
      </c>
      <c r="O22" s="201"/>
      <c r="P22" s="134" t="s">
        <v>69</v>
      </c>
      <c r="Q22" s="201"/>
      <c r="R22" s="135" t="s">
        <v>70</v>
      </c>
      <c r="T22" s="599"/>
      <c r="AA22" s="34"/>
    </row>
    <row r="23" spans="2:27" s="139" customFormat="1" ht="45" hidden="1" customHeight="1">
      <c r="B23" s="1759"/>
      <c r="C23" s="43" t="s">
        <v>1439</v>
      </c>
      <c r="D23" s="45" t="str">
        <f t="shared" si="4"/>
        <v>-</v>
      </c>
      <c r="E23" s="143">
        <v>0</v>
      </c>
      <c r="F23" s="147">
        <f>IF(E23=0,0,1100000)</f>
        <v>0</v>
      </c>
      <c r="G23" s="147">
        <f t="shared" si="5"/>
        <v>0</v>
      </c>
      <c r="H23" s="45" t="str">
        <f t="shared" si="6"/>
        <v>-</v>
      </c>
      <c r="I23" s="155">
        <f t="shared" si="8"/>
        <v>0</v>
      </c>
      <c r="J23" s="147">
        <f>IF(E23=0,0,生体情報モニタ!J3)</f>
        <v>0</v>
      </c>
      <c r="K23" s="147">
        <f t="shared" si="7"/>
        <v>0</v>
      </c>
      <c r="L23" s="133" t="s">
        <v>505</v>
      </c>
      <c r="M23" s="201"/>
      <c r="N23" s="134" t="s">
        <v>68</v>
      </c>
      <c r="O23" s="201"/>
      <c r="P23" s="134" t="s">
        <v>69</v>
      </c>
      <c r="Q23" s="201"/>
      <c r="R23" s="135" t="s">
        <v>70</v>
      </c>
      <c r="T23" s="599"/>
      <c r="AA23" s="34"/>
    </row>
    <row r="24" spans="2:27" s="139" customFormat="1" ht="45" hidden="1" customHeight="1">
      <c r="B24" s="1759"/>
      <c r="C24" s="43" t="s">
        <v>1440</v>
      </c>
      <c r="D24" s="45" t="str">
        <f t="shared" si="4"/>
        <v>-</v>
      </c>
      <c r="E24" s="143">
        <v>0</v>
      </c>
      <c r="F24" s="147">
        <f>IF(E24=0,0,2200000)</f>
        <v>0</v>
      </c>
      <c r="G24" s="147">
        <f t="shared" si="5"/>
        <v>0</v>
      </c>
      <c r="H24" s="45" t="str">
        <f t="shared" si="6"/>
        <v>-</v>
      </c>
      <c r="I24" s="155">
        <f t="shared" si="8"/>
        <v>0</v>
      </c>
      <c r="J24" s="147">
        <f>IF(E24=0,0,分娩監視装置!J3)</f>
        <v>0</v>
      </c>
      <c r="K24" s="147">
        <f t="shared" si="7"/>
        <v>0</v>
      </c>
      <c r="L24" s="133" t="s">
        <v>505</v>
      </c>
      <c r="M24" s="201"/>
      <c r="N24" s="134" t="s">
        <v>68</v>
      </c>
      <c r="O24" s="201"/>
      <c r="P24" s="134" t="s">
        <v>69</v>
      </c>
      <c r="Q24" s="201"/>
      <c r="R24" s="135" t="s">
        <v>70</v>
      </c>
      <c r="T24" s="599"/>
      <c r="AA24" s="34"/>
    </row>
    <row r="25" spans="2:27" s="139" customFormat="1" ht="45" hidden="1" customHeight="1" thickBot="1">
      <c r="B25" s="1760"/>
      <c r="C25" s="46" t="s">
        <v>1441</v>
      </c>
      <c r="D25" s="165" t="str">
        <f t="shared" si="4"/>
        <v>-</v>
      </c>
      <c r="E25" s="662">
        <v>0</v>
      </c>
      <c r="F25" s="168">
        <f>IF(E25=0,0,1100000)</f>
        <v>0</v>
      </c>
      <c r="G25" s="168">
        <f t="shared" si="5"/>
        <v>0</v>
      </c>
      <c r="H25" s="165" t="str">
        <f t="shared" si="6"/>
        <v>-</v>
      </c>
      <c r="I25" s="167">
        <f t="shared" si="8"/>
        <v>0</v>
      </c>
      <c r="J25" s="168">
        <f>IF(E25=0,0,新生児モニタ!J3)</f>
        <v>0</v>
      </c>
      <c r="K25" s="168">
        <f t="shared" si="7"/>
        <v>0</v>
      </c>
      <c r="L25" s="133" t="s">
        <v>505</v>
      </c>
      <c r="M25" s="201"/>
      <c r="N25" s="134" t="s">
        <v>68</v>
      </c>
      <c r="O25" s="201"/>
      <c r="P25" s="134" t="s">
        <v>69</v>
      </c>
      <c r="Q25" s="201"/>
      <c r="R25" s="135" t="s">
        <v>70</v>
      </c>
      <c r="T25" s="599"/>
      <c r="AA25" s="34"/>
    </row>
    <row r="26" spans="2:27" s="139" customFormat="1" ht="45" hidden="1" customHeight="1" thickTop="1" thickBot="1">
      <c r="B26" s="181" t="s">
        <v>514</v>
      </c>
      <c r="C26" s="182"/>
      <c r="D26" s="183"/>
      <c r="E26" s="184"/>
      <c r="F26" s="185"/>
      <c r="G26" s="186">
        <f>SUM(G19:G25)</f>
        <v>0</v>
      </c>
      <c r="H26" s="187"/>
      <c r="I26" s="184"/>
      <c r="J26" s="188"/>
      <c r="K26" s="186">
        <f>SUM(K19:K25)</f>
        <v>0</v>
      </c>
      <c r="L26" s="1761"/>
      <c r="M26" s="1762"/>
      <c r="N26" s="1762"/>
      <c r="O26" s="1762"/>
      <c r="P26" s="1762"/>
      <c r="Q26" s="1762"/>
      <c r="R26" s="1763"/>
      <c r="AA26" s="174"/>
    </row>
    <row r="27" spans="2:27" s="139" customFormat="1" ht="45" customHeight="1" thickTop="1" thickBot="1">
      <c r="B27" s="44" t="s">
        <v>1216</v>
      </c>
      <c r="C27" s="189"/>
      <c r="D27" s="177"/>
      <c r="E27" s="177"/>
      <c r="F27" s="177"/>
      <c r="G27" s="190">
        <f>IF(表紙!X2="交付申請兼実績報告",SUM(G17,G18,G26),SUM(G17:G18))</f>
        <v>0</v>
      </c>
      <c r="H27" s="177"/>
      <c r="I27" s="177"/>
      <c r="J27" s="177"/>
      <c r="K27" s="190">
        <f>IF(表紙!X2="交付申請兼実績報告",SUM(K17,K18,K26),SUM(K17:K18))</f>
        <v>0</v>
      </c>
      <c r="L27" s="1753"/>
      <c r="M27" s="1754"/>
      <c r="N27" s="1754"/>
      <c r="O27" s="1754"/>
      <c r="P27" s="1754"/>
      <c r="Q27" s="1754"/>
      <c r="R27" s="1755"/>
    </row>
    <row r="28" spans="2:27" ht="38.1" customHeight="1"/>
    <row r="29" spans="2:27" ht="38.1" customHeight="1"/>
    <row r="30" spans="2:27" ht="38.1" customHeight="1"/>
  </sheetData>
  <sheetProtection formatCells="0" formatColumns="0" formatRows="0"/>
  <mergeCells count="18">
    <mergeCell ref="L17:R17"/>
    <mergeCell ref="L4:R4"/>
    <mergeCell ref="L27:R27"/>
    <mergeCell ref="L1:R1"/>
    <mergeCell ref="B19:B25"/>
    <mergeCell ref="L26:R26"/>
    <mergeCell ref="L5:N5"/>
    <mergeCell ref="O5:P5"/>
    <mergeCell ref="Q5:R5"/>
    <mergeCell ref="B7:B15"/>
    <mergeCell ref="B4:B5"/>
    <mergeCell ref="H17:J17"/>
    <mergeCell ref="C17:F17"/>
    <mergeCell ref="C4:C5"/>
    <mergeCell ref="D4:D5"/>
    <mergeCell ref="E4:G4"/>
    <mergeCell ref="H4:K4"/>
    <mergeCell ref="B2:R2"/>
  </mergeCells>
  <phoneticPr fontId="9"/>
  <conditionalFormatting sqref="E8:E16">
    <cfRule type="expression" dxfId="154" priority="24">
      <formula>E8=""</formula>
    </cfRule>
  </conditionalFormatting>
  <conditionalFormatting sqref="E20:E25">
    <cfRule type="expression" dxfId="153" priority="12">
      <formula>E20=""</formula>
    </cfRule>
  </conditionalFormatting>
  <conditionalFormatting sqref="E18">
    <cfRule type="expression" dxfId="152" priority="1">
      <formula>E18=""</formula>
    </cfRule>
  </conditionalFormatting>
  <dataValidations xWindow="1089" yWindow="465" count="7">
    <dataValidation allowBlank="1" showInputMessage="1" showErrorMessage="1" promptTitle="自動で表示されます。" prompt="当該欄は、左の黄色の欄「数量」及び「単価」を入力すると自動計算で表示されます。" sqref="K17 K7:K8" xr:uid="{00000000-0002-0000-0B00-000001000000}"/>
    <dataValidation allowBlank="1" showInputMessage="1" showErrorMessage="1" promptTitle="自動で表示されます。" prompt="当該欄は、左の黄色の欄「型番」に入力された名称が自動で表示されます。" sqref="H7:H8 H10:H25" xr:uid="{00000000-0002-0000-0B00-000002000000}"/>
    <dataValidation allowBlank="1" showInputMessage="1" showErrorMessage="1" promptTitle="自動で表示されます。" prompt="当該欄は、右の「対象経費支出予定額」の黄色の欄「数量」及び「単価」を入力すると自動計算で表示されます。" sqref="E7:G8 E9 G22:G25 E18:F25 G10:G20 E10:F16" xr:uid="{00000000-0002-0000-0B00-000003000000}"/>
    <dataValidation allowBlank="1" showInputMessage="1" showErrorMessage="1" promptTitle="【１施設１台まで補助】型番を入力" prompt="購入する空気清浄機の型番を入力してください。" sqref="D7" xr:uid="{00000000-0002-0000-0B00-000006000000}"/>
    <dataValidation allowBlank="1" showInputMessage="1" showErrorMessage="1" promptTitle="数量を入力" prompt="購入（またはリース）の数量を入力してください。" sqref="I18:I25 I7:I16" xr:uid="{00000000-0002-0000-0B00-000007000000}"/>
    <dataValidation allowBlank="1" showInputMessage="1" showErrorMessage="1" promptTitle="税込金額を入力" prompt="数量１あたりの税込金額を入力してください。" sqref="J7:J8 J14 J16" xr:uid="{00000000-0002-0000-0B00-000008000000}"/>
    <dataValidation allowBlank="1" showInputMessage="1" showErrorMessage="1" promptTitle="事業完了予定の年月日を入力" prompt="事業完了の予定日（それぞれの品目毎での最終納品の日付）を入力してください。" sqref="Q7:Q25 O7:O25 M7:M25" xr:uid="{D7F558C4-EE8F-49D2-B5F6-99FA6F880C76}"/>
  </dataValidations>
  <printOptions horizontalCentered="1"/>
  <pageMargins left="0.59055118110236227" right="0.39370078740157483" top="0.59055118110236227" bottom="0.39370078740157483" header="0.31496062992125984" footer="0.31496062992125984"/>
  <pageSetup paperSize="9" scale="5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B1:AG45"/>
  <sheetViews>
    <sheetView showGridLines="0" view="pageBreakPreview" zoomScale="60" zoomScaleNormal="100" workbookViewId="0">
      <selection activeCell="P6" sqref="P6:AB7"/>
    </sheetView>
  </sheetViews>
  <sheetFormatPr defaultRowHeight="18"/>
  <cols>
    <col min="1" max="1" width="1.625" style="344" customWidth="1"/>
    <col min="2" max="2" width="12.5" style="344" customWidth="1"/>
    <col min="3" max="5" width="10.625" style="344" customWidth="1"/>
    <col min="6" max="8" width="12.625" style="344" customWidth="1"/>
    <col min="9" max="9" width="1.625" style="344" customWidth="1"/>
    <col min="10" max="10" width="11.625" style="344" bestFit="1" customWidth="1"/>
    <col min="11" max="257" width="9" style="344"/>
    <col min="258" max="258" width="12.5" style="344" customWidth="1"/>
    <col min="259" max="261" width="10.625" style="344" customWidth="1"/>
    <col min="262" max="264" width="12.625" style="344" customWidth="1"/>
    <col min="265" max="265" width="9" style="344"/>
    <col min="266" max="266" width="11.625" style="344" bestFit="1" customWidth="1"/>
    <col min="267" max="513" width="9" style="344"/>
    <col min="514" max="514" width="12.5" style="344" customWidth="1"/>
    <col min="515" max="517" width="10.625" style="344" customWidth="1"/>
    <col min="518" max="520" width="12.625" style="344" customWidth="1"/>
    <col min="521" max="521" width="9" style="344"/>
    <col min="522" max="522" width="11.625" style="344" bestFit="1" customWidth="1"/>
    <col min="523" max="769" width="9" style="344"/>
    <col min="770" max="770" width="12.5" style="344" customWidth="1"/>
    <col min="771" max="773" width="10.625" style="344" customWidth="1"/>
    <col min="774" max="776" width="12.625" style="344" customWidth="1"/>
    <col min="777" max="777" width="9" style="344"/>
    <col min="778" max="778" width="11.625" style="344" bestFit="1" customWidth="1"/>
    <col min="779" max="1025" width="9" style="344"/>
    <col min="1026" max="1026" width="12.5" style="344" customWidth="1"/>
    <col min="1027" max="1029" width="10.625" style="344" customWidth="1"/>
    <col min="1030" max="1032" width="12.625" style="344" customWidth="1"/>
    <col min="1033" max="1033" width="9" style="344"/>
    <col min="1034" max="1034" width="11.625" style="344" bestFit="1" customWidth="1"/>
    <col min="1035" max="1281" width="9" style="344"/>
    <col min="1282" max="1282" width="12.5" style="344" customWidth="1"/>
    <col min="1283" max="1285" width="10.625" style="344" customWidth="1"/>
    <col min="1286" max="1288" width="12.625" style="344" customWidth="1"/>
    <col min="1289" max="1289" width="9" style="344"/>
    <col min="1290" max="1290" width="11.625" style="344" bestFit="1" customWidth="1"/>
    <col min="1291" max="1537" width="9" style="344"/>
    <col min="1538" max="1538" width="12.5" style="344" customWidth="1"/>
    <col min="1539" max="1541" width="10.625" style="344" customWidth="1"/>
    <col min="1542" max="1544" width="12.625" style="344" customWidth="1"/>
    <col min="1545" max="1545" width="9" style="344"/>
    <col min="1546" max="1546" width="11.625" style="344" bestFit="1" customWidth="1"/>
    <col min="1547" max="1793" width="9" style="344"/>
    <col min="1794" max="1794" width="12.5" style="344" customWidth="1"/>
    <col min="1795" max="1797" width="10.625" style="344" customWidth="1"/>
    <col min="1798" max="1800" width="12.625" style="344" customWidth="1"/>
    <col min="1801" max="1801" width="9" style="344"/>
    <col min="1802" max="1802" width="11.625" style="344" bestFit="1" customWidth="1"/>
    <col min="1803" max="2049" width="9" style="344"/>
    <col min="2050" max="2050" width="12.5" style="344" customWidth="1"/>
    <col min="2051" max="2053" width="10.625" style="344" customWidth="1"/>
    <col min="2054" max="2056" width="12.625" style="344" customWidth="1"/>
    <col min="2057" max="2057" width="9" style="344"/>
    <col min="2058" max="2058" width="11.625" style="344" bestFit="1" customWidth="1"/>
    <col min="2059" max="2305" width="9" style="344"/>
    <col min="2306" max="2306" width="12.5" style="344" customWidth="1"/>
    <col min="2307" max="2309" width="10.625" style="344" customWidth="1"/>
    <col min="2310" max="2312" width="12.625" style="344" customWidth="1"/>
    <col min="2313" max="2313" width="9" style="344"/>
    <col min="2314" max="2314" width="11.625" style="344" bestFit="1" customWidth="1"/>
    <col min="2315" max="2561" width="9" style="344"/>
    <col min="2562" max="2562" width="12.5" style="344" customWidth="1"/>
    <col min="2563" max="2565" width="10.625" style="344" customWidth="1"/>
    <col min="2566" max="2568" width="12.625" style="344" customWidth="1"/>
    <col min="2569" max="2569" width="9" style="344"/>
    <col min="2570" max="2570" width="11.625" style="344" bestFit="1" customWidth="1"/>
    <col min="2571" max="2817" width="9" style="344"/>
    <col min="2818" max="2818" width="12.5" style="344" customWidth="1"/>
    <col min="2819" max="2821" width="10.625" style="344" customWidth="1"/>
    <col min="2822" max="2824" width="12.625" style="344" customWidth="1"/>
    <col min="2825" max="2825" width="9" style="344"/>
    <col min="2826" max="2826" width="11.625" style="344" bestFit="1" customWidth="1"/>
    <col min="2827" max="3073" width="9" style="344"/>
    <col min="3074" max="3074" width="12.5" style="344" customWidth="1"/>
    <col min="3075" max="3077" width="10.625" style="344" customWidth="1"/>
    <col min="3078" max="3080" width="12.625" style="344" customWidth="1"/>
    <col min="3081" max="3081" width="9" style="344"/>
    <col min="3082" max="3082" width="11.625" style="344" bestFit="1" customWidth="1"/>
    <col min="3083" max="3329" width="9" style="344"/>
    <col min="3330" max="3330" width="12.5" style="344" customWidth="1"/>
    <col min="3331" max="3333" width="10.625" style="344" customWidth="1"/>
    <col min="3334" max="3336" width="12.625" style="344" customWidth="1"/>
    <col min="3337" max="3337" width="9" style="344"/>
    <col min="3338" max="3338" width="11.625" style="344" bestFit="1" customWidth="1"/>
    <col min="3339" max="3585" width="9" style="344"/>
    <col min="3586" max="3586" width="12.5" style="344" customWidth="1"/>
    <col min="3587" max="3589" width="10.625" style="344" customWidth="1"/>
    <col min="3590" max="3592" width="12.625" style="344" customWidth="1"/>
    <col min="3593" max="3593" width="9" style="344"/>
    <col min="3594" max="3594" width="11.625" style="344" bestFit="1" customWidth="1"/>
    <col min="3595" max="3841" width="9" style="344"/>
    <col min="3842" max="3842" width="12.5" style="344" customWidth="1"/>
    <col min="3843" max="3845" width="10.625" style="344" customWidth="1"/>
    <col min="3846" max="3848" width="12.625" style="344" customWidth="1"/>
    <col min="3849" max="3849" width="9" style="344"/>
    <col min="3850" max="3850" width="11.625" style="344" bestFit="1" customWidth="1"/>
    <col min="3851" max="4097" width="9" style="344"/>
    <col min="4098" max="4098" width="12.5" style="344" customWidth="1"/>
    <col min="4099" max="4101" width="10.625" style="344" customWidth="1"/>
    <col min="4102" max="4104" width="12.625" style="344" customWidth="1"/>
    <col min="4105" max="4105" width="9" style="344"/>
    <col min="4106" max="4106" width="11.625" style="344" bestFit="1" customWidth="1"/>
    <col min="4107" max="4353" width="9" style="344"/>
    <col min="4354" max="4354" width="12.5" style="344" customWidth="1"/>
    <col min="4355" max="4357" width="10.625" style="344" customWidth="1"/>
    <col min="4358" max="4360" width="12.625" style="344" customWidth="1"/>
    <col min="4361" max="4361" width="9" style="344"/>
    <col min="4362" max="4362" width="11.625" style="344" bestFit="1" customWidth="1"/>
    <col min="4363" max="4609" width="9" style="344"/>
    <col min="4610" max="4610" width="12.5" style="344" customWidth="1"/>
    <col min="4611" max="4613" width="10.625" style="344" customWidth="1"/>
    <col min="4614" max="4616" width="12.625" style="344" customWidth="1"/>
    <col min="4617" max="4617" width="9" style="344"/>
    <col min="4618" max="4618" width="11.625" style="344" bestFit="1" customWidth="1"/>
    <col min="4619" max="4865" width="9" style="344"/>
    <col min="4866" max="4866" width="12.5" style="344" customWidth="1"/>
    <col min="4867" max="4869" width="10.625" style="344" customWidth="1"/>
    <col min="4870" max="4872" width="12.625" style="344" customWidth="1"/>
    <col min="4873" max="4873" width="9" style="344"/>
    <col min="4874" max="4874" width="11.625" style="344" bestFit="1" customWidth="1"/>
    <col min="4875" max="5121" width="9" style="344"/>
    <col min="5122" max="5122" width="12.5" style="344" customWidth="1"/>
    <col min="5123" max="5125" width="10.625" style="344" customWidth="1"/>
    <col min="5126" max="5128" width="12.625" style="344" customWidth="1"/>
    <col min="5129" max="5129" width="9" style="344"/>
    <col min="5130" max="5130" width="11.625" style="344" bestFit="1" customWidth="1"/>
    <col min="5131" max="5377" width="9" style="344"/>
    <col min="5378" max="5378" width="12.5" style="344" customWidth="1"/>
    <col min="5379" max="5381" width="10.625" style="344" customWidth="1"/>
    <col min="5382" max="5384" width="12.625" style="344" customWidth="1"/>
    <col min="5385" max="5385" width="9" style="344"/>
    <col min="5386" max="5386" width="11.625" style="344" bestFit="1" customWidth="1"/>
    <col min="5387" max="5633" width="9" style="344"/>
    <col min="5634" max="5634" width="12.5" style="344" customWidth="1"/>
    <col min="5635" max="5637" width="10.625" style="344" customWidth="1"/>
    <col min="5638" max="5640" width="12.625" style="344" customWidth="1"/>
    <col min="5641" max="5641" width="9" style="344"/>
    <col min="5642" max="5642" width="11.625" style="344" bestFit="1" customWidth="1"/>
    <col min="5643" max="5889" width="9" style="344"/>
    <col min="5890" max="5890" width="12.5" style="344" customWidth="1"/>
    <col min="5891" max="5893" width="10.625" style="344" customWidth="1"/>
    <col min="5894" max="5896" width="12.625" style="344" customWidth="1"/>
    <col min="5897" max="5897" width="9" style="344"/>
    <col min="5898" max="5898" width="11.625" style="344" bestFit="1" customWidth="1"/>
    <col min="5899" max="6145" width="9" style="344"/>
    <col min="6146" max="6146" width="12.5" style="344" customWidth="1"/>
    <col min="6147" max="6149" width="10.625" style="344" customWidth="1"/>
    <col min="6150" max="6152" width="12.625" style="344" customWidth="1"/>
    <col min="6153" max="6153" width="9" style="344"/>
    <col min="6154" max="6154" width="11.625" style="344" bestFit="1" customWidth="1"/>
    <col min="6155" max="6401" width="9" style="344"/>
    <col min="6402" max="6402" width="12.5" style="344" customWidth="1"/>
    <col min="6403" max="6405" width="10.625" style="344" customWidth="1"/>
    <col min="6406" max="6408" width="12.625" style="344" customWidth="1"/>
    <col min="6409" max="6409" width="9" style="344"/>
    <col min="6410" max="6410" width="11.625" style="344" bestFit="1" customWidth="1"/>
    <col min="6411" max="6657" width="9" style="344"/>
    <col min="6658" max="6658" width="12.5" style="344" customWidth="1"/>
    <col min="6659" max="6661" width="10.625" style="344" customWidth="1"/>
    <col min="6662" max="6664" width="12.625" style="344" customWidth="1"/>
    <col min="6665" max="6665" width="9" style="344"/>
    <col min="6666" max="6666" width="11.625" style="344" bestFit="1" customWidth="1"/>
    <col min="6667" max="6913" width="9" style="344"/>
    <col min="6914" max="6914" width="12.5" style="344" customWidth="1"/>
    <col min="6915" max="6917" width="10.625" style="344" customWidth="1"/>
    <col min="6918" max="6920" width="12.625" style="344" customWidth="1"/>
    <col min="6921" max="6921" width="9" style="344"/>
    <col min="6922" max="6922" width="11.625" style="344" bestFit="1" customWidth="1"/>
    <col min="6923" max="7169" width="9" style="344"/>
    <col min="7170" max="7170" width="12.5" style="344" customWidth="1"/>
    <col min="7171" max="7173" width="10.625" style="344" customWidth="1"/>
    <col min="7174" max="7176" width="12.625" style="344" customWidth="1"/>
    <col min="7177" max="7177" width="9" style="344"/>
    <col min="7178" max="7178" width="11.625" style="344" bestFit="1" customWidth="1"/>
    <col min="7179" max="7425" width="9" style="344"/>
    <col min="7426" max="7426" width="12.5" style="344" customWidth="1"/>
    <col min="7427" max="7429" width="10.625" style="344" customWidth="1"/>
    <col min="7430" max="7432" width="12.625" style="344" customWidth="1"/>
    <col min="7433" max="7433" width="9" style="344"/>
    <col min="7434" max="7434" width="11.625" style="344" bestFit="1" customWidth="1"/>
    <col min="7435" max="7681" width="9" style="344"/>
    <col min="7682" max="7682" width="12.5" style="344" customWidth="1"/>
    <col min="7683" max="7685" width="10.625" style="344" customWidth="1"/>
    <col min="7686" max="7688" width="12.625" style="344" customWidth="1"/>
    <col min="7689" max="7689" width="9" style="344"/>
    <col min="7690" max="7690" width="11.625" style="344" bestFit="1" customWidth="1"/>
    <col min="7691" max="7937" width="9" style="344"/>
    <col min="7938" max="7938" width="12.5" style="344" customWidth="1"/>
    <col min="7939" max="7941" width="10.625" style="344" customWidth="1"/>
    <col min="7942" max="7944" width="12.625" style="344" customWidth="1"/>
    <col min="7945" max="7945" width="9" style="344"/>
    <col min="7946" max="7946" width="11.625" style="344" bestFit="1" customWidth="1"/>
    <col min="7947" max="8193" width="9" style="344"/>
    <col min="8194" max="8194" width="12.5" style="344" customWidth="1"/>
    <col min="8195" max="8197" width="10.625" style="344" customWidth="1"/>
    <col min="8198" max="8200" width="12.625" style="344" customWidth="1"/>
    <col min="8201" max="8201" width="9" style="344"/>
    <col min="8202" max="8202" width="11.625" style="344" bestFit="1" customWidth="1"/>
    <col min="8203" max="8449" width="9" style="344"/>
    <col min="8450" max="8450" width="12.5" style="344" customWidth="1"/>
    <col min="8451" max="8453" width="10.625" style="344" customWidth="1"/>
    <col min="8454" max="8456" width="12.625" style="344" customWidth="1"/>
    <col min="8457" max="8457" width="9" style="344"/>
    <col min="8458" max="8458" width="11.625" style="344" bestFit="1" customWidth="1"/>
    <col min="8459" max="8705" width="9" style="344"/>
    <col min="8706" max="8706" width="12.5" style="344" customWidth="1"/>
    <col min="8707" max="8709" width="10.625" style="344" customWidth="1"/>
    <col min="8710" max="8712" width="12.625" style="344" customWidth="1"/>
    <col min="8713" max="8713" width="9" style="344"/>
    <col min="8714" max="8714" width="11.625" style="344" bestFit="1" customWidth="1"/>
    <col min="8715" max="8961" width="9" style="344"/>
    <col min="8962" max="8962" width="12.5" style="344" customWidth="1"/>
    <col min="8963" max="8965" width="10.625" style="344" customWidth="1"/>
    <col min="8966" max="8968" width="12.625" style="344" customWidth="1"/>
    <col min="8969" max="8969" width="9" style="344"/>
    <col min="8970" max="8970" width="11.625" style="344" bestFit="1" customWidth="1"/>
    <col min="8971" max="9217" width="9" style="344"/>
    <col min="9218" max="9218" width="12.5" style="344" customWidth="1"/>
    <col min="9219" max="9221" width="10.625" style="344" customWidth="1"/>
    <col min="9222" max="9224" width="12.625" style="344" customWidth="1"/>
    <col min="9225" max="9225" width="9" style="344"/>
    <col min="9226" max="9226" width="11.625" style="344" bestFit="1" customWidth="1"/>
    <col min="9227" max="9473" width="9" style="344"/>
    <col min="9474" max="9474" width="12.5" style="344" customWidth="1"/>
    <col min="9475" max="9477" width="10.625" style="344" customWidth="1"/>
    <col min="9478" max="9480" width="12.625" style="344" customWidth="1"/>
    <col min="9481" max="9481" width="9" style="344"/>
    <col min="9482" max="9482" width="11.625" style="344" bestFit="1" customWidth="1"/>
    <col min="9483" max="9729" width="9" style="344"/>
    <col min="9730" max="9730" width="12.5" style="344" customWidth="1"/>
    <col min="9731" max="9733" width="10.625" style="344" customWidth="1"/>
    <col min="9734" max="9736" width="12.625" style="344" customWidth="1"/>
    <col min="9737" max="9737" width="9" style="344"/>
    <col min="9738" max="9738" width="11.625" style="344" bestFit="1" customWidth="1"/>
    <col min="9739" max="9985" width="9" style="344"/>
    <col min="9986" max="9986" width="12.5" style="344" customWidth="1"/>
    <col min="9987" max="9989" width="10.625" style="344" customWidth="1"/>
    <col min="9990" max="9992" width="12.625" style="344" customWidth="1"/>
    <col min="9993" max="9993" width="9" style="344"/>
    <col min="9994" max="9994" width="11.625" style="344" bestFit="1" customWidth="1"/>
    <col min="9995" max="10241" width="9" style="344"/>
    <col min="10242" max="10242" width="12.5" style="344" customWidth="1"/>
    <col min="10243" max="10245" width="10.625" style="344" customWidth="1"/>
    <col min="10246" max="10248" width="12.625" style="344" customWidth="1"/>
    <col min="10249" max="10249" width="9" style="344"/>
    <col min="10250" max="10250" width="11.625" style="344" bestFit="1" customWidth="1"/>
    <col min="10251" max="10497" width="9" style="344"/>
    <col min="10498" max="10498" width="12.5" style="344" customWidth="1"/>
    <col min="10499" max="10501" width="10.625" style="344" customWidth="1"/>
    <col min="10502" max="10504" width="12.625" style="344" customWidth="1"/>
    <col min="10505" max="10505" width="9" style="344"/>
    <col min="10506" max="10506" width="11.625" style="344" bestFit="1" customWidth="1"/>
    <col min="10507" max="10753" width="9" style="344"/>
    <col min="10754" max="10754" width="12.5" style="344" customWidth="1"/>
    <col min="10755" max="10757" width="10.625" style="344" customWidth="1"/>
    <col min="10758" max="10760" width="12.625" style="344" customWidth="1"/>
    <col min="10761" max="10761" width="9" style="344"/>
    <col min="10762" max="10762" width="11.625" style="344" bestFit="1" customWidth="1"/>
    <col min="10763" max="11009" width="9" style="344"/>
    <col min="11010" max="11010" width="12.5" style="344" customWidth="1"/>
    <col min="11011" max="11013" width="10.625" style="344" customWidth="1"/>
    <col min="11014" max="11016" width="12.625" style="344" customWidth="1"/>
    <col min="11017" max="11017" width="9" style="344"/>
    <col min="11018" max="11018" width="11.625" style="344" bestFit="1" customWidth="1"/>
    <col min="11019" max="11265" width="9" style="344"/>
    <col min="11266" max="11266" width="12.5" style="344" customWidth="1"/>
    <col min="11267" max="11269" width="10.625" style="344" customWidth="1"/>
    <col min="11270" max="11272" width="12.625" style="344" customWidth="1"/>
    <col min="11273" max="11273" width="9" style="344"/>
    <col min="11274" max="11274" width="11.625" style="344" bestFit="1" customWidth="1"/>
    <col min="11275" max="11521" width="9" style="344"/>
    <col min="11522" max="11522" width="12.5" style="344" customWidth="1"/>
    <col min="11523" max="11525" width="10.625" style="344" customWidth="1"/>
    <col min="11526" max="11528" width="12.625" style="344" customWidth="1"/>
    <col min="11529" max="11529" width="9" style="344"/>
    <col min="11530" max="11530" width="11.625" style="344" bestFit="1" customWidth="1"/>
    <col min="11531" max="11777" width="9" style="344"/>
    <col min="11778" max="11778" width="12.5" style="344" customWidth="1"/>
    <col min="11779" max="11781" width="10.625" style="344" customWidth="1"/>
    <col min="11782" max="11784" width="12.625" style="344" customWidth="1"/>
    <col min="11785" max="11785" width="9" style="344"/>
    <col min="11786" max="11786" width="11.625" style="344" bestFit="1" customWidth="1"/>
    <col min="11787" max="12033" width="9" style="344"/>
    <col min="12034" max="12034" width="12.5" style="344" customWidth="1"/>
    <col min="12035" max="12037" width="10.625" style="344" customWidth="1"/>
    <col min="12038" max="12040" width="12.625" style="344" customWidth="1"/>
    <col min="12041" max="12041" width="9" style="344"/>
    <col min="12042" max="12042" width="11.625" style="344" bestFit="1" customWidth="1"/>
    <col min="12043" max="12289" width="9" style="344"/>
    <col min="12290" max="12290" width="12.5" style="344" customWidth="1"/>
    <col min="12291" max="12293" width="10.625" style="344" customWidth="1"/>
    <col min="12294" max="12296" width="12.625" style="344" customWidth="1"/>
    <col min="12297" max="12297" width="9" style="344"/>
    <col min="12298" max="12298" width="11.625" style="344" bestFit="1" customWidth="1"/>
    <col min="12299" max="12545" width="9" style="344"/>
    <col min="12546" max="12546" width="12.5" style="344" customWidth="1"/>
    <col min="12547" max="12549" width="10.625" style="344" customWidth="1"/>
    <col min="12550" max="12552" width="12.625" style="344" customWidth="1"/>
    <col min="12553" max="12553" width="9" style="344"/>
    <col min="12554" max="12554" width="11.625" style="344" bestFit="1" customWidth="1"/>
    <col min="12555" max="12801" width="9" style="344"/>
    <col min="12802" max="12802" width="12.5" style="344" customWidth="1"/>
    <col min="12803" max="12805" width="10.625" style="344" customWidth="1"/>
    <col min="12806" max="12808" width="12.625" style="344" customWidth="1"/>
    <col min="12809" max="12809" width="9" style="344"/>
    <col min="12810" max="12810" width="11.625" style="344" bestFit="1" customWidth="1"/>
    <col min="12811" max="13057" width="9" style="344"/>
    <col min="13058" max="13058" width="12.5" style="344" customWidth="1"/>
    <col min="13059" max="13061" width="10.625" style="344" customWidth="1"/>
    <col min="13062" max="13064" width="12.625" style="344" customWidth="1"/>
    <col min="13065" max="13065" width="9" style="344"/>
    <col min="13066" max="13066" width="11.625" style="344" bestFit="1" customWidth="1"/>
    <col min="13067" max="13313" width="9" style="344"/>
    <col min="13314" max="13314" width="12.5" style="344" customWidth="1"/>
    <col min="13315" max="13317" width="10.625" style="344" customWidth="1"/>
    <col min="13318" max="13320" width="12.625" style="344" customWidth="1"/>
    <col min="13321" max="13321" width="9" style="344"/>
    <col min="13322" max="13322" width="11.625" style="344" bestFit="1" customWidth="1"/>
    <col min="13323" max="13569" width="9" style="344"/>
    <col min="13570" max="13570" width="12.5" style="344" customWidth="1"/>
    <col min="13571" max="13573" width="10.625" style="344" customWidth="1"/>
    <col min="13574" max="13576" width="12.625" style="344" customWidth="1"/>
    <col min="13577" max="13577" width="9" style="344"/>
    <col min="13578" max="13578" width="11.625" style="344" bestFit="1" customWidth="1"/>
    <col min="13579" max="13825" width="9" style="344"/>
    <col min="13826" max="13826" width="12.5" style="344" customWidth="1"/>
    <col min="13827" max="13829" width="10.625" style="344" customWidth="1"/>
    <col min="13830" max="13832" width="12.625" style="344" customWidth="1"/>
    <col min="13833" max="13833" width="9" style="344"/>
    <col min="13834" max="13834" width="11.625" style="344" bestFit="1" customWidth="1"/>
    <col min="13835" max="14081" width="9" style="344"/>
    <col min="14082" max="14082" width="12.5" style="344" customWidth="1"/>
    <col min="14083" max="14085" width="10.625" style="344" customWidth="1"/>
    <col min="14086" max="14088" width="12.625" style="344" customWidth="1"/>
    <col min="14089" max="14089" width="9" style="344"/>
    <col min="14090" max="14090" width="11.625" style="344" bestFit="1" customWidth="1"/>
    <col min="14091" max="14337" width="9" style="344"/>
    <col min="14338" max="14338" width="12.5" style="344" customWidth="1"/>
    <col min="14339" max="14341" width="10.625" style="344" customWidth="1"/>
    <col min="14342" max="14344" width="12.625" style="344" customWidth="1"/>
    <col min="14345" max="14345" width="9" style="344"/>
    <col min="14346" max="14346" width="11.625" style="344" bestFit="1" customWidth="1"/>
    <col min="14347" max="14593" width="9" style="344"/>
    <col min="14594" max="14594" width="12.5" style="344" customWidth="1"/>
    <col min="14595" max="14597" width="10.625" style="344" customWidth="1"/>
    <col min="14598" max="14600" width="12.625" style="344" customWidth="1"/>
    <col min="14601" max="14601" width="9" style="344"/>
    <col min="14602" max="14602" width="11.625" style="344" bestFit="1" customWidth="1"/>
    <col min="14603" max="14849" width="9" style="344"/>
    <col min="14850" max="14850" width="12.5" style="344" customWidth="1"/>
    <col min="14851" max="14853" width="10.625" style="344" customWidth="1"/>
    <col min="14854" max="14856" width="12.625" style="344" customWidth="1"/>
    <col min="14857" max="14857" width="9" style="344"/>
    <col min="14858" max="14858" width="11.625" style="344" bestFit="1" customWidth="1"/>
    <col min="14859" max="15105" width="9" style="344"/>
    <col min="15106" max="15106" width="12.5" style="344" customWidth="1"/>
    <col min="15107" max="15109" width="10.625" style="344" customWidth="1"/>
    <col min="15110" max="15112" width="12.625" style="344" customWidth="1"/>
    <col min="15113" max="15113" width="9" style="344"/>
    <col min="15114" max="15114" width="11.625" style="344" bestFit="1" customWidth="1"/>
    <col min="15115" max="15361" width="9" style="344"/>
    <col min="15362" max="15362" width="12.5" style="344" customWidth="1"/>
    <col min="15363" max="15365" width="10.625" style="344" customWidth="1"/>
    <col min="15366" max="15368" width="12.625" style="344" customWidth="1"/>
    <col min="15369" max="15369" width="9" style="344"/>
    <col min="15370" max="15370" width="11.625" style="344" bestFit="1" customWidth="1"/>
    <col min="15371" max="15617" width="9" style="344"/>
    <col min="15618" max="15618" width="12.5" style="344" customWidth="1"/>
    <col min="15619" max="15621" width="10.625" style="344" customWidth="1"/>
    <col min="15622" max="15624" width="12.625" style="344" customWidth="1"/>
    <col min="15625" max="15625" width="9" style="344"/>
    <col min="15626" max="15626" width="11.625" style="344" bestFit="1" customWidth="1"/>
    <col min="15627" max="15873" width="9" style="344"/>
    <col min="15874" max="15874" width="12.5" style="344" customWidth="1"/>
    <col min="15875" max="15877" width="10.625" style="344" customWidth="1"/>
    <col min="15878" max="15880" width="12.625" style="344" customWidth="1"/>
    <col min="15881" max="15881" width="9" style="344"/>
    <col min="15882" max="15882" width="11.625" style="344" bestFit="1" customWidth="1"/>
    <col min="15883" max="16129" width="9" style="344"/>
    <col min="16130" max="16130" width="12.5" style="344" customWidth="1"/>
    <col min="16131" max="16133" width="10.625" style="344" customWidth="1"/>
    <col min="16134" max="16136" width="12.625" style="344" customWidth="1"/>
    <col min="16137" max="16137" width="9" style="344"/>
    <col min="16138" max="16138" width="11.625" style="344" bestFit="1" customWidth="1"/>
    <col min="16139" max="16384" width="9" style="344"/>
  </cols>
  <sheetData>
    <row r="1" spans="2:33" ht="21.6" customHeight="1">
      <c r="B1" s="344" t="str">
        <f xml:space="preserve">
IF(表紙!$X$2="事前協議","様式２－３",
IF(表紙!$X$2="交付申請（２次）","様式２－３",
IF(表紙!$X$2="変更申請","様式２－３",
IF(表紙!$X$2="実績報告（１次）","様式１－３",
IF(表紙!$X$2="実績報告（２次）","様式１－３",
IF(表紙!$X$2="交付申請兼実績報告","様式１－３"))))))</f>
        <v>様式２－３</v>
      </c>
      <c r="H1" s="345" t="str">
        <f xml:space="preserve">
IF(表紙!$X$2="事前協議","（10月１日～３月31日分）",
IF(表紙!$X$2="交付申請（２次）","（10月１日～３月31日分）",
IF(表紙!$X$2="変更申請","（10月１日～３月31日分）",
IF(表紙!$X$2="実績報告（１次）","（５月８日～10月31日分）",
IF(表紙!$X$2="実績報告（２次）","（10月１日～３月31日分）",
IF(表紙!$X$2="交付申請兼実績報告","（10月１日～３月31日分）"))))))</f>
        <v>（10月１日～３月31日分）</v>
      </c>
    </row>
    <row r="2" spans="2:33" ht="35.1" customHeight="1">
      <c r="B2" s="1782" t="str">
        <f xml:space="preserve">
IF(表紙!$X$2="事前協議","令和５年度歳入歳出予算書抄本",
IF(表紙!$X$2="交付申請（２次）","令和５年度歳入歳出予算書抄本",
IF(表紙!$X$2="変更申請","令和５年度歳入歳出予算書抄本",
IF(表紙!$X$2="実績報告（１次）","令和５年度歳入歳出決算書（見込書）抄本",
IF(表紙!$X$2="実績報告（２次）","令和５年度歳入歳出決算書（見込書）抄本",
IF(表紙!$X$2="交付申請兼実績報告","令和５年度歳入歳出決算書（見込書）抄本"))))))</f>
        <v>令和５年度歳入歳出予算書抄本</v>
      </c>
      <c r="C2" s="1782"/>
      <c r="D2" s="1782"/>
      <c r="E2" s="1782"/>
      <c r="F2" s="1782"/>
      <c r="G2" s="1782"/>
      <c r="H2" s="1782"/>
    </row>
    <row r="3" spans="2:33" ht="15" customHeight="1">
      <c r="B3" s="344" t="s">
        <v>673</v>
      </c>
    </row>
    <row r="4" spans="2:33" ht="15" customHeight="1">
      <c r="B4" s="1781" t="s">
        <v>674</v>
      </c>
      <c r="C4" s="1781" t="s">
        <v>675</v>
      </c>
      <c r="D4" s="1781" t="s">
        <v>676</v>
      </c>
      <c r="E4" s="1781" t="s">
        <v>677</v>
      </c>
      <c r="F4" s="1781" t="s">
        <v>678</v>
      </c>
      <c r="G4" s="1781"/>
      <c r="H4" s="1781" t="s">
        <v>679</v>
      </c>
      <c r="Y4" s="1783" t="s">
        <v>680</v>
      </c>
      <c r="Z4" s="1781" t="s">
        <v>674</v>
      </c>
      <c r="AA4" s="1781" t="s">
        <v>675</v>
      </c>
      <c r="AB4" s="1781" t="s">
        <v>676</v>
      </c>
      <c r="AC4" s="1781" t="s">
        <v>677</v>
      </c>
      <c r="AD4" s="1781" t="s">
        <v>678</v>
      </c>
      <c r="AE4" s="1781"/>
    </row>
    <row r="5" spans="2:33" ht="15" customHeight="1">
      <c r="B5" s="1781"/>
      <c r="C5" s="1781"/>
      <c r="D5" s="1781"/>
      <c r="E5" s="1781"/>
      <c r="F5" s="391" t="s">
        <v>681</v>
      </c>
      <c r="G5" s="391" t="s">
        <v>682</v>
      </c>
      <c r="H5" s="1781"/>
      <c r="Y5" s="1784"/>
      <c r="Z5" s="1785"/>
      <c r="AA5" s="1785"/>
      <c r="AB5" s="1785"/>
      <c r="AC5" s="1785"/>
      <c r="AD5" s="391" t="s">
        <v>681</v>
      </c>
      <c r="AE5" s="391" t="s">
        <v>682</v>
      </c>
    </row>
    <row r="6" spans="2:33" ht="15" customHeight="1">
      <c r="B6" s="1786"/>
      <c r="C6" s="1786"/>
      <c r="D6" s="1786"/>
      <c r="E6" s="1792"/>
      <c r="F6" s="1786"/>
      <c r="G6" s="1792"/>
      <c r="H6" s="1789"/>
      <c r="Y6" s="1781" t="s">
        <v>683</v>
      </c>
      <c r="Z6" s="1781" t="str">
        <f t="shared" ref="Z6:AE6" si="0">IF(COUNTA(B6)=1,"○","×")</f>
        <v>×</v>
      </c>
      <c r="AA6" s="1781" t="str">
        <f t="shared" si="0"/>
        <v>×</v>
      </c>
      <c r="AB6" s="1781" t="str">
        <f t="shared" si="0"/>
        <v>×</v>
      </c>
      <c r="AC6" s="1781" t="str">
        <f t="shared" si="0"/>
        <v>×</v>
      </c>
      <c r="AD6" s="1781" t="str">
        <f t="shared" si="0"/>
        <v>×</v>
      </c>
      <c r="AE6" s="1781" t="str">
        <f t="shared" si="0"/>
        <v>×</v>
      </c>
      <c r="AG6" s="1783" t="str">
        <f>IF(COUNTIF(Z6:AE9,"○")=12,"○","×")</f>
        <v>×</v>
      </c>
    </row>
    <row r="7" spans="2:33" ht="15" customHeight="1">
      <c r="B7" s="1787"/>
      <c r="C7" s="1787"/>
      <c r="D7" s="1787"/>
      <c r="E7" s="1793"/>
      <c r="F7" s="1787"/>
      <c r="G7" s="1793"/>
      <c r="H7" s="1790"/>
      <c r="Y7" s="1796"/>
      <c r="Z7" s="1796"/>
      <c r="AA7" s="1796"/>
      <c r="AB7" s="1796"/>
      <c r="AC7" s="1796"/>
      <c r="AD7" s="1796"/>
      <c r="AE7" s="1796"/>
      <c r="AG7" s="1795"/>
    </row>
    <row r="8" spans="2:33" ht="15" customHeight="1">
      <c r="B8" s="1787"/>
      <c r="C8" s="1787"/>
      <c r="D8" s="1787"/>
      <c r="E8" s="1793"/>
      <c r="F8" s="1787"/>
      <c r="G8" s="1793"/>
      <c r="H8" s="1790"/>
      <c r="Y8" s="1781" t="s">
        <v>684</v>
      </c>
      <c r="Z8" s="1781" t="str">
        <f t="shared" ref="Z8:AE8" si="1">IF(COUNTA(B22)=1,"○","×")</f>
        <v>×</v>
      </c>
      <c r="AA8" s="1781" t="str">
        <f t="shared" si="1"/>
        <v>×</v>
      </c>
      <c r="AB8" s="1781" t="str">
        <f t="shared" si="1"/>
        <v>×</v>
      </c>
      <c r="AC8" s="1781" t="str">
        <f t="shared" si="1"/>
        <v>×</v>
      </c>
      <c r="AD8" s="1781" t="str">
        <f t="shared" si="1"/>
        <v>×</v>
      </c>
      <c r="AE8" s="1781" t="str">
        <f t="shared" si="1"/>
        <v>×</v>
      </c>
      <c r="AG8" s="1795"/>
    </row>
    <row r="9" spans="2:33" ht="15" customHeight="1">
      <c r="B9" s="1787"/>
      <c r="C9" s="1787"/>
      <c r="D9" s="1787"/>
      <c r="E9" s="1793"/>
      <c r="F9" s="1787"/>
      <c r="G9" s="1793"/>
      <c r="H9" s="1790"/>
      <c r="Y9" s="1796"/>
      <c r="Z9" s="1796"/>
      <c r="AA9" s="1796"/>
      <c r="AB9" s="1796"/>
      <c r="AC9" s="1796"/>
      <c r="AD9" s="1796"/>
      <c r="AE9" s="1796"/>
      <c r="AG9" s="1784"/>
    </row>
    <row r="10" spans="2:33" ht="15" customHeight="1">
      <c r="B10" s="1787"/>
      <c r="C10" s="1787"/>
      <c r="D10" s="1787"/>
      <c r="E10" s="1793"/>
      <c r="F10" s="1787"/>
      <c r="G10" s="1793"/>
      <c r="H10" s="1790"/>
      <c r="Y10" s="346"/>
      <c r="Z10" s="346"/>
      <c r="AA10" s="346"/>
      <c r="AB10" s="346"/>
      <c r="AC10" s="346"/>
      <c r="AD10" s="346"/>
      <c r="AE10" s="346"/>
    </row>
    <row r="11" spans="2:33" ht="15" customHeight="1">
      <c r="B11" s="1787"/>
      <c r="C11" s="1787"/>
      <c r="D11" s="1787"/>
      <c r="E11" s="1793"/>
      <c r="F11" s="1787"/>
      <c r="G11" s="1793"/>
      <c r="H11" s="1790"/>
      <c r="Y11" s="1783" t="s">
        <v>99</v>
      </c>
      <c r="Z11" s="1783" t="str">
        <f xml:space="preserve">
IF(AND(はじめに入力してください!O3="○"&amp;CHAR(10)&amp;"（公立）",AG6="○"),"○",
IF(AND(はじめに入力してください!O3="○"&amp;CHAR(10)&amp;"（公立）",AG6="×"),"×",
IF(AND(はじめに入力してください!O3&lt;&gt;"○"&amp;CHAR(10)&amp;"（公立）",AG6="○"),"○",
IF(AND(はじめに入力してください!O3&lt;&gt;"○"&amp;CHAR(10)&amp;"（公立）",AG6="×"),"○",))))</f>
        <v>○</v>
      </c>
      <c r="AA11" s="1799" t="str">
        <f xml:space="preserve">
IF(AND(はじめに入力してください!O3="○"&amp;CHAR(10)&amp;"（公立）",AG6="○"),"適切に入力がされました。",
IF(AND(はじめに入力してください!O3="○"&amp;CHAR(10)&amp;"（公立）",AG6="×"),"【要修正】公立機関なので作成が必要です。",
IF(AND(はじめに入力してください!O3&lt;&gt;"○"&amp;CHAR(10)&amp;"（公立）",AG6="○"),"公立機関ではない場合、作成不要です。（入力されていても特段問題はありません。）",
IF(AND(はじめに入力してください!O3&lt;&gt;"○"&amp;CHAR(10)&amp;"（公立）",AG6="×"),"公立機関ではない場合、作成不要です。（入力されていても特段問題はありません。）",))))</f>
        <v>公立機関ではない場合、作成不要です。（入力されていても特段問題はありません。）</v>
      </c>
      <c r="AB11" s="1800"/>
      <c r="AC11" s="1800"/>
      <c r="AD11" s="1800"/>
      <c r="AE11" s="1800"/>
    </row>
    <row r="12" spans="2:33" ht="15" customHeight="1">
      <c r="B12" s="1787"/>
      <c r="C12" s="1787"/>
      <c r="D12" s="1787"/>
      <c r="E12" s="1793"/>
      <c r="F12" s="1787"/>
      <c r="G12" s="1793"/>
      <c r="H12" s="1790"/>
      <c r="Y12" s="1795"/>
      <c r="Z12" s="1795"/>
      <c r="AA12" s="1801"/>
      <c r="AB12" s="1801"/>
      <c r="AC12" s="1801"/>
      <c r="AD12" s="1801"/>
      <c r="AE12" s="1801"/>
    </row>
    <row r="13" spans="2:33" ht="15" customHeight="1">
      <c r="B13" s="1787"/>
      <c r="C13" s="1787"/>
      <c r="D13" s="1787"/>
      <c r="E13" s="1793"/>
      <c r="F13" s="1787"/>
      <c r="G13" s="1793"/>
      <c r="H13" s="1790"/>
      <c r="Y13" s="1784"/>
      <c r="Z13" s="1784"/>
      <c r="AA13" s="1802"/>
      <c r="AB13" s="1802"/>
      <c r="AC13" s="1802"/>
      <c r="AD13" s="1802"/>
      <c r="AE13" s="1802"/>
    </row>
    <row r="14" spans="2:33" ht="15" customHeight="1">
      <c r="B14" s="1787"/>
      <c r="C14" s="1787"/>
      <c r="D14" s="1787"/>
      <c r="E14" s="1793"/>
      <c r="F14" s="1787"/>
      <c r="G14" s="1793"/>
      <c r="H14" s="1790"/>
    </row>
    <row r="15" spans="2:33" ht="15" customHeight="1">
      <c r="B15" s="1787"/>
      <c r="C15" s="1787"/>
      <c r="D15" s="1787"/>
      <c r="E15" s="1793"/>
      <c r="F15" s="1787"/>
      <c r="G15" s="1793"/>
      <c r="H15" s="1790"/>
    </row>
    <row r="16" spans="2:33" ht="15" customHeight="1">
      <c r="B16" s="1787"/>
      <c r="C16" s="1787"/>
      <c r="D16" s="1787"/>
      <c r="E16" s="1793"/>
      <c r="F16" s="1787"/>
      <c r="G16" s="1793"/>
      <c r="H16" s="1790"/>
    </row>
    <row r="17" spans="2:10" ht="15" customHeight="1">
      <c r="B17" s="1788"/>
      <c r="C17" s="1788"/>
      <c r="D17" s="1788"/>
      <c r="E17" s="1794"/>
      <c r="F17" s="1788"/>
      <c r="G17" s="1794"/>
      <c r="H17" s="1791"/>
    </row>
    <row r="18" spans="2:10" ht="15" customHeight="1">
      <c r="B18" s="347"/>
      <c r="C18" s="347"/>
      <c r="D18" s="347"/>
      <c r="E18" s="348"/>
      <c r="F18" s="347"/>
      <c r="G18" s="348"/>
      <c r="H18" s="349"/>
    </row>
    <row r="19" spans="2:10" ht="15" customHeight="1">
      <c r="B19" s="344" t="s">
        <v>685</v>
      </c>
    </row>
    <row r="20" spans="2:10" ht="15" customHeight="1">
      <c r="B20" s="1781" t="s">
        <v>674</v>
      </c>
      <c r="C20" s="1781" t="s">
        <v>675</v>
      </c>
      <c r="D20" s="1781" t="s">
        <v>676</v>
      </c>
      <c r="E20" s="1797" t="s">
        <v>677</v>
      </c>
      <c r="F20" s="1781" t="s">
        <v>678</v>
      </c>
      <c r="G20" s="1798"/>
      <c r="H20" s="1781" t="s">
        <v>679</v>
      </c>
      <c r="J20" s="350"/>
    </row>
    <row r="21" spans="2:10" ht="15" customHeight="1">
      <c r="B21" s="1781"/>
      <c r="C21" s="1781"/>
      <c r="D21" s="1781"/>
      <c r="E21" s="1797"/>
      <c r="F21" s="391" t="s">
        <v>681</v>
      </c>
      <c r="G21" s="351" t="s">
        <v>682</v>
      </c>
      <c r="H21" s="1781"/>
      <c r="J21" s="350"/>
    </row>
    <row r="22" spans="2:10" ht="15" customHeight="1">
      <c r="B22" s="1786"/>
      <c r="C22" s="1786"/>
      <c r="D22" s="1786"/>
      <c r="E22" s="1792"/>
      <c r="F22" s="1786"/>
      <c r="G22" s="1792"/>
      <c r="H22" s="1789"/>
      <c r="J22" s="350"/>
    </row>
    <row r="23" spans="2:10" ht="15" customHeight="1">
      <c r="B23" s="1787"/>
      <c r="C23" s="1787"/>
      <c r="D23" s="1787"/>
      <c r="E23" s="1793"/>
      <c r="F23" s="1787"/>
      <c r="G23" s="1793"/>
      <c r="H23" s="1790"/>
      <c r="J23" s="350"/>
    </row>
    <row r="24" spans="2:10" ht="15" customHeight="1">
      <c r="B24" s="1787"/>
      <c r="C24" s="1787"/>
      <c r="D24" s="1787"/>
      <c r="E24" s="1793"/>
      <c r="F24" s="1787"/>
      <c r="G24" s="1793"/>
      <c r="H24" s="1790"/>
      <c r="J24" s="352"/>
    </row>
    <row r="25" spans="2:10" ht="15" customHeight="1">
      <c r="B25" s="1787"/>
      <c r="C25" s="1787"/>
      <c r="D25" s="1787"/>
      <c r="E25" s="1793"/>
      <c r="F25" s="1787"/>
      <c r="G25" s="1793"/>
      <c r="H25" s="1790"/>
      <c r="J25" s="350"/>
    </row>
    <row r="26" spans="2:10" ht="15" customHeight="1">
      <c r="B26" s="1787"/>
      <c r="C26" s="1787"/>
      <c r="D26" s="1787"/>
      <c r="E26" s="1793"/>
      <c r="F26" s="1787"/>
      <c r="G26" s="1793"/>
      <c r="H26" s="1790"/>
      <c r="J26" s="350"/>
    </row>
    <row r="27" spans="2:10" ht="15" customHeight="1">
      <c r="B27" s="1787"/>
      <c r="C27" s="1787"/>
      <c r="D27" s="1787"/>
      <c r="E27" s="1793"/>
      <c r="F27" s="1787"/>
      <c r="G27" s="1793"/>
      <c r="H27" s="1790"/>
      <c r="J27" s="350"/>
    </row>
    <row r="28" spans="2:10" ht="15" customHeight="1">
      <c r="B28" s="1787"/>
      <c r="C28" s="1787"/>
      <c r="D28" s="1787"/>
      <c r="E28" s="1793"/>
      <c r="F28" s="1787"/>
      <c r="G28" s="1793"/>
      <c r="H28" s="1790"/>
      <c r="J28" s="350"/>
    </row>
    <row r="29" spans="2:10" ht="15" customHeight="1">
      <c r="B29" s="1787"/>
      <c r="C29" s="1787"/>
      <c r="D29" s="1787"/>
      <c r="E29" s="1793"/>
      <c r="F29" s="1787"/>
      <c r="G29" s="1793"/>
      <c r="H29" s="1790"/>
      <c r="J29" s="353"/>
    </row>
    <row r="30" spans="2:10" ht="15" customHeight="1">
      <c r="B30" s="1787"/>
      <c r="C30" s="1787"/>
      <c r="D30" s="1787"/>
      <c r="E30" s="1793"/>
      <c r="F30" s="1787"/>
      <c r="G30" s="1793"/>
      <c r="H30" s="1790"/>
      <c r="J30" s="350"/>
    </row>
    <row r="31" spans="2:10" ht="15" customHeight="1">
      <c r="B31" s="1787"/>
      <c r="C31" s="1787"/>
      <c r="D31" s="1787"/>
      <c r="E31" s="1793"/>
      <c r="F31" s="1787"/>
      <c r="G31" s="1793"/>
      <c r="H31" s="1790"/>
      <c r="J31" s="350"/>
    </row>
    <row r="32" spans="2:10" ht="15" customHeight="1">
      <c r="B32" s="1787"/>
      <c r="C32" s="1787"/>
      <c r="D32" s="1787"/>
      <c r="E32" s="1793"/>
      <c r="F32" s="1787"/>
      <c r="G32" s="1793"/>
      <c r="H32" s="1790"/>
      <c r="J32" s="350"/>
    </row>
    <row r="33" spans="2:10" ht="15" customHeight="1">
      <c r="B33" s="1788"/>
      <c r="C33" s="1788"/>
      <c r="D33" s="1788"/>
      <c r="E33" s="1794"/>
      <c r="F33" s="1788"/>
      <c r="G33" s="1794"/>
      <c r="H33" s="1791"/>
      <c r="J33" s="350"/>
    </row>
    <row r="34" spans="2:10" ht="15" customHeight="1">
      <c r="J34" s="352"/>
    </row>
    <row r="35" spans="2:10" ht="15" customHeight="1">
      <c r="B35" s="344" t="s">
        <v>686</v>
      </c>
      <c r="J35" s="350"/>
    </row>
    <row r="36" spans="2:10" ht="15" customHeight="1">
      <c r="J36" s="350"/>
    </row>
    <row r="37" spans="2:10" ht="15" customHeight="1">
      <c r="C37" s="354" t="s">
        <v>1011</v>
      </c>
      <c r="D37" s="354"/>
      <c r="E37" s="1803" t="str">
        <f>IF(表紙!N5="令和　　年　月　　日","",表紙!N5)</f>
        <v/>
      </c>
      <c r="F37" s="1804"/>
      <c r="J37" s="350"/>
    </row>
    <row r="38" spans="2:10" ht="15" customHeight="1">
      <c r="J38" s="350"/>
    </row>
    <row r="39" spans="2:10" ht="15" customHeight="1">
      <c r="C39" s="355" t="s">
        <v>687</v>
      </c>
      <c r="D39" s="390"/>
      <c r="E39" s="344" t="str">
        <f>表紙!L9</f>
        <v/>
      </c>
      <c r="J39" s="350"/>
    </row>
    <row r="40" spans="2:10" ht="15" customHeight="1">
      <c r="E40" s="356"/>
      <c r="J40" s="357"/>
    </row>
    <row r="41" spans="2:10" ht="15" customHeight="1">
      <c r="C41" s="355" t="s">
        <v>688</v>
      </c>
      <c r="D41" s="390"/>
      <c r="E41" s="356" t="str">
        <f>表紙!L10</f>
        <v/>
      </c>
    </row>
    <row r="42" spans="2:10" ht="15" customHeight="1">
      <c r="J42" s="350"/>
    </row>
    <row r="43" spans="2:10" ht="15" customHeight="1">
      <c r="J43" s="350"/>
    </row>
    <row r="44" spans="2:10" ht="15" customHeight="1">
      <c r="B44" s="344" t="s">
        <v>689</v>
      </c>
      <c r="J44" s="350"/>
    </row>
    <row r="45" spans="2:10" ht="15" customHeight="1"/>
  </sheetData>
  <mergeCells count="52">
    <mergeCell ref="E22:E33"/>
    <mergeCell ref="E37:F37"/>
    <mergeCell ref="B22:B33"/>
    <mergeCell ref="C22:C33"/>
    <mergeCell ref="D22:D33"/>
    <mergeCell ref="F22:F33"/>
    <mergeCell ref="H22:H33"/>
    <mergeCell ref="Z11:Z13"/>
    <mergeCell ref="AA11:AE13"/>
    <mergeCell ref="H20:H21"/>
    <mergeCell ref="G22:G33"/>
    <mergeCell ref="Y11:Y13"/>
    <mergeCell ref="B20:B21"/>
    <mergeCell ref="C20:C21"/>
    <mergeCell ref="D20:D21"/>
    <mergeCell ref="E20:E21"/>
    <mergeCell ref="F20:G20"/>
    <mergeCell ref="AG6:AG9"/>
    <mergeCell ref="Y8:Y9"/>
    <mergeCell ref="Z8:Z9"/>
    <mergeCell ref="AA8:AA9"/>
    <mergeCell ref="AB8:AB9"/>
    <mergeCell ref="AC8:AC9"/>
    <mergeCell ref="AD8:AD9"/>
    <mergeCell ref="AE8:AE9"/>
    <mergeCell ref="Z6:Z7"/>
    <mergeCell ref="AA6:AA7"/>
    <mergeCell ref="AB6:AB7"/>
    <mergeCell ref="AC6:AC7"/>
    <mergeCell ref="AD6:AD7"/>
    <mergeCell ref="AE6:AE7"/>
    <mergeCell ref="Y6:Y7"/>
    <mergeCell ref="B6:B17"/>
    <mergeCell ref="C6:C17"/>
    <mergeCell ref="D6:D17"/>
    <mergeCell ref="F6:F17"/>
    <mergeCell ref="H6:H17"/>
    <mergeCell ref="E6:E17"/>
    <mergeCell ref="G6:G17"/>
    <mergeCell ref="AD4:AE4"/>
    <mergeCell ref="B2:H2"/>
    <mergeCell ref="B4:B5"/>
    <mergeCell ref="C4:C5"/>
    <mergeCell ref="D4:D5"/>
    <mergeCell ref="E4:E5"/>
    <mergeCell ref="F4:G4"/>
    <mergeCell ref="H4:H5"/>
    <mergeCell ref="Y4:Y5"/>
    <mergeCell ref="Z4:Z5"/>
    <mergeCell ref="AA4:AA5"/>
    <mergeCell ref="AB4:AB5"/>
    <mergeCell ref="AC4:AC5"/>
  </mergeCells>
  <phoneticPr fontId="9"/>
  <conditionalFormatting sqref="Z6:AE9">
    <cfRule type="containsText" dxfId="151" priority="3" operator="containsText" text="×">
      <formula>NOT(ISERROR(SEARCH("×",Z6)))</formula>
    </cfRule>
  </conditionalFormatting>
  <conditionalFormatting sqref="Z11:Z13">
    <cfRule type="containsText" dxfId="150" priority="2" operator="containsText" text="×">
      <formula>NOT(ISERROR(SEARCH("×",Z11)))</formula>
    </cfRule>
  </conditionalFormatting>
  <conditionalFormatting sqref="AA11:AE13">
    <cfRule type="containsText" dxfId="149" priority="1" operator="containsText" text="要修正">
      <formula>NOT(ISERROR(SEARCH("要修正",AA11)))</formula>
    </cfRule>
  </conditionalFormatting>
  <printOptions horizontalCentered="1" verticalCentered="1"/>
  <pageMargins left="0.78740157480314965" right="0.78740157480314965" top="0.98425196850393704" bottom="0.98425196850393704" header="0.51181102362204722" footer="0.51181102362204722"/>
  <pageSetup paperSize="9" scale="91" orientation="portrait" r:id="rId1"/>
  <headerFooter alignWithMargins="0"/>
  <drawing r:id="rId2"/>
  <legacy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
    <tabColor rgb="FFFFFF00"/>
  </sheetPr>
  <dimension ref="A1"/>
  <sheetViews>
    <sheetView workbookViewId="0"/>
  </sheetViews>
  <sheetFormatPr defaultRowHeight="18.75"/>
  <sheetData/>
  <phoneticPr fontId="9"/>
  <pageMargins left="0.7" right="0.7" top="0.75" bottom="0.75" header="0.3" footer="0.3"/>
  <pageSetup paperSize="9" orientation="portrait" copies="0"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51">
    <tabColor rgb="FFFFC000"/>
    <pageSetUpPr fitToPage="1"/>
  </sheetPr>
  <dimension ref="A1:AJ74"/>
  <sheetViews>
    <sheetView showGridLines="0" view="pageBreakPreview" zoomScale="60" zoomScaleNormal="100" workbookViewId="0">
      <selection activeCell="I3" activeCellId="2" sqref="B15:O15 B22:O22 I3"/>
    </sheetView>
  </sheetViews>
  <sheetFormatPr defaultColWidth="8.625" defaultRowHeight="18"/>
  <cols>
    <col min="1" max="1" width="3.625" style="12" customWidth="1"/>
    <col min="2" max="4" width="8.625" style="19"/>
    <col min="5" max="5" width="30.625" style="19" customWidth="1"/>
    <col min="6" max="6" width="8.625" style="19"/>
    <col min="7" max="10" width="12.625" style="19" customWidth="1"/>
    <col min="11" max="13" width="3.625" style="19" customWidth="1"/>
    <col min="14" max="14" width="12.625" style="19" customWidth="1"/>
    <col min="15" max="15" width="8.625" style="19"/>
    <col min="16" max="16" width="3.625" style="19" customWidth="1"/>
    <col min="17" max="17" width="12.625" style="19" customWidth="1"/>
    <col min="18" max="20" width="3.625" style="19" customWidth="1"/>
    <col min="21" max="26" width="8.625" style="19"/>
    <col min="27" max="27" width="8.625" style="19" customWidth="1"/>
    <col min="28" max="28" width="3.625" style="12" customWidth="1"/>
    <col min="29" max="29" width="8.625" style="19"/>
    <col min="30" max="30" width="40.625" style="19" customWidth="1"/>
    <col min="31" max="31" width="3.625" style="19" customWidth="1"/>
    <col min="32" max="35" width="8.625" style="19"/>
    <col min="36" max="36" width="8.625" style="19" customWidth="1"/>
    <col min="37" max="16384" width="8.625" style="19"/>
  </cols>
  <sheetData>
    <row r="1" spans="1:36" ht="20.100000000000001" customHeight="1">
      <c r="N1" s="1829" t="str">
        <f xml:space="preserve">
IF(表紙!$X$2="事前協議","（10月１日～３月31日分）",
IF(表紙!$X$2="交付申請（２次）","（10月１日～３月31日分）",
IF(表紙!$X$2="変更申請","（10月１日～３月31日分）",
IF(表紙!$X$2="実績報告（１次）","（５月８日～10月31日分）",
IF(表紙!$X$2="実績報告（２次）","（10月１日～３月31日分）",
IF(表紙!$X$2="交付申請兼実績報告","（10月１日～３月31日分）"))))))</f>
        <v>（10月１日～３月31日分）</v>
      </c>
      <c r="O1" s="1364"/>
      <c r="P1" s="1364"/>
    </row>
    <row r="2" spans="1:36" ht="20.100000000000001" customHeight="1">
      <c r="B2" s="1817" t="s">
        <v>422</v>
      </c>
      <c r="C2" s="1818"/>
      <c r="D2" s="1819"/>
      <c r="H2" s="5" t="s">
        <v>538</v>
      </c>
      <c r="I2" s="701" t="s">
        <v>539</v>
      </c>
      <c r="J2" s="5" t="s">
        <v>44</v>
      </c>
      <c r="K2" s="600"/>
      <c r="L2" s="600"/>
      <c r="M2" s="600"/>
      <c r="AC2" s="701" t="s">
        <v>419</v>
      </c>
      <c r="AD2" s="701" t="s">
        <v>417</v>
      </c>
      <c r="AG2" s="701" t="str">
        <f>AC9</f>
        <v>×</v>
      </c>
      <c r="AH2" s="701" t="str">
        <f>AC15</f>
        <v>○</v>
      </c>
      <c r="AI2" s="701" t="str">
        <f>AC22</f>
        <v>○</v>
      </c>
      <c r="AJ2" s="701" t="str">
        <f>AC26</f>
        <v>○</v>
      </c>
    </row>
    <row r="3" spans="1:36" ht="20.100000000000001" customHeight="1">
      <c r="B3" s="1820"/>
      <c r="C3" s="1821"/>
      <c r="D3" s="1822"/>
      <c r="H3" s="358">
        <f>SUM(I30:I74)</f>
        <v>0</v>
      </c>
      <c r="I3" s="8"/>
      <c r="J3" s="358">
        <f>IFERROR(ROUNDUP(SUM(N30:N74)*((H3-I3)/H3),0),0)</f>
        <v>0</v>
      </c>
      <c r="K3" s="601"/>
      <c r="L3" s="601"/>
      <c r="M3" s="601"/>
      <c r="AC3" s="863" t="str">
        <f xml:space="preserve">
IF(COUNTIF(AH2:AJ2,"○")=3,"○",
IF(COUNTIF(AH2:AJ2,"◎")=3,"◎","×"
))</f>
        <v>○</v>
      </c>
      <c r="AD3" s="1812" t="str">
        <f xml:space="preserve">
IF(AC3="○","整備しない場合は入力不要です。",
IF(AC3="×","【要修正】入力が不十分な箇所があります。",
IF(AC3="◎","適切に入力がされました。")))</f>
        <v>整備しない場合は入力不要です。</v>
      </c>
    </row>
    <row r="4" spans="1:36" ht="9.9499999999999993" customHeight="1">
      <c r="AC4" s="863"/>
      <c r="AD4" s="1812"/>
    </row>
    <row r="5" spans="1:36" ht="20.100000000000001" customHeight="1">
      <c r="B5" s="705" t="s">
        <v>55</v>
      </c>
      <c r="C5" s="705"/>
      <c r="D5" s="705"/>
      <c r="E5" s="705"/>
      <c r="F5" s="705"/>
      <c r="G5" s="705"/>
      <c r="H5" s="705"/>
      <c r="I5" s="705"/>
      <c r="J5" s="705"/>
      <c r="K5" s="705"/>
      <c r="L5" s="705"/>
      <c r="M5" s="705"/>
      <c r="N5" s="705"/>
      <c r="O5" s="705"/>
      <c r="AC5" s="908"/>
      <c r="AD5" s="843"/>
    </row>
    <row r="6" spans="1:36" ht="9.9499999999999993" customHeight="1"/>
    <row r="7" spans="1:36" ht="20.100000000000001" customHeight="1">
      <c r="B7" s="1833" t="s">
        <v>1429</v>
      </c>
      <c r="C7" s="932"/>
      <c r="D7" s="932"/>
      <c r="E7" s="932"/>
      <c r="F7" s="932"/>
      <c r="G7" s="932"/>
      <c r="H7" s="932"/>
      <c r="I7" s="932"/>
      <c r="J7" s="932"/>
      <c r="K7" s="932"/>
      <c r="L7" s="932"/>
      <c r="M7" s="932"/>
      <c r="N7" s="932"/>
      <c r="O7" s="932"/>
      <c r="AC7" s="1808" t="s">
        <v>415</v>
      </c>
      <c r="AD7" s="1808" t="s">
        <v>417</v>
      </c>
    </row>
    <row r="8" spans="1:36" ht="9.9499999999999993" customHeight="1">
      <c r="AC8" s="1809"/>
      <c r="AD8" s="1809"/>
    </row>
    <row r="9" spans="1:36" ht="35.1" customHeight="1">
      <c r="B9" s="1834" t="s">
        <v>56</v>
      </c>
      <c r="C9" s="1835"/>
      <c r="D9" s="205" t="str">
        <f>IF(はじめに入力してください!K50="","",はじめに入力してください!K50)</f>
        <v/>
      </c>
      <c r="E9" s="359"/>
      <c r="F9" s="360"/>
      <c r="G9" s="360"/>
      <c r="H9" s="360"/>
      <c r="I9" s="360"/>
      <c r="J9" s="361"/>
      <c r="K9" s="361"/>
      <c r="L9" s="361"/>
      <c r="M9" s="361"/>
      <c r="N9" s="361"/>
      <c r="O9" s="361"/>
      <c r="AC9" s="701" t="str">
        <f xml:space="preserve">
IF(D9="","×",
IF(D9=0,"○",
IF(D9&gt;=1,"◎",
)))</f>
        <v>×</v>
      </c>
      <c r="AD9" s="702" t="str">
        <f xml:space="preserve">
IF(D9="","【要修正】「はじめに入力してください」シートに整備を行う病床の数を入力してください。",
IF(D9=0,"申請しない場合は以下入力不要です。",
IF(D9&gt;=1,"適切に入力されました。",
)))</f>
        <v>【要修正】「はじめに入力してください」シートに整備を行う病床の数を入力してください。</v>
      </c>
    </row>
    <row r="10" spans="1:36" ht="20.100000000000001" customHeight="1">
      <c r="B10" s="1830"/>
      <c r="C10" s="1831"/>
      <c r="D10" s="1832"/>
      <c r="E10" s="1832"/>
      <c r="F10" s="1832"/>
      <c r="G10" s="1832"/>
      <c r="H10" s="1832"/>
      <c r="I10" s="1832"/>
      <c r="J10" s="1832"/>
      <c r="K10" s="1832"/>
      <c r="L10" s="1832"/>
      <c r="M10" s="1832"/>
      <c r="N10" s="1832"/>
      <c r="O10" s="1832"/>
    </row>
    <row r="11" spans="1:36" ht="20.100000000000001" hidden="1" customHeight="1"/>
    <row r="12" spans="1:36" ht="20.100000000000001" customHeight="1">
      <c r="B12" s="1833" t="s">
        <v>1453</v>
      </c>
      <c r="C12" s="932"/>
      <c r="D12" s="932"/>
      <c r="E12" s="932"/>
      <c r="F12" s="932"/>
      <c r="G12" s="932"/>
      <c r="H12" s="932"/>
      <c r="I12" s="932"/>
      <c r="J12" s="932"/>
      <c r="K12" s="932"/>
      <c r="L12" s="932"/>
      <c r="M12" s="932"/>
      <c r="N12" s="932"/>
      <c r="O12" s="932"/>
    </row>
    <row r="13" spans="1:36" ht="39.950000000000003" customHeight="1">
      <c r="B13" s="1813" t="s">
        <v>540</v>
      </c>
      <c r="C13" s="931"/>
      <c r="D13" s="931"/>
      <c r="E13" s="931"/>
      <c r="F13" s="931"/>
      <c r="G13" s="931"/>
      <c r="H13" s="931"/>
      <c r="I13" s="931"/>
      <c r="J13" s="931"/>
      <c r="K13" s="931"/>
      <c r="L13" s="931"/>
      <c r="M13" s="931"/>
      <c r="N13" s="931"/>
      <c r="O13" s="931"/>
    </row>
    <row r="14" spans="1:36" s="703" customFormat="1" ht="69.95" customHeight="1">
      <c r="A14" s="13"/>
      <c r="B14" s="1813" t="str">
        <f>VLOOKUP(B2,テーブル!M37:N51,2,FALSE)</f>
        <v>（例）整備を行う病床は、一般の入院患者を受け入れるにあたり必要限度の調度は用意されている。
　　　しかし、これまでコロナ入院患者を受け入れてきた中で、○○の症状を有する患者が多く、○○がないことによりこれへの対応による負担が生じた。
　　　そのため、今後も受け入れを継続していくにあたり、受け入れを行う病床に○○を設置することとしたい。</v>
      </c>
      <c r="C14" s="1645"/>
      <c r="D14" s="1645"/>
      <c r="E14" s="1645"/>
      <c r="F14" s="1645"/>
      <c r="G14" s="1645"/>
      <c r="H14" s="1645"/>
      <c r="I14" s="1645"/>
      <c r="J14" s="1645"/>
      <c r="K14" s="1645"/>
      <c r="L14" s="1645"/>
      <c r="M14" s="1645"/>
      <c r="N14" s="1645"/>
      <c r="O14" s="1645"/>
      <c r="AB14" s="13"/>
      <c r="AC14" s="558" t="s">
        <v>415</v>
      </c>
      <c r="AD14" s="558" t="s">
        <v>416</v>
      </c>
    </row>
    <row r="15" spans="1:36" ht="120" customHeight="1">
      <c r="B15" s="1814"/>
      <c r="C15" s="1815"/>
      <c r="D15" s="1815"/>
      <c r="E15" s="1815"/>
      <c r="F15" s="1815"/>
      <c r="G15" s="1815"/>
      <c r="H15" s="1815"/>
      <c r="I15" s="1815"/>
      <c r="J15" s="1815"/>
      <c r="K15" s="1815"/>
      <c r="L15" s="1815"/>
      <c r="M15" s="1815"/>
      <c r="N15" s="1815"/>
      <c r="O15" s="1816"/>
      <c r="AC15" s="701" t="str">
        <f xml:space="preserve">
IF(COUNTA(B15)=0,"○",
IF(COUNTA(B15)=1,"◎"))</f>
        <v>○</v>
      </c>
      <c r="AD15" s="702" t="str">
        <f xml:space="preserve">
IF(COUNTA(B15)=0,"整備しない場合は入力不要です。",
IF(COUNTA(B15)=1,"入力された状態になりました。"))</f>
        <v>整備しない場合は入力不要です。</v>
      </c>
    </row>
    <row r="16" spans="1:36" ht="20.100000000000001" customHeight="1"/>
    <row r="17" spans="1:34" ht="20.100000000000001" customHeight="1">
      <c r="B17" s="705" t="s">
        <v>454</v>
      </c>
      <c r="C17" s="705"/>
      <c r="D17" s="705"/>
      <c r="E17" s="705"/>
      <c r="F17" s="705"/>
      <c r="G17" s="705"/>
      <c r="H17" s="705"/>
      <c r="I17" s="705"/>
      <c r="J17" s="705"/>
      <c r="K17" s="705"/>
      <c r="L17" s="705"/>
      <c r="M17" s="705"/>
      <c r="N17" s="705"/>
      <c r="O17" s="705"/>
    </row>
    <row r="18" spans="1:34" ht="20.100000000000001" customHeight="1">
      <c r="B18" s="1813" t="s">
        <v>1279</v>
      </c>
      <c r="C18" s="931"/>
      <c r="D18" s="931"/>
      <c r="E18" s="931"/>
      <c r="F18" s="931"/>
      <c r="G18" s="931"/>
      <c r="H18" s="931"/>
      <c r="I18" s="931"/>
      <c r="J18" s="931"/>
      <c r="K18" s="931"/>
      <c r="L18" s="931"/>
      <c r="M18" s="931"/>
      <c r="N18" s="931"/>
      <c r="O18" s="931"/>
    </row>
    <row r="19" spans="1:34" ht="20.100000000000001" customHeight="1">
      <c r="B19" s="1813"/>
      <c r="C19" s="931"/>
      <c r="D19" s="931"/>
      <c r="E19" s="931"/>
      <c r="F19" s="931"/>
      <c r="G19" s="931"/>
      <c r="H19" s="931"/>
      <c r="I19" s="931"/>
      <c r="J19" s="931"/>
      <c r="K19" s="931"/>
      <c r="L19" s="931"/>
      <c r="M19" s="931"/>
      <c r="N19" s="931"/>
      <c r="O19" s="931"/>
    </row>
    <row r="20" spans="1:34" ht="20.100000000000001" customHeight="1">
      <c r="B20" s="1813"/>
      <c r="C20" s="931"/>
      <c r="D20" s="931"/>
      <c r="E20" s="931"/>
      <c r="F20" s="931"/>
      <c r="G20" s="931"/>
      <c r="H20" s="931"/>
      <c r="I20" s="931"/>
      <c r="J20" s="931"/>
      <c r="K20" s="931"/>
      <c r="L20" s="931"/>
      <c r="M20" s="931"/>
      <c r="N20" s="931"/>
      <c r="O20" s="931"/>
    </row>
    <row r="21" spans="1:34" ht="20.100000000000001" customHeight="1">
      <c r="B21" s="931"/>
      <c r="C21" s="931"/>
      <c r="D21" s="931"/>
      <c r="E21" s="931"/>
      <c r="F21" s="931"/>
      <c r="G21" s="931"/>
      <c r="H21" s="931"/>
      <c r="I21" s="931"/>
      <c r="J21" s="931"/>
      <c r="K21" s="931"/>
      <c r="L21" s="931"/>
      <c r="M21" s="931"/>
      <c r="N21" s="931"/>
      <c r="O21" s="931"/>
    </row>
    <row r="22" spans="1:34" ht="120" customHeight="1">
      <c r="B22" s="1814"/>
      <c r="C22" s="1815"/>
      <c r="D22" s="1815"/>
      <c r="E22" s="1815"/>
      <c r="F22" s="1815"/>
      <c r="G22" s="1815"/>
      <c r="H22" s="1815"/>
      <c r="I22" s="1815"/>
      <c r="J22" s="1815"/>
      <c r="K22" s="1815"/>
      <c r="L22" s="1815"/>
      <c r="M22" s="1815"/>
      <c r="N22" s="1815"/>
      <c r="O22" s="1816"/>
      <c r="AC22" s="701" t="str">
        <f xml:space="preserve">
IF(COUNTA(B22)=0,"○",
IF(COUNTA(B22)=1,"◎"))</f>
        <v>○</v>
      </c>
      <c r="AD22" s="702" t="str">
        <f xml:space="preserve">
IF(COUNTA(B22)=0,"整備しない場合は入力不要です。",
IF(COUNTA(B22)=1,"入力された状態になりました。"))</f>
        <v>整備しない場合は入力不要です。</v>
      </c>
      <c r="AH22" s="19" t="e">
        <f t="array" aca="1" ref="AH22" ca="1">OFFSET(テーブル!$X$48, 0, MATCH(B30,テーブル!$Y$47:$Z$47,0), COUNTA(OFFSET(テーブル!$X$48,0,MATCH(はじめに入力してください!$K$50,テーブル!$Y$47:$Z$47,0),$Z$30,1)),1)</f>
        <v>#N/A</v>
      </c>
    </row>
    <row r="23" spans="1:34" ht="20.100000000000001" customHeight="1"/>
    <row r="24" spans="1:34" ht="20.100000000000001" customHeight="1">
      <c r="B24" s="705" t="s">
        <v>453</v>
      </c>
      <c r="C24" s="705"/>
      <c r="D24" s="705"/>
      <c r="E24" s="705"/>
      <c r="F24" s="705"/>
      <c r="G24" s="705"/>
      <c r="H24" s="705"/>
      <c r="I24" s="705"/>
      <c r="J24" s="705"/>
      <c r="K24" s="705"/>
      <c r="L24" s="705"/>
      <c r="M24" s="705"/>
      <c r="N24" s="705"/>
      <c r="O24" s="705"/>
      <c r="AC24" s="14"/>
    </row>
    <row r="25" spans="1:34" ht="9.9499999999999993" customHeight="1"/>
    <row r="26" spans="1:34" ht="60" customHeight="1">
      <c r="B26" s="1813" t="s">
        <v>561</v>
      </c>
      <c r="C26" s="932"/>
      <c r="D26" s="932"/>
      <c r="E26" s="932"/>
      <c r="F26" s="932"/>
      <c r="G26" s="932"/>
      <c r="H26" s="932"/>
      <c r="I26" s="932"/>
      <c r="J26" s="932"/>
      <c r="K26" s="932"/>
      <c r="L26" s="932"/>
      <c r="M26" s="932"/>
      <c r="N26" s="932"/>
      <c r="O26" s="932"/>
      <c r="AC26" s="701" t="str">
        <f xml:space="preserve">
IF(COUNTIF(AC30:AC74,"○")=45,"○",
IF(COUNTIF(AC30:AC74,"×")&gt;=1,"×",
IF(AND(COUNTIF(AC30:AC74,"◎")&gt;=1,COUNTIF(AC30:AC74,"×")=0),"◎")))</f>
        <v>○</v>
      </c>
      <c r="AD26" s="702" t="str">
        <f xml:space="preserve">
IF(COUNTIF(AC30:AC74,"○")=45,"整備しない場合は入力不要です。",
IF(COUNTIF(AC30:AC74,"×")&gt;=1,"【要修正】入力が不十分な箇所があります。",
IF(AND(COUNTIF(AC30:AC74,"◎")&gt;=1,COUNTIF(AC30:AC74,"×")=0),"適切に入力がされました。")))</f>
        <v>整備しない場合は入力不要です。</v>
      </c>
    </row>
    <row r="27" spans="1:34" ht="9.9499999999999993" customHeight="1">
      <c r="AC27" s="1807" t="s">
        <v>418</v>
      </c>
      <c r="AD27" s="1810" t="s">
        <v>420</v>
      </c>
    </row>
    <row r="28" spans="1:34" ht="18.75">
      <c r="B28" s="1823" t="s">
        <v>41</v>
      </c>
      <c r="C28" s="1824"/>
      <c r="D28" s="1825"/>
      <c r="E28" s="1823" t="s">
        <v>42</v>
      </c>
      <c r="F28" s="1825"/>
      <c r="G28" s="1823" t="s">
        <v>43</v>
      </c>
      <c r="H28" s="1824"/>
      <c r="I28" s="1824"/>
      <c r="J28" s="1825"/>
      <c r="K28" s="1828" t="str">
        <f xml:space="preserve">
IF(表紙!$X$2="事前協議","納品予定日",
IF(表紙!$X$2="交付申請（２次）","納品予定日",
IF(表紙!$X$2="変更申請","納品予定日",
IF(表紙!$X$2="実績報告（１次）","納品日",
IF(表紙!$X$2="実績報告（２次）","納品日",
IF(表紙!$X$2="交付申請兼実績報告","納品日"))))))</f>
        <v>納品予定日</v>
      </c>
      <c r="L28" s="1369"/>
      <c r="M28" s="1369"/>
      <c r="N28" s="1826" t="s">
        <v>44</v>
      </c>
      <c r="O28" s="1826" t="s">
        <v>45</v>
      </c>
      <c r="Q28" s="1805" t="str">
        <f>K28</f>
        <v>納品予定日</v>
      </c>
      <c r="R28" s="603"/>
      <c r="S28" s="603"/>
      <c r="T28" s="602"/>
      <c r="AC28" s="1084"/>
      <c r="AD28" s="1811"/>
    </row>
    <row r="29" spans="1:34">
      <c r="B29" s="704" t="s">
        <v>46</v>
      </c>
      <c r="C29" s="704" t="s">
        <v>47</v>
      </c>
      <c r="D29" s="704" t="s">
        <v>48</v>
      </c>
      <c r="E29" s="704" t="s">
        <v>54</v>
      </c>
      <c r="F29" s="704" t="s">
        <v>49</v>
      </c>
      <c r="G29" s="704" t="s">
        <v>50</v>
      </c>
      <c r="H29" s="704" t="s">
        <v>51</v>
      </c>
      <c r="I29" s="704" t="s">
        <v>52</v>
      </c>
      <c r="J29" s="704" t="s">
        <v>53</v>
      </c>
      <c r="K29" s="704" t="s">
        <v>1387</v>
      </c>
      <c r="L29" s="704" t="s">
        <v>1388</v>
      </c>
      <c r="M29" s="704" t="s">
        <v>1389</v>
      </c>
      <c r="N29" s="1827"/>
      <c r="O29" s="1827"/>
      <c r="Q29" s="1806"/>
      <c r="R29" s="701" t="s">
        <v>1387</v>
      </c>
      <c r="S29" s="701" t="s">
        <v>1388</v>
      </c>
      <c r="T29" s="701" t="s">
        <v>1389</v>
      </c>
      <c r="AC29" s="701" t="s">
        <v>415</v>
      </c>
      <c r="AD29" s="701" t="s">
        <v>417</v>
      </c>
    </row>
    <row r="30" spans="1:34">
      <c r="A30" s="12">
        <v>1</v>
      </c>
      <c r="B30" s="6"/>
      <c r="C30" s="6"/>
      <c r="D30" s="6"/>
      <c r="E30" s="10"/>
      <c r="F30" s="7"/>
      <c r="G30" s="541"/>
      <c r="H30" s="15">
        <f>ROUNDDOWN(G30*1.1,0)</f>
        <v>0</v>
      </c>
      <c r="I30" s="4">
        <f>F30*H30</f>
        <v>0</v>
      </c>
      <c r="J30" s="9"/>
      <c r="K30" s="609"/>
      <c r="L30" s="609"/>
      <c r="M30" s="609"/>
      <c r="N30" s="4">
        <f>IF(AND(AC30="◎",J30="補助対象"),I30,0)</f>
        <v>0</v>
      </c>
      <c r="O30" s="5" t="str">
        <f>IF(AC30="◎",COUNTIF($AC$30:AC30,"◎"),"")</f>
        <v/>
      </c>
      <c r="Q30" s="610" t="str">
        <f>IF(AND(AC30="◎",J30="補助対象"),DATE(IF(K30=5,2023,IF(K30=6,2024)),L30,M30),"")</f>
        <v/>
      </c>
      <c r="R30" s="701" t="str">
        <f>IF(Q30=MAX($Q$30:$Q$74),K30,"")</f>
        <v/>
      </c>
      <c r="S30" s="701" t="str">
        <f>IF(Q30=MAX($Q$30:$Q$74),L30,"")</f>
        <v/>
      </c>
      <c r="T30" s="701" t="str">
        <f>IF(Q30=MAX($Q$30:$Q$74),M30,"")</f>
        <v/>
      </c>
      <c r="Z30" s="702" t="str">
        <f>IF(B30="個別病床",はじめに入力してください!$K$50,IF(B30="共通使用",はじめに入力してください!$K$52,""))</f>
        <v/>
      </c>
      <c r="AB30" s="12">
        <v>1</v>
      </c>
      <c r="AC30" s="701" t="str">
        <f xml:space="preserve">
IF(SUM(COUNTA(B30:G30),COUNTA(J30:M30))=0,"○",
IF(AND(SUM(COUNTA(B30:G30),COUNTA(J30:M30))&gt;0,SUM(COUNTA(B30:G30),COUNTA(J30:M30))&lt;10),"×",
IF(SUM(COUNTA(B30:G30),COUNTA(J30:M30))=10,"◎")))</f>
        <v>○</v>
      </c>
      <c r="AD30" s="702" t="str">
        <f xml:space="preserve">
IF(SUM(COUNTA(B30:G30),COUNTA(J30:M30))=0,"整備しない場合は入力不要です。",
IF(AND(SUM(COUNTA(B30:G30),COUNTA(J30:M30))&gt;0,SUM(COUNTA(B30:G30),COUNTA(J30:M30))&lt;10),"【要修正】未入力の箇所があります。",
IF(SUM(COUNTA(B30:G30),COUNTA(J30:M30))=10,"適切に入力がされました。")))</f>
        <v>整備しない場合は入力不要です。</v>
      </c>
    </row>
    <row r="31" spans="1:34">
      <c r="A31" s="12">
        <v>2</v>
      </c>
      <c r="B31" s="6"/>
      <c r="C31" s="6"/>
      <c r="D31" s="6"/>
      <c r="E31" s="10"/>
      <c r="F31" s="7"/>
      <c r="G31" s="541"/>
      <c r="H31" s="15">
        <f t="shared" ref="H31:H74" si="0">ROUNDDOWN(G31*1.1,0)</f>
        <v>0</v>
      </c>
      <c r="I31" s="4">
        <f t="shared" ref="I31:I74" si="1">F31*H31</f>
        <v>0</v>
      </c>
      <c r="J31" s="9"/>
      <c r="K31" s="609"/>
      <c r="L31" s="609"/>
      <c r="M31" s="609"/>
      <c r="N31" s="4">
        <f t="shared" ref="N31:N74" si="2">IF(J31="補助対象",I31,IF(J31="補助対象外",0,0))</f>
        <v>0</v>
      </c>
      <c r="O31" s="5" t="str">
        <f>IF(AC31="◎",COUNTIF($AC$30:AC31,"◎"),"")</f>
        <v/>
      </c>
      <c r="Q31" s="610" t="str">
        <f t="shared" ref="Q31:Q74" si="3">IF(AND(AC31="◎",J31="補助対象"),DATE(IF(K31=5,2023,IF(K31=6,2024)),L31,M31),"")</f>
        <v/>
      </c>
      <c r="R31" s="701" t="str">
        <f t="shared" ref="R31:R74" si="4">IF(Q31=MAX($Q$30:$Q$74),K31,"")</f>
        <v/>
      </c>
      <c r="S31" s="701" t="str">
        <f t="shared" ref="S31:S74" si="5">IF(Q31=MAX($Q$30:$Q$74),L31,"")</f>
        <v/>
      </c>
      <c r="T31" s="701" t="str">
        <f t="shared" ref="T31:T74" si="6">IF(Q31=MAX($Q$30:$Q$74),M31,"")</f>
        <v/>
      </c>
      <c r="Z31" s="702" t="str">
        <f>IF(B31="個別病床",はじめに入力してください!$K$50,IF(B31="共通使用",はじめに入力してください!$K$52,""))</f>
        <v/>
      </c>
      <c r="AB31" s="12">
        <v>2</v>
      </c>
      <c r="AC31" s="701" t="str">
        <f t="shared" ref="AC31:AC74" si="7" xml:space="preserve">
IF(SUM(COUNTA(B31:G31),COUNTA(J31:M31))=0,"○",
IF(AND(SUM(COUNTA(B31:G31),COUNTA(J31:M31))&gt;0,SUM(COUNTA(B31:G31),COUNTA(J31:M31))&lt;10),"×",
IF(SUM(COUNTA(B31:G31),COUNTA(J31:M31))=10,"◎")))</f>
        <v>○</v>
      </c>
      <c r="AD31" s="702" t="str">
        <f t="shared" ref="AD31:AD74" si="8" xml:space="preserve">
IF(SUM(COUNTA(B31:G31),COUNTA(J31:M31))=0,"整備しない場合は入力不要です。",
IF(AND(SUM(COUNTA(B31:G31),COUNTA(J31:M31))&gt;0,SUM(COUNTA(B31:G31),COUNTA(J31:M31))&lt;10),"【要修正】未入力の箇所があります。",
IF(SUM(COUNTA(B31:G31),COUNTA(J31:M31))=10,"適切に入力がされました。")))</f>
        <v>整備しない場合は入力不要です。</v>
      </c>
    </row>
    <row r="32" spans="1:34">
      <c r="A32" s="12">
        <v>3</v>
      </c>
      <c r="B32" s="6"/>
      <c r="C32" s="6"/>
      <c r="D32" s="6"/>
      <c r="E32" s="10"/>
      <c r="F32" s="7"/>
      <c r="G32" s="541"/>
      <c r="H32" s="15">
        <f t="shared" si="0"/>
        <v>0</v>
      </c>
      <c r="I32" s="4">
        <f t="shared" si="1"/>
        <v>0</v>
      </c>
      <c r="J32" s="9"/>
      <c r="K32" s="609"/>
      <c r="L32" s="609"/>
      <c r="M32" s="609"/>
      <c r="N32" s="4">
        <f t="shared" si="2"/>
        <v>0</v>
      </c>
      <c r="O32" s="5" t="str">
        <f>IF(AC32="◎",COUNTIF($AC$30:AC32,"◎"),"")</f>
        <v/>
      </c>
      <c r="Q32" s="610" t="str">
        <f t="shared" si="3"/>
        <v/>
      </c>
      <c r="R32" s="701" t="str">
        <f t="shared" si="4"/>
        <v/>
      </c>
      <c r="S32" s="701" t="str">
        <f t="shared" si="5"/>
        <v/>
      </c>
      <c r="T32" s="701" t="str">
        <f t="shared" si="6"/>
        <v/>
      </c>
      <c r="Z32" s="702" t="str">
        <f>IF(B32="個別病床",はじめに入力してください!$K$50,IF(B32="共通使用",はじめに入力してください!$K$52,""))</f>
        <v/>
      </c>
      <c r="AB32" s="12">
        <v>3</v>
      </c>
      <c r="AC32" s="701" t="str">
        <f t="shared" si="7"/>
        <v>○</v>
      </c>
      <c r="AD32" s="702" t="str">
        <f t="shared" si="8"/>
        <v>整備しない場合は入力不要です。</v>
      </c>
    </row>
    <row r="33" spans="1:30">
      <c r="A33" s="12">
        <v>4</v>
      </c>
      <c r="B33" s="6"/>
      <c r="C33" s="6"/>
      <c r="D33" s="6"/>
      <c r="E33" s="10"/>
      <c r="F33" s="7"/>
      <c r="G33" s="541"/>
      <c r="H33" s="15">
        <f t="shared" si="0"/>
        <v>0</v>
      </c>
      <c r="I33" s="4">
        <f t="shared" si="1"/>
        <v>0</v>
      </c>
      <c r="J33" s="9"/>
      <c r="K33" s="609"/>
      <c r="L33" s="609"/>
      <c r="M33" s="609"/>
      <c r="N33" s="4">
        <f t="shared" si="2"/>
        <v>0</v>
      </c>
      <c r="O33" s="5" t="str">
        <f>IF(AC33="◎",COUNTIF($AC$30:AC33,"◎"),"")</f>
        <v/>
      </c>
      <c r="Q33" s="610" t="str">
        <f t="shared" si="3"/>
        <v/>
      </c>
      <c r="R33" s="701" t="str">
        <f t="shared" si="4"/>
        <v/>
      </c>
      <c r="S33" s="701" t="str">
        <f t="shared" si="5"/>
        <v/>
      </c>
      <c r="T33" s="701" t="str">
        <f t="shared" si="6"/>
        <v/>
      </c>
      <c r="Z33" s="702" t="str">
        <f>IF(B33="個別病床",はじめに入力してください!$K$50,IF(B33="共通使用",はじめに入力してください!$K$52,""))</f>
        <v/>
      </c>
      <c r="AB33" s="12">
        <v>4</v>
      </c>
      <c r="AC33" s="701" t="str">
        <f t="shared" si="7"/>
        <v>○</v>
      </c>
      <c r="AD33" s="702" t="str">
        <f t="shared" si="8"/>
        <v>整備しない場合は入力不要です。</v>
      </c>
    </row>
    <row r="34" spans="1:30">
      <c r="A34" s="12">
        <v>5</v>
      </c>
      <c r="B34" s="6"/>
      <c r="C34" s="6"/>
      <c r="D34" s="6"/>
      <c r="E34" s="10"/>
      <c r="F34" s="7"/>
      <c r="G34" s="541"/>
      <c r="H34" s="15">
        <f t="shared" si="0"/>
        <v>0</v>
      </c>
      <c r="I34" s="4">
        <f t="shared" si="1"/>
        <v>0</v>
      </c>
      <c r="J34" s="9"/>
      <c r="K34" s="609"/>
      <c r="L34" s="609"/>
      <c r="M34" s="609"/>
      <c r="N34" s="4">
        <f t="shared" si="2"/>
        <v>0</v>
      </c>
      <c r="O34" s="5" t="str">
        <f>IF(AC34="◎",COUNTIF($AC$30:AC34,"◎"),"")</f>
        <v/>
      </c>
      <c r="Q34" s="610" t="str">
        <f t="shared" si="3"/>
        <v/>
      </c>
      <c r="R34" s="701" t="str">
        <f t="shared" si="4"/>
        <v/>
      </c>
      <c r="S34" s="701" t="str">
        <f t="shared" si="5"/>
        <v/>
      </c>
      <c r="T34" s="701" t="str">
        <f t="shared" si="6"/>
        <v/>
      </c>
      <c r="Z34" s="702" t="str">
        <f>IF(B34="個別病床",はじめに入力してください!$K$50,IF(B34="共通使用",はじめに入力してください!$K$52,""))</f>
        <v/>
      </c>
      <c r="AB34" s="12">
        <v>5</v>
      </c>
      <c r="AC34" s="701" t="str">
        <f t="shared" si="7"/>
        <v>○</v>
      </c>
      <c r="AD34" s="702" t="str">
        <f t="shared" si="8"/>
        <v>整備しない場合は入力不要です。</v>
      </c>
    </row>
    <row r="35" spans="1:30">
      <c r="A35" s="12">
        <v>6</v>
      </c>
      <c r="B35" s="6"/>
      <c r="C35" s="6"/>
      <c r="D35" s="6"/>
      <c r="E35" s="10"/>
      <c r="F35" s="7"/>
      <c r="G35" s="541"/>
      <c r="H35" s="15">
        <f t="shared" si="0"/>
        <v>0</v>
      </c>
      <c r="I35" s="4">
        <f t="shared" si="1"/>
        <v>0</v>
      </c>
      <c r="J35" s="9"/>
      <c r="K35" s="609"/>
      <c r="L35" s="609"/>
      <c r="M35" s="609"/>
      <c r="N35" s="4">
        <f t="shared" si="2"/>
        <v>0</v>
      </c>
      <c r="O35" s="5" t="str">
        <f>IF(AC35="◎",COUNTIF($AC$30:AC35,"◎"),"")</f>
        <v/>
      </c>
      <c r="Q35" s="610" t="str">
        <f t="shared" si="3"/>
        <v/>
      </c>
      <c r="R35" s="701" t="str">
        <f t="shared" si="4"/>
        <v/>
      </c>
      <c r="S35" s="701" t="str">
        <f t="shared" si="5"/>
        <v/>
      </c>
      <c r="T35" s="701" t="str">
        <f t="shared" si="6"/>
        <v/>
      </c>
      <c r="Z35" s="702" t="str">
        <f>IF(B35="個別病床",はじめに入力してください!$K$50,IF(B35="共通使用",はじめに入力してください!$K$52,""))</f>
        <v/>
      </c>
      <c r="AB35" s="12">
        <v>6</v>
      </c>
      <c r="AC35" s="701" t="str">
        <f t="shared" si="7"/>
        <v>○</v>
      </c>
      <c r="AD35" s="702" t="str">
        <f t="shared" si="8"/>
        <v>整備しない場合は入力不要です。</v>
      </c>
    </row>
    <row r="36" spans="1:30">
      <c r="A36" s="12">
        <v>7</v>
      </c>
      <c r="B36" s="6"/>
      <c r="C36" s="6"/>
      <c r="D36" s="6"/>
      <c r="E36" s="10"/>
      <c r="F36" s="7"/>
      <c r="G36" s="541"/>
      <c r="H36" s="15">
        <f t="shared" si="0"/>
        <v>0</v>
      </c>
      <c r="I36" s="4">
        <f t="shared" si="1"/>
        <v>0</v>
      </c>
      <c r="J36" s="9"/>
      <c r="K36" s="609"/>
      <c r="L36" s="609"/>
      <c r="M36" s="609"/>
      <c r="N36" s="4">
        <f t="shared" si="2"/>
        <v>0</v>
      </c>
      <c r="O36" s="5" t="str">
        <f>IF(AC36="◎",COUNTIF($AC$30:AC36,"◎"),"")</f>
        <v/>
      </c>
      <c r="Q36" s="610" t="str">
        <f t="shared" si="3"/>
        <v/>
      </c>
      <c r="R36" s="701" t="str">
        <f t="shared" si="4"/>
        <v/>
      </c>
      <c r="S36" s="701" t="str">
        <f t="shared" si="5"/>
        <v/>
      </c>
      <c r="T36" s="701" t="str">
        <f t="shared" si="6"/>
        <v/>
      </c>
      <c r="Z36" s="702" t="str">
        <f>IF(B36="個別病床",はじめに入力してください!$K$50,IF(B36="共通使用",はじめに入力してください!$K$52,""))</f>
        <v/>
      </c>
      <c r="AB36" s="12">
        <v>7</v>
      </c>
      <c r="AC36" s="701" t="str">
        <f t="shared" si="7"/>
        <v>○</v>
      </c>
      <c r="AD36" s="702" t="str">
        <f t="shared" si="8"/>
        <v>整備しない場合は入力不要です。</v>
      </c>
    </row>
    <row r="37" spans="1:30">
      <c r="A37" s="12">
        <v>8</v>
      </c>
      <c r="B37" s="6"/>
      <c r="C37" s="6"/>
      <c r="D37" s="6"/>
      <c r="E37" s="10"/>
      <c r="F37" s="7"/>
      <c r="G37" s="541"/>
      <c r="H37" s="15">
        <f t="shared" si="0"/>
        <v>0</v>
      </c>
      <c r="I37" s="4">
        <f t="shared" si="1"/>
        <v>0</v>
      </c>
      <c r="J37" s="9"/>
      <c r="K37" s="609"/>
      <c r="L37" s="609"/>
      <c r="M37" s="609"/>
      <c r="N37" s="4">
        <f t="shared" si="2"/>
        <v>0</v>
      </c>
      <c r="O37" s="5" t="str">
        <f>IF(AC37="◎",COUNTIF($AC$30:AC37,"◎"),"")</f>
        <v/>
      </c>
      <c r="Q37" s="610" t="str">
        <f t="shared" si="3"/>
        <v/>
      </c>
      <c r="R37" s="701" t="str">
        <f t="shared" si="4"/>
        <v/>
      </c>
      <c r="S37" s="701" t="str">
        <f t="shared" si="5"/>
        <v/>
      </c>
      <c r="T37" s="701" t="str">
        <f t="shared" si="6"/>
        <v/>
      </c>
      <c r="Z37" s="702" t="str">
        <f>IF(B37="個別病床",はじめに入力してください!$K$50,IF(B37="共通使用",はじめに入力してください!$K$52,""))</f>
        <v/>
      </c>
      <c r="AB37" s="12">
        <v>8</v>
      </c>
      <c r="AC37" s="701" t="str">
        <f t="shared" si="7"/>
        <v>○</v>
      </c>
      <c r="AD37" s="702" t="str">
        <f t="shared" si="8"/>
        <v>整備しない場合は入力不要です。</v>
      </c>
    </row>
    <row r="38" spans="1:30">
      <c r="A38" s="12">
        <v>9</v>
      </c>
      <c r="B38" s="6"/>
      <c r="C38" s="6"/>
      <c r="D38" s="6"/>
      <c r="E38" s="10"/>
      <c r="F38" s="7"/>
      <c r="G38" s="541"/>
      <c r="H38" s="15">
        <f t="shared" si="0"/>
        <v>0</v>
      </c>
      <c r="I38" s="4">
        <f t="shared" si="1"/>
        <v>0</v>
      </c>
      <c r="J38" s="9"/>
      <c r="K38" s="609"/>
      <c r="L38" s="609"/>
      <c r="M38" s="609"/>
      <c r="N38" s="4">
        <f t="shared" si="2"/>
        <v>0</v>
      </c>
      <c r="O38" s="5" t="str">
        <f>IF(AC38="◎",COUNTIF($AC$30:AC38,"◎"),"")</f>
        <v/>
      </c>
      <c r="Q38" s="610" t="str">
        <f t="shared" si="3"/>
        <v/>
      </c>
      <c r="R38" s="701" t="str">
        <f t="shared" si="4"/>
        <v/>
      </c>
      <c r="S38" s="701" t="str">
        <f t="shared" si="5"/>
        <v/>
      </c>
      <c r="T38" s="701" t="str">
        <f t="shared" si="6"/>
        <v/>
      </c>
      <c r="Z38" s="702" t="str">
        <f>IF(B38="個別病床",はじめに入力してください!$K$50,IF(B38="共通使用",はじめに入力してください!$K$52,""))</f>
        <v/>
      </c>
      <c r="AB38" s="12">
        <v>9</v>
      </c>
      <c r="AC38" s="701" t="str">
        <f t="shared" si="7"/>
        <v>○</v>
      </c>
      <c r="AD38" s="702" t="str">
        <f t="shared" si="8"/>
        <v>整備しない場合は入力不要です。</v>
      </c>
    </row>
    <row r="39" spans="1:30">
      <c r="A39" s="12">
        <v>10</v>
      </c>
      <c r="B39" s="6"/>
      <c r="C39" s="6"/>
      <c r="D39" s="6"/>
      <c r="E39" s="10"/>
      <c r="F39" s="7"/>
      <c r="G39" s="541"/>
      <c r="H39" s="15">
        <f t="shared" si="0"/>
        <v>0</v>
      </c>
      <c r="I39" s="4">
        <f t="shared" si="1"/>
        <v>0</v>
      </c>
      <c r="J39" s="9"/>
      <c r="K39" s="609"/>
      <c r="L39" s="609"/>
      <c r="M39" s="609"/>
      <c r="N39" s="4">
        <f t="shared" si="2"/>
        <v>0</v>
      </c>
      <c r="O39" s="5" t="str">
        <f>IF(AC39="◎",COUNTIF($AC$30:AC39,"◎"),"")</f>
        <v/>
      </c>
      <c r="Q39" s="610" t="str">
        <f t="shared" si="3"/>
        <v/>
      </c>
      <c r="R39" s="701" t="str">
        <f t="shared" si="4"/>
        <v/>
      </c>
      <c r="S39" s="701" t="str">
        <f t="shared" si="5"/>
        <v/>
      </c>
      <c r="T39" s="701" t="str">
        <f t="shared" si="6"/>
        <v/>
      </c>
      <c r="Z39" s="702" t="str">
        <f>IF(B39="個別病床",はじめに入力してください!$K$50,IF(B39="共通使用",はじめに入力してください!$K$52,""))</f>
        <v/>
      </c>
      <c r="AB39" s="12">
        <v>10</v>
      </c>
      <c r="AC39" s="701" t="str">
        <f t="shared" si="7"/>
        <v>○</v>
      </c>
      <c r="AD39" s="702" t="str">
        <f t="shared" si="8"/>
        <v>整備しない場合は入力不要です。</v>
      </c>
    </row>
    <row r="40" spans="1:30">
      <c r="A40" s="12">
        <v>11</v>
      </c>
      <c r="B40" s="6"/>
      <c r="C40" s="6"/>
      <c r="D40" s="6"/>
      <c r="E40" s="10"/>
      <c r="F40" s="7"/>
      <c r="G40" s="541"/>
      <c r="H40" s="15">
        <f t="shared" si="0"/>
        <v>0</v>
      </c>
      <c r="I40" s="4">
        <f t="shared" si="1"/>
        <v>0</v>
      </c>
      <c r="J40" s="9"/>
      <c r="K40" s="609"/>
      <c r="L40" s="609"/>
      <c r="M40" s="609"/>
      <c r="N40" s="4">
        <f t="shared" si="2"/>
        <v>0</v>
      </c>
      <c r="O40" s="5" t="str">
        <f>IF(AC40="◎",COUNTIF($AC$30:AC40,"◎"),"")</f>
        <v/>
      </c>
      <c r="Q40" s="610" t="str">
        <f t="shared" si="3"/>
        <v/>
      </c>
      <c r="R40" s="701" t="str">
        <f t="shared" si="4"/>
        <v/>
      </c>
      <c r="S40" s="701" t="str">
        <f t="shared" si="5"/>
        <v/>
      </c>
      <c r="T40" s="701" t="str">
        <f t="shared" si="6"/>
        <v/>
      </c>
      <c r="Z40" s="702" t="str">
        <f>IF(B40="個別病床",はじめに入力してください!$K$50,IF(B40="共通使用",はじめに入力してください!$K$52,""))</f>
        <v/>
      </c>
      <c r="AB40" s="12">
        <v>11</v>
      </c>
      <c r="AC40" s="701" t="str">
        <f t="shared" si="7"/>
        <v>○</v>
      </c>
      <c r="AD40" s="702" t="str">
        <f t="shared" si="8"/>
        <v>整備しない場合は入力不要です。</v>
      </c>
    </row>
    <row r="41" spans="1:30">
      <c r="A41" s="12">
        <v>12</v>
      </c>
      <c r="B41" s="6"/>
      <c r="C41" s="6"/>
      <c r="D41" s="6"/>
      <c r="E41" s="10"/>
      <c r="F41" s="7"/>
      <c r="G41" s="541"/>
      <c r="H41" s="15">
        <f t="shared" si="0"/>
        <v>0</v>
      </c>
      <c r="I41" s="4">
        <f t="shared" si="1"/>
        <v>0</v>
      </c>
      <c r="J41" s="9"/>
      <c r="K41" s="609"/>
      <c r="L41" s="609"/>
      <c r="M41" s="609"/>
      <c r="N41" s="4">
        <f t="shared" si="2"/>
        <v>0</v>
      </c>
      <c r="O41" s="5" t="str">
        <f>IF(AC41="◎",COUNTIF($AC$30:AC41,"◎"),"")</f>
        <v/>
      </c>
      <c r="Q41" s="610" t="str">
        <f t="shared" si="3"/>
        <v/>
      </c>
      <c r="R41" s="701" t="str">
        <f t="shared" si="4"/>
        <v/>
      </c>
      <c r="S41" s="701" t="str">
        <f t="shared" si="5"/>
        <v/>
      </c>
      <c r="T41" s="701" t="str">
        <f t="shared" si="6"/>
        <v/>
      </c>
      <c r="Z41" s="702" t="str">
        <f>IF(B41="個別病床",はじめに入力してください!$K$50,IF(B41="共通使用",はじめに入力してください!$K$52,""))</f>
        <v/>
      </c>
      <c r="AB41" s="12">
        <v>12</v>
      </c>
      <c r="AC41" s="701" t="str">
        <f t="shared" si="7"/>
        <v>○</v>
      </c>
      <c r="AD41" s="702" t="str">
        <f t="shared" si="8"/>
        <v>整備しない場合は入力不要です。</v>
      </c>
    </row>
    <row r="42" spans="1:30">
      <c r="A42" s="12">
        <v>13</v>
      </c>
      <c r="B42" s="6"/>
      <c r="C42" s="6"/>
      <c r="D42" s="6"/>
      <c r="E42" s="10"/>
      <c r="F42" s="7"/>
      <c r="G42" s="541"/>
      <c r="H42" s="15">
        <f t="shared" si="0"/>
        <v>0</v>
      </c>
      <c r="I42" s="4">
        <f t="shared" si="1"/>
        <v>0</v>
      </c>
      <c r="J42" s="9"/>
      <c r="K42" s="609"/>
      <c r="L42" s="609"/>
      <c r="M42" s="609"/>
      <c r="N42" s="4">
        <f t="shared" si="2"/>
        <v>0</v>
      </c>
      <c r="O42" s="5" t="str">
        <f>IF(AC42="◎",COUNTIF($AC$30:AC42,"◎"),"")</f>
        <v/>
      </c>
      <c r="Q42" s="610" t="str">
        <f t="shared" si="3"/>
        <v/>
      </c>
      <c r="R42" s="701" t="str">
        <f t="shared" si="4"/>
        <v/>
      </c>
      <c r="S42" s="701" t="str">
        <f t="shared" si="5"/>
        <v/>
      </c>
      <c r="T42" s="701" t="str">
        <f t="shared" si="6"/>
        <v/>
      </c>
      <c r="Z42" s="702" t="str">
        <f>IF(B42="個別病床",はじめに入力してください!$K$50,IF(B42="共通使用",はじめに入力してください!$K$52,""))</f>
        <v/>
      </c>
      <c r="AB42" s="12">
        <v>13</v>
      </c>
      <c r="AC42" s="701" t="str">
        <f t="shared" si="7"/>
        <v>○</v>
      </c>
      <c r="AD42" s="702" t="str">
        <f t="shared" si="8"/>
        <v>整備しない場合は入力不要です。</v>
      </c>
    </row>
    <row r="43" spans="1:30">
      <c r="A43" s="12">
        <v>14</v>
      </c>
      <c r="B43" s="6"/>
      <c r="C43" s="6"/>
      <c r="D43" s="6"/>
      <c r="E43" s="10"/>
      <c r="F43" s="7"/>
      <c r="G43" s="541"/>
      <c r="H43" s="15">
        <f t="shared" si="0"/>
        <v>0</v>
      </c>
      <c r="I43" s="4">
        <f t="shared" si="1"/>
        <v>0</v>
      </c>
      <c r="J43" s="9"/>
      <c r="K43" s="609"/>
      <c r="L43" s="609"/>
      <c r="M43" s="609"/>
      <c r="N43" s="4">
        <f t="shared" si="2"/>
        <v>0</v>
      </c>
      <c r="O43" s="5" t="str">
        <f>IF(AC43="◎",COUNTIF($AC$30:AC43,"◎"),"")</f>
        <v/>
      </c>
      <c r="Q43" s="610" t="str">
        <f t="shared" si="3"/>
        <v/>
      </c>
      <c r="R43" s="701" t="str">
        <f t="shared" si="4"/>
        <v/>
      </c>
      <c r="S43" s="701" t="str">
        <f t="shared" si="5"/>
        <v/>
      </c>
      <c r="T43" s="701" t="str">
        <f t="shared" si="6"/>
        <v/>
      </c>
      <c r="Z43" s="702" t="str">
        <f>IF(B43="個別病床",はじめに入力してください!$K$50,IF(B43="共通使用",はじめに入力してください!$K$52,""))</f>
        <v/>
      </c>
      <c r="AB43" s="12">
        <v>14</v>
      </c>
      <c r="AC43" s="701" t="str">
        <f t="shared" si="7"/>
        <v>○</v>
      </c>
      <c r="AD43" s="702" t="str">
        <f t="shared" si="8"/>
        <v>整備しない場合は入力不要です。</v>
      </c>
    </row>
    <row r="44" spans="1:30">
      <c r="A44" s="12">
        <v>15</v>
      </c>
      <c r="B44" s="6"/>
      <c r="C44" s="6"/>
      <c r="D44" s="6"/>
      <c r="E44" s="10"/>
      <c r="F44" s="7"/>
      <c r="G44" s="541"/>
      <c r="H44" s="15">
        <f t="shared" si="0"/>
        <v>0</v>
      </c>
      <c r="I44" s="4">
        <f t="shared" si="1"/>
        <v>0</v>
      </c>
      <c r="J44" s="9"/>
      <c r="K44" s="609"/>
      <c r="L44" s="609"/>
      <c r="M44" s="609"/>
      <c r="N44" s="4">
        <f t="shared" si="2"/>
        <v>0</v>
      </c>
      <c r="O44" s="5" t="str">
        <f>IF(AC44="◎",COUNTIF($AC$30:AC44,"◎"),"")</f>
        <v/>
      </c>
      <c r="Q44" s="610" t="str">
        <f t="shared" si="3"/>
        <v/>
      </c>
      <c r="R44" s="701" t="str">
        <f t="shared" si="4"/>
        <v/>
      </c>
      <c r="S44" s="701" t="str">
        <f t="shared" si="5"/>
        <v/>
      </c>
      <c r="T44" s="701" t="str">
        <f t="shared" si="6"/>
        <v/>
      </c>
      <c r="Z44" s="702" t="str">
        <f>IF(B44="個別病床",はじめに入力してください!$K$50,IF(B44="共通使用",はじめに入力してください!$K$52,""))</f>
        <v/>
      </c>
      <c r="AB44" s="12">
        <v>15</v>
      </c>
      <c r="AC44" s="701" t="str">
        <f t="shared" si="7"/>
        <v>○</v>
      </c>
      <c r="AD44" s="702" t="str">
        <f t="shared" si="8"/>
        <v>整備しない場合は入力不要です。</v>
      </c>
    </row>
    <row r="45" spans="1:30">
      <c r="A45" s="12">
        <v>16</v>
      </c>
      <c r="B45" s="6"/>
      <c r="C45" s="6"/>
      <c r="D45" s="6"/>
      <c r="E45" s="10"/>
      <c r="F45" s="7"/>
      <c r="G45" s="541"/>
      <c r="H45" s="15">
        <f t="shared" si="0"/>
        <v>0</v>
      </c>
      <c r="I45" s="4">
        <f t="shared" si="1"/>
        <v>0</v>
      </c>
      <c r="J45" s="9"/>
      <c r="K45" s="609"/>
      <c r="L45" s="609"/>
      <c r="M45" s="609"/>
      <c r="N45" s="4">
        <f t="shared" si="2"/>
        <v>0</v>
      </c>
      <c r="O45" s="5" t="str">
        <f>IF(AC45="◎",COUNTIF($AC$30:AC45,"◎"),"")</f>
        <v/>
      </c>
      <c r="Q45" s="610" t="str">
        <f t="shared" si="3"/>
        <v/>
      </c>
      <c r="R45" s="701" t="str">
        <f t="shared" si="4"/>
        <v/>
      </c>
      <c r="S45" s="701" t="str">
        <f t="shared" si="5"/>
        <v/>
      </c>
      <c r="T45" s="701" t="str">
        <f t="shared" si="6"/>
        <v/>
      </c>
      <c r="Z45" s="702" t="str">
        <f>IF(B45="個別病床",はじめに入力してください!$K$50,IF(B45="共通使用",はじめに入力してください!$K$52,""))</f>
        <v/>
      </c>
      <c r="AB45" s="12">
        <v>16</v>
      </c>
      <c r="AC45" s="701" t="str">
        <f t="shared" si="7"/>
        <v>○</v>
      </c>
      <c r="AD45" s="702" t="str">
        <f t="shared" si="8"/>
        <v>整備しない場合は入力不要です。</v>
      </c>
    </row>
    <row r="46" spans="1:30">
      <c r="A46" s="12">
        <v>17</v>
      </c>
      <c r="B46" s="6"/>
      <c r="C46" s="6"/>
      <c r="D46" s="6"/>
      <c r="E46" s="10"/>
      <c r="F46" s="7"/>
      <c r="G46" s="541"/>
      <c r="H46" s="15">
        <f t="shared" si="0"/>
        <v>0</v>
      </c>
      <c r="I46" s="4">
        <f t="shared" si="1"/>
        <v>0</v>
      </c>
      <c r="J46" s="9"/>
      <c r="K46" s="609"/>
      <c r="L46" s="609"/>
      <c r="M46" s="609"/>
      <c r="N46" s="4">
        <f t="shared" si="2"/>
        <v>0</v>
      </c>
      <c r="O46" s="5" t="str">
        <f>IF(AC46="◎",COUNTIF($AC$30:AC46,"◎"),"")</f>
        <v/>
      </c>
      <c r="Q46" s="610" t="str">
        <f t="shared" si="3"/>
        <v/>
      </c>
      <c r="R46" s="701" t="str">
        <f t="shared" si="4"/>
        <v/>
      </c>
      <c r="S46" s="701" t="str">
        <f t="shared" si="5"/>
        <v/>
      </c>
      <c r="T46" s="701" t="str">
        <f t="shared" si="6"/>
        <v/>
      </c>
      <c r="Z46" s="702" t="str">
        <f>IF(B46="個別病床",はじめに入力してください!$K$50,IF(B46="共通使用",はじめに入力してください!$K$52,""))</f>
        <v/>
      </c>
      <c r="AB46" s="12">
        <v>17</v>
      </c>
      <c r="AC46" s="701" t="str">
        <f t="shared" si="7"/>
        <v>○</v>
      </c>
      <c r="AD46" s="702" t="str">
        <f t="shared" si="8"/>
        <v>整備しない場合は入力不要です。</v>
      </c>
    </row>
    <row r="47" spans="1:30">
      <c r="A47" s="12">
        <v>18</v>
      </c>
      <c r="B47" s="6"/>
      <c r="C47" s="6"/>
      <c r="D47" s="6"/>
      <c r="E47" s="10"/>
      <c r="F47" s="7"/>
      <c r="G47" s="541"/>
      <c r="H47" s="15">
        <f t="shared" si="0"/>
        <v>0</v>
      </c>
      <c r="I47" s="4">
        <f t="shared" si="1"/>
        <v>0</v>
      </c>
      <c r="J47" s="9"/>
      <c r="K47" s="609"/>
      <c r="L47" s="609"/>
      <c r="M47" s="609"/>
      <c r="N47" s="4">
        <f t="shared" si="2"/>
        <v>0</v>
      </c>
      <c r="O47" s="5" t="str">
        <f>IF(AC47="◎",COUNTIF($AC$30:AC47,"◎"),"")</f>
        <v/>
      </c>
      <c r="Q47" s="610" t="str">
        <f t="shared" si="3"/>
        <v/>
      </c>
      <c r="R47" s="701" t="str">
        <f t="shared" si="4"/>
        <v/>
      </c>
      <c r="S47" s="701" t="str">
        <f t="shared" si="5"/>
        <v/>
      </c>
      <c r="T47" s="701" t="str">
        <f t="shared" si="6"/>
        <v/>
      </c>
      <c r="Z47" s="702" t="str">
        <f>IF(B47="個別病床",はじめに入力してください!$K$50,IF(B47="共通使用",はじめに入力してください!$K$52,""))</f>
        <v/>
      </c>
      <c r="AB47" s="12">
        <v>18</v>
      </c>
      <c r="AC47" s="701" t="str">
        <f t="shared" si="7"/>
        <v>○</v>
      </c>
      <c r="AD47" s="702" t="str">
        <f t="shared" si="8"/>
        <v>整備しない場合は入力不要です。</v>
      </c>
    </row>
    <row r="48" spans="1:30">
      <c r="A48" s="12">
        <v>19</v>
      </c>
      <c r="B48" s="6"/>
      <c r="C48" s="6"/>
      <c r="D48" s="6"/>
      <c r="E48" s="10"/>
      <c r="F48" s="7"/>
      <c r="G48" s="541"/>
      <c r="H48" s="15">
        <f t="shared" si="0"/>
        <v>0</v>
      </c>
      <c r="I48" s="4">
        <f t="shared" si="1"/>
        <v>0</v>
      </c>
      <c r="J48" s="9"/>
      <c r="K48" s="609"/>
      <c r="L48" s="609"/>
      <c r="M48" s="609"/>
      <c r="N48" s="4">
        <f t="shared" si="2"/>
        <v>0</v>
      </c>
      <c r="O48" s="5" t="str">
        <f>IF(AC48="◎",COUNTIF($AC$30:AC48,"◎"),"")</f>
        <v/>
      </c>
      <c r="Q48" s="610" t="str">
        <f t="shared" si="3"/>
        <v/>
      </c>
      <c r="R48" s="701" t="str">
        <f t="shared" si="4"/>
        <v/>
      </c>
      <c r="S48" s="701" t="str">
        <f t="shared" si="5"/>
        <v/>
      </c>
      <c r="T48" s="701" t="str">
        <f t="shared" si="6"/>
        <v/>
      </c>
      <c r="Z48" s="702" t="str">
        <f>IF(B48="個別病床",はじめに入力してください!$K$50,IF(B48="共通使用",はじめに入力してください!$K$52,""))</f>
        <v/>
      </c>
      <c r="AB48" s="12">
        <v>19</v>
      </c>
      <c r="AC48" s="701" t="str">
        <f t="shared" si="7"/>
        <v>○</v>
      </c>
      <c r="AD48" s="702" t="str">
        <f t="shared" si="8"/>
        <v>整備しない場合は入力不要です。</v>
      </c>
    </row>
    <row r="49" spans="1:30">
      <c r="A49" s="12">
        <v>20</v>
      </c>
      <c r="B49" s="6"/>
      <c r="C49" s="6"/>
      <c r="D49" s="6"/>
      <c r="E49" s="10"/>
      <c r="F49" s="7"/>
      <c r="G49" s="541"/>
      <c r="H49" s="15">
        <f t="shared" si="0"/>
        <v>0</v>
      </c>
      <c r="I49" s="4">
        <f t="shared" si="1"/>
        <v>0</v>
      </c>
      <c r="J49" s="9"/>
      <c r="K49" s="609"/>
      <c r="L49" s="609"/>
      <c r="M49" s="609"/>
      <c r="N49" s="4">
        <f t="shared" si="2"/>
        <v>0</v>
      </c>
      <c r="O49" s="5" t="str">
        <f>IF(AC49="◎",COUNTIF($AC$30:AC49,"◎"),"")</f>
        <v/>
      </c>
      <c r="Q49" s="610" t="str">
        <f t="shared" si="3"/>
        <v/>
      </c>
      <c r="R49" s="701" t="str">
        <f t="shared" si="4"/>
        <v/>
      </c>
      <c r="S49" s="701" t="str">
        <f t="shared" si="5"/>
        <v/>
      </c>
      <c r="T49" s="701" t="str">
        <f t="shared" si="6"/>
        <v/>
      </c>
      <c r="Z49" s="702" t="str">
        <f>IF(B49="個別病床",はじめに入力してください!$K$50,IF(B49="共通使用",はじめに入力してください!$K$52,""))</f>
        <v/>
      </c>
      <c r="AB49" s="12">
        <v>20</v>
      </c>
      <c r="AC49" s="701" t="str">
        <f t="shared" si="7"/>
        <v>○</v>
      </c>
      <c r="AD49" s="702" t="str">
        <f t="shared" si="8"/>
        <v>整備しない場合は入力不要です。</v>
      </c>
    </row>
    <row r="50" spans="1:30">
      <c r="A50" s="12">
        <v>21</v>
      </c>
      <c r="B50" s="6"/>
      <c r="C50" s="6"/>
      <c r="D50" s="6"/>
      <c r="E50" s="10"/>
      <c r="F50" s="7"/>
      <c r="G50" s="541"/>
      <c r="H50" s="15">
        <f t="shared" si="0"/>
        <v>0</v>
      </c>
      <c r="I50" s="4">
        <f t="shared" si="1"/>
        <v>0</v>
      </c>
      <c r="J50" s="9"/>
      <c r="K50" s="609"/>
      <c r="L50" s="609"/>
      <c r="M50" s="609"/>
      <c r="N50" s="4">
        <f t="shared" si="2"/>
        <v>0</v>
      </c>
      <c r="O50" s="5" t="str">
        <f>IF(AC50="◎",COUNTIF($AC$30:AC50,"◎"),"")</f>
        <v/>
      </c>
      <c r="Q50" s="610" t="str">
        <f t="shared" si="3"/>
        <v/>
      </c>
      <c r="R50" s="701" t="str">
        <f t="shared" si="4"/>
        <v/>
      </c>
      <c r="S50" s="701" t="str">
        <f t="shared" si="5"/>
        <v/>
      </c>
      <c r="T50" s="701" t="str">
        <f t="shared" si="6"/>
        <v/>
      </c>
      <c r="Z50" s="702" t="str">
        <f>IF(B50="個別病床",はじめに入力してください!$K$50,IF(B50="共通使用",はじめに入力してください!$K$52,""))</f>
        <v/>
      </c>
      <c r="AB50" s="12">
        <v>21</v>
      </c>
      <c r="AC50" s="701" t="str">
        <f t="shared" si="7"/>
        <v>○</v>
      </c>
      <c r="AD50" s="702" t="str">
        <f t="shared" si="8"/>
        <v>整備しない場合は入力不要です。</v>
      </c>
    </row>
    <row r="51" spans="1:30">
      <c r="A51" s="12">
        <v>22</v>
      </c>
      <c r="B51" s="6"/>
      <c r="C51" s="6"/>
      <c r="D51" s="6"/>
      <c r="E51" s="10"/>
      <c r="F51" s="7"/>
      <c r="G51" s="541"/>
      <c r="H51" s="15">
        <f t="shared" si="0"/>
        <v>0</v>
      </c>
      <c r="I51" s="4">
        <f t="shared" si="1"/>
        <v>0</v>
      </c>
      <c r="J51" s="9"/>
      <c r="K51" s="609"/>
      <c r="L51" s="609"/>
      <c r="M51" s="609"/>
      <c r="N51" s="4">
        <f t="shared" si="2"/>
        <v>0</v>
      </c>
      <c r="O51" s="5" t="str">
        <f>IF(AC51="◎",COUNTIF($AC$30:AC51,"◎"),"")</f>
        <v/>
      </c>
      <c r="Q51" s="610" t="str">
        <f t="shared" si="3"/>
        <v/>
      </c>
      <c r="R51" s="701" t="str">
        <f t="shared" si="4"/>
        <v/>
      </c>
      <c r="S51" s="701" t="str">
        <f t="shared" si="5"/>
        <v/>
      </c>
      <c r="T51" s="701" t="str">
        <f t="shared" si="6"/>
        <v/>
      </c>
      <c r="Z51" s="702" t="str">
        <f>IF(B51="個別病床",はじめに入力してください!$K$50,IF(B51="共通使用",はじめに入力してください!$K$52,""))</f>
        <v/>
      </c>
      <c r="AB51" s="12">
        <v>22</v>
      </c>
      <c r="AC51" s="701" t="str">
        <f t="shared" si="7"/>
        <v>○</v>
      </c>
      <c r="AD51" s="702" t="str">
        <f t="shared" si="8"/>
        <v>整備しない場合は入力不要です。</v>
      </c>
    </row>
    <row r="52" spans="1:30">
      <c r="A52" s="12">
        <v>23</v>
      </c>
      <c r="B52" s="6"/>
      <c r="C52" s="6"/>
      <c r="D52" s="6"/>
      <c r="E52" s="10"/>
      <c r="F52" s="7"/>
      <c r="G52" s="541"/>
      <c r="H52" s="15">
        <f t="shared" si="0"/>
        <v>0</v>
      </c>
      <c r="I52" s="4">
        <f t="shared" si="1"/>
        <v>0</v>
      </c>
      <c r="J52" s="9"/>
      <c r="K52" s="609"/>
      <c r="L52" s="609"/>
      <c r="M52" s="609"/>
      <c r="N52" s="4">
        <f t="shared" si="2"/>
        <v>0</v>
      </c>
      <c r="O52" s="5" t="str">
        <f>IF(AC52="◎",COUNTIF($AC$30:AC52,"◎"),"")</f>
        <v/>
      </c>
      <c r="Q52" s="610" t="str">
        <f t="shared" si="3"/>
        <v/>
      </c>
      <c r="R52" s="701" t="str">
        <f t="shared" si="4"/>
        <v/>
      </c>
      <c r="S52" s="701" t="str">
        <f t="shared" si="5"/>
        <v/>
      </c>
      <c r="T52" s="701" t="str">
        <f t="shared" si="6"/>
        <v/>
      </c>
      <c r="Z52" s="702" t="str">
        <f>IF(B52="個別病床",はじめに入力してください!$K$50,IF(B52="共通使用",はじめに入力してください!$K$52,""))</f>
        <v/>
      </c>
      <c r="AB52" s="12">
        <v>23</v>
      </c>
      <c r="AC52" s="701" t="str">
        <f t="shared" si="7"/>
        <v>○</v>
      </c>
      <c r="AD52" s="702" t="str">
        <f t="shared" si="8"/>
        <v>整備しない場合は入力不要です。</v>
      </c>
    </row>
    <row r="53" spans="1:30">
      <c r="A53" s="12">
        <v>24</v>
      </c>
      <c r="B53" s="6"/>
      <c r="C53" s="6"/>
      <c r="D53" s="6"/>
      <c r="E53" s="10"/>
      <c r="F53" s="7"/>
      <c r="G53" s="541"/>
      <c r="H53" s="15">
        <f t="shared" si="0"/>
        <v>0</v>
      </c>
      <c r="I53" s="4">
        <f t="shared" si="1"/>
        <v>0</v>
      </c>
      <c r="J53" s="9"/>
      <c r="K53" s="609"/>
      <c r="L53" s="609"/>
      <c r="M53" s="609"/>
      <c r="N53" s="4">
        <f t="shared" si="2"/>
        <v>0</v>
      </c>
      <c r="O53" s="5" t="str">
        <f>IF(AC53="◎",COUNTIF($AC$30:AC53,"◎"),"")</f>
        <v/>
      </c>
      <c r="Q53" s="610" t="str">
        <f t="shared" si="3"/>
        <v/>
      </c>
      <c r="R53" s="701" t="str">
        <f t="shared" si="4"/>
        <v/>
      </c>
      <c r="S53" s="701" t="str">
        <f t="shared" si="5"/>
        <v/>
      </c>
      <c r="T53" s="701" t="str">
        <f t="shared" si="6"/>
        <v/>
      </c>
      <c r="Z53" s="702" t="str">
        <f>IF(B53="個別病床",はじめに入力してください!$K$50,IF(B53="共通使用",はじめに入力してください!$K$52,""))</f>
        <v/>
      </c>
      <c r="AB53" s="12">
        <v>24</v>
      </c>
      <c r="AC53" s="701" t="str">
        <f t="shared" si="7"/>
        <v>○</v>
      </c>
      <c r="AD53" s="702" t="str">
        <f t="shared" si="8"/>
        <v>整備しない場合は入力不要です。</v>
      </c>
    </row>
    <row r="54" spans="1:30">
      <c r="A54" s="12">
        <v>25</v>
      </c>
      <c r="B54" s="6"/>
      <c r="C54" s="6"/>
      <c r="D54" s="6"/>
      <c r="E54" s="10"/>
      <c r="F54" s="7"/>
      <c r="G54" s="541"/>
      <c r="H54" s="15">
        <f t="shared" si="0"/>
        <v>0</v>
      </c>
      <c r="I54" s="4">
        <f t="shared" si="1"/>
        <v>0</v>
      </c>
      <c r="J54" s="9"/>
      <c r="K54" s="609"/>
      <c r="L54" s="609"/>
      <c r="M54" s="609"/>
      <c r="N54" s="4">
        <f t="shared" si="2"/>
        <v>0</v>
      </c>
      <c r="O54" s="5" t="str">
        <f>IF(AC54="◎",COUNTIF($AC$30:AC54,"◎"),"")</f>
        <v/>
      </c>
      <c r="Q54" s="610" t="str">
        <f t="shared" si="3"/>
        <v/>
      </c>
      <c r="R54" s="701" t="str">
        <f t="shared" si="4"/>
        <v/>
      </c>
      <c r="S54" s="701" t="str">
        <f t="shared" si="5"/>
        <v/>
      </c>
      <c r="T54" s="701" t="str">
        <f t="shared" si="6"/>
        <v/>
      </c>
      <c r="Z54" s="702" t="str">
        <f>IF(B54="個別病床",はじめに入力してください!$K$50,IF(B54="共通使用",はじめに入力してください!$K$52,""))</f>
        <v/>
      </c>
      <c r="AB54" s="12">
        <v>25</v>
      </c>
      <c r="AC54" s="701" t="str">
        <f t="shared" si="7"/>
        <v>○</v>
      </c>
      <c r="AD54" s="702" t="str">
        <f t="shared" si="8"/>
        <v>整備しない場合は入力不要です。</v>
      </c>
    </row>
    <row r="55" spans="1:30">
      <c r="A55" s="12">
        <v>26</v>
      </c>
      <c r="B55" s="6"/>
      <c r="C55" s="6"/>
      <c r="D55" s="6"/>
      <c r="E55" s="10"/>
      <c r="F55" s="7"/>
      <c r="G55" s="541"/>
      <c r="H55" s="15">
        <f t="shared" si="0"/>
        <v>0</v>
      </c>
      <c r="I55" s="4">
        <f t="shared" si="1"/>
        <v>0</v>
      </c>
      <c r="J55" s="9"/>
      <c r="K55" s="609"/>
      <c r="L55" s="609"/>
      <c r="M55" s="609"/>
      <c r="N55" s="4">
        <f t="shared" si="2"/>
        <v>0</v>
      </c>
      <c r="O55" s="5" t="str">
        <f>IF(AC55="◎",COUNTIF($AC$30:AC55,"◎"),"")</f>
        <v/>
      </c>
      <c r="Q55" s="610" t="str">
        <f t="shared" si="3"/>
        <v/>
      </c>
      <c r="R55" s="701" t="str">
        <f t="shared" si="4"/>
        <v/>
      </c>
      <c r="S55" s="701" t="str">
        <f t="shared" si="5"/>
        <v/>
      </c>
      <c r="T55" s="701" t="str">
        <f t="shared" si="6"/>
        <v/>
      </c>
      <c r="Z55" s="702" t="str">
        <f>IF(B55="個別病床",はじめに入力してください!$K$50,IF(B55="共通使用",はじめに入力してください!$K$52,""))</f>
        <v/>
      </c>
      <c r="AB55" s="12">
        <v>26</v>
      </c>
      <c r="AC55" s="701" t="str">
        <f t="shared" si="7"/>
        <v>○</v>
      </c>
      <c r="AD55" s="702" t="str">
        <f t="shared" si="8"/>
        <v>整備しない場合は入力不要です。</v>
      </c>
    </row>
    <row r="56" spans="1:30">
      <c r="A56" s="12">
        <v>27</v>
      </c>
      <c r="B56" s="6"/>
      <c r="C56" s="6"/>
      <c r="D56" s="6"/>
      <c r="E56" s="10"/>
      <c r="F56" s="7"/>
      <c r="G56" s="541"/>
      <c r="H56" s="15">
        <f t="shared" si="0"/>
        <v>0</v>
      </c>
      <c r="I56" s="4">
        <f t="shared" si="1"/>
        <v>0</v>
      </c>
      <c r="J56" s="9"/>
      <c r="K56" s="609"/>
      <c r="L56" s="609"/>
      <c r="M56" s="609"/>
      <c r="N56" s="4">
        <f t="shared" si="2"/>
        <v>0</v>
      </c>
      <c r="O56" s="5" t="str">
        <f>IF(AC56="◎",COUNTIF($AC$30:AC56,"◎"),"")</f>
        <v/>
      </c>
      <c r="Q56" s="610" t="str">
        <f t="shared" si="3"/>
        <v/>
      </c>
      <c r="R56" s="701" t="str">
        <f t="shared" si="4"/>
        <v/>
      </c>
      <c r="S56" s="701" t="str">
        <f t="shared" si="5"/>
        <v/>
      </c>
      <c r="T56" s="701" t="str">
        <f t="shared" si="6"/>
        <v/>
      </c>
      <c r="Z56" s="702" t="str">
        <f>IF(B56="個別病床",はじめに入力してください!$K$50,IF(B56="共通使用",はじめに入力してください!$K$52,""))</f>
        <v/>
      </c>
      <c r="AB56" s="12">
        <v>27</v>
      </c>
      <c r="AC56" s="701" t="str">
        <f t="shared" si="7"/>
        <v>○</v>
      </c>
      <c r="AD56" s="702" t="str">
        <f t="shared" si="8"/>
        <v>整備しない場合は入力不要です。</v>
      </c>
    </row>
    <row r="57" spans="1:30">
      <c r="A57" s="12">
        <v>28</v>
      </c>
      <c r="B57" s="6"/>
      <c r="C57" s="6"/>
      <c r="D57" s="6"/>
      <c r="E57" s="10"/>
      <c r="F57" s="7"/>
      <c r="G57" s="541"/>
      <c r="H57" s="15">
        <f t="shared" si="0"/>
        <v>0</v>
      </c>
      <c r="I57" s="4">
        <f t="shared" si="1"/>
        <v>0</v>
      </c>
      <c r="J57" s="9"/>
      <c r="K57" s="609"/>
      <c r="L57" s="609"/>
      <c r="M57" s="609"/>
      <c r="N57" s="4">
        <f t="shared" si="2"/>
        <v>0</v>
      </c>
      <c r="O57" s="5" t="str">
        <f>IF(AC57="◎",COUNTIF($AC$30:AC57,"◎"),"")</f>
        <v/>
      </c>
      <c r="Q57" s="610" t="str">
        <f t="shared" si="3"/>
        <v/>
      </c>
      <c r="R57" s="701" t="str">
        <f t="shared" si="4"/>
        <v/>
      </c>
      <c r="S57" s="701" t="str">
        <f t="shared" si="5"/>
        <v/>
      </c>
      <c r="T57" s="701" t="str">
        <f t="shared" si="6"/>
        <v/>
      </c>
      <c r="Z57" s="702" t="str">
        <f>IF(B57="個別病床",はじめに入力してください!$K$50,IF(B57="共通使用",はじめに入力してください!$K$52,""))</f>
        <v/>
      </c>
      <c r="AB57" s="12">
        <v>28</v>
      </c>
      <c r="AC57" s="701" t="str">
        <f t="shared" si="7"/>
        <v>○</v>
      </c>
      <c r="AD57" s="702" t="str">
        <f t="shared" si="8"/>
        <v>整備しない場合は入力不要です。</v>
      </c>
    </row>
    <row r="58" spans="1:30">
      <c r="A58" s="12">
        <v>29</v>
      </c>
      <c r="B58" s="6"/>
      <c r="C58" s="6"/>
      <c r="D58" s="6"/>
      <c r="E58" s="10"/>
      <c r="F58" s="7"/>
      <c r="G58" s="541"/>
      <c r="H58" s="15">
        <f t="shared" si="0"/>
        <v>0</v>
      </c>
      <c r="I58" s="4">
        <f t="shared" si="1"/>
        <v>0</v>
      </c>
      <c r="J58" s="9"/>
      <c r="K58" s="609"/>
      <c r="L58" s="609"/>
      <c r="M58" s="609"/>
      <c r="N58" s="4">
        <f t="shared" si="2"/>
        <v>0</v>
      </c>
      <c r="O58" s="5" t="str">
        <f>IF(AC58="◎",COUNTIF($AC$30:AC58,"◎"),"")</f>
        <v/>
      </c>
      <c r="Q58" s="610" t="str">
        <f t="shared" si="3"/>
        <v/>
      </c>
      <c r="R58" s="701" t="str">
        <f t="shared" si="4"/>
        <v/>
      </c>
      <c r="S58" s="701" t="str">
        <f t="shared" si="5"/>
        <v/>
      </c>
      <c r="T58" s="701" t="str">
        <f t="shared" si="6"/>
        <v/>
      </c>
      <c r="Z58" s="702" t="str">
        <f>IF(B58="個別病床",はじめに入力してください!$K$50,IF(B58="共通使用",はじめに入力してください!$K$52,""))</f>
        <v/>
      </c>
      <c r="AB58" s="12">
        <v>29</v>
      </c>
      <c r="AC58" s="701" t="str">
        <f t="shared" si="7"/>
        <v>○</v>
      </c>
      <c r="AD58" s="702" t="str">
        <f t="shared" si="8"/>
        <v>整備しない場合は入力不要です。</v>
      </c>
    </row>
    <row r="59" spans="1:30">
      <c r="A59" s="12">
        <v>30</v>
      </c>
      <c r="B59" s="6"/>
      <c r="C59" s="6"/>
      <c r="D59" s="6"/>
      <c r="E59" s="10"/>
      <c r="F59" s="7"/>
      <c r="G59" s="541"/>
      <c r="H59" s="15">
        <f t="shared" si="0"/>
        <v>0</v>
      </c>
      <c r="I59" s="4">
        <f t="shared" si="1"/>
        <v>0</v>
      </c>
      <c r="J59" s="9"/>
      <c r="K59" s="609"/>
      <c r="L59" s="609"/>
      <c r="M59" s="609"/>
      <c r="N59" s="4">
        <f t="shared" si="2"/>
        <v>0</v>
      </c>
      <c r="O59" s="5" t="str">
        <f>IF(AC59="◎",COUNTIF($AC$30:AC59,"◎"),"")</f>
        <v/>
      </c>
      <c r="Q59" s="610" t="str">
        <f t="shared" si="3"/>
        <v/>
      </c>
      <c r="R59" s="701" t="str">
        <f t="shared" si="4"/>
        <v/>
      </c>
      <c r="S59" s="701" t="str">
        <f t="shared" si="5"/>
        <v/>
      </c>
      <c r="T59" s="701" t="str">
        <f t="shared" si="6"/>
        <v/>
      </c>
      <c r="Z59" s="702" t="str">
        <f>IF(B59="個別病床",はじめに入力してください!$K$50,IF(B59="共通使用",はじめに入力してください!$K$52,""))</f>
        <v/>
      </c>
      <c r="AB59" s="12">
        <v>30</v>
      </c>
      <c r="AC59" s="701" t="str">
        <f t="shared" si="7"/>
        <v>○</v>
      </c>
      <c r="AD59" s="702" t="str">
        <f t="shared" si="8"/>
        <v>整備しない場合は入力不要です。</v>
      </c>
    </row>
    <row r="60" spans="1:30">
      <c r="A60" s="12">
        <v>31</v>
      </c>
      <c r="B60" s="6"/>
      <c r="C60" s="6"/>
      <c r="D60" s="6"/>
      <c r="E60" s="10"/>
      <c r="F60" s="7"/>
      <c r="G60" s="541"/>
      <c r="H60" s="15">
        <f t="shared" si="0"/>
        <v>0</v>
      </c>
      <c r="I60" s="4">
        <f t="shared" si="1"/>
        <v>0</v>
      </c>
      <c r="J60" s="9"/>
      <c r="K60" s="609"/>
      <c r="L60" s="609"/>
      <c r="M60" s="609"/>
      <c r="N60" s="4">
        <f t="shared" si="2"/>
        <v>0</v>
      </c>
      <c r="O60" s="5" t="str">
        <f>IF(AC60="◎",COUNTIF($AC$30:AC60,"◎"),"")</f>
        <v/>
      </c>
      <c r="Q60" s="610" t="str">
        <f t="shared" si="3"/>
        <v/>
      </c>
      <c r="R60" s="701" t="str">
        <f t="shared" si="4"/>
        <v/>
      </c>
      <c r="S60" s="701" t="str">
        <f t="shared" si="5"/>
        <v/>
      </c>
      <c r="T60" s="701" t="str">
        <f t="shared" si="6"/>
        <v/>
      </c>
      <c r="Z60" s="702" t="str">
        <f>IF(B60="個別病床",はじめに入力してください!$K$50,IF(B60="共通使用",はじめに入力してください!$K$52,""))</f>
        <v/>
      </c>
      <c r="AB60" s="12">
        <v>31</v>
      </c>
      <c r="AC60" s="701" t="str">
        <f t="shared" si="7"/>
        <v>○</v>
      </c>
      <c r="AD60" s="702" t="str">
        <f t="shared" si="8"/>
        <v>整備しない場合は入力不要です。</v>
      </c>
    </row>
    <row r="61" spans="1:30">
      <c r="A61" s="12">
        <v>32</v>
      </c>
      <c r="B61" s="6"/>
      <c r="C61" s="6"/>
      <c r="D61" s="6"/>
      <c r="E61" s="10"/>
      <c r="F61" s="7"/>
      <c r="G61" s="541"/>
      <c r="H61" s="15">
        <f t="shared" si="0"/>
        <v>0</v>
      </c>
      <c r="I61" s="4">
        <f t="shared" si="1"/>
        <v>0</v>
      </c>
      <c r="J61" s="9"/>
      <c r="K61" s="609"/>
      <c r="L61" s="609"/>
      <c r="M61" s="609"/>
      <c r="N61" s="4">
        <f t="shared" si="2"/>
        <v>0</v>
      </c>
      <c r="O61" s="5" t="str">
        <f>IF(AC61="◎",COUNTIF($AC$30:AC61,"◎"),"")</f>
        <v/>
      </c>
      <c r="Q61" s="610" t="str">
        <f t="shared" si="3"/>
        <v/>
      </c>
      <c r="R61" s="701" t="str">
        <f t="shared" si="4"/>
        <v/>
      </c>
      <c r="S61" s="701" t="str">
        <f t="shared" si="5"/>
        <v/>
      </c>
      <c r="T61" s="701" t="str">
        <f t="shared" si="6"/>
        <v/>
      </c>
      <c r="Z61" s="702" t="str">
        <f>IF(B61="個別病床",はじめに入力してください!$K$50,IF(B61="共通使用",はじめに入力してください!$K$52,""))</f>
        <v/>
      </c>
      <c r="AB61" s="12">
        <v>32</v>
      </c>
      <c r="AC61" s="701" t="str">
        <f t="shared" si="7"/>
        <v>○</v>
      </c>
      <c r="AD61" s="702" t="str">
        <f t="shared" si="8"/>
        <v>整備しない場合は入力不要です。</v>
      </c>
    </row>
    <row r="62" spans="1:30">
      <c r="A62" s="12">
        <v>33</v>
      </c>
      <c r="B62" s="6"/>
      <c r="C62" s="6"/>
      <c r="D62" s="6"/>
      <c r="E62" s="10"/>
      <c r="F62" s="7"/>
      <c r="G62" s="541"/>
      <c r="H62" s="15">
        <f t="shared" si="0"/>
        <v>0</v>
      </c>
      <c r="I62" s="4">
        <f t="shared" si="1"/>
        <v>0</v>
      </c>
      <c r="J62" s="9"/>
      <c r="K62" s="609"/>
      <c r="L62" s="609"/>
      <c r="M62" s="609"/>
      <c r="N62" s="4">
        <f t="shared" si="2"/>
        <v>0</v>
      </c>
      <c r="O62" s="5" t="str">
        <f>IF(AC62="◎",COUNTIF($AC$30:AC62,"◎"),"")</f>
        <v/>
      </c>
      <c r="Q62" s="610" t="str">
        <f t="shared" si="3"/>
        <v/>
      </c>
      <c r="R62" s="701" t="str">
        <f t="shared" si="4"/>
        <v/>
      </c>
      <c r="S62" s="701" t="str">
        <f t="shared" si="5"/>
        <v/>
      </c>
      <c r="T62" s="701" t="str">
        <f t="shared" si="6"/>
        <v/>
      </c>
      <c r="Z62" s="702" t="str">
        <f>IF(B62="個別病床",はじめに入力してください!$K$50,IF(B62="共通使用",はじめに入力してください!$K$52,""))</f>
        <v/>
      </c>
      <c r="AB62" s="12">
        <v>33</v>
      </c>
      <c r="AC62" s="701" t="str">
        <f t="shared" si="7"/>
        <v>○</v>
      </c>
      <c r="AD62" s="702" t="str">
        <f t="shared" si="8"/>
        <v>整備しない場合は入力不要です。</v>
      </c>
    </row>
    <row r="63" spans="1:30">
      <c r="A63" s="12">
        <v>34</v>
      </c>
      <c r="B63" s="6"/>
      <c r="C63" s="6"/>
      <c r="D63" s="6"/>
      <c r="E63" s="10"/>
      <c r="F63" s="7"/>
      <c r="G63" s="541"/>
      <c r="H63" s="15">
        <f t="shared" si="0"/>
        <v>0</v>
      </c>
      <c r="I63" s="4">
        <f t="shared" si="1"/>
        <v>0</v>
      </c>
      <c r="J63" s="9"/>
      <c r="K63" s="609"/>
      <c r="L63" s="609"/>
      <c r="M63" s="609"/>
      <c r="N63" s="4">
        <f t="shared" si="2"/>
        <v>0</v>
      </c>
      <c r="O63" s="5" t="str">
        <f>IF(AC63="◎",COUNTIF($AC$30:AC63,"◎"),"")</f>
        <v/>
      </c>
      <c r="Q63" s="610" t="str">
        <f t="shared" si="3"/>
        <v/>
      </c>
      <c r="R63" s="701" t="str">
        <f t="shared" si="4"/>
        <v/>
      </c>
      <c r="S63" s="701" t="str">
        <f t="shared" si="5"/>
        <v/>
      </c>
      <c r="T63" s="701" t="str">
        <f t="shared" si="6"/>
        <v/>
      </c>
      <c r="Z63" s="702" t="str">
        <f>IF(B63="個別病床",はじめに入力してください!$K$50,IF(B63="共通使用",はじめに入力してください!$K$52,""))</f>
        <v/>
      </c>
      <c r="AB63" s="12">
        <v>34</v>
      </c>
      <c r="AC63" s="701" t="str">
        <f t="shared" si="7"/>
        <v>○</v>
      </c>
      <c r="AD63" s="702" t="str">
        <f t="shared" si="8"/>
        <v>整備しない場合は入力不要です。</v>
      </c>
    </row>
    <row r="64" spans="1:30">
      <c r="A64" s="12">
        <v>35</v>
      </c>
      <c r="B64" s="6"/>
      <c r="C64" s="6"/>
      <c r="D64" s="6"/>
      <c r="E64" s="10"/>
      <c r="F64" s="7"/>
      <c r="G64" s="541"/>
      <c r="H64" s="15">
        <f t="shared" si="0"/>
        <v>0</v>
      </c>
      <c r="I64" s="4">
        <f t="shared" si="1"/>
        <v>0</v>
      </c>
      <c r="J64" s="9"/>
      <c r="K64" s="609"/>
      <c r="L64" s="609"/>
      <c r="M64" s="609"/>
      <c r="N64" s="4">
        <f t="shared" si="2"/>
        <v>0</v>
      </c>
      <c r="O64" s="5" t="str">
        <f>IF(AC64="◎",COUNTIF($AC$30:AC64,"◎"),"")</f>
        <v/>
      </c>
      <c r="Q64" s="610" t="str">
        <f t="shared" si="3"/>
        <v/>
      </c>
      <c r="R64" s="701" t="str">
        <f t="shared" si="4"/>
        <v/>
      </c>
      <c r="S64" s="701" t="str">
        <f t="shared" si="5"/>
        <v/>
      </c>
      <c r="T64" s="701" t="str">
        <f t="shared" si="6"/>
        <v/>
      </c>
      <c r="Z64" s="702" t="str">
        <f>IF(B64="個別病床",はじめに入力してください!$K$50,IF(B64="共通使用",はじめに入力してください!$K$52,""))</f>
        <v/>
      </c>
      <c r="AB64" s="12">
        <v>35</v>
      </c>
      <c r="AC64" s="701" t="str">
        <f t="shared" si="7"/>
        <v>○</v>
      </c>
      <c r="AD64" s="702" t="str">
        <f t="shared" si="8"/>
        <v>整備しない場合は入力不要です。</v>
      </c>
    </row>
    <row r="65" spans="1:30">
      <c r="A65" s="12">
        <v>36</v>
      </c>
      <c r="B65" s="6"/>
      <c r="C65" s="6"/>
      <c r="D65" s="6"/>
      <c r="E65" s="10"/>
      <c r="F65" s="7"/>
      <c r="G65" s="541"/>
      <c r="H65" s="15">
        <f t="shared" si="0"/>
        <v>0</v>
      </c>
      <c r="I65" s="4">
        <f t="shared" si="1"/>
        <v>0</v>
      </c>
      <c r="J65" s="9"/>
      <c r="K65" s="609"/>
      <c r="L65" s="609"/>
      <c r="M65" s="609"/>
      <c r="N65" s="4">
        <f t="shared" si="2"/>
        <v>0</v>
      </c>
      <c r="O65" s="5" t="str">
        <f>IF(AC65="◎",COUNTIF($AC$30:AC65,"◎"),"")</f>
        <v/>
      </c>
      <c r="Q65" s="610" t="str">
        <f t="shared" si="3"/>
        <v/>
      </c>
      <c r="R65" s="701" t="str">
        <f t="shared" si="4"/>
        <v/>
      </c>
      <c r="S65" s="701" t="str">
        <f t="shared" si="5"/>
        <v/>
      </c>
      <c r="T65" s="701" t="str">
        <f t="shared" si="6"/>
        <v/>
      </c>
      <c r="Z65" s="702" t="str">
        <f>IF(B65="個別病床",はじめに入力してください!$K$50,IF(B65="共通使用",はじめに入力してください!$K$52,""))</f>
        <v/>
      </c>
      <c r="AB65" s="12">
        <v>36</v>
      </c>
      <c r="AC65" s="701" t="str">
        <f t="shared" si="7"/>
        <v>○</v>
      </c>
      <c r="AD65" s="702" t="str">
        <f t="shared" si="8"/>
        <v>整備しない場合は入力不要です。</v>
      </c>
    </row>
    <row r="66" spans="1:30">
      <c r="A66" s="12">
        <v>37</v>
      </c>
      <c r="B66" s="6"/>
      <c r="C66" s="6"/>
      <c r="D66" s="6"/>
      <c r="E66" s="10"/>
      <c r="F66" s="7"/>
      <c r="G66" s="541"/>
      <c r="H66" s="15">
        <f t="shared" si="0"/>
        <v>0</v>
      </c>
      <c r="I66" s="4">
        <f t="shared" si="1"/>
        <v>0</v>
      </c>
      <c r="J66" s="9"/>
      <c r="K66" s="609"/>
      <c r="L66" s="609"/>
      <c r="M66" s="609"/>
      <c r="N66" s="4">
        <f t="shared" si="2"/>
        <v>0</v>
      </c>
      <c r="O66" s="5" t="str">
        <f>IF(AC66="◎",COUNTIF($AC$30:AC66,"◎"),"")</f>
        <v/>
      </c>
      <c r="Q66" s="610" t="str">
        <f t="shared" si="3"/>
        <v/>
      </c>
      <c r="R66" s="701" t="str">
        <f t="shared" si="4"/>
        <v/>
      </c>
      <c r="S66" s="701" t="str">
        <f t="shared" si="5"/>
        <v/>
      </c>
      <c r="T66" s="701" t="str">
        <f t="shared" si="6"/>
        <v/>
      </c>
      <c r="Z66" s="702" t="str">
        <f>IF(B66="個別病床",はじめに入力してください!$K$50,IF(B66="共通使用",はじめに入力してください!$K$52,""))</f>
        <v/>
      </c>
      <c r="AB66" s="12">
        <v>37</v>
      </c>
      <c r="AC66" s="701" t="str">
        <f t="shared" si="7"/>
        <v>○</v>
      </c>
      <c r="AD66" s="702" t="str">
        <f t="shared" si="8"/>
        <v>整備しない場合は入力不要です。</v>
      </c>
    </row>
    <row r="67" spans="1:30">
      <c r="A67" s="12">
        <v>38</v>
      </c>
      <c r="B67" s="6"/>
      <c r="C67" s="6"/>
      <c r="D67" s="6"/>
      <c r="E67" s="10"/>
      <c r="F67" s="7"/>
      <c r="G67" s="541"/>
      <c r="H67" s="15">
        <f t="shared" si="0"/>
        <v>0</v>
      </c>
      <c r="I67" s="4">
        <f t="shared" si="1"/>
        <v>0</v>
      </c>
      <c r="J67" s="9"/>
      <c r="K67" s="609"/>
      <c r="L67" s="609"/>
      <c r="M67" s="609"/>
      <c r="N67" s="4">
        <f t="shared" si="2"/>
        <v>0</v>
      </c>
      <c r="O67" s="5" t="str">
        <f>IF(AC67="◎",COUNTIF($AC$30:AC67,"◎"),"")</f>
        <v/>
      </c>
      <c r="Q67" s="610" t="str">
        <f t="shared" si="3"/>
        <v/>
      </c>
      <c r="R67" s="701" t="str">
        <f t="shared" si="4"/>
        <v/>
      </c>
      <c r="S67" s="701" t="str">
        <f t="shared" si="5"/>
        <v/>
      </c>
      <c r="T67" s="701" t="str">
        <f t="shared" si="6"/>
        <v/>
      </c>
      <c r="Z67" s="702" t="str">
        <f>IF(B67="個別病床",はじめに入力してください!$K$50,IF(B67="共通使用",はじめに入力してください!$K$52,""))</f>
        <v/>
      </c>
      <c r="AB67" s="12">
        <v>38</v>
      </c>
      <c r="AC67" s="701" t="str">
        <f t="shared" si="7"/>
        <v>○</v>
      </c>
      <c r="AD67" s="702" t="str">
        <f t="shared" si="8"/>
        <v>整備しない場合は入力不要です。</v>
      </c>
    </row>
    <row r="68" spans="1:30">
      <c r="A68" s="12">
        <v>39</v>
      </c>
      <c r="B68" s="6"/>
      <c r="C68" s="6"/>
      <c r="D68" s="6"/>
      <c r="E68" s="10"/>
      <c r="F68" s="7"/>
      <c r="G68" s="541"/>
      <c r="H68" s="15">
        <f t="shared" si="0"/>
        <v>0</v>
      </c>
      <c r="I68" s="4">
        <f t="shared" si="1"/>
        <v>0</v>
      </c>
      <c r="J68" s="9"/>
      <c r="K68" s="609"/>
      <c r="L68" s="609"/>
      <c r="M68" s="609"/>
      <c r="N68" s="4">
        <f t="shared" si="2"/>
        <v>0</v>
      </c>
      <c r="O68" s="5" t="str">
        <f>IF(AC68="◎",COUNTIF($AC$30:AC68,"◎"),"")</f>
        <v/>
      </c>
      <c r="Q68" s="610" t="str">
        <f t="shared" si="3"/>
        <v/>
      </c>
      <c r="R68" s="701" t="str">
        <f t="shared" si="4"/>
        <v/>
      </c>
      <c r="S68" s="701" t="str">
        <f t="shared" si="5"/>
        <v/>
      </c>
      <c r="T68" s="701" t="str">
        <f t="shared" si="6"/>
        <v/>
      </c>
      <c r="Z68" s="702" t="str">
        <f>IF(B68="個別病床",はじめに入力してください!$K$50,IF(B68="共通使用",はじめに入力してください!$K$52,""))</f>
        <v/>
      </c>
      <c r="AB68" s="12">
        <v>39</v>
      </c>
      <c r="AC68" s="701" t="str">
        <f t="shared" si="7"/>
        <v>○</v>
      </c>
      <c r="AD68" s="702" t="str">
        <f t="shared" si="8"/>
        <v>整備しない場合は入力不要です。</v>
      </c>
    </row>
    <row r="69" spans="1:30">
      <c r="A69" s="12">
        <v>40</v>
      </c>
      <c r="B69" s="6"/>
      <c r="C69" s="6"/>
      <c r="D69" s="6"/>
      <c r="E69" s="10"/>
      <c r="F69" s="7"/>
      <c r="G69" s="541"/>
      <c r="H69" s="15">
        <f t="shared" si="0"/>
        <v>0</v>
      </c>
      <c r="I69" s="4">
        <f t="shared" si="1"/>
        <v>0</v>
      </c>
      <c r="J69" s="9"/>
      <c r="K69" s="609"/>
      <c r="L69" s="609"/>
      <c r="M69" s="609"/>
      <c r="N69" s="4">
        <f t="shared" si="2"/>
        <v>0</v>
      </c>
      <c r="O69" s="5" t="str">
        <f>IF(AC69="◎",COUNTIF($AC$30:AC69,"◎"),"")</f>
        <v/>
      </c>
      <c r="Q69" s="610" t="str">
        <f t="shared" si="3"/>
        <v/>
      </c>
      <c r="R69" s="701" t="str">
        <f t="shared" si="4"/>
        <v/>
      </c>
      <c r="S69" s="701" t="str">
        <f t="shared" si="5"/>
        <v/>
      </c>
      <c r="T69" s="701" t="str">
        <f t="shared" si="6"/>
        <v/>
      </c>
      <c r="Z69" s="702" t="str">
        <f>IF(B69="個別病床",はじめに入力してください!$K$50,IF(B69="共通使用",はじめに入力してください!$K$52,""))</f>
        <v/>
      </c>
      <c r="AB69" s="12">
        <v>40</v>
      </c>
      <c r="AC69" s="701" t="str">
        <f t="shared" si="7"/>
        <v>○</v>
      </c>
      <c r="AD69" s="702" t="str">
        <f t="shared" si="8"/>
        <v>整備しない場合は入力不要です。</v>
      </c>
    </row>
    <row r="70" spans="1:30">
      <c r="A70" s="12">
        <v>41</v>
      </c>
      <c r="B70" s="6"/>
      <c r="C70" s="6"/>
      <c r="D70" s="6"/>
      <c r="E70" s="10"/>
      <c r="F70" s="7"/>
      <c r="G70" s="541"/>
      <c r="H70" s="15">
        <f t="shared" si="0"/>
        <v>0</v>
      </c>
      <c r="I70" s="4">
        <f t="shared" si="1"/>
        <v>0</v>
      </c>
      <c r="J70" s="9"/>
      <c r="K70" s="609"/>
      <c r="L70" s="609"/>
      <c r="M70" s="609"/>
      <c r="N70" s="4">
        <f t="shared" si="2"/>
        <v>0</v>
      </c>
      <c r="O70" s="5" t="str">
        <f>IF(AC70="◎",COUNTIF($AC$30:AC70,"◎"),"")</f>
        <v/>
      </c>
      <c r="Q70" s="610" t="str">
        <f t="shared" si="3"/>
        <v/>
      </c>
      <c r="R70" s="701" t="str">
        <f t="shared" si="4"/>
        <v/>
      </c>
      <c r="S70" s="701" t="str">
        <f t="shared" si="5"/>
        <v/>
      </c>
      <c r="T70" s="701" t="str">
        <f t="shared" si="6"/>
        <v/>
      </c>
      <c r="Z70" s="702" t="str">
        <f>IF(B70="個別病床",はじめに入力してください!$K$50,IF(B70="共通使用",はじめに入力してください!$K$52,""))</f>
        <v/>
      </c>
      <c r="AB70" s="12">
        <v>41</v>
      </c>
      <c r="AC70" s="701" t="str">
        <f t="shared" si="7"/>
        <v>○</v>
      </c>
      <c r="AD70" s="702" t="str">
        <f t="shared" si="8"/>
        <v>整備しない場合は入力不要です。</v>
      </c>
    </row>
    <row r="71" spans="1:30">
      <c r="A71" s="12">
        <v>42</v>
      </c>
      <c r="B71" s="6"/>
      <c r="C71" s="6"/>
      <c r="D71" s="6"/>
      <c r="E71" s="10"/>
      <c r="F71" s="7"/>
      <c r="G71" s="541"/>
      <c r="H71" s="15">
        <f t="shared" si="0"/>
        <v>0</v>
      </c>
      <c r="I71" s="4">
        <f t="shared" si="1"/>
        <v>0</v>
      </c>
      <c r="J71" s="9"/>
      <c r="K71" s="609"/>
      <c r="L71" s="609"/>
      <c r="M71" s="609"/>
      <c r="N71" s="4">
        <f t="shared" si="2"/>
        <v>0</v>
      </c>
      <c r="O71" s="5" t="str">
        <f>IF(AC71="◎",COUNTIF($AC$30:AC71,"◎"),"")</f>
        <v/>
      </c>
      <c r="Q71" s="610" t="str">
        <f t="shared" si="3"/>
        <v/>
      </c>
      <c r="R71" s="701" t="str">
        <f t="shared" si="4"/>
        <v/>
      </c>
      <c r="S71" s="701" t="str">
        <f t="shared" si="5"/>
        <v/>
      </c>
      <c r="T71" s="701" t="str">
        <f t="shared" si="6"/>
        <v/>
      </c>
      <c r="Z71" s="702" t="str">
        <f>IF(B71="個別病床",はじめに入力してください!$K$50,IF(B71="共通使用",はじめに入力してください!$K$52,""))</f>
        <v/>
      </c>
      <c r="AB71" s="12">
        <v>42</v>
      </c>
      <c r="AC71" s="701" t="str">
        <f t="shared" si="7"/>
        <v>○</v>
      </c>
      <c r="AD71" s="702" t="str">
        <f t="shared" si="8"/>
        <v>整備しない場合は入力不要です。</v>
      </c>
    </row>
    <row r="72" spans="1:30">
      <c r="A72" s="12">
        <v>43</v>
      </c>
      <c r="B72" s="6"/>
      <c r="C72" s="6"/>
      <c r="D72" s="6"/>
      <c r="E72" s="10"/>
      <c r="F72" s="7"/>
      <c r="G72" s="541"/>
      <c r="H72" s="15">
        <f t="shared" si="0"/>
        <v>0</v>
      </c>
      <c r="I72" s="4">
        <f t="shared" si="1"/>
        <v>0</v>
      </c>
      <c r="J72" s="9"/>
      <c r="K72" s="609"/>
      <c r="L72" s="609"/>
      <c r="M72" s="609"/>
      <c r="N72" s="4">
        <f t="shared" si="2"/>
        <v>0</v>
      </c>
      <c r="O72" s="5" t="str">
        <f>IF(AC72="◎",COUNTIF($AC$30:AC72,"◎"),"")</f>
        <v/>
      </c>
      <c r="Q72" s="610" t="str">
        <f t="shared" si="3"/>
        <v/>
      </c>
      <c r="R72" s="701" t="str">
        <f t="shared" si="4"/>
        <v/>
      </c>
      <c r="S72" s="701" t="str">
        <f t="shared" si="5"/>
        <v/>
      </c>
      <c r="T72" s="701" t="str">
        <f t="shared" si="6"/>
        <v/>
      </c>
      <c r="Z72" s="702" t="str">
        <f>IF(B72="個別病床",はじめに入力してください!$K$50,IF(B72="共通使用",はじめに入力してください!$K$52,""))</f>
        <v/>
      </c>
      <c r="AB72" s="12">
        <v>43</v>
      </c>
      <c r="AC72" s="701" t="str">
        <f t="shared" si="7"/>
        <v>○</v>
      </c>
      <c r="AD72" s="702" t="str">
        <f t="shared" si="8"/>
        <v>整備しない場合は入力不要です。</v>
      </c>
    </row>
    <row r="73" spans="1:30">
      <c r="A73" s="12">
        <v>44</v>
      </c>
      <c r="B73" s="6"/>
      <c r="C73" s="6"/>
      <c r="D73" s="6"/>
      <c r="E73" s="10"/>
      <c r="F73" s="7"/>
      <c r="G73" s="541"/>
      <c r="H73" s="15">
        <f t="shared" si="0"/>
        <v>0</v>
      </c>
      <c r="I73" s="4">
        <f t="shared" si="1"/>
        <v>0</v>
      </c>
      <c r="J73" s="9"/>
      <c r="K73" s="609"/>
      <c r="L73" s="609"/>
      <c r="M73" s="609"/>
      <c r="N73" s="4">
        <f t="shared" si="2"/>
        <v>0</v>
      </c>
      <c r="O73" s="5" t="str">
        <f>IF(AC73="◎",COUNTIF($AC$30:AC73,"◎"),"")</f>
        <v/>
      </c>
      <c r="Q73" s="610" t="str">
        <f t="shared" si="3"/>
        <v/>
      </c>
      <c r="R73" s="701" t="str">
        <f t="shared" si="4"/>
        <v/>
      </c>
      <c r="S73" s="701" t="str">
        <f t="shared" si="5"/>
        <v/>
      </c>
      <c r="T73" s="701" t="str">
        <f t="shared" si="6"/>
        <v/>
      </c>
      <c r="Z73" s="702" t="str">
        <f>IF(B73="個別病床",はじめに入力してください!$K$50,IF(B73="共通使用",はじめに入力してください!$K$52,""))</f>
        <v/>
      </c>
      <c r="AB73" s="12">
        <v>44</v>
      </c>
      <c r="AC73" s="701" t="str">
        <f t="shared" si="7"/>
        <v>○</v>
      </c>
      <c r="AD73" s="702" t="str">
        <f t="shared" si="8"/>
        <v>整備しない場合は入力不要です。</v>
      </c>
    </row>
    <row r="74" spans="1:30">
      <c r="A74" s="12">
        <v>45</v>
      </c>
      <c r="B74" s="6"/>
      <c r="C74" s="6"/>
      <c r="D74" s="6"/>
      <c r="E74" s="10"/>
      <c r="F74" s="7"/>
      <c r="G74" s="541"/>
      <c r="H74" s="15">
        <f t="shared" si="0"/>
        <v>0</v>
      </c>
      <c r="I74" s="4">
        <f t="shared" si="1"/>
        <v>0</v>
      </c>
      <c r="J74" s="9"/>
      <c r="K74" s="609"/>
      <c r="L74" s="609"/>
      <c r="M74" s="609"/>
      <c r="N74" s="4">
        <f t="shared" si="2"/>
        <v>0</v>
      </c>
      <c r="O74" s="5" t="str">
        <f>IF(AC74="◎",COUNTIF($AC$30:AC74,"◎"),"")</f>
        <v/>
      </c>
      <c r="Q74" s="610" t="str">
        <f t="shared" si="3"/>
        <v/>
      </c>
      <c r="R74" s="701" t="str">
        <f t="shared" si="4"/>
        <v/>
      </c>
      <c r="S74" s="701" t="str">
        <f t="shared" si="5"/>
        <v/>
      </c>
      <c r="T74" s="701" t="str">
        <f t="shared" si="6"/>
        <v/>
      </c>
      <c r="Z74" s="702" t="str">
        <f>IF(B74="個別病床",はじめに入力してください!$K$50,IF(B74="共通使用",はじめに入力してください!$K$52,""))</f>
        <v/>
      </c>
      <c r="AB74" s="12">
        <v>45</v>
      </c>
      <c r="AC74" s="701" t="str">
        <f t="shared" si="7"/>
        <v>○</v>
      </c>
      <c r="AD74" s="702" t="str">
        <f t="shared" si="8"/>
        <v>整備しない場合は入力不要です。</v>
      </c>
    </row>
  </sheetData>
  <sheetProtection algorithmName="SHA-512" hashValue="0NI11HJl2tx7BA64NbRnfNniK3ENGXzm5rX2Z8Dvq4GLXIWoUs+uQ2Gs3CJ8jLPSRS38dChG5reNudK1uHul3w==" saltValue="++3YG/mjr3tAY2ZYtIVDuQ==" spinCount="100000" sheet="1" objects="1" scenarios="1"/>
  <mergeCells count="25">
    <mergeCell ref="N1:P1"/>
    <mergeCell ref="B14:O14"/>
    <mergeCell ref="B15:O15"/>
    <mergeCell ref="B10:O10"/>
    <mergeCell ref="B13:O13"/>
    <mergeCell ref="B7:O7"/>
    <mergeCell ref="B9:C9"/>
    <mergeCell ref="B12:O12"/>
    <mergeCell ref="B28:D28"/>
    <mergeCell ref="E28:F28"/>
    <mergeCell ref="G28:J28"/>
    <mergeCell ref="N28:N29"/>
    <mergeCell ref="O28:O29"/>
    <mergeCell ref="K28:M28"/>
    <mergeCell ref="AC3:AC5"/>
    <mergeCell ref="AD3:AD5"/>
    <mergeCell ref="B26:O26"/>
    <mergeCell ref="B18:O21"/>
    <mergeCell ref="B22:O22"/>
    <mergeCell ref="B2:D3"/>
    <mergeCell ref="Q28:Q29"/>
    <mergeCell ref="AC27:AC28"/>
    <mergeCell ref="AC7:AC8"/>
    <mergeCell ref="AD7:AD8"/>
    <mergeCell ref="AD27:AD28"/>
  </mergeCells>
  <phoneticPr fontId="9"/>
  <conditionalFormatting sqref="AC1:AC4 AC11:AC21 AC6 AC23:AC27 AC29:AC1048576">
    <cfRule type="containsText" dxfId="148" priority="6" operator="containsText" text="×">
      <formula>NOT(ISERROR(SEARCH("×",AC1)))</formula>
    </cfRule>
  </conditionalFormatting>
  <conditionalFormatting sqref="AD1:AD4 AD11:AD21 AD6 AD23:AD27 AD29:AD1048576">
    <cfRule type="containsText" dxfId="147" priority="5" operator="containsText" text="要修正">
      <formula>NOT(ISERROR(SEARCH("要修正",AD1)))</formula>
    </cfRule>
  </conditionalFormatting>
  <conditionalFormatting sqref="AC22">
    <cfRule type="containsText" dxfId="146" priority="4" operator="containsText" text="×">
      <formula>NOT(ISERROR(SEARCH("×",AC22)))</formula>
    </cfRule>
  </conditionalFormatting>
  <conditionalFormatting sqref="AD22">
    <cfRule type="containsText" dxfId="145" priority="3" operator="containsText" text="要修正">
      <formula>NOT(ISERROR(SEARCH("要修正",AD22)))</formula>
    </cfRule>
  </conditionalFormatting>
  <conditionalFormatting sqref="AC9:AC10 AC7">
    <cfRule type="containsText" dxfId="144" priority="2" operator="containsText" text="×">
      <formula>NOT(ISERROR(SEARCH("×",AC7)))</formula>
    </cfRule>
  </conditionalFormatting>
  <conditionalFormatting sqref="AD9:AD10 AD7">
    <cfRule type="containsText" dxfId="143" priority="1" operator="containsText" text="要修正">
      <formula>NOT(ISERROR(SEARCH("要修正",AD7)))</formula>
    </cfRule>
  </conditionalFormatting>
  <dataValidations xWindow="873" yWindow="506" count="10">
    <dataValidation type="list" allowBlank="1" showInputMessage="1" showErrorMessage="1" promptTitle="補助対象の該当非該当" prompt="コロナ対応病床の初度設備に係る経費が対象となります。_x000a_共用部分の設備、備品や医療用消耗品等は補助対象外なので「対象外」を選択してください。_x000a_審査において確認、対象外と認めたものについては対象外として補正をお願いする場合があります。" sqref="J30:J74" xr:uid="{00000000-0002-0000-0E00-000000000000}">
      <formula1>"補助対象,補助対象外"</formula1>
    </dataValidation>
    <dataValidation allowBlank="1" showInputMessage="1" showErrorMessage="1" promptTitle="金額の表示" prompt="数式が入力されているため、自動計算されます。" sqref="N30:N74 I30:I74" xr:uid="{00000000-0002-0000-0E00-000001000000}"/>
    <dataValidation allowBlank="1" showInputMessage="1" showErrorMessage="1" promptTitle="添付書類番号" prompt="種類、規格、数量、単価が全て適切に入力され、右の「判定」が「◎」と表示されると自動で番号が表示されます。" sqref="O30:O74" xr:uid="{00000000-0002-0000-0E00-000002000000}"/>
    <dataValidation allowBlank="1" showInputMessage="1" showErrorMessage="1" promptTitle="単価の入力" prompt="税抜額または税込額のいずれかを入力してください。_x000a_入力しない方は「0」は入力せず、空欄としてください。" sqref="H30:H74" xr:uid="{00000000-0002-0000-0E00-000003000000}"/>
    <dataValidation allowBlank="1" showInputMessage="1" showErrorMessage="1" promptTitle="規格及び数量の入力" prompt="補助対象経費を計上する際、いずれも入力してください。" sqref="E30:E74" xr:uid="{00000000-0002-0000-0E00-000004000000}"/>
    <dataValidation allowBlank="1" showInputMessage="1" showErrorMessage="1" promptTitle="補助対象金額" prompt="補助対象額×（見積書金額-割引額）/見積書金額_x000a_で算出されます。" sqref="J3:M3" xr:uid="{00000000-0002-0000-0E00-000005000000}"/>
    <dataValidation allowBlank="1" showInputMessage="1" showErrorMessage="1" promptTitle="割引額がある場合は入力" prompt="割引がない場合は「0円」のままとしてください。" sqref="I3" xr:uid="{00000000-0002-0000-0E00-000006000000}"/>
    <dataValidation type="list" allowBlank="1" showInputMessage="1" showErrorMessage="1" promptTitle="設備、備品、その他の別を選択" prompt="当該行に記載する品目が_x000a_・「設備」（設備本体）_x000a_・備品（本体設備と別の構成をなすもの）_x000a_・その他（上記の該当しないもの）_x000a_の別をプルダウンから選択してください。" sqref="D30:D74" xr:uid="{00000000-0002-0000-0E00-000007000000}">
      <formula1>"設備,備品,その他"</formula1>
    </dataValidation>
    <dataValidation type="whole" operator="greaterThanOrEqual" allowBlank="1" showInputMessage="1" showErrorMessage="1" errorTitle="数値のみを入力してください。" error="「個」、「枚」等の単位入力は不要です。" promptTitle="規格及び数量の入力" prompt="補助対象経費を計上する際、いずれも入力してください。" sqref="F30:F74" xr:uid="{AFEBEDB5-17F9-405A-9A7E-47C228FB83C5}">
      <formula1>0</formula1>
    </dataValidation>
    <dataValidation type="decimal" operator="greaterThanOrEqual" allowBlank="1" showInputMessage="1" showErrorMessage="1" promptTitle="単価の入力" prompt="税抜額または税込額のいずれかを入力してください。_x000a_入力しない方は「0」は入力せず、空欄としてください。" sqref="G30:G74" xr:uid="{05B02143-0CF3-46F7-93E7-6E906B52FF47}">
      <formula1>0</formula1>
    </dataValidation>
  </dataValidations>
  <pageMargins left="0.7" right="0.7" top="0.75" bottom="0.75" header="0.3" footer="0.3"/>
  <pageSetup paperSize="9" scale="51" orientation="portrait" r:id="rId1"/>
  <drawing r:id="rId2"/>
  <legacyDrawing r:id="rId3"/>
  <extLst>
    <ext xmlns:x14="http://schemas.microsoft.com/office/spreadsheetml/2009/9/main" uri="{CCE6A557-97BC-4b89-ADB6-D9C93CAAB3DF}">
      <x14:dataValidations xmlns:xm="http://schemas.microsoft.com/office/excel/2006/main" xWindow="873" yWindow="506" count="6">
        <x14:dataValidation type="list" allowBlank="1" showInputMessage="1" showErrorMessage="1" promptTitle="配備先の別を選択" prompt="確保病床の共通使用のものか、個別のベッドに配備するものか選択してください。" xr:uid="{00000000-0002-0000-0E00-000009000000}">
          <x14:formula1>
            <xm:f>テーブル!$X$48:$X$49</xm:f>
          </x14:formula1>
          <xm:sqref>B30:B74</xm:sqref>
        </x14:dataValidation>
        <x14:dataValidation type="list" allowBlank="1" showInputMessage="1" showErrorMessage="1" promptTitle="「用途先」病床の選択（左の「病床」を選択しないと表示されません。" prompt="ベッドに必ずしも紐付けるものではありませんが、１病床１台で紐付けした場合、整備する病床に番号付けをした場合の番号を選択してください。" xr:uid="{00000000-0002-0000-0E00-00000A000000}">
          <x14:formula1>
            <xm:f>OFFSET(テーブル!$X$48, 0, MATCH(B30,テーブル!$Y$47:$Z$47,0), COUNTA(OFFSET(テーブル!$X$48,0,MATCH(B30,テーブル!$Y$47:$Z$47,0),$Z$30,1)),1)</xm:f>
          </x14:formula1>
          <xm:sqref>C30:C74</xm:sqref>
        </x14:dataValidation>
        <x14:dataValidation type="list" allowBlank="1" showInputMessage="1" showErrorMessage="1" xr:uid="{00000000-0002-0000-0E00-000008000000}">
          <x14:formula1>
            <xm:f>テーブル!$M$37:$M$51</xm:f>
          </x14:formula1>
          <xm:sqref>B2:D2</xm:sqref>
        </x14:dataValidation>
        <x14:dataValidation type="list" allowBlank="1" showInputMessage="1" showErrorMessage="1" xr:uid="{4EA02154-82D2-49B6-8746-2D8C58A9BAFE}">
          <x14:formula1>
            <xm:f>テーブル!$I$2:$I$3</xm:f>
          </x14:formula1>
          <xm:sqref>K30:K74</xm:sqref>
        </x14:dataValidation>
        <x14:dataValidation type="list" allowBlank="1" showInputMessage="1" showErrorMessage="1" xr:uid="{46E4F90D-4090-4B87-95D5-44A30505627D}">
          <x14:formula1>
            <xm:f>テーブル!$J$2:$J$7</xm:f>
          </x14:formula1>
          <xm:sqref>L30:L74</xm:sqref>
        </x14:dataValidation>
        <x14:dataValidation type="list" allowBlank="1" showInputMessage="1" showErrorMessage="1" xr:uid="{E2A1499E-5490-47E4-A610-8994C01810B8}">
          <x14:formula1>
            <xm:f>テーブル!$K$2:$K$32</xm:f>
          </x14:formula1>
          <xm:sqref>M30:M74</xm:sqref>
        </x14:dataValidation>
      </x14:dataValidation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rgb="FFFFC000"/>
    <pageSetUpPr fitToPage="1"/>
  </sheetPr>
  <dimension ref="A1:AI74"/>
  <sheetViews>
    <sheetView showGridLines="0" view="pageBreakPreview" zoomScale="60" zoomScaleNormal="100" workbookViewId="0">
      <selection activeCell="J30" activeCellId="3" sqref="B15:O15 B22:O22 B30:G33 J30:M33"/>
    </sheetView>
  </sheetViews>
  <sheetFormatPr defaultColWidth="8.625" defaultRowHeight="18"/>
  <cols>
    <col min="1" max="1" width="3.625" style="12" customWidth="1"/>
    <col min="2" max="4" width="8.625" style="19"/>
    <col min="5" max="5" width="30.625" style="19" customWidth="1"/>
    <col min="6" max="6" width="8.625" style="19"/>
    <col min="7" max="10" width="12.625" style="19" customWidth="1"/>
    <col min="11" max="13" width="3.625" style="19" customWidth="1"/>
    <col min="14" max="14" width="12.625" style="19" customWidth="1"/>
    <col min="15" max="15" width="8.625" style="19"/>
    <col min="16" max="16" width="3.625" style="19" customWidth="1"/>
    <col min="17" max="17" width="12.625" style="19" customWidth="1"/>
    <col min="18" max="20" width="3.625" style="19" customWidth="1"/>
    <col min="21" max="26" width="8.625" style="19"/>
    <col min="27" max="27" width="8.625" style="19" customWidth="1"/>
    <col min="28" max="28" width="3.625" style="12" customWidth="1"/>
    <col min="29" max="29" width="8.625" style="19"/>
    <col min="30" max="30" width="40.625" style="19" customWidth="1"/>
    <col min="31" max="31" width="3.625" style="19" customWidth="1"/>
    <col min="32" max="35" width="8.625" style="19"/>
    <col min="36" max="36" width="30.625" style="19" customWidth="1"/>
    <col min="37" max="16384" width="8.625" style="19"/>
  </cols>
  <sheetData>
    <row r="1" spans="1:35" ht="20.100000000000001" customHeight="1">
      <c r="N1" s="1829" t="str">
        <f xml:space="preserve">
IF(表紙!$X$2="事前協議","（10月１日～３月31日分）",
IF(表紙!$X$2="交付申請（２次）","（10月１日～３月31日分）",
IF(表紙!$X$2="変更申請","（10月１日～３月31日分）",
IF(表紙!$X$2="実績報告（１次）","（５月８日～10月31日分）",
IF(表紙!$X$2="実績報告（２次）","（10月１日～３月31日分）",
IF(表紙!$X$2="交付申請兼実績報告","（10月１日～３月31日分）"))))))</f>
        <v>（10月１日～３月31日分）</v>
      </c>
      <c r="O1" s="1364"/>
      <c r="P1" s="1364"/>
    </row>
    <row r="2" spans="1:35" ht="20.100000000000001" customHeight="1">
      <c r="B2" s="1817" t="s">
        <v>423</v>
      </c>
      <c r="C2" s="1818"/>
      <c r="D2" s="1819"/>
      <c r="H2" s="5" t="s">
        <v>538</v>
      </c>
      <c r="I2" s="701" t="s">
        <v>539</v>
      </c>
      <c r="J2" s="5" t="s">
        <v>44</v>
      </c>
      <c r="K2" s="600"/>
      <c r="L2" s="600"/>
      <c r="M2" s="600"/>
      <c r="AC2" s="701" t="s">
        <v>419</v>
      </c>
      <c r="AD2" s="701" t="s">
        <v>417</v>
      </c>
      <c r="AF2" s="701" t="str">
        <f>AC9</f>
        <v>×</v>
      </c>
      <c r="AG2" s="701" t="str">
        <f>AC15</f>
        <v>○</v>
      </c>
      <c r="AH2" s="701" t="str">
        <f>AC22</f>
        <v>○</v>
      </c>
      <c r="AI2" s="701" t="str">
        <f>AC26</f>
        <v>○</v>
      </c>
    </row>
    <row r="3" spans="1:35" ht="20.100000000000001" customHeight="1">
      <c r="B3" s="1820"/>
      <c r="C3" s="1821"/>
      <c r="D3" s="1822"/>
      <c r="H3" s="358">
        <f>SUM(I30:I74)</f>
        <v>0</v>
      </c>
      <c r="I3" s="8"/>
      <c r="J3" s="358">
        <f>IFERROR(ROUNDUP(SUM(N30:N74)*((H3-I3)/H3),0),0)</f>
        <v>0</v>
      </c>
      <c r="K3" s="601"/>
      <c r="L3" s="601"/>
      <c r="M3" s="601"/>
      <c r="AC3" s="863" t="str">
        <f xml:space="preserve">
IF(COUNTIF(AG2:AI2,"○")=3,"○",
IF(COUNTIF(AG2:AI2,"◎")=3,"◎","×"
))</f>
        <v>○</v>
      </c>
      <c r="AD3" s="1812" t="str">
        <f xml:space="preserve">
IF(AC3="○","整備しない場合は入力不要です。",
IF(AC3="×","【要修正】入力が不十分な箇所があります。",
IF(AC3="◎","適切に入力がされました。")))</f>
        <v>整備しない場合は入力不要です。</v>
      </c>
    </row>
    <row r="4" spans="1:35" ht="9.9499999999999993" customHeight="1">
      <c r="AC4" s="863"/>
      <c r="AD4" s="1812"/>
    </row>
    <row r="5" spans="1:35" ht="20.100000000000001" customHeight="1">
      <c r="B5" s="705" t="s">
        <v>55</v>
      </c>
      <c r="C5" s="705"/>
      <c r="D5" s="705"/>
      <c r="E5" s="705"/>
      <c r="F5" s="705"/>
      <c r="G5" s="705"/>
      <c r="H5" s="705"/>
      <c r="I5" s="705"/>
      <c r="J5" s="705"/>
      <c r="K5" s="705"/>
      <c r="L5" s="705"/>
      <c r="M5" s="705"/>
      <c r="N5" s="705"/>
      <c r="O5" s="705"/>
      <c r="AC5" s="908"/>
      <c r="AD5" s="843"/>
    </row>
    <row r="6" spans="1:35" ht="9.9499999999999993" customHeight="1"/>
    <row r="7" spans="1:35" ht="20.100000000000001" customHeight="1">
      <c r="B7" s="1833" t="str">
        <f>初度設備!B7</f>
        <v>（１）整備を行う対象病床数</v>
      </c>
      <c r="C7" s="932"/>
      <c r="D7" s="932"/>
      <c r="E7" s="932"/>
      <c r="F7" s="932"/>
      <c r="G7" s="932"/>
      <c r="H7" s="932"/>
      <c r="I7" s="932"/>
      <c r="J7" s="932"/>
      <c r="K7" s="932"/>
      <c r="L7" s="932"/>
      <c r="M7" s="932"/>
      <c r="N7" s="932"/>
      <c r="O7" s="932"/>
      <c r="AC7" s="1808" t="s">
        <v>415</v>
      </c>
      <c r="AD7" s="1808" t="s">
        <v>417</v>
      </c>
    </row>
    <row r="8" spans="1:35" ht="9.9499999999999993" customHeight="1">
      <c r="AC8" s="1809"/>
      <c r="AD8" s="1809"/>
    </row>
    <row r="9" spans="1:35" ht="35.1" customHeight="1">
      <c r="B9" s="1834" t="s">
        <v>56</v>
      </c>
      <c r="C9" s="1835"/>
      <c r="D9" s="205" t="str">
        <f>IF(はじめに入力してください!K50="","",はじめに入力してください!K50)</f>
        <v/>
      </c>
      <c r="E9" s="359"/>
      <c r="F9" s="360"/>
      <c r="G9" s="360"/>
      <c r="H9" s="360"/>
      <c r="I9" s="360"/>
      <c r="J9" s="361"/>
      <c r="K9" s="361"/>
      <c r="L9" s="361"/>
      <c r="M9" s="361"/>
      <c r="N9" s="361"/>
      <c r="O9" s="361"/>
      <c r="AC9" s="701" t="str">
        <f xml:space="preserve">
IF(D9="","×",
IF(D9=0,"○",
IF(D9&gt;=1,"◎",
)))</f>
        <v>×</v>
      </c>
      <c r="AD9" s="702" t="str">
        <f xml:space="preserve">
IF(D9="","【要修正】「はじめに入力してください」シートに整備を行う病床の数を入力してください。",
IF(D9=0,"申請しない場合は以下入力不要です。",
IF(D9&gt;=1,"適切に入力されました。",
)))</f>
        <v>【要修正】「はじめに入力してください」シートに整備を行う病床の数を入力してください。</v>
      </c>
    </row>
    <row r="10" spans="1:35" ht="20.100000000000001" customHeight="1">
      <c r="B10" s="1830"/>
      <c r="C10" s="1831"/>
      <c r="D10" s="1832"/>
      <c r="E10" s="1832"/>
      <c r="F10" s="1832"/>
      <c r="G10" s="1832"/>
      <c r="H10" s="1832"/>
      <c r="I10" s="1832"/>
      <c r="J10" s="1832"/>
      <c r="K10" s="1832"/>
      <c r="L10" s="1832"/>
      <c r="M10" s="1832"/>
      <c r="N10" s="1832"/>
      <c r="O10" s="1832"/>
    </row>
    <row r="11" spans="1:35" ht="20.100000000000001" hidden="1" customHeight="1"/>
    <row r="12" spans="1:35" ht="20.100000000000001" customHeight="1">
      <c r="B12" s="1833" t="str">
        <f>初度設備!B12</f>
        <v>（２）この度、新たに整備を行う必要が生じた理由（フロア毎の対応から病室毎の対応への移行の計画内容）を詳しく記入してください。</v>
      </c>
      <c r="C12" s="932"/>
      <c r="D12" s="932"/>
      <c r="E12" s="932"/>
      <c r="F12" s="932"/>
      <c r="G12" s="932"/>
      <c r="H12" s="932"/>
      <c r="I12" s="932"/>
      <c r="J12" s="932"/>
      <c r="K12" s="932"/>
      <c r="L12" s="932"/>
      <c r="M12" s="932"/>
      <c r="N12" s="932"/>
      <c r="O12" s="932"/>
    </row>
    <row r="13" spans="1:35" ht="39.950000000000003" customHeight="1">
      <c r="B13" s="1813" t="s">
        <v>540</v>
      </c>
      <c r="C13" s="931"/>
      <c r="D13" s="931"/>
      <c r="E13" s="931"/>
      <c r="F13" s="931"/>
      <c r="G13" s="931"/>
      <c r="H13" s="931"/>
      <c r="I13" s="931"/>
      <c r="J13" s="931"/>
      <c r="K13" s="931"/>
      <c r="L13" s="931"/>
      <c r="M13" s="931"/>
      <c r="N13" s="931"/>
      <c r="O13" s="931"/>
    </row>
    <row r="14" spans="1:35" s="703" customFormat="1" ht="99.95" customHeight="1">
      <c r="A14" s="13"/>
      <c r="B14" s="1813" t="str">
        <f>VLOOKUP(B2,テーブル!M37:N51,2,FALSE)</f>
        <v>（例）当院はこれまで確保病床を有する入院医療機関ではなかったがこれまでコロナ入院患者を受け入れてきた。
　　　これまで要請のあった患者の中には人工呼吸器の使用が必要な重症患者が含まれ、当院に既存の人工呼吸器が既に入院している患者に使用していたため
　　　受け入れを断らざるを得ない事態が生じた。（要請を断ったケース実績については添付資料のとおり。）
　　　入院患者の総体として軽症化の傾向があるものの、直近○月においても上記のケースが生じており、今後も引き続き重症患者を受け入れていく方針のもと
　　　受け入れを断らざるを得ない状況とならないよう、新規で１台追加することとしたい。</v>
      </c>
      <c r="C14" s="1645"/>
      <c r="D14" s="1645"/>
      <c r="E14" s="1645"/>
      <c r="F14" s="1645"/>
      <c r="G14" s="1645"/>
      <c r="H14" s="1645"/>
      <c r="I14" s="1645"/>
      <c r="J14" s="1645"/>
      <c r="K14" s="1645"/>
      <c r="L14" s="1645"/>
      <c r="M14" s="1645"/>
      <c r="N14" s="1645"/>
      <c r="O14" s="1645"/>
      <c r="AB14" s="13"/>
      <c r="AC14" s="558" t="s">
        <v>415</v>
      </c>
      <c r="AD14" s="558" t="s">
        <v>416</v>
      </c>
    </row>
    <row r="15" spans="1:35" ht="120" customHeight="1">
      <c r="B15" s="1814"/>
      <c r="C15" s="1815"/>
      <c r="D15" s="1815"/>
      <c r="E15" s="1815"/>
      <c r="F15" s="1815"/>
      <c r="G15" s="1815"/>
      <c r="H15" s="1815"/>
      <c r="I15" s="1815"/>
      <c r="J15" s="1815"/>
      <c r="K15" s="1815"/>
      <c r="L15" s="1815"/>
      <c r="M15" s="1815"/>
      <c r="N15" s="1815"/>
      <c r="O15" s="1816"/>
      <c r="AC15" s="701" t="str">
        <f xml:space="preserve">
IF(COUNTA(B15)=0,"○",
IF(COUNTA(B15)=1,"◎"))</f>
        <v>○</v>
      </c>
      <c r="AD15" s="702" t="str">
        <f xml:space="preserve">
IF(COUNTA(B15)=0,"整備しない場合は入力不要です。",
IF(COUNTA(B15)=1,"入力された状態になりました。"))</f>
        <v>整備しない場合は入力不要です。</v>
      </c>
    </row>
    <row r="16" spans="1:35" ht="20.100000000000001" customHeight="1"/>
    <row r="17" spans="1:30" ht="20.100000000000001" customHeight="1">
      <c r="B17" s="705" t="s">
        <v>454</v>
      </c>
      <c r="C17" s="705"/>
      <c r="D17" s="705"/>
      <c r="E17" s="705"/>
      <c r="F17" s="705"/>
      <c r="G17" s="705"/>
      <c r="H17" s="705"/>
      <c r="I17" s="705"/>
      <c r="J17" s="705"/>
      <c r="K17" s="705"/>
      <c r="L17" s="705"/>
      <c r="M17" s="705"/>
      <c r="N17" s="705"/>
      <c r="O17" s="705"/>
    </row>
    <row r="18" spans="1:30" ht="20.100000000000001" customHeight="1">
      <c r="B18" s="1813" t="s">
        <v>482</v>
      </c>
      <c r="C18" s="931"/>
      <c r="D18" s="931"/>
      <c r="E18" s="931"/>
      <c r="F18" s="931"/>
      <c r="G18" s="931"/>
      <c r="H18" s="931"/>
      <c r="I18" s="931"/>
      <c r="J18" s="931"/>
      <c r="K18" s="931"/>
      <c r="L18" s="931"/>
      <c r="M18" s="931"/>
      <c r="N18" s="931"/>
      <c r="O18" s="931"/>
    </row>
    <row r="19" spans="1:30" ht="20.100000000000001" customHeight="1">
      <c r="B19" s="1813"/>
      <c r="C19" s="931"/>
      <c r="D19" s="931"/>
      <c r="E19" s="931"/>
      <c r="F19" s="931"/>
      <c r="G19" s="931"/>
      <c r="H19" s="931"/>
      <c r="I19" s="931"/>
      <c r="J19" s="931"/>
      <c r="K19" s="931"/>
      <c r="L19" s="931"/>
      <c r="M19" s="931"/>
      <c r="N19" s="931"/>
      <c r="O19" s="931"/>
    </row>
    <row r="20" spans="1:30" ht="20.100000000000001" customHeight="1">
      <c r="B20" s="1813"/>
      <c r="C20" s="931"/>
      <c r="D20" s="931"/>
      <c r="E20" s="931"/>
      <c r="F20" s="931"/>
      <c r="G20" s="931"/>
      <c r="H20" s="931"/>
      <c r="I20" s="931"/>
      <c r="J20" s="931"/>
      <c r="K20" s="931"/>
      <c r="L20" s="931"/>
      <c r="M20" s="931"/>
      <c r="N20" s="931"/>
      <c r="O20" s="931"/>
    </row>
    <row r="21" spans="1:30" ht="20.100000000000001" customHeight="1">
      <c r="B21" s="931"/>
      <c r="C21" s="931"/>
      <c r="D21" s="931"/>
      <c r="E21" s="931"/>
      <c r="F21" s="931"/>
      <c r="G21" s="931"/>
      <c r="H21" s="931"/>
      <c r="I21" s="931"/>
      <c r="J21" s="931"/>
      <c r="K21" s="931"/>
      <c r="L21" s="931"/>
      <c r="M21" s="931"/>
      <c r="N21" s="931"/>
      <c r="O21" s="931"/>
    </row>
    <row r="22" spans="1:30" ht="120" customHeight="1">
      <c r="B22" s="1814"/>
      <c r="C22" s="1815"/>
      <c r="D22" s="1815"/>
      <c r="E22" s="1815"/>
      <c r="F22" s="1815"/>
      <c r="G22" s="1815"/>
      <c r="H22" s="1815"/>
      <c r="I22" s="1815"/>
      <c r="J22" s="1815"/>
      <c r="K22" s="1815"/>
      <c r="L22" s="1815"/>
      <c r="M22" s="1815"/>
      <c r="N22" s="1815"/>
      <c r="O22" s="1816"/>
      <c r="AC22" s="701" t="str">
        <f xml:space="preserve">
IF(COUNTA(B22)=0,"○",
IF(COUNTA(B22)=1,"◎"))</f>
        <v>○</v>
      </c>
      <c r="AD22" s="702" t="str">
        <f xml:space="preserve">
IF(COUNTA(B22)=0,"整備しない場合は入力不要です。",
IF(COUNTA(B22)=1,"入力された状態になりました。"))</f>
        <v>整備しない場合は入力不要です。</v>
      </c>
    </row>
    <row r="23" spans="1:30" ht="20.100000000000001" customHeight="1"/>
    <row r="24" spans="1:30" ht="20.100000000000001" customHeight="1">
      <c r="B24" s="705" t="s">
        <v>453</v>
      </c>
      <c r="C24" s="705"/>
      <c r="D24" s="705"/>
      <c r="E24" s="705"/>
      <c r="F24" s="705"/>
      <c r="G24" s="705"/>
      <c r="H24" s="705"/>
      <c r="I24" s="705"/>
      <c r="J24" s="705"/>
      <c r="K24" s="705"/>
      <c r="L24" s="705"/>
      <c r="M24" s="705"/>
      <c r="N24" s="705"/>
      <c r="O24" s="705"/>
      <c r="AC24" s="14"/>
    </row>
    <row r="25" spans="1:30" ht="9.9499999999999993" customHeight="1"/>
    <row r="26" spans="1:30" ht="60" customHeight="1">
      <c r="B26" s="1813" t="s">
        <v>561</v>
      </c>
      <c r="C26" s="932"/>
      <c r="D26" s="932"/>
      <c r="E26" s="932"/>
      <c r="F26" s="932"/>
      <c r="G26" s="932"/>
      <c r="H26" s="932"/>
      <c r="I26" s="932"/>
      <c r="J26" s="932"/>
      <c r="K26" s="932"/>
      <c r="L26" s="932"/>
      <c r="M26" s="932"/>
      <c r="N26" s="932"/>
      <c r="O26" s="932"/>
      <c r="AC26" s="701" t="str">
        <f xml:space="preserve">
IF(COUNTIF(AC30:AC74,"○")=45,"○",
IF(COUNTIF(AC30:AC74,"×")&gt;=1,"×",
IF(AND(COUNTIF(AC30:AC74,"◎")&gt;=1,COUNTIF(AC30:AC74,"×")=0),"◎")))</f>
        <v>○</v>
      </c>
      <c r="AD26" s="702" t="str">
        <f xml:space="preserve">
IF(COUNTIF(AC30:AC74,"○")=45,"整備しない場合は入力不要です。",
IF(COUNTIF(AC30:AC74,"×")&gt;=1,"【要修正】入力が不十分な箇所があります。",
IF(AND(COUNTIF(AC30:AC74,"◎")&gt;=1,COUNTIF(AC30:AC74,"×")=0),"適切に入力がされました。")))</f>
        <v>整備しない場合は入力不要です。</v>
      </c>
    </row>
    <row r="27" spans="1:30" ht="9.9499999999999993" customHeight="1">
      <c r="AC27" s="1807" t="s">
        <v>418</v>
      </c>
      <c r="AD27" s="1810" t="s">
        <v>420</v>
      </c>
    </row>
    <row r="28" spans="1:30" ht="18.75">
      <c r="B28" s="1823" t="s">
        <v>41</v>
      </c>
      <c r="C28" s="1824"/>
      <c r="D28" s="1825"/>
      <c r="E28" s="1823" t="s">
        <v>42</v>
      </c>
      <c r="F28" s="1825"/>
      <c r="G28" s="1823" t="s">
        <v>43</v>
      </c>
      <c r="H28" s="1824"/>
      <c r="I28" s="1824"/>
      <c r="J28" s="1825"/>
      <c r="K28" s="1828" t="str">
        <f xml:space="preserve">
IF(表紙!$X$2="事前協議","納品予定日",
IF(表紙!$X$2="交付申請（２次）","納品予定日",
IF(表紙!$X$2="変更申請","納品予定日",
IF(表紙!$X$2="実績報告（１次）","納品日",
IF(表紙!$X$2="実績報告（２次）","納品日",
IF(表紙!$X$2="交付申請兼実績報告","納品日"))))))</f>
        <v>納品予定日</v>
      </c>
      <c r="L28" s="1369"/>
      <c r="M28" s="1369"/>
      <c r="N28" s="1826" t="s">
        <v>44</v>
      </c>
      <c r="O28" s="1826" t="s">
        <v>45</v>
      </c>
      <c r="Q28" s="1805" t="str">
        <f>K28</f>
        <v>納品予定日</v>
      </c>
      <c r="R28" s="603"/>
      <c r="S28" s="603"/>
      <c r="T28" s="602"/>
      <c r="AC28" s="1084"/>
      <c r="AD28" s="1811"/>
    </row>
    <row r="29" spans="1:30">
      <c r="B29" s="704" t="s">
        <v>46</v>
      </c>
      <c r="C29" s="704" t="s">
        <v>47</v>
      </c>
      <c r="D29" s="704" t="s">
        <v>48</v>
      </c>
      <c r="E29" s="704" t="s">
        <v>54</v>
      </c>
      <c r="F29" s="704" t="s">
        <v>49</v>
      </c>
      <c r="G29" s="704" t="s">
        <v>50</v>
      </c>
      <c r="H29" s="704" t="s">
        <v>51</v>
      </c>
      <c r="I29" s="704" t="s">
        <v>52</v>
      </c>
      <c r="J29" s="704" t="s">
        <v>53</v>
      </c>
      <c r="K29" s="704" t="s">
        <v>1387</v>
      </c>
      <c r="L29" s="704" t="s">
        <v>1388</v>
      </c>
      <c r="M29" s="704" t="s">
        <v>1389</v>
      </c>
      <c r="N29" s="1827"/>
      <c r="O29" s="1827"/>
      <c r="Q29" s="1806"/>
      <c r="R29" s="701" t="s">
        <v>1387</v>
      </c>
      <c r="S29" s="701" t="s">
        <v>1388</v>
      </c>
      <c r="T29" s="701" t="s">
        <v>1389</v>
      </c>
      <c r="AC29" s="701" t="s">
        <v>415</v>
      </c>
      <c r="AD29" s="701" t="s">
        <v>417</v>
      </c>
    </row>
    <row r="30" spans="1:30">
      <c r="A30" s="12">
        <v>1</v>
      </c>
      <c r="B30" s="6"/>
      <c r="C30" s="6"/>
      <c r="D30" s="6"/>
      <c r="E30" s="10"/>
      <c r="F30" s="7"/>
      <c r="G30" s="541"/>
      <c r="H30" s="15">
        <f>ROUNDDOWN(G30*1.1,0)</f>
        <v>0</v>
      </c>
      <c r="I30" s="4">
        <f>F30*H30</f>
        <v>0</v>
      </c>
      <c r="J30" s="9"/>
      <c r="K30" s="609"/>
      <c r="L30" s="609"/>
      <c r="M30" s="609"/>
      <c r="N30" s="4">
        <f t="shared" ref="N30:N74" si="0">IF(J30="補助対象",I30,IF(J30="補助対象外",0,0))</f>
        <v>0</v>
      </c>
      <c r="O30" s="5" t="str">
        <f>IF(AC30="◎",COUNTIF($AC$30:AC30,"◎"),"")</f>
        <v/>
      </c>
      <c r="Q30" s="610" t="str">
        <f>IF(AND(AC30="◎",J30="補助対象"),DATE(IF(K30=5,2023,IF(K30=6,2024)),L30,M30),"")</f>
        <v/>
      </c>
      <c r="R30" s="701" t="str">
        <f>IF(Q30=MAX($Q$30:$Q$74),K30,"")</f>
        <v/>
      </c>
      <c r="S30" s="701" t="str">
        <f>IF(Q30=MAX($Q$30:$Q$74),L30,"")</f>
        <v/>
      </c>
      <c r="T30" s="701" t="str">
        <f>IF(Q30=MAX($Q$30:$Q$74),M30,"")</f>
        <v/>
      </c>
      <c r="Z30" s="702" t="str">
        <f>IF(B30="個別病床",はじめに入力してください!$K$50,IF(B30="共通使用",はじめに入力してください!$K$52,""))</f>
        <v/>
      </c>
      <c r="AB30" s="12">
        <v>1</v>
      </c>
      <c r="AC30" s="701" t="str">
        <f xml:space="preserve">
IF(SUM(COUNTA(B30:G30),COUNTA(J30:M30))=0,"○",
IF(AND(SUM(COUNTA(B30:G30),COUNTA(J30:M30))&gt;0,SUM(COUNTA(B30:G30),COUNTA(J30:M30))&lt;10),"×",
IF(SUM(COUNTA(B30:G30),COUNTA(J30:M30))=10,"◎")))</f>
        <v>○</v>
      </c>
      <c r="AD30" s="702" t="str">
        <f t="shared" ref="AD30:AD74" si="1" xml:space="preserve">
IF(SUM(COUNTA(B30:G30),COUNTA(J30))=0,"整備しない場合は入力不要です。",
IF(AND(SUM(COUNTA(B30:G30),COUNTA(J30))&gt;0,SUM(COUNTA(B30:G30),COUNTA(J30))&lt;7),"【要修正】未入力の箇所があります。",
IF(SUM(COUNTA(B30:G30),COUNTA(J30))=7,"適切に入力がされました。")))</f>
        <v>整備しない場合は入力不要です。</v>
      </c>
    </row>
    <row r="31" spans="1:30">
      <c r="A31" s="12">
        <v>2</v>
      </c>
      <c r="B31" s="6"/>
      <c r="C31" s="6"/>
      <c r="D31" s="6"/>
      <c r="E31" s="10"/>
      <c r="F31" s="7"/>
      <c r="G31" s="541"/>
      <c r="H31" s="15">
        <f t="shared" ref="H31:H74" si="2">ROUNDDOWN(G31*1.1,0)</f>
        <v>0</v>
      </c>
      <c r="I31" s="4">
        <f t="shared" ref="I31:I74" si="3">F31*H31</f>
        <v>0</v>
      </c>
      <c r="J31" s="9"/>
      <c r="K31" s="609"/>
      <c r="L31" s="609"/>
      <c r="M31" s="609"/>
      <c r="N31" s="4">
        <f t="shared" si="0"/>
        <v>0</v>
      </c>
      <c r="O31" s="5" t="str">
        <f>IF(AC31="◎",COUNTIF($AC$30:AC31,"◎"),"")</f>
        <v/>
      </c>
      <c r="Q31" s="610" t="str">
        <f t="shared" ref="Q31:Q74" si="4">IF(AND(AC31="◎",J31="補助対象"),DATE(IF(K31=5,2023,IF(K31=6,2024)),L31,M31),"")</f>
        <v/>
      </c>
      <c r="R31" s="701" t="str">
        <f t="shared" ref="R31:R74" si="5">IF(Q31=MAX($Q$30:$Q$74),K31,"")</f>
        <v/>
      </c>
      <c r="S31" s="701" t="str">
        <f t="shared" ref="S31:S74" si="6">IF(Q31=MAX($Q$30:$Q$74),L31,"")</f>
        <v/>
      </c>
      <c r="T31" s="701" t="str">
        <f t="shared" ref="T31:T74" si="7">IF(Q31=MAX($Q$30:$Q$74),M31,"")</f>
        <v/>
      </c>
      <c r="Z31" s="702" t="str">
        <f>IF(B31="個別病床",はじめに入力してください!$K$50,IF(B31="共通使用",はじめに入力してください!$K$52,""))</f>
        <v/>
      </c>
      <c r="AB31" s="12">
        <v>2</v>
      </c>
      <c r="AC31" s="701" t="str">
        <f t="shared" ref="AC31:AC74" si="8" xml:space="preserve">
IF(SUM(COUNTA(B31:G31),COUNTA(J31:M31))=0,"○",
IF(AND(SUM(COUNTA(B31:G31),COUNTA(J31:M31))&gt;0,SUM(COUNTA(B31:G31),COUNTA(J31:M31))&lt;10),"×",
IF(SUM(COUNTA(B31:G31),COUNTA(J31:M31))=10,"◎")))</f>
        <v>○</v>
      </c>
      <c r="AD31" s="702" t="str">
        <f t="shared" si="1"/>
        <v>整備しない場合は入力不要です。</v>
      </c>
    </row>
    <row r="32" spans="1:30">
      <c r="A32" s="12">
        <v>3</v>
      </c>
      <c r="B32" s="6"/>
      <c r="C32" s="6"/>
      <c r="D32" s="6"/>
      <c r="E32" s="10"/>
      <c r="F32" s="7"/>
      <c r="G32" s="541"/>
      <c r="H32" s="15">
        <f t="shared" si="2"/>
        <v>0</v>
      </c>
      <c r="I32" s="4">
        <f t="shared" si="3"/>
        <v>0</v>
      </c>
      <c r="J32" s="9"/>
      <c r="K32" s="609"/>
      <c r="L32" s="609"/>
      <c r="M32" s="609"/>
      <c r="N32" s="4">
        <f t="shared" si="0"/>
        <v>0</v>
      </c>
      <c r="O32" s="5" t="str">
        <f>IF(AC32="◎",COUNTIF($AC$30:AC32,"◎"),"")</f>
        <v/>
      </c>
      <c r="Q32" s="610" t="str">
        <f t="shared" si="4"/>
        <v/>
      </c>
      <c r="R32" s="701" t="str">
        <f t="shared" si="5"/>
        <v/>
      </c>
      <c r="S32" s="701" t="str">
        <f t="shared" si="6"/>
        <v/>
      </c>
      <c r="T32" s="701" t="str">
        <f t="shared" si="7"/>
        <v/>
      </c>
      <c r="Z32" s="702" t="str">
        <f>IF(B32="個別病床",はじめに入力してください!$K$50,IF(B32="共通使用",はじめに入力してください!$K$52,""))</f>
        <v/>
      </c>
      <c r="AB32" s="12">
        <v>3</v>
      </c>
      <c r="AC32" s="701" t="str">
        <f t="shared" si="8"/>
        <v>○</v>
      </c>
      <c r="AD32" s="702" t="str">
        <f t="shared" si="1"/>
        <v>整備しない場合は入力不要です。</v>
      </c>
    </row>
    <row r="33" spans="1:30">
      <c r="A33" s="12">
        <v>4</v>
      </c>
      <c r="B33" s="6"/>
      <c r="C33" s="6"/>
      <c r="D33" s="6"/>
      <c r="E33" s="10"/>
      <c r="F33" s="7"/>
      <c r="G33" s="541"/>
      <c r="H33" s="15">
        <f t="shared" si="2"/>
        <v>0</v>
      </c>
      <c r="I33" s="4">
        <f t="shared" si="3"/>
        <v>0</v>
      </c>
      <c r="J33" s="9"/>
      <c r="K33" s="609"/>
      <c r="L33" s="609"/>
      <c r="M33" s="609"/>
      <c r="N33" s="4">
        <f t="shared" si="0"/>
        <v>0</v>
      </c>
      <c r="O33" s="5" t="str">
        <f>IF(AC33="◎",COUNTIF($AC$30:AC33,"◎"),"")</f>
        <v/>
      </c>
      <c r="Q33" s="610" t="str">
        <f t="shared" si="4"/>
        <v/>
      </c>
      <c r="R33" s="701" t="str">
        <f t="shared" si="5"/>
        <v/>
      </c>
      <c r="S33" s="701" t="str">
        <f t="shared" si="6"/>
        <v/>
      </c>
      <c r="T33" s="701" t="str">
        <f t="shared" si="7"/>
        <v/>
      </c>
      <c r="Z33" s="702" t="str">
        <f>IF(B33="個別病床",はじめに入力してください!$K$50,IF(B33="共通使用",はじめに入力してください!$K$52,""))</f>
        <v/>
      </c>
      <c r="AB33" s="12">
        <v>4</v>
      </c>
      <c r="AC33" s="701" t="str">
        <f t="shared" si="8"/>
        <v>○</v>
      </c>
      <c r="AD33" s="702" t="str">
        <f t="shared" si="1"/>
        <v>整備しない場合は入力不要です。</v>
      </c>
    </row>
    <row r="34" spans="1:30">
      <c r="A34" s="12">
        <v>5</v>
      </c>
      <c r="B34" s="6"/>
      <c r="C34" s="6"/>
      <c r="D34" s="6"/>
      <c r="E34" s="10"/>
      <c r="F34" s="7"/>
      <c r="G34" s="541"/>
      <c r="H34" s="15">
        <f t="shared" si="2"/>
        <v>0</v>
      </c>
      <c r="I34" s="4">
        <f t="shared" si="3"/>
        <v>0</v>
      </c>
      <c r="J34" s="9"/>
      <c r="K34" s="609"/>
      <c r="L34" s="609"/>
      <c r="M34" s="609"/>
      <c r="N34" s="4">
        <f t="shared" si="0"/>
        <v>0</v>
      </c>
      <c r="O34" s="5" t="str">
        <f>IF(AC34="◎",COUNTIF($AC$30:AC34,"◎"),"")</f>
        <v/>
      </c>
      <c r="Q34" s="610" t="str">
        <f t="shared" si="4"/>
        <v/>
      </c>
      <c r="R34" s="701" t="str">
        <f t="shared" si="5"/>
        <v/>
      </c>
      <c r="S34" s="701" t="str">
        <f t="shared" si="6"/>
        <v/>
      </c>
      <c r="T34" s="701" t="str">
        <f t="shared" si="7"/>
        <v/>
      </c>
      <c r="Z34" s="702" t="str">
        <f>IF(B34="個別病床",はじめに入力してください!$K$50,IF(B34="共通使用",はじめに入力してください!$K$52,""))</f>
        <v/>
      </c>
      <c r="AB34" s="12">
        <v>5</v>
      </c>
      <c r="AC34" s="701" t="str">
        <f t="shared" si="8"/>
        <v>○</v>
      </c>
      <c r="AD34" s="702" t="str">
        <f t="shared" si="1"/>
        <v>整備しない場合は入力不要です。</v>
      </c>
    </row>
    <row r="35" spans="1:30">
      <c r="A35" s="12">
        <v>6</v>
      </c>
      <c r="B35" s="6"/>
      <c r="C35" s="6"/>
      <c r="D35" s="6"/>
      <c r="E35" s="10"/>
      <c r="F35" s="7"/>
      <c r="G35" s="541"/>
      <c r="H35" s="15">
        <f t="shared" si="2"/>
        <v>0</v>
      </c>
      <c r="I35" s="4">
        <f t="shared" si="3"/>
        <v>0</v>
      </c>
      <c r="J35" s="9"/>
      <c r="K35" s="609"/>
      <c r="L35" s="609"/>
      <c r="M35" s="609"/>
      <c r="N35" s="4">
        <f t="shared" si="0"/>
        <v>0</v>
      </c>
      <c r="O35" s="5" t="str">
        <f>IF(AC35="◎",COUNTIF($AC$30:AC35,"◎"),"")</f>
        <v/>
      </c>
      <c r="Q35" s="610" t="str">
        <f t="shared" si="4"/>
        <v/>
      </c>
      <c r="R35" s="701" t="str">
        <f t="shared" si="5"/>
        <v/>
      </c>
      <c r="S35" s="701" t="str">
        <f t="shared" si="6"/>
        <v/>
      </c>
      <c r="T35" s="701" t="str">
        <f t="shared" si="7"/>
        <v/>
      </c>
      <c r="Z35" s="702" t="str">
        <f>IF(B35="個別病床",はじめに入力してください!$K$50,IF(B35="共通使用",はじめに入力してください!$K$52,""))</f>
        <v/>
      </c>
      <c r="AB35" s="12">
        <v>6</v>
      </c>
      <c r="AC35" s="701" t="str">
        <f t="shared" si="8"/>
        <v>○</v>
      </c>
      <c r="AD35" s="702" t="str">
        <f t="shared" si="1"/>
        <v>整備しない場合は入力不要です。</v>
      </c>
    </row>
    <row r="36" spans="1:30">
      <c r="A36" s="12">
        <v>7</v>
      </c>
      <c r="B36" s="6"/>
      <c r="C36" s="6"/>
      <c r="D36" s="6"/>
      <c r="E36" s="10"/>
      <c r="F36" s="7"/>
      <c r="G36" s="541"/>
      <c r="H36" s="15">
        <f t="shared" si="2"/>
        <v>0</v>
      </c>
      <c r="I36" s="4">
        <f t="shared" si="3"/>
        <v>0</v>
      </c>
      <c r="J36" s="9"/>
      <c r="K36" s="609"/>
      <c r="L36" s="609"/>
      <c r="M36" s="609"/>
      <c r="N36" s="4">
        <f t="shared" si="0"/>
        <v>0</v>
      </c>
      <c r="O36" s="5" t="str">
        <f>IF(AC36="◎",COUNTIF($AC$30:AC36,"◎"),"")</f>
        <v/>
      </c>
      <c r="Q36" s="610" t="str">
        <f t="shared" si="4"/>
        <v/>
      </c>
      <c r="R36" s="701" t="str">
        <f t="shared" si="5"/>
        <v/>
      </c>
      <c r="S36" s="701" t="str">
        <f t="shared" si="6"/>
        <v/>
      </c>
      <c r="T36" s="701" t="str">
        <f t="shared" si="7"/>
        <v/>
      </c>
      <c r="Z36" s="702" t="str">
        <f>IF(B36="個別病床",はじめに入力してください!$K$50,IF(B36="共通使用",はじめに入力してください!$K$52,""))</f>
        <v/>
      </c>
      <c r="AB36" s="12">
        <v>7</v>
      </c>
      <c r="AC36" s="701" t="str">
        <f t="shared" si="8"/>
        <v>○</v>
      </c>
      <c r="AD36" s="702" t="str">
        <f t="shared" si="1"/>
        <v>整備しない場合は入力不要です。</v>
      </c>
    </row>
    <row r="37" spans="1:30">
      <c r="A37" s="12">
        <v>8</v>
      </c>
      <c r="B37" s="6"/>
      <c r="C37" s="6"/>
      <c r="D37" s="6"/>
      <c r="E37" s="10"/>
      <c r="F37" s="7"/>
      <c r="G37" s="541"/>
      <c r="H37" s="15">
        <f t="shared" si="2"/>
        <v>0</v>
      </c>
      <c r="I37" s="4">
        <f t="shared" si="3"/>
        <v>0</v>
      </c>
      <c r="J37" s="9"/>
      <c r="K37" s="609"/>
      <c r="L37" s="609"/>
      <c r="M37" s="609"/>
      <c r="N37" s="4">
        <f t="shared" si="0"/>
        <v>0</v>
      </c>
      <c r="O37" s="5" t="str">
        <f>IF(AC37="◎",COUNTIF($AC$30:AC37,"◎"),"")</f>
        <v/>
      </c>
      <c r="Q37" s="610" t="str">
        <f t="shared" si="4"/>
        <v/>
      </c>
      <c r="R37" s="701" t="str">
        <f t="shared" si="5"/>
        <v/>
      </c>
      <c r="S37" s="701" t="str">
        <f t="shared" si="6"/>
        <v/>
      </c>
      <c r="T37" s="701" t="str">
        <f t="shared" si="7"/>
        <v/>
      </c>
      <c r="Z37" s="702" t="str">
        <f>IF(B37="個別病床",はじめに入力してください!$K$50,IF(B37="共通使用",はじめに入力してください!$K$52,""))</f>
        <v/>
      </c>
      <c r="AB37" s="12">
        <v>8</v>
      </c>
      <c r="AC37" s="701" t="str">
        <f t="shared" si="8"/>
        <v>○</v>
      </c>
      <c r="AD37" s="702" t="str">
        <f t="shared" si="1"/>
        <v>整備しない場合は入力不要です。</v>
      </c>
    </row>
    <row r="38" spans="1:30">
      <c r="A38" s="12">
        <v>9</v>
      </c>
      <c r="B38" s="6"/>
      <c r="C38" s="6"/>
      <c r="D38" s="6"/>
      <c r="E38" s="10"/>
      <c r="F38" s="7"/>
      <c r="G38" s="541"/>
      <c r="H38" s="15">
        <f t="shared" si="2"/>
        <v>0</v>
      </c>
      <c r="I38" s="4">
        <f t="shared" si="3"/>
        <v>0</v>
      </c>
      <c r="J38" s="9"/>
      <c r="K38" s="609"/>
      <c r="L38" s="609"/>
      <c r="M38" s="609"/>
      <c r="N38" s="4">
        <f t="shared" si="0"/>
        <v>0</v>
      </c>
      <c r="O38" s="5" t="str">
        <f>IF(AC38="◎",COUNTIF($AC$30:AC38,"◎"),"")</f>
        <v/>
      </c>
      <c r="Q38" s="610" t="str">
        <f t="shared" si="4"/>
        <v/>
      </c>
      <c r="R38" s="701" t="str">
        <f t="shared" si="5"/>
        <v/>
      </c>
      <c r="S38" s="701" t="str">
        <f t="shared" si="6"/>
        <v/>
      </c>
      <c r="T38" s="701" t="str">
        <f t="shared" si="7"/>
        <v/>
      </c>
      <c r="Z38" s="702" t="str">
        <f>IF(B38="個別病床",はじめに入力してください!$K$50,IF(B38="共通使用",はじめに入力してください!$K$52,""))</f>
        <v/>
      </c>
      <c r="AB38" s="12">
        <v>9</v>
      </c>
      <c r="AC38" s="701" t="str">
        <f t="shared" si="8"/>
        <v>○</v>
      </c>
      <c r="AD38" s="702" t="str">
        <f t="shared" si="1"/>
        <v>整備しない場合は入力不要です。</v>
      </c>
    </row>
    <row r="39" spans="1:30">
      <c r="A39" s="12">
        <v>10</v>
      </c>
      <c r="B39" s="6"/>
      <c r="C39" s="6"/>
      <c r="D39" s="6"/>
      <c r="E39" s="10"/>
      <c r="F39" s="7"/>
      <c r="G39" s="541"/>
      <c r="H39" s="15">
        <f t="shared" si="2"/>
        <v>0</v>
      </c>
      <c r="I39" s="4">
        <f t="shared" si="3"/>
        <v>0</v>
      </c>
      <c r="J39" s="9"/>
      <c r="K39" s="609"/>
      <c r="L39" s="609"/>
      <c r="M39" s="609"/>
      <c r="N39" s="4">
        <f t="shared" si="0"/>
        <v>0</v>
      </c>
      <c r="O39" s="5" t="str">
        <f>IF(AC39="◎",COUNTIF($AC$30:AC39,"◎"),"")</f>
        <v/>
      </c>
      <c r="Q39" s="610" t="str">
        <f t="shared" si="4"/>
        <v/>
      </c>
      <c r="R39" s="701" t="str">
        <f t="shared" si="5"/>
        <v/>
      </c>
      <c r="S39" s="701" t="str">
        <f t="shared" si="6"/>
        <v/>
      </c>
      <c r="T39" s="701" t="str">
        <f t="shared" si="7"/>
        <v/>
      </c>
      <c r="Z39" s="702" t="str">
        <f>IF(B39="個別病床",はじめに入力してください!$K$50,IF(B39="共通使用",はじめに入力してください!$K$52,""))</f>
        <v/>
      </c>
      <c r="AB39" s="12">
        <v>10</v>
      </c>
      <c r="AC39" s="701" t="str">
        <f t="shared" si="8"/>
        <v>○</v>
      </c>
      <c r="AD39" s="702" t="str">
        <f t="shared" si="1"/>
        <v>整備しない場合は入力不要です。</v>
      </c>
    </row>
    <row r="40" spans="1:30">
      <c r="A40" s="12">
        <v>11</v>
      </c>
      <c r="B40" s="6"/>
      <c r="C40" s="6"/>
      <c r="D40" s="6"/>
      <c r="E40" s="10"/>
      <c r="F40" s="7"/>
      <c r="G40" s="541"/>
      <c r="H40" s="15">
        <f t="shared" si="2"/>
        <v>0</v>
      </c>
      <c r="I40" s="4">
        <f t="shared" si="3"/>
        <v>0</v>
      </c>
      <c r="J40" s="9"/>
      <c r="K40" s="609"/>
      <c r="L40" s="609"/>
      <c r="M40" s="609"/>
      <c r="N40" s="4">
        <f t="shared" si="0"/>
        <v>0</v>
      </c>
      <c r="O40" s="5" t="str">
        <f>IF(AC40="◎",COUNTIF($AC$30:AC40,"◎"),"")</f>
        <v/>
      </c>
      <c r="Q40" s="610" t="str">
        <f t="shared" si="4"/>
        <v/>
      </c>
      <c r="R40" s="701" t="str">
        <f t="shared" si="5"/>
        <v/>
      </c>
      <c r="S40" s="701" t="str">
        <f t="shared" si="6"/>
        <v/>
      </c>
      <c r="T40" s="701" t="str">
        <f t="shared" si="7"/>
        <v/>
      </c>
      <c r="Z40" s="702" t="str">
        <f>IF(B40="個別病床",はじめに入力してください!$K$50,IF(B40="共通使用",はじめに入力してください!$K$52,""))</f>
        <v/>
      </c>
      <c r="AB40" s="12">
        <v>11</v>
      </c>
      <c r="AC40" s="701" t="str">
        <f t="shared" si="8"/>
        <v>○</v>
      </c>
      <c r="AD40" s="702" t="str">
        <f t="shared" si="1"/>
        <v>整備しない場合は入力不要です。</v>
      </c>
    </row>
    <row r="41" spans="1:30">
      <c r="A41" s="12">
        <v>12</v>
      </c>
      <c r="B41" s="6"/>
      <c r="C41" s="6"/>
      <c r="D41" s="6"/>
      <c r="E41" s="10"/>
      <c r="F41" s="7"/>
      <c r="G41" s="541"/>
      <c r="H41" s="15">
        <f t="shared" si="2"/>
        <v>0</v>
      </c>
      <c r="I41" s="4">
        <f t="shared" si="3"/>
        <v>0</v>
      </c>
      <c r="J41" s="9"/>
      <c r="K41" s="609"/>
      <c r="L41" s="609"/>
      <c r="M41" s="609"/>
      <c r="N41" s="4">
        <f t="shared" si="0"/>
        <v>0</v>
      </c>
      <c r="O41" s="5" t="str">
        <f>IF(AC41="◎",COUNTIF($AC$30:AC41,"◎"),"")</f>
        <v/>
      </c>
      <c r="Q41" s="610" t="str">
        <f t="shared" si="4"/>
        <v/>
      </c>
      <c r="R41" s="701" t="str">
        <f t="shared" si="5"/>
        <v/>
      </c>
      <c r="S41" s="701" t="str">
        <f t="shared" si="6"/>
        <v/>
      </c>
      <c r="T41" s="701" t="str">
        <f t="shared" si="7"/>
        <v/>
      </c>
      <c r="Z41" s="702" t="str">
        <f>IF(B41="個別病床",はじめに入力してください!$K$50,IF(B41="共通使用",はじめに入力してください!$K$52,""))</f>
        <v/>
      </c>
      <c r="AB41" s="12">
        <v>12</v>
      </c>
      <c r="AC41" s="701" t="str">
        <f t="shared" si="8"/>
        <v>○</v>
      </c>
      <c r="AD41" s="702" t="str">
        <f t="shared" si="1"/>
        <v>整備しない場合は入力不要です。</v>
      </c>
    </row>
    <row r="42" spans="1:30">
      <c r="A42" s="12">
        <v>13</v>
      </c>
      <c r="B42" s="6"/>
      <c r="C42" s="6"/>
      <c r="D42" s="6"/>
      <c r="E42" s="10"/>
      <c r="F42" s="7"/>
      <c r="G42" s="541"/>
      <c r="H42" s="15">
        <f t="shared" si="2"/>
        <v>0</v>
      </c>
      <c r="I42" s="4">
        <f t="shared" si="3"/>
        <v>0</v>
      </c>
      <c r="J42" s="9"/>
      <c r="K42" s="609"/>
      <c r="L42" s="609"/>
      <c r="M42" s="609"/>
      <c r="N42" s="4">
        <f t="shared" si="0"/>
        <v>0</v>
      </c>
      <c r="O42" s="5" t="str">
        <f>IF(AC42="◎",COUNTIF($AC$30:AC42,"◎"),"")</f>
        <v/>
      </c>
      <c r="Q42" s="610" t="str">
        <f t="shared" si="4"/>
        <v/>
      </c>
      <c r="R42" s="701" t="str">
        <f t="shared" si="5"/>
        <v/>
      </c>
      <c r="S42" s="701" t="str">
        <f t="shared" si="6"/>
        <v/>
      </c>
      <c r="T42" s="701" t="str">
        <f t="shared" si="7"/>
        <v/>
      </c>
      <c r="Z42" s="702" t="str">
        <f>IF(B42="個別病床",はじめに入力してください!$K$50,IF(B42="共通使用",はじめに入力してください!$K$52,""))</f>
        <v/>
      </c>
      <c r="AB42" s="12">
        <v>13</v>
      </c>
      <c r="AC42" s="701" t="str">
        <f t="shared" si="8"/>
        <v>○</v>
      </c>
      <c r="AD42" s="702" t="str">
        <f t="shared" si="1"/>
        <v>整備しない場合は入力不要です。</v>
      </c>
    </row>
    <row r="43" spans="1:30">
      <c r="A43" s="12">
        <v>14</v>
      </c>
      <c r="B43" s="6"/>
      <c r="C43" s="6"/>
      <c r="D43" s="6"/>
      <c r="E43" s="10"/>
      <c r="F43" s="7"/>
      <c r="G43" s="541"/>
      <c r="H43" s="15">
        <f t="shared" si="2"/>
        <v>0</v>
      </c>
      <c r="I43" s="4">
        <f t="shared" si="3"/>
        <v>0</v>
      </c>
      <c r="J43" s="9"/>
      <c r="K43" s="609"/>
      <c r="L43" s="609"/>
      <c r="M43" s="609"/>
      <c r="N43" s="4">
        <f t="shared" si="0"/>
        <v>0</v>
      </c>
      <c r="O43" s="5" t="str">
        <f>IF(AC43="◎",COUNTIF($AC$30:AC43,"◎"),"")</f>
        <v/>
      </c>
      <c r="Q43" s="610" t="str">
        <f t="shared" si="4"/>
        <v/>
      </c>
      <c r="R43" s="701" t="str">
        <f t="shared" si="5"/>
        <v/>
      </c>
      <c r="S43" s="701" t="str">
        <f t="shared" si="6"/>
        <v/>
      </c>
      <c r="T43" s="701" t="str">
        <f t="shared" si="7"/>
        <v/>
      </c>
      <c r="Z43" s="702" t="str">
        <f>IF(B43="個別病床",はじめに入力してください!$K$50,IF(B43="共通使用",はじめに入力してください!$K$52,""))</f>
        <v/>
      </c>
      <c r="AB43" s="12">
        <v>14</v>
      </c>
      <c r="AC43" s="701" t="str">
        <f t="shared" si="8"/>
        <v>○</v>
      </c>
      <c r="AD43" s="702" t="str">
        <f t="shared" si="1"/>
        <v>整備しない場合は入力不要です。</v>
      </c>
    </row>
    <row r="44" spans="1:30">
      <c r="A44" s="12">
        <v>15</v>
      </c>
      <c r="B44" s="6"/>
      <c r="C44" s="6"/>
      <c r="D44" s="6"/>
      <c r="E44" s="10"/>
      <c r="F44" s="7"/>
      <c r="G44" s="541"/>
      <c r="H44" s="15">
        <f t="shared" si="2"/>
        <v>0</v>
      </c>
      <c r="I44" s="4">
        <f t="shared" si="3"/>
        <v>0</v>
      </c>
      <c r="J44" s="9"/>
      <c r="K44" s="609"/>
      <c r="L44" s="609"/>
      <c r="M44" s="609"/>
      <c r="N44" s="4">
        <f t="shared" si="0"/>
        <v>0</v>
      </c>
      <c r="O44" s="5" t="str">
        <f>IF(AC44="◎",COUNTIF($AC$30:AC44,"◎"),"")</f>
        <v/>
      </c>
      <c r="Q44" s="610" t="str">
        <f t="shared" si="4"/>
        <v/>
      </c>
      <c r="R44" s="701" t="str">
        <f t="shared" si="5"/>
        <v/>
      </c>
      <c r="S44" s="701" t="str">
        <f t="shared" si="6"/>
        <v/>
      </c>
      <c r="T44" s="701" t="str">
        <f t="shared" si="7"/>
        <v/>
      </c>
      <c r="Z44" s="702" t="str">
        <f>IF(B44="個別病床",はじめに入力してください!$K$50,IF(B44="共通使用",はじめに入力してください!$K$52,""))</f>
        <v/>
      </c>
      <c r="AB44" s="12">
        <v>15</v>
      </c>
      <c r="AC44" s="701" t="str">
        <f t="shared" si="8"/>
        <v>○</v>
      </c>
      <c r="AD44" s="702" t="str">
        <f t="shared" si="1"/>
        <v>整備しない場合は入力不要です。</v>
      </c>
    </row>
    <row r="45" spans="1:30">
      <c r="A45" s="12">
        <v>16</v>
      </c>
      <c r="B45" s="6"/>
      <c r="C45" s="6"/>
      <c r="D45" s="6"/>
      <c r="E45" s="10"/>
      <c r="F45" s="7"/>
      <c r="G45" s="541"/>
      <c r="H45" s="15">
        <f t="shared" si="2"/>
        <v>0</v>
      </c>
      <c r="I45" s="4">
        <f t="shared" si="3"/>
        <v>0</v>
      </c>
      <c r="J45" s="9"/>
      <c r="K45" s="609"/>
      <c r="L45" s="609"/>
      <c r="M45" s="609"/>
      <c r="N45" s="4">
        <f t="shared" si="0"/>
        <v>0</v>
      </c>
      <c r="O45" s="5" t="str">
        <f>IF(AC45="◎",COUNTIF($AC$30:AC45,"◎"),"")</f>
        <v/>
      </c>
      <c r="Q45" s="610" t="str">
        <f t="shared" si="4"/>
        <v/>
      </c>
      <c r="R45" s="701" t="str">
        <f t="shared" si="5"/>
        <v/>
      </c>
      <c r="S45" s="701" t="str">
        <f t="shared" si="6"/>
        <v/>
      </c>
      <c r="T45" s="701" t="str">
        <f t="shared" si="7"/>
        <v/>
      </c>
      <c r="Z45" s="702" t="str">
        <f>IF(B45="個別病床",はじめに入力してください!$K$50,IF(B45="共通使用",はじめに入力してください!$K$52,""))</f>
        <v/>
      </c>
      <c r="AB45" s="12">
        <v>16</v>
      </c>
      <c r="AC45" s="701" t="str">
        <f t="shared" si="8"/>
        <v>○</v>
      </c>
      <c r="AD45" s="702" t="str">
        <f t="shared" si="1"/>
        <v>整備しない場合は入力不要です。</v>
      </c>
    </row>
    <row r="46" spans="1:30">
      <c r="A46" s="12">
        <v>17</v>
      </c>
      <c r="B46" s="6"/>
      <c r="C46" s="6"/>
      <c r="D46" s="6"/>
      <c r="E46" s="10"/>
      <c r="F46" s="7"/>
      <c r="G46" s="541"/>
      <c r="H46" s="15">
        <f t="shared" si="2"/>
        <v>0</v>
      </c>
      <c r="I46" s="4">
        <f t="shared" si="3"/>
        <v>0</v>
      </c>
      <c r="J46" s="9"/>
      <c r="K46" s="609"/>
      <c r="L46" s="609"/>
      <c r="M46" s="609"/>
      <c r="N46" s="4">
        <f t="shared" si="0"/>
        <v>0</v>
      </c>
      <c r="O46" s="5" t="str">
        <f>IF(AC46="◎",COUNTIF($AC$30:AC46,"◎"),"")</f>
        <v/>
      </c>
      <c r="Q46" s="610" t="str">
        <f t="shared" si="4"/>
        <v/>
      </c>
      <c r="R46" s="701" t="str">
        <f t="shared" si="5"/>
        <v/>
      </c>
      <c r="S46" s="701" t="str">
        <f t="shared" si="6"/>
        <v/>
      </c>
      <c r="T46" s="701" t="str">
        <f t="shared" si="7"/>
        <v/>
      </c>
      <c r="Z46" s="702" t="str">
        <f>IF(B46="個別病床",はじめに入力してください!$K$50,IF(B46="共通使用",はじめに入力してください!$K$52,""))</f>
        <v/>
      </c>
      <c r="AB46" s="12">
        <v>17</v>
      </c>
      <c r="AC46" s="701" t="str">
        <f t="shared" si="8"/>
        <v>○</v>
      </c>
      <c r="AD46" s="702" t="str">
        <f t="shared" si="1"/>
        <v>整備しない場合は入力不要です。</v>
      </c>
    </row>
    <row r="47" spans="1:30">
      <c r="A47" s="12">
        <v>18</v>
      </c>
      <c r="B47" s="6"/>
      <c r="C47" s="6"/>
      <c r="D47" s="6"/>
      <c r="E47" s="10"/>
      <c r="F47" s="7"/>
      <c r="G47" s="541"/>
      <c r="H47" s="15">
        <f t="shared" si="2"/>
        <v>0</v>
      </c>
      <c r="I47" s="4">
        <f t="shared" si="3"/>
        <v>0</v>
      </c>
      <c r="J47" s="9"/>
      <c r="K47" s="609"/>
      <c r="L47" s="609"/>
      <c r="M47" s="609"/>
      <c r="N47" s="4">
        <f t="shared" si="0"/>
        <v>0</v>
      </c>
      <c r="O47" s="5" t="str">
        <f>IF(AC47="◎",COUNTIF($AC$30:AC47,"◎"),"")</f>
        <v/>
      </c>
      <c r="Q47" s="610" t="str">
        <f t="shared" si="4"/>
        <v/>
      </c>
      <c r="R47" s="701" t="str">
        <f t="shared" si="5"/>
        <v/>
      </c>
      <c r="S47" s="701" t="str">
        <f t="shared" si="6"/>
        <v/>
      </c>
      <c r="T47" s="701" t="str">
        <f t="shared" si="7"/>
        <v/>
      </c>
      <c r="Z47" s="702" t="str">
        <f>IF(B47="個別病床",はじめに入力してください!$K$50,IF(B47="共通使用",はじめに入力してください!$K$52,""))</f>
        <v/>
      </c>
      <c r="AB47" s="12">
        <v>18</v>
      </c>
      <c r="AC47" s="701" t="str">
        <f t="shared" si="8"/>
        <v>○</v>
      </c>
      <c r="AD47" s="702" t="str">
        <f t="shared" si="1"/>
        <v>整備しない場合は入力不要です。</v>
      </c>
    </row>
    <row r="48" spans="1:30">
      <c r="A48" s="12">
        <v>19</v>
      </c>
      <c r="B48" s="6"/>
      <c r="C48" s="6"/>
      <c r="D48" s="6"/>
      <c r="E48" s="10"/>
      <c r="F48" s="7"/>
      <c r="G48" s="541"/>
      <c r="H48" s="15">
        <f t="shared" si="2"/>
        <v>0</v>
      </c>
      <c r="I48" s="4">
        <f t="shared" si="3"/>
        <v>0</v>
      </c>
      <c r="J48" s="9"/>
      <c r="K48" s="609"/>
      <c r="L48" s="609"/>
      <c r="M48" s="609"/>
      <c r="N48" s="4">
        <f t="shared" si="0"/>
        <v>0</v>
      </c>
      <c r="O48" s="5" t="str">
        <f>IF(AC48="◎",COUNTIF($AC$30:AC48,"◎"),"")</f>
        <v/>
      </c>
      <c r="Q48" s="610" t="str">
        <f t="shared" si="4"/>
        <v/>
      </c>
      <c r="R48" s="701" t="str">
        <f t="shared" si="5"/>
        <v/>
      </c>
      <c r="S48" s="701" t="str">
        <f t="shared" si="6"/>
        <v/>
      </c>
      <c r="T48" s="701" t="str">
        <f t="shared" si="7"/>
        <v/>
      </c>
      <c r="Z48" s="702" t="str">
        <f>IF(B48="個別病床",はじめに入力してください!$K$50,IF(B48="共通使用",はじめに入力してください!$K$52,""))</f>
        <v/>
      </c>
      <c r="AB48" s="12">
        <v>19</v>
      </c>
      <c r="AC48" s="701" t="str">
        <f t="shared" si="8"/>
        <v>○</v>
      </c>
      <c r="AD48" s="702" t="str">
        <f t="shared" si="1"/>
        <v>整備しない場合は入力不要です。</v>
      </c>
    </row>
    <row r="49" spans="1:30">
      <c r="A49" s="12">
        <v>20</v>
      </c>
      <c r="B49" s="6"/>
      <c r="C49" s="6"/>
      <c r="D49" s="6"/>
      <c r="E49" s="10"/>
      <c r="F49" s="7"/>
      <c r="G49" s="541"/>
      <c r="H49" s="15">
        <f t="shared" si="2"/>
        <v>0</v>
      </c>
      <c r="I49" s="4">
        <f t="shared" si="3"/>
        <v>0</v>
      </c>
      <c r="J49" s="9"/>
      <c r="K49" s="609"/>
      <c r="L49" s="609"/>
      <c r="M49" s="609"/>
      <c r="N49" s="4">
        <f t="shared" si="0"/>
        <v>0</v>
      </c>
      <c r="O49" s="5" t="str">
        <f>IF(AC49="◎",COUNTIF($AC$30:AC49,"◎"),"")</f>
        <v/>
      </c>
      <c r="Q49" s="610" t="str">
        <f t="shared" si="4"/>
        <v/>
      </c>
      <c r="R49" s="701" t="str">
        <f t="shared" si="5"/>
        <v/>
      </c>
      <c r="S49" s="701" t="str">
        <f t="shared" si="6"/>
        <v/>
      </c>
      <c r="T49" s="701" t="str">
        <f t="shared" si="7"/>
        <v/>
      </c>
      <c r="Z49" s="702" t="str">
        <f>IF(B49="個別病床",はじめに入力してください!$K$50,IF(B49="共通使用",はじめに入力してください!$K$52,""))</f>
        <v/>
      </c>
      <c r="AB49" s="12">
        <v>20</v>
      </c>
      <c r="AC49" s="701" t="str">
        <f t="shared" si="8"/>
        <v>○</v>
      </c>
      <c r="AD49" s="702" t="str">
        <f t="shared" si="1"/>
        <v>整備しない場合は入力不要です。</v>
      </c>
    </row>
    <row r="50" spans="1:30">
      <c r="A50" s="12">
        <v>21</v>
      </c>
      <c r="B50" s="6"/>
      <c r="C50" s="6"/>
      <c r="D50" s="6"/>
      <c r="E50" s="10"/>
      <c r="F50" s="7"/>
      <c r="G50" s="541"/>
      <c r="H50" s="15">
        <f t="shared" si="2"/>
        <v>0</v>
      </c>
      <c r="I50" s="4">
        <f t="shared" si="3"/>
        <v>0</v>
      </c>
      <c r="J50" s="9"/>
      <c r="K50" s="609"/>
      <c r="L50" s="609"/>
      <c r="M50" s="609"/>
      <c r="N50" s="4">
        <f t="shared" si="0"/>
        <v>0</v>
      </c>
      <c r="O50" s="5" t="str">
        <f>IF(AC50="◎",COUNTIF($AC$30:AC50,"◎"),"")</f>
        <v/>
      </c>
      <c r="Q50" s="610" t="str">
        <f t="shared" si="4"/>
        <v/>
      </c>
      <c r="R50" s="701" t="str">
        <f t="shared" si="5"/>
        <v/>
      </c>
      <c r="S50" s="701" t="str">
        <f t="shared" si="6"/>
        <v/>
      </c>
      <c r="T50" s="701" t="str">
        <f t="shared" si="7"/>
        <v/>
      </c>
      <c r="Z50" s="702" t="str">
        <f>IF(B50="個別病床",はじめに入力してください!$K$50,IF(B50="共通使用",はじめに入力してください!$K$52,""))</f>
        <v/>
      </c>
      <c r="AB50" s="12">
        <v>21</v>
      </c>
      <c r="AC50" s="701" t="str">
        <f t="shared" si="8"/>
        <v>○</v>
      </c>
      <c r="AD50" s="702" t="str">
        <f t="shared" si="1"/>
        <v>整備しない場合は入力不要です。</v>
      </c>
    </row>
    <row r="51" spans="1:30">
      <c r="A51" s="12">
        <v>22</v>
      </c>
      <c r="B51" s="6"/>
      <c r="C51" s="6"/>
      <c r="D51" s="6"/>
      <c r="E51" s="10"/>
      <c r="F51" s="7"/>
      <c r="G51" s="541"/>
      <c r="H51" s="15">
        <f t="shared" si="2"/>
        <v>0</v>
      </c>
      <c r="I51" s="4">
        <f t="shared" si="3"/>
        <v>0</v>
      </c>
      <c r="J51" s="9"/>
      <c r="K51" s="609"/>
      <c r="L51" s="609"/>
      <c r="M51" s="609"/>
      <c r="N51" s="4">
        <f t="shared" si="0"/>
        <v>0</v>
      </c>
      <c r="O51" s="5" t="str">
        <f>IF(AC51="◎",COUNTIF($AC$30:AC51,"◎"),"")</f>
        <v/>
      </c>
      <c r="Q51" s="610" t="str">
        <f t="shared" si="4"/>
        <v/>
      </c>
      <c r="R51" s="701" t="str">
        <f t="shared" si="5"/>
        <v/>
      </c>
      <c r="S51" s="701" t="str">
        <f t="shared" si="6"/>
        <v/>
      </c>
      <c r="T51" s="701" t="str">
        <f t="shared" si="7"/>
        <v/>
      </c>
      <c r="Z51" s="702" t="str">
        <f>IF(B51="個別病床",はじめに入力してください!$K$50,IF(B51="共通使用",はじめに入力してください!$K$52,""))</f>
        <v/>
      </c>
      <c r="AB51" s="12">
        <v>22</v>
      </c>
      <c r="AC51" s="701" t="str">
        <f t="shared" si="8"/>
        <v>○</v>
      </c>
      <c r="AD51" s="702" t="str">
        <f t="shared" si="1"/>
        <v>整備しない場合は入力不要です。</v>
      </c>
    </row>
    <row r="52" spans="1:30">
      <c r="A52" s="12">
        <v>23</v>
      </c>
      <c r="B52" s="6"/>
      <c r="C52" s="6"/>
      <c r="D52" s="6"/>
      <c r="E52" s="10"/>
      <c r="F52" s="7"/>
      <c r="G52" s="541"/>
      <c r="H52" s="15">
        <f t="shared" si="2"/>
        <v>0</v>
      </c>
      <c r="I52" s="4">
        <f t="shared" si="3"/>
        <v>0</v>
      </c>
      <c r="J52" s="9"/>
      <c r="K52" s="609"/>
      <c r="L52" s="609"/>
      <c r="M52" s="609"/>
      <c r="N52" s="4">
        <f t="shared" si="0"/>
        <v>0</v>
      </c>
      <c r="O52" s="5" t="str">
        <f>IF(AC52="◎",COUNTIF($AC$30:AC52,"◎"),"")</f>
        <v/>
      </c>
      <c r="Q52" s="610" t="str">
        <f t="shared" si="4"/>
        <v/>
      </c>
      <c r="R52" s="701" t="str">
        <f t="shared" si="5"/>
        <v/>
      </c>
      <c r="S52" s="701" t="str">
        <f t="shared" si="6"/>
        <v/>
      </c>
      <c r="T52" s="701" t="str">
        <f t="shared" si="7"/>
        <v/>
      </c>
      <c r="Z52" s="702" t="str">
        <f>IF(B52="個別病床",はじめに入力してください!$K$50,IF(B52="共通使用",はじめに入力してください!$K$52,""))</f>
        <v/>
      </c>
      <c r="AB52" s="12">
        <v>23</v>
      </c>
      <c r="AC52" s="701" t="str">
        <f t="shared" si="8"/>
        <v>○</v>
      </c>
      <c r="AD52" s="702" t="str">
        <f t="shared" si="1"/>
        <v>整備しない場合は入力不要です。</v>
      </c>
    </row>
    <row r="53" spans="1:30">
      <c r="A53" s="12">
        <v>24</v>
      </c>
      <c r="B53" s="6"/>
      <c r="C53" s="6"/>
      <c r="D53" s="6"/>
      <c r="E53" s="10"/>
      <c r="F53" s="7"/>
      <c r="G53" s="541"/>
      <c r="H53" s="15">
        <f t="shared" si="2"/>
        <v>0</v>
      </c>
      <c r="I53" s="4">
        <f t="shared" si="3"/>
        <v>0</v>
      </c>
      <c r="J53" s="9"/>
      <c r="K53" s="609"/>
      <c r="L53" s="609"/>
      <c r="M53" s="609"/>
      <c r="N53" s="4">
        <f t="shared" si="0"/>
        <v>0</v>
      </c>
      <c r="O53" s="5" t="str">
        <f>IF(AC53="◎",COUNTIF($AC$30:AC53,"◎"),"")</f>
        <v/>
      </c>
      <c r="Q53" s="610" t="str">
        <f t="shared" si="4"/>
        <v/>
      </c>
      <c r="R53" s="701" t="str">
        <f t="shared" si="5"/>
        <v/>
      </c>
      <c r="S53" s="701" t="str">
        <f t="shared" si="6"/>
        <v/>
      </c>
      <c r="T53" s="701" t="str">
        <f t="shared" si="7"/>
        <v/>
      </c>
      <c r="Z53" s="702" t="str">
        <f>IF(B53="個別病床",はじめに入力してください!$K$50,IF(B53="共通使用",はじめに入力してください!$K$52,""))</f>
        <v/>
      </c>
      <c r="AB53" s="12">
        <v>24</v>
      </c>
      <c r="AC53" s="701" t="str">
        <f t="shared" si="8"/>
        <v>○</v>
      </c>
      <c r="AD53" s="702" t="str">
        <f t="shared" si="1"/>
        <v>整備しない場合は入力不要です。</v>
      </c>
    </row>
    <row r="54" spans="1:30">
      <c r="A54" s="12">
        <v>25</v>
      </c>
      <c r="B54" s="6"/>
      <c r="C54" s="6"/>
      <c r="D54" s="6"/>
      <c r="E54" s="10"/>
      <c r="F54" s="7"/>
      <c r="G54" s="541"/>
      <c r="H54" s="15">
        <f t="shared" si="2"/>
        <v>0</v>
      </c>
      <c r="I54" s="4">
        <f t="shared" si="3"/>
        <v>0</v>
      </c>
      <c r="J54" s="9"/>
      <c r="K54" s="609"/>
      <c r="L54" s="609"/>
      <c r="M54" s="609"/>
      <c r="N54" s="4">
        <f t="shared" si="0"/>
        <v>0</v>
      </c>
      <c r="O54" s="5" t="str">
        <f>IF(AC54="◎",COUNTIF($AC$30:AC54,"◎"),"")</f>
        <v/>
      </c>
      <c r="Q54" s="610" t="str">
        <f t="shared" si="4"/>
        <v/>
      </c>
      <c r="R54" s="701" t="str">
        <f t="shared" si="5"/>
        <v/>
      </c>
      <c r="S54" s="701" t="str">
        <f t="shared" si="6"/>
        <v/>
      </c>
      <c r="T54" s="701" t="str">
        <f t="shared" si="7"/>
        <v/>
      </c>
      <c r="Z54" s="702" t="str">
        <f>IF(B54="個別病床",はじめに入力してください!$K$50,IF(B54="共通使用",はじめに入力してください!$K$52,""))</f>
        <v/>
      </c>
      <c r="AB54" s="12">
        <v>25</v>
      </c>
      <c r="AC54" s="701" t="str">
        <f t="shared" si="8"/>
        <v>○</v>
      </c>
      <c r="AD54" s="702" t="str">
        <f t="shared" si="1"/>
        <v>整備しない場合は入力不要です。</v>
      </c>
    </row>
    <row r="55" spans="1:30">
      <c r="A55" s="12">
        <v>26</v>
      </c>
      <c r="B55" s="6"/>
      <c r="C55" s="6"/>
      <c r="D55" s="6"/>
      <c r="E55" s="10"/>
      <c r="F55" s="7"/>
      <c r="G55" s="541"/>
      <c r="H55" s="15">
        <f t="shared" si="2"/>
        <v>0</v>
      </c>
      <c r="I55" s="4">
        <f t="shared" si="3"/>
        <v>0</v>
      </c>
      <c r="J55" s="9"/>
      <c r="K55" s="609"/>
      <c r="L55" s="609"/>
      <c r="M55" s="609"/>
      <c r="N55" s="4">
        <f t="shared" si="0"/>
        <v>0</v>
      </c>
      <c r="O55" s="5" t="str">
        <f>IF(AC55="◎",COUNTIF($AC$30:AC55,"◎"),"")</f>
        <v/>
      </c>
      <c r="Q55" s="610" t="str">
        <f t="shared" si="4"/>
        <v/>
      </c>
      <c r="R55" s="701" t="str">
        <f t="shared" si="5"/>
        <v/>
      </c>
      <c r="S55" s="701" t="str">
        <f t="shared" si="6"/>
        <v/>
      </c>
      <c r="T55" s="701" t="str">
        <f t="shared" si="7"/>
        <v/>
      </c>
      <c r="Z55" s="702" t="str">
        <f>IF(B55="個別病床",はじめに入力してください!$K$50,IF(B55="共通使用",はじめに入力してください!$K$52,""))</f>
        <v/>
      </c>
      <c r="AB55" s="12">
        <v>26</v>
      </c>
      <c r="AC55" s="701" t="str">
        <f t="shared" si="8"/>
        <v>○</v>
      </c>
      <c r="AD55" s="702" t="str">
        <f t="shared" si="1"/>
        <v>整備しない場合は入力不要です。</v>
      </c>
    </row>
    <row r="56" spans="1:30">
      <c r="A56" s="12">
        <v>27</v>
      </c>
      <c r="B56" s="6"/>
      <c r="C56" s="6"/>
      <c r="D56" s="6"/>
      <c r="E56" s="10"/>
      <c r="F56" s="7"/>
      <c r="G56" s="541"/>
      <c r="H56" s="15">
        <f t="shared" si="2"/>
        <v>0</v>
      </c>
      <c r="I56" s="4">
        <f t="shared" si="3"/>
        <v>0</v>
      </c>
      <c r="J56" s="9"/>
      <c r="K56" s="609"/>
      <c r="L56" s="609"/>
      <c r="M56" s="609"/>
      <c r="N56" s="4">
        <f t="shared" si="0"/>
        <v>0</v>
      </c>
      <c r="O56" s="5" t="str">
        <f>IF(AC56="◎",COUNTIF($AC$30:AC56,"◎"),"")</f>
        <v/>
      </c>
      <c r="Q56" s="610" t="str">
        <f t="shared" si="4"/>
        <v/>
      </c>
      <c r="R56" s="701" t="str">
        <f t="shared" si="5"/>
        <v/>
      </c>
      <c r="S56" s="701" t="str">
        <f t="shared" si="6"/>
        <v/>
      </c>
      <c r="T56" s="701" t="str">
        <f t="shared" si="7"/>
        <v/>
      </c>
      <c r="Z56" s="702" t="str">
        <f>IF(B56="個別病床",はじめに入力してください!$K$50,IF(B56="共通使用",はじめに入力してください!$K$52,""))</f>
        <v/>
      </c>
      <c r="AB56" s="12">
        <v>27</v>
      </c>
      <c r="AC56" s="701" t="str">
        <f t="shared" si="8"/>
        <v>○</v>
      </c>
      <c r="AD56" s="702" t="str">
        <f t="shared" si="1"/>
        <v>整備しない場合は入力不要です。</v>
      </c>
    </row>
    <row r="57" spans="1:30">
      <c r="A57" s="12">
        <v>28</v>
      </c>
      <c r="B57" s="6"/>
      <c r="C57" s="6"/>
      <c r="D57" s="6"/>
      <c r="E57" s="10"/>
      <c r="F57" s="7"/>
      <c r="G57" s="541"/>
      <c r="H57" s="15">
        <f t="shared" si="2"/>
        <v>0</v>
      </c>
      <c r="I57" s="4">
        <f t="shared" si="3"/>
        <v>0</v>
      </c>
      <c r="J57" s="9"/>
      <c r="K57" s="609"/>
      <c r="L57" s="609"/>
      <c r="M57" s="609"/>
      <c r="N57" s="4">
        <f t="shared" si="0"/>
        <v>0</v>
      </c>
      <c r="O57" s="5" t="str">
        <f>IF(AC57="◎",COUNTIF($AC$30:AC57,"◎"),"")</f>
        <v/>
      </c>
      <c r="Q57" s="610" t="str">
        <f t="shared" si="4"/>
        <v/>
      </c>
      <c r="R57" s="701" t="str">
        <f t="shared" si="5"/>
        <v/>
      </c>
      <c r="S57" s="701" t="str">
        <f t="shared" si="6"/>
        <v/>
      </c>
      <c r="T57" s="701" t="str">
        <f t="shared" si="7"/>
        <v/>
      </c>
      <c r="Z57" s="702" t="str">
        <f>IF(B57="個別病床",はじめに入力してください!$K$50,IF(B57="共通使用",はじめに入力してください!$K$52,""))</f>
        <v/>
      </c>
      <c r="AB57" s="12">
        <v>28</v>
      </c>
      <c r="AC57" s="701" t="str">
        <f t="shared" si="8"/>
        <v>○</v>
      </c>
      <c r="AD57" s="702" t="str">
        <f t="shared" si="1"/>
        <v>整備しない場合は入力不要です。</v>
      </c>
    </row>
    <row r="58" spans="1:30">
      <c r="A58" s="12">
        <v>29</v>
      </c>
      <c r="B58" s="6"/>
      <c r="C58" s="6"/>
      <c r="D58" s="6"/>
      <c r="E58" s="10"/>
      <c r="F58" s="7"/>
      <c r="G58" s="541"/>
      <c r="H58" s="15">
        <f t="shared" si="2"/>
        <v>0</v>
      </c>
      <c r="I58" s="4">
        <f t="shared" si="3"/>
        <v>0</v>
      </c>
      <c r="J58" s="9"/>
      <c r="K58" s="609"/>
      <c r="L58" s="609"/>
      <c r="M58" s="609"/>
      <c r="N58" s="4">
        <f t="shared" si="0"/>
        <v>0</v>
      </c>
      <c r="O58" s="5" t="str">
        <f>IF(AC58="◎",COUNTIF($AC$30:AC58,"◎"),"")</f>
        <v/>
      </c>
      <c r="Q58" s="610" t="str">
        <f t="shared" si="4"/>
        <v/>
      </c>
      <c r="R58" s="701" t="str">
        <f t="shared" si="5"/>
        <v/>
      </c>
      <c r="S58" s="701" t="str">
        <f t="shared" si="6"/>
        <v/>
      </c>
      <c r="T58" s="701" t="str">
        <f t="shared" si="7"/>
        <v/>
      </c>
      <c r="Z58" s="702" t="str">
        <f>IF(B58="個別病床",はじめに入力してください!$K$50,IF(B58="共通使用",はじめに入力してください!$K$52,""))</f>
        <v/>
      </c>
      <c r="AB58" s="12">
        <v>29</v>
      </c>
      <c r="AC58" s="701" t="str">
        <f t="shared" si="8"/>
        <v>○</v>
      </c>
      <c r="AD58" s="702" t="str">
        <f t="shared" si="1"/>
        <v>整備しない場合は入力不要です。</v>
      </c>
    </row>
    <row r="59" spans="1:30">
      <c r="A59" s="12">
        <v>30</v>
      </c>
      <c r="B59" s="6"/>
      <c r="C59" s="6"/>
      <c r="D59" s="6"/>
      <c r="E59" s="10"/>
      <c r="F59" s="7"/>
      <c r="G59" s="541"/>
      <c r="H59" s="15">
        <f t="shared" si="2"/>
        <v>0</v>
      </c>
      <c r="I59" s="4">
        <f t="shared" si="3"/>
        <v>0</v>
      </c>
      <c r="J59" s="9"/>
      <c r="K59" s="609"/>
      <c r="L59" s="609"/>
      <c r="M59" s="609"/>
      <c r="N59" s="4">
        <f t="shared" si="0"/>
        <v>0</v>
      </c>
      <c r="O59" s="5" t="str">
        <f>IF(AC59="◎",COUNTIF($AC$30:AC59,"◎"),"")</f>
        <v/>
      </c>
      <c r="Q59" s="610" t="str">
        <f t="shared" si="4"/>
        <v/>
      </c>
      <c r="R59" s="701" t="str">
        <f t="shared" si="5"/>
        <v/>
      </c>
      <c r="S59" s="701" t="str">
        <f t="shared" si="6"/>
        <v/>
      </c>
      <c r="T59" s="701" t="str">
        <f t="shared" si="7"/>
        <v/>
      </c>
      <c r="Z59" s="702" t="str">
        <f>IF(B59="個別病床",はじめに入力してください!$K$50,IF(B59="共通使用",はじめに入力してください!$K$52,""))</f>
        <v/>
      </c>
      <c r="AB59" s="12">
        <v>30</v>
      </c>
      <c r="AC59" s="701" t="str">
        <f t="shared" si="8"/>
        <v>○</v>
      </c>
      <c r="AD59" s="702" t="str">
        <f t="shared" si="1"/>
        <v>整備しない場合は入力不要です。</v>
      </c>
    </row>
    <row r="60" spans="1:30">
      <c r="A60" s="12">
        <v>31</v>
      </c>
      <c r="B60" s="6"/>
      <c r="C60" s="6"/>
      <c r="D60" s="6"/>
      <c r="E60" s="10"/>
      <c r="F60" s="7"/>
      <c r="G60" s="541"/>
      <c r="H60" s="15">
        <f t="shared" si="2"/>
        <v>0</v>
      </c>
      <c r="I60" s="4">
        <f t="shared" si="3"/>
        <v>0</v>
      </c>
      <c r="J60" s="9"/>
      <c r="K60" s="609"/>
      <c r="L60" s="609"/>
      <c r="M60" s="609"/>
      <c r="N60" s="4">
        <f t="shared" si="0"/>
        <v>0</v>
      </c>
      <c r="O60" s="5" t="str">
        <f>IF(AC60="◎",COUNTIF($AC$30:AC60,"◎"),"")</f>
        <v/>
      </c>
      <c r="Q60" s="610" t="str">
        <f t="shared" si="4"/>
        <v/>
      </c>
      <c r="R60" s="701" t="str">
        <f t="shared" si="5"/>
        <v/>
      </c>
      <c r="S60" s="701" t="str">
        <f t="shared" si="6"/>
        <v/>
      </c>
      <c r="T60" s="701" t="str">
        <f t="shared" si="7"/>
        <v/>
      </c>
      <c r="Z60" s="702" t="str">
        <f>IF(B60="個別病床",はじめに入力してください!$K$50,IF(B60="共通使用",はじめに入力してください!$K$52,""))</f>
        <v/>
      </c>
      <c r="AB60" s="12">
        <v>31</v>
      </c>
      <c r="AC60" s="701" t="str">
        <f t="shared" si="8"/>
        <v>○</v>
      </c>
      <c r="AD60" s="702" t="str">
        <f t="shared" si="1"/>
        <v>整備しない場合は入力不要です。</v>
      </c>
    </row>
    <row r="61" spans="1:30">
      <c r="A61" s="12">
        <v>32</v>
      </c>
      <c r="B61" s="6"/>
      <c r="C61" s="6"/>
      <c r="D61" s="6"/>
      <c r="E61" s="10"/>
      <c r="F61" s="7"/>
      <c r="G61" s="541"/>
      <c r="H61" s="15">
        <f t="shared" si="2"/>
        <v>0</v>
      </c>
      <c r="I61" s="4">
        <f t="shared" si="3"/>
        <v>0</v>
      </c>
      <c r="J61" s="9"/>
      <c r="K61" s="609"/>
      <c r="L61" s="609"/>
      <c r="M61" s="609"/>
      <c r="N61" s="4">
        <f t="shared" si="0"/>
        <v>0</v>
      </c>
      <c r="O61" s="5" t="str">
        <f>IF(AC61="◎",COUNTIF($AC$30:AC61,"◎"),"")</f>
        <v/>
      </c>
      <c r="Q61" s="610" t="str">
        <f t="shared" si="4"/>
        <v/>
      </c>
      <c r="R61" s="701" t="str">
        <f t="shared" si="5"/>
        <v/>
      </c>
      <c r="S61" s="701" t="str">
        <f t="shared" si="6"/>
        <v/>
      </c>
      <c r="T61" s="701" t="str">
        <f t="shared" si="7"/>
        <v/>
      </c>
      <c r="Z61" s="702" t="str">
        <f>IF(B61="個別病床",はじめに入力してください!$K$50,IF(B61="共通使用",はじめに入力してください!$K$52,""))</f>
        <v/>
      </c>
      <c r="AB61" s="12">
        <v>32</v>
      </c>
      <c r="AC61" s="701" t="str">
        <f t="shared" si="8"/>
        <v>○</v>
      </c>
      <c r="AD61" s="702" t="str">
        <f t="shared" si="1"/>
        <v>整備しない場合は入力不要です。</v>
      </c>
    </row>
    <row r="62" spans="1:30">
      <c r="A62" s="12">
        <v>33</v>
      </c>
      <c r="B62" s="6"/>
      <c r="C62" s="6"/>
      <c r="D62" s="6"/>
      <c r="E62" s="10"/>
      <c r="F62" s="7"/>
      <c r="G62" s="541"/>
      <c r="H62" s="15">
        <f t="shared" si="2"/>
        <v>0</v>
      </c>
      <c r="I62" s="4">
        <f t="shared" si="3"/>
        <v>0</v>
      </c>
      <c r="J62" s="9"/>
      <c r="K62" s="609"/>
      <c r="L62" s="609"/>
      <c r="M62" s="609"/>
      <c r="N62" s="4">
        <f t="shared" si="0"/>
        <v>0</v>
      </c>
      <c r="O62" s="5" t="str">
        <f>IF(AC62="◎",COUNTIF($AC$30:AC62,"◎"),"")</f>
        <v/>
      </c>
      <c r="Q62" s="610" t="str">
        <f t="shared" si="4"/>
        <v/>
      </c>
      <c r="R62" s="701" t="str">
        <f t="shared" si="5"/>
        <v/>
      </c>
      <c r="S62" s="701" t="str">
        <f t="shared" si="6"/>
        <v/>
      </c>
      <c r="T62" s="701" t="str">
        <f t="shared" si="7"/>
        <v/>
      </c>
      <c r="Z62" s="702" t="str">
        <f>IF(B62="個別病床",はじめに入力してください!$K$50,IF(B62="共通使用",はじめに入力してください!$K$52,""))</f>
        <v/>
      </c>
      <c r="AB62" s="12">
        <v>33</v>
      </c>
      <c r="AC62" s="701" t="str">
        <f t="shared" si="8"/>
        <v>○</v>
      </c>
      <c r="AD62" s="702" t="str">
        <f t="shared" si="1"/>
        <v>整備しない場合は入力不要です。</v>
      </c>
    </row>
    <row r="63" spans="1:30">
      <c r="A63" s="12">
        <v>34</v>
      </c>
      <c r="B63" s="6"/>
      <c r="C63" s="6"/>
      <c r="D63" s="6"/>
      <c r="E63" s="10"/>
      <c r="F63" s="7"/>
      <c r="G63" s="541"/>
      <c r="H63" s="15">
        <f t="shared" si="2"/>
        <v>0</v>
      </c>
      <c r="I63" s="4">
        <f t="shared" si="3"/>
        <v>0</v>
      </c>
      <c r="J63" s="9"/>
      <c r="K63" s="609"/>
      <c r="L63" s="609"/>
      <c r="M63" s="609"/>
      <c r="N63" s="4">
        <f t="shared" si="0"/>
        <v>0</v>
      </c>
      <c r="O63" s="5" t="str">
        <f>IF(AC63="◎",COUNTIF($AC$30:AC63,"◎"),"")</f>
        <v/>
      </c>
      <c r="Q63" s="610" t="str">
        <f t="shared" si="4"/>
        <v/>
      </c>
      <c r="R63" s="701" t="str">
        <f t="shared" si="5"/>
        <v/>
      </c>
      <c r="S63" s="701" t="str">
        <f t="shared" si="6"/>
        <v/>
      </c>
      <c r="T63" s="701" t="str">
        <f t="shared" si="7"/>
        <v/>
      </c>
      <c r="Z63" s="702" t="str">
        <f>IF(B63="個別病床",はじめに入力してください!$K$50,IF(B63="共通使用",はじめに入力してください!$K$52,""))</f>
        <v/>
      </c>
      <c r="AB63" s="12">
        <v>34</v>
      </c>
      <c r="AC63" s="701" t="str">
        <f t="shared" si="8"/>
        <v>○</v>
      </c>
      <c r="AD63" s="702" t="str">
        <f t="shared" si="1"/>
        <v>整備しない場合は入力不要です。</v>
      </c>
    </row>
    <row r="64" spans="1:30">
      <c r="A64" s="12">
        <v>35</v>
      </c>
      <c r="B64" s="6"/>
      <c r="C64" s="6"/>
      <c r="D64" s="6"/>
      <c r="E64" s="10"/>
      <c r="F64" s="7"/>
      <c r="G64" s="541"/>
      <c r="H64" s="15">
        <f t="shared" si="2"/>
        <v>0</v>
      </c>
      <c r="I64" s="4">
        <f t="shared" si="3"/>
        <v>0</v>
      </c>
      <c r="J64" s="9"/>
      <c r="K64" s="609"/>
      <c r="L64" s="609"/>
      <c r="M64" s="609"/>
      <c r="N64" s="4">
        <f t="shared" si="0"/>
        <v>0</v>
      </c>
      <c r="O64" s="5" t="str">
        <f>IF(AC64="◎",COUNTIF($AC$30:AC64,"◎"),"")</f>
        <v/>
      </c>
      <c r="Q64" s="610" t="str">
        <f t="shared" si="4"/>
        <v/>
      </c>
      <c r="R64" s="701" t="str">
        <f t="shared" si="5"/>
        <v/>
      </c>
      <c r="S64" s="701" t="str">
        <f t="shared" si="6"/>
        <v/>
      </c>
      <c r="T64" s="701" t="str">
        <f t="shared" si="7"/>
        <v/>
      </c>
      <c r="Z64" s="702" t="str">
        <f>IF(B64="個別病床",はじめに入力してください!$K$50,IF(B64="共通使用",はじめに入力してください!$K$52,""))</f>
        <v/>
      </c>
      <c r="AB64" s="12">
        <v>35</v>
      </c>
      <c r="AC64" s="701" t="str">
        <f t="shared" si="8"/>
        <v>○</v>
      </c>
      <c r="AD64" s="702" t="str">
        <f t="shared" si="1"/>
        <v>整備しない場合は入力不要です。</v>
      </c>
    </row>
    <row r="65" spans="1:30">
      <c r="A65" s="12">
        <v>36</v>
      </c>
      <c r="B65" s="6"/>
      <c r="C65" s="6"/>
      <c r="D65" s="6"/>
      <c r="E65" s="10"/>
      <c r="F65" s="7"/>
      <c r="G65" s="541"/>
      <c r="H65" s="15">
        <f t="shared" si="2"/>
        <v>0</v>
      </c>
      <c r="I65" s="4">
        <f t="shared" si="3"/>
        <v>0</v>
      </c>
      <c r="J65" s="9"/>
      <c r="K65" s="609"/>
      <c r="L65" s="609"/>
      <c r="M65" s="609"/>
      <c r="N65" s="4">
        <f t="shared" si="0"/>
        <v>0</v>
      </c>
      <c r="O65" s="5" t="str">
        <f>IF(AC65="◎",COUNTIF($AC$30:AC65,"◎"),"")</f>
        <v/>
      </c>
      <c r="Q65" s="610" t="str">
        <f t="shared" si="4"/>
        <v/>
      </c>
      <c r="R65" s="701" t="str">
        <f t="shared" si="5"/>
        <v/>
      </c>
      <c r="S65" s="701" t="str">
        <f t="shared" si="6"/>
        <v/>
      </c>
      <c r="T65" s="701" t="str">
        <f t="shared" si="7"/>
        <v/>
      </c>
      <c r="Z65" s="702" t="str">
        <f>IF(B65="個別病床",はじめに入力してください!$K$50,IF(B65="共通使用",はじめに入力してください!$K$52,""))</f>
        <v/>
      </c>
      <c r="AB65" s="12">
        <v>36</v>
      </c>
      <c r="AC65" s="701" t="str">
        <f t="shared" si="8"/>
        <v>○</v>
      </c>
      <c r="AD65" s="702" t="str">
        <f t="shared" si="1"/>
        <v>整備しない場合は入力不要です。</v>
      </c>
    </row>
    <row r="66" spans="1:30">
      <c r="A66" s="12">
        <v>37</v>
      </c>
      <c r="B66" s="6"/>
      <c r="C66" s="6"/>
      <c r="D66" s="6"/>
      <c r="E66" s="10"/>
      <c r="F66" s="7"/>
      <c r="G66" s="541"/>
      <c r="H66" s="15">
        <f t="shared" si="2"/>
        <v>0</v>
      </c>
      <c r="I66" s="4">
        <f t="shared" si="3"/>
        <v>0</v>
      </c>
      <c r="J66" s="9"/>
      <c r="K66" s="609"/>
      <c r="L66" s="609"/>
      <c r="M66" s="609"/>
      <c r="N66" s="4">
        <f t="shared" si="0"/>
        <v>0</v>
      </c>
      <c r="O66" s="5" t="str">
        <f>IF(AC66="◎",COUNTIF($AC$30:AC66,"◎"),"")</f>
        <v/>
      </c>
      <c r="Q66" s="610" t="str">
        <f t="shared" si="4"/>
        <v/>
      </c>
      <c r="R66" s="701" t="str">
        <f t="shared" si="5"/>
        <v/>
      </c>
      <c r="S66" s="701" t="str">
        <f t="shared" si="6"/>
        <v/>
      </c>
      <c r="T66" s="701" t="str">
        <f t="shared" si="7"/>
        <v/>
      </c>
      <c r="Z66" s="702" t="str">
        <f>IF(B66="個別病床",はじめに入力してください!$K$50,IF(B66="共通使用",はじめに入力してください!$K$52,""))</f>
        <v/>
      </c>
      <c r="AB66" s="12">
        <v>37</v>
      </c>
      <c r="AC66" s="701" t="str">
        <f t="shared" si="8"/>
        <v>○</v>
      </c>
      <c r="AD66" s="702" t="str">
        <f t="shared" si="1"/>
        <v>整備しない場合は入力不要です。</v>
      </c>
    </row>
    <row r="67" spans="1:30">
      <c r="A67" s="12">
        <v>38</v>
      </c>
      <c r="B67" s="6"/>
      <c r="C67" s="6"/>
      <c r="D67" s="6"/>
      <c r="E67" s="10"/>
      <c r="F67" s="7"/>
      <c r="G67" s="541"/>
      <c r="H67" s="15">
        <f t="shared" si="2"/>
        <v>0</v>
      </c>
      <c r="I67" s="4">
        <f t="shared" si="3"/>
        <v>0</v>
      </c>
      <c r="J67" s="9"/>
      <c r="K67" s="609"/>
      <c r="L67" s="609"/>
      <c r="M67" s="609"/>
      <c r="N67" s="4">
        <f t="shared" si="0"/>
        <v>0</v>
      </c>
      <c r="O67" s="5" t="str">
        <f>IF(AC67="◎",COUNTIF($AC$30:AC67,"◎"),"")</f>
        <v/>
      </c>
      <c r="Q67" s="610" t="str">
        <f t="shared" si="4"/>
        <v/>
      </c>
      <c r="R67" s="701" t="str">
        <f t="shared" si="5"/>
        <v/>
      </c>
      <c r="S67" s="701" t="str">
        <f t="shared" si="6"/>
        <v/>
      </c>
      <c r="T67" s="701" t="str">
        <f t="shared" si="7"/>
        <v/>
      </c>
      <c r="Z67" s="702" t="str">
        <f>IF(B67="個別病床",はじめに入力してください!$K$50,IF(B67="共通使用",はじめに入力してください!$K$52,""))</f>
        <v/>
      </c>
      <c r="AB67" s="12">
        <v>38</v>
      </c>
      <c r="AC67" s="701" t="str">
        <f t="shared" si="8"/>
        <v>○</v>
      </c>
      <c r="AD67" s="702" t="str">
        <f t="shared" si="1"/>
        <v>整備しない場合は入力不要です。</v>
      </c>
    </row>
    <row r="68" spans="1:30">
      <c r="A68" s="12">
        <v>39</v>
      </c>
      <c r="B68" s="6"/>
      <c r="C68" s="6"/>
      <c r="D68" s="6"/>
      <c r="E68" s="10"/>
      <c r="F68" s="7"/>
      <c r="G68" s="541"/>
      <c r="H68" s="15">
        <f t="shared" si="2"/>
        <v>0</v>
      </c>
      <c r="I68" s="4">
        <f t="shared" si="3"/>
        <v>0</v>
      </c>
      <c r="J68" s="9"/>
      <c r="K68" s="609"/>
      <c r="L68" s="609"/>
      <c r="M68" s="609"/>
      <c r="N68" s="4">
        <f t="shared" si="0"/>
        <v>0</v>
      </c>
      <c r="O68" s="5" t="str">
        <f>IF(AC68="◎",COUNTIF($AC$30:AC68,"◎"),"")</f>
        <v/>
      </c>
      <c r="Q68" s="610" t="str">
        <f t="shared" si="4"/>
        <v/>
      </c>
      <c r="R68" s="701" t="str">
        <f t="shared" si="5"/>
        <v/>
      </c>
      <c r="S68" s="701" t="str">
        <f t="shared" si="6"/>
        <v/>
      </c>
      <c r="T68" s="701" t="str">
        <f t="shared" si="7"/>
        <v/>
      </c>
      <c r="Z68" s="702" t="str">
        <f>IF(B68="個別病床",はじめに入力してください!$K$50,IF(B68="共通使用",はじめに入力してください!$K$52,""))</f>
        <v/>
      </c>
      <c r="AB68" s="12">
        <v>39</v>
      </c>
      <c r="AC68" s="701" t="str">
        <f t="shared" si="8"/>
        <v>○</v>
      </c>
      <c r="AD68" s="702" t="str">
        <f t="shared" si="1"/>
        <v>整備しない場合は入力不要です。</v>
      </c>
    </row>
    <row r="69" spans="1:30">
      <c r="A69" s="12">
        <v>40</v>
      </c>
      <c r="B69" s="6"/>
      <c r="C69" s="6"/>
      <c r="D69" s="6"/>
      <c r="E69" s="10"/>
      <c r="F69" s="7"/>
      <c r="G69" s="541"/>
      <c r="H69" s="15">
        <f t="shared" si="2"/>
        <v>0</v>
      </c>
      <c r="I69" s="4">
        <f t="shared" si="3"/>
        <v>0</v>
      </c>
      <c r="J69" s="9"/>
      <c r="K69" s="609"/>
      <c r="L69" s="609"/>
      <c r="M69" s="609"/>
      <c r="N69" s="4">
        <f t="shared" si="0"/>
        <v>0</v>
      </c>
      <c r="O69" s="5" t="str">
        <f>IF(AC69="◎",COUNTIF($AC$30:AC69,"◎"),"")</f>
        <v/>
      </c>
      <c r="Q69" s="610" t="str">
        <f t="shared" si="4"/>
        <v/>
      </c>
      <c r="R69" s="701" t="str">
        <f t="shared" si="5"/>
        <v/>
      </c>
      <c r="S69" s="701" t="str">
        <f t="shared" si="6"/>
        <v/>
      </c>
      <c r="T69" s="701" t="str">
        <f t="shared" si="7"/>
        <v/>
      </c>
      <c r="Z69" s="702" t="str">
        <f>IF(B69="個別病床",はじめに入力してください!$K$50,IF(B69="共通使用",はじめに入力してください!$K$52,""))</f>
        <v/>
      </c>
      <c r="AB69" s="12">
        <v>40</v>
      </c>
      <c r="AC69" s="701" t="str">
        <f t="shared" si="8"/>
        <v>○</v>
      </c>
      <c r="AD69" s="702" t="str">
        <f t="shared" si="1"/>
        <v>整備しない場合は入力不要です。</v>
      </c>
    </row>
    <row r="70" spans="1:30">
      <c r="A70" s="12">
        <v>41</v>
      </c>
      <c r="B70" s="6"/>
      <c r="C70" s="6"/>
      <c r="D70" s="6"/>
      <c r="E70" s="10"/>
      <c r="F70" s="7"/>
      <c r="G70" s="541"/>
      <c r="H70" s="15">
        <f t="shared" si="2"/>
        <v>0</v>
      </c>
      <c r="I70" s="4">
        <f t="shared" si="3"/>
        <v>0</v>
      </c>
      <c r="J70" s="9"/>
      <c r="K70" s="609"/>
      <c r="L70" s="609"/>
      <c r="M70" s="609"/>
      <c r="N70" s="4">
        <f t="shared" si="0"/>
        <v>0</v>
      </c>
      <c r="O70" s="5" t="str">
        <f>IF(AC70="◎",COUNTIF($AC$30:AC70,"◎"),"")</f>
        <v/>
      </c>
      <c r="Q70" s="610" t="str">
        <f t="shared" si="4"/>
        <v/>
      </c>
      <c r="R70" s="701" t="str">
        <f t="shared" si="5"/>
        <v/>
      </c>
      <c r="S70" s="701" t="str">
        <f t="shared" si="6"/>
        <v/>
      </c>
      <c r="T70" s="701" t="str">
        <f t="shared" si="7"/>
        <v/>
      </c>
      <c r="Z70" s="702" t="str">
        <f>IF(B70="個別病床",はじめに入力してください!$K$50,IF(B70="共通使用",はじめに入力してください!$K$52,""))</f>
        <v/>
      </c>
      <c r="AB70" s="12">
        <v>41</v>
      </c>
      <c r="AC70" s="701" t="str">
        <f t="shared" si="8"/>
        <v>○</v>
      </c>
      <c r="AD70" s="702" t="str">
        <f t="shared" si="1"/>
        <v>整備しない場合は入力不要です。</v>
      </c>
    </row>
    <row r="71" spans="1:30">
      <c r="A71" s="12">
        <v>42</v>
      </c>
      <c r="B71" s="6"/>
      <c r="C71" s="6"/>
      <c r="D71" s="6"/>
      <c r="E71" s="10"/>
      <c r="F71" s="7"/>
      <c r="G71" s="541"/>
      <c r="H71" s="15">
        <f t="shared" si="2"/>
        <v>0</v>
      </c>
      <c r="I71" s="4">
        <f t="shared" si="3"/>
        <v>0</v>
      </c>
      <c r="J71" s="9"/>
      <c r="K71" s="609"/>
      <c r="L71" s="609"/>
      <c r="M71" s="609"/>
      <c r="N71" s="4">
        <f t="shared" si="0"/>
        <v>0</v>
      </c>
      <c r="O71" s="5" t="str">
        <f>IF(AC71="◎",COUNTIF($AC$30:AC71,"◎"),"")</f>
        <v/>
      </c>
      <c r="Q71" s="610" t="str">
        <f t="shared" si="4"/>
        <v/>
      </c>
      <c r="R71" s="701" t="str">
        <f t="shared" si="5"/>
        <v/>
      </c>
      <c r="S71" s="701" t="str">
        <f t="shared" si="6"/>
        <v/>
      </c>
      <c r="T71" s="701" t="str">
        <f t="shared" si="7"/>
        <v/>
      </c>
      <c r="Z71" s="702" t="str">
        <f>IF(B71="個別病床",はじめに入力してください!$K$50,IF(B71="共通使用",はじめに入力してください!$K$52,""))</f>
        <v/>
      </c>
      <c r="AB71" s="12">
        <v>42</v>
      </c>
      <c r="AC71" s="701" t="str">
        <f t="shared" si="8"/>
        <v>○</v>
      </c>
      <c r="AD71" s="702" t="str">
        <f t="shared" si="1"/>
        <v>整備しない場合は入力不要です。</v>
      </c>
    </row>
    <row r="72" spans="1:30">
      <c r="A72" s="12">
        <v>43</v>
      </c>
      <c r="B72" s="6"/>
      <c r="C72" s="6"/>
      <c r="D72" s="6"/>
      <c r="E72" s="10"/>
      <c r="F72" s="7"/>
      <c r="G72" s="541"/>
      <c r="H72" s="15">
        <f t="shared" si="2"/>
        <v>0</v>
      </c>
      <c r="I72" s="4">
        <f t="shared" si="3"/>
        <v>0</v>
      </c>
      <c r="J72" s="9"/>
      <c r="K72" s="609"/>
      <c r="L72" s="609"/>
      <c r="M72" s="609"/>
      <c r="N72" s="4">
        <f t="shared" si="0"/>
        <v>0</v>
      </c>
      <c r="O72" s="5" t="str">
        <f>IF(AC72="◎",COUNTIF($AC$30:AC72,"◎"),"")</f>
        <v/>
      </c>
      <c r="Q72" s="610" t="str">
        <f t="shared" si="4"/>
        <v/>
      </c>
      <c r="R72" s="701" t="str">
        <f t="shared" si="5"/>
        <v/>
      </c>
      <c r="S72" s="701" t="str">
        <f t="shared" si="6"/>
        <v/>
      </c>
      <c r="T72" s="701" t="str">
        <f t="shared" si="7"/>
        <v/>
      </c>
      <c r="Z72" s="702" t="str">
        <f>IF(B72="個別病床",はじめに入力してください!$K$50,IF(B72="共通使用",はじめに入力してください!$K$52,""))</f>
        <v/>
      </c>
      <c r="AB72" s="12">
        <v>43</v>
      </c>
      <c r="AC72" s="701" t="str">
        <f t="shared" si="8"/>
        <v>○</v>
      </c>
      <c r="AD72" s="702" t="str">
        <f t="shared" si="1"/>
        <v>整備しない場合は入力不要です。</v>
      </c>
    </row>
    <row r="73" spans="1:30">
      <c r="A73" s="12">
        <v>44</v>
      </c>
      <c r="B73" s="6"/>
      <c r="C73" s="6"/>
      <c r="D73" s="6"/>
      <c r="E73" s="10"/>
      <c r="F73" s="7"/>
      <c r="G73" s="541"/>
      <c r="H73" s="15">
        <f t="shared" si="2"/>
        <v>0</v>
      </c>
      <c r="I73" s="4">
        <f t="shared" si="3"/>
        <v>0</v>
      </c>
      <c r="J73" s="9"/>
      <c r="K73" s="609"/>
      <c r="L73" s="609"/>
      <c r="M73" s="609"/>
      <c r="N73" s="4">
        <f t="shared" si="0"/>
        <v>0</v>
      </c>
      <c r="O73" s="5" t="str">
        <f>IF(AC73="◎",COUNTIF($AC$30:AC73,"◎"),"")</f>
        <v/>
      </c>
      <c r="Q73" s="610" t="str">
        <f t="shared" si="4"/>
        <v/>
      </c>
      <c r="R73" s="701" t="str">
        <f t="shared" si="5"/>
        <v/>
      </c>
      <c r="S73" s="701" t="str">
        <f t="shared" si="6"/>
        <v/>
      </c>
      <c r="T73" s="701" t="str">
        <f t="shared" si="7"/>
        <v/>
      </c>
      <c r="Z73" s="702" t="str">
        <f>IF(B73="個別病床",はじめに入力してください!$K$50,IF(B73="共通使用",はじめに入力してください!$K$52,""))</f>
        <v/>
      </c>
      <c r="AB73" s="12">
        <v>44</v>
      </c>
      <c r="AC73" s="701" t="str">
        <f t="shared" si="8"/>
        <v>○</v>
      </c>
      <c r="AD73" s="702" t="str">
        <f t="shared" si="1"/>
        <v>整備しない場合は入力不要です。</v>
      </c>
    </row>
    <row r="74" spans="1:30">
      <c r="A74" s="12">
        <v>45</v>
      </c>
      <c r="B74" s="6"/>
      <c r="C74" s="6"/>
      <c r="D74" s="6"/>
      <c r="E74" s="10"/>
      <c r="F74" s="7"/>
      <c r="G74" s="541"/>
      <c r="H74" s="15">
        <f t="shared" si="2"/>
        <v>0</v>
      </c>
      <c r="I74" s="4">
        <f t="shared" si="3"/>
        <v>0</v>
      </c>
      <c r="J74" s="9"/>
      <c r="K74" s="609"/>
      <c r="L74" s="609"/>
      <c r="M74" s="609"/>
      <c r="N74" s="4">
        <f t="shared" si="0"/>
        <v>0</v>
      </c>
      <c r="O74" s="5" t="str">
        <f>IF(AC74="◎",COUNTIF($AC$30:AC74,"◎"),"")</f>
        <v/>
      </c>
      <c r="Q74" s="610" t="str">
        <f t="shared" si="4"/>
        <v/>
      </c>
      <c r="R74" s="701" t="str">
        <f t="shared" si="5"/>
        <v/>
      </c>
      <c r="S74" s="701" t="str">
        <f t="shared" si="6"/>
        <v/>
      </c>
      <c r="T74" s="701" t="str">
        <f t="shared" si="7"/>
        <v/>
      </c>
      <c r="Z74" s="702" t="str">
        <f>IF(B74="個別病床",はじめに入力してください!$K$50,IF(B74="共通使用",はじめに入力してください!$K$52,""))</f>
        <v/>
      </c>
      <c r="AB74" s="12">
        <v>45</v>
      </c>
      <c r="AC74" s="701" t="str">
        <f t="shared" si="8"/>
        <v>○</v>
      </c>
      <c r="AD74" s="702" t="str">
        <f t="shared" si="1"/>
        <v>整備しない場合は入力不要です。</v>
      </c>
    </row>
  </sheetData>
  <sheetProtection algorithmName="SHA-512" hashValue="p0DfNq4adxsIv8i9kbnV291KCLiXkAEHtbOAF27ryB2iFWbpXmQ7LZmcfwVM8K0PpVLbpi9P+ym9/J+C0iN+Vw==" saltValue="HhhryyGLR07J5wMDmeG0Ng==" spinCount="100000" sheet="1" objects="1" scenarios="1"/>
  <mergeCells count="25">
    <mergeCell ref="N1:P1"/>
    <mergeCell ref="B22:O22"/>
    <mergeCell ref="B2:D3"/>
    <mergeCell ref="AC3:AC5"/>
    <mergeCell ref="AD3:AD5"/>
    <mergeCell ref="AC7:AC8"/>
    <mergeCell ref="AD7:AD8"/>
    <mergeCell ref="B10:O10"/>
    <mergeCell ref="B13:O13"/>
    <mergeCell ref="B14:O14"/>
    <mergeCell ref="B15:O15"/>
    <mergeCell ref="B18:O21"/>
    <mergeCell ref="B7:O7"/>
    <mergeCell ref="B9:C9"/>
    <mergeCell ref="B12:O12"/>
    <mergeCell ref="B26:O26"/>
    <mergeCell ref="AC27:AC28"/>
    <mergeCell ref="AD27:AD28"/>
    <mergeCell ref="B28:D28"/>
    <mergeCell ref="E28:F28"/>
    <mergeCell ref="G28:J28"/>
    <mergeCell ref="N28:N29"/>
    <mergeCell ref="O28:O29"/>
    <mergeCell ref="K28:M28"/>
    <mergeCell ref="Q28:Q29"/>
  </mergeCells>
  <phoneticPr fontId="9"/>
  <conditionalFormatting sqref="AC29 AC1:AC2 AC11:AC21 AC6 AC23:AC27 AC75:AC1048576">
    <cfRule type="containsText" dxfId="142" priority="11" operator="containsText" text="×">
      <formula>NOT(ISERROR(SEARCH("×",AC1)))</formula>
    </cfRule>
  </conditionalFormatting>
  <conditionalFormatting sqref="AD1:AD2 AD11:AD21 AD29 AD6 AD23:AD27 AD75:AD1048576">
    <cfRule type="containsText" dxfId="141" priority="10" operator="containsText" text="要修正">
      <formula>NOT(ISERROR(SEARCH("要修正",AD1)))</formula>
    </cfRule>
  </conditionalFormatting>
  <conditionalFormatting sqref="AC22">
    <cfRule type="containsText" dxfId="140" priority="9" operator="containsText" text="×">
      <formula>NOT(ISERROR(SEARCH("×",AC22)))</formula>
    </cfRule>
  </conditionalFormatting>
  <conditionalFormatting sqref="AD22">
    <cfRule type="containsText" dxfId="139" priority="8" operator="containsText" text="要修正">
      <formula>NOT(ISERROR(SEARCH("要修正",AD22)))</formula>
    </cfRule>
  </conditionalFormatting>
  <conditionalFormatting sqref="AC9:AC10 AC7">
    <cfRule type="containsText" dxfId="138" priority="7" operator="containsText" text="×">
      <formula>NOT(ISERROR(SEARCH("×",AC7)))</formula>
    </cfRule>
  </conditionalFormatting>
  <conditionalFormatting sqref="AD9:AD10 AD7">
    <cfRule type="containsText" dxfId="137" priority="6" operator="containsText" text="要修正">
      <formula>NOT(ISERROR(SEARCH("要修正",AD7)))</formula>
    </cfRule>
  </conditionalFormatting>
  <conditionalFormatting sqref="AC3:AC4">
    <cfRule type="containsText" dxfId="136" priority="5" operator="containsText" text="×">
      <formula>NOT(ISERROR(SEARCH("×",AC3)))</formula>
    </cfRule>
  </conditionalFormatting>
  <conditionalFormatting sqref="AD3:AD4">
    <cfRule type="containsText" dxfId="135" priority="4" operator="containsText" text="要修正">
      <formula>NOT(ISERROR(SEARCH("要修正",AD3)))</formula>
    </cfRule>
  </conditionalFormatting>
  <conditionalFormatting sqref="AD30:AD74">
    <cfRule type="containsText" dxfId="134" priority="2" operator="containsText" text="要修正">
      <formula>NOT(ISERROR(SEARCH("要修正",AD30)))</formula>
    </cfRule>
  </conditionalFormatting>
  <conditionalFormatting sqref="AC30:AC74">
    <cfRule type="containsText" dxfId="133" priority="1" operator="containsText" text="×">
      <formula>NOT(ISERROR(SEARCH("×",AC30)))</formula>
    </cfRule>
  </conditionalFormatting>
  <dataValidations xWindow="402" yWindow="610" count="10">
    <dataValidation allowBlank="1" showInputMessage="1" showErrorMessage="1" promptTitle="割引額がある場合は入力" prompt="割引がない場合は「0円」のままとしてください。" sqref="I3" xr:uid="{00000000-0002-0000-0F00-000000000000}"/>
    <dataValidation allowBlank="1" showInputMessage="1" showErrorMessage="1" promptTitle="補助対象金額" prompt="補助対象額×（見積書金額-割引額）/見積書金額_x000a_で算出されます。" sqref="J3:M3" xr:uid="{5612C498-9D87-49BB-9B26-A20476B23FEB}"/>
    <dataValidation allowBlank="1" showInputMessage="1" showErrorMessage="1" promptTitle="規格及び数量の入力" prompt="補助対象経費を計上する際、いずれも入力してください。" sqref="E30:E74" xr:uid="{73214E1F-1142-476E-B863-E6D119B443E9}"/>
    <dataValidation allowBlank="1" showInputMessage="1" showErrorMessage="1" promptTitle="単価の入力" prompt="税抜額または税込額のいずれかを入力してください。_x000a_入力しない方は「0」は入力せず、空欄としてください。" sqref="H30:H74" xr:uid="{5B6C633B-F106-4B4A-988F-13E29FEE74A7}"/>
    <dataValidation allowBlank="1" showInputMessage="1" showErrorMessage="1" promptTitle="添付書類番号" prompt="種類、規格、数量、単価が全て適切に入力され、右の「判定」が「◎」と表示されると自動で番号が表示されます。" sqref="O30:O74" xr:uid="{52C5CA48-047A-42F7-9207-D5486BFE2D8B}"/>
    <dataValidation allowBlank="1" showInputMessage="1" showErrorMessage="1" promptTitle="金額の表示" prompt="数式が入力されているため、自動計算されます。" sqref="N30:N74 I30:I74" xr:uid="{51F5CCC9-4DCE-4705-89FB-59BDAE585DDF}"/>
    <dataValidation type="list" allowBlank="1" showInputMessage="1" showErrorMessage="1" promptTitle="補助対象の該当非該当" prompt="コロナ対応病床の初度設備に係る経費が対象となります。_x000a_共用部分の設備、備品や医療用消耗品等は補助対象外なので「対象外」を選択してください。_x000a_審査において確認、対象外と認めたものについては対象外として補正をお願いする場合があります。" sqref="J30:J74" xr:uid="{AF5F3CA1-6F00-42FF-8DC1-32C5157A1230}">
      <formula1>"補助対象,補助対象外"</formula1>
    </dataValidation>
    <dataValidation type="list" allowBlank="1" showInputMessage="1" showErrorMessage="1" promptTitle="設備、備品、その他の別を選択" prompt="当該行に記載する品目が_x000a_・「設備」（設備本体）_x000a_・備品（本体設備と別の構成をなすもの）_x000a_・その他（上記の該当しないもの）_x000a_の別をプルダウンから選択してください。" sqref="D30:D74" xr:uid="{C9170411-4D0A-4AA6-A423-795EB647B14A}">
      <formula1>"設備,備品,その他"</formula1>
    </dataValidation>
    <dataValidation type="decimal" operator="greaterThanOrEqual" allowBlank="1" showInputMessage="1" showErrorMessage="1" promptTitle="単価の入力" prompt="税抜額または税込額のいずれかを入力してください。_x000a_入力しない方は「0」は入力せず、空欄としてください。" sqref="G30:G74" xr:uid="{C30D93D2-C9A1-49FC-9B6C-1E0BA3DFDE1E}">
      <formula1>0</formula1>
    </dataValidation>
    <dataValidation type="whole" operator="greaterThanOrEqual" allowBlank="1" showInputMessage="1" showErrorMessage="1" errorTitle="数値のみを入力してください。" error="「個」、「枚」等の単位入力は不要です。" promptTitle="規格及び数量の入力" prompt="補助対象経費を計上する際、いずれも入力してください。" sqref="F30:F74" xr:uid="{FA9170C8-AD59-4E0D-BCE4-075F0260E2F9}">
      <formula1>0</formula1>
    </dataValidation>
  </dataValidations>
  <pageMargins left="0.7" right="0.7" top="0.75" bottom="0.75" header="0.3" footer="0.3"/>
  <pageSetup paperSize="9" scale="51" orientation="portrait" r:id="rId1"/>
  <drawing r:id="rId2"/>
  <legacyDrawing r:id="rId3"/>
  <extLst>
    <ext xmlns:x14="http://schemas.microsoft.com/office/spreadsheetml/2009/9/main" uri="{CCE6A557-97BC-4b89-ADB6-D9C93CAAB3DF}">
      <x14:dataValidations xmlns:xm="http://schemas.microsoft.com/office/excel/2006/main" xWindow="402" yWindow="610" count="6">
        <x14:dataValidation type="list" allowBlank="1" showInputMessage="1" showErrorMessage="1" promptTitle="配備先の別を選択" prompt="確保病床の共通使用のものか、個別のベッドに配備するものか選択してください。" xr:uid="{3869A10F-3C07-4D15-A54F-447043BBE572}">
          <x14:formula1>
            <xm:f>テーブル!$X$48:$X$49</xm:f>
          </x14:formula1>
          <xm:sqref>B30:B74</xm:sqref>
        </x14:dataValidation>
        <x14:dataValidation type="list" allowBlank="1" showInputMessage="1" showErrorMessage="1" promptTitle="「用途先」病床の選択（左の「病床」を選択しないと表示されません。" prompt="ベッドに必ずしも紐付けるものではありませんが、１病床１台で紐付けした場合、整備する病床に番号付けをした場合の番号を選択してください。" xr:uid="{2C83132E-3842-4B1B-859D-3661596D5AB7}">
          <x14:formula1>
            <xm:f>OFFSET(テーブル!$X$48, 0, MATCH(B30,テーブル!$Y$47:$Z$47,0), COUNTA(OFFSET(テーブル!$X$48,0,MATCH(B30,テーブル!$Y$47:$Z$47,0),$Z$30,1)),1)</xm:f>
          </x14:formula1>
          <xm:sqref>C30:C74</xm:sqref>
        </x14:dataValidation>
        <x14:dataValidation type="list" allowBlank="1" showInputMessage="1" showErrorMessage="1" xr:uid="{00000000-0002-0000-0F00-000008000000}">
          <x14:formula1>
            <xm:f>テーブル!$M$37:$M$51</xm:f>
          </x14:formula1>
          <xm:sqref>B2:D2</xm:sqref>
        </x14:dataValidation>
        <x14:dataValidation type="list" allowBlank="1" showInputMessage="1" showErrorMessage="1" xr:uid="{0EA76063-BEF9-4B24-A056-CC37555473AB}">
          <x14:formula1>
            <xm:f>テーブル!$K$2:$K$32</xm:f>
          </x14:formula1>
          <xm:sqref>M30:M74</xm:sqref>
        </x14:dataValidation>
        <x14:dataValidation type="list" allowBlank="1" showInputMessage="1" showErrorMessage="1" xr:uid="{531ABD70-7AFF-42E1-A3B0-63404230C774}">
          <x14:formula1>
            <xm:f>テーブル!$J$2:$J$7</xm:f>
          </x14:formula1>
          <xm:sqref>L30:L74</xm:sqref>
        </x14:dataValidation>
        <x14:dataValidation type="list" allowBlank="1" showInputMessage="1" showErrorMessage="1" xr:uid="{0583BCCB-E920-435A-B8C3-AD8C07A7F683}">
          <x14:formula1>
            <xm:f>テーブル!$I$2:$I$3</xm:f>
          </x14:formula1>
          <xm:sqref>K30:K74</xm:sqref>
        </x14:dataValidation>
      </x14:dataValidations>
    </ext>
  </extLs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F6FFDD-B26A-4592-A410-E25663822702}">
  <sheetPr>
    <tabColor rgb="FFFFC000"/>
  </sheetPr>
  <dimension ref="A1:BE212"/>
  <sheetViews>
    <sheetView showGridLines="0" view="pageBreakPreview" topLeftCell="A10" zoomScale="60" zoomScaleNormal="100" workbookViewId="0">
      <selection activeCell="H23" sqref="H23"/>
    </sheetView>
  </sheetViews>
  <sheetFormatPr defaultColWidth="9" defaultRowHeight="20.100000000000001" customHeight="1"/>
  <cols>
    <col min="1" max="1" width="3.625" style="461" customWidth="1"/>
    <col min="2" max="3" width="15.625" style="482" customWidth="1"/>
    <col min="4" max="5" width="10.625" style="482" customWidth="1"/>
    <col min="6" max="6" width="10.625" style="708" customWidth="1"/>
    <col min="7" max="7" width="8.625" style="464" customWidth="1"/>
    <col min="8" max="8" width="8.625" style="465" customWidth="1"/>
    <col min="9" max="9" width="11.625" style="465" customWidth="1"/>
    <col min="10" max="13" width="12.625" style="465" customWidth="1"/>
    <col min="14" max="16" width="3.625" style="465" customWidth="1"/>
    <col min="17" max="17" width="10.625" style="465" customWidth="1"/>
    <col min="18" max="18" width="9" style="465"/>
    <col min="19" max="19" width="15.625" style="465" customWidth="1"/>
    <col min="20" max="20" width="2.625" style="465" customWidth="1"/>
    <col min="21" max="21" width="12.625" style="465" customWidth="1"/>
    <col min="22" max="24" width="3.625" style="465" customWidth="1"/>
    <col min="25" max="25" width="15.625" style="465" customWidth="1"/>
    <col min="26" max="35" width="12.625" style="465" customWidth="1"/>
    <col min="36" max="36" width="3.625" style="468" customWidth="1"/>
    <col min="37" max="37" width="9" style="461"/>
    <col min="38" max="38" width="9" style="465"/>
    <col min="39" max="39" width="90.625" style="465" customWidth="1"/>
    <col min="40" max="44" width="9" style="465"/>
    <col min="45" max="45" width="30.625" style="465" customWidth="1"/>
    <col min="46" max="46" width="10.75" style="465" bestFit="1" customWidth="1"/>
    <col min="47" max="47" width="9" style="465"/>
    <col min="48" max="48" width="60.625" style="465" customWidth="1"/>
    <col min="49" max="49" width="9" style="465"/>
    <col min="50" max="50" width="20.625" style="461" customWidth="1"/>
    <col min="51" max="51" width="20.625" style="465" customWidth="1"/>
    <col min="52" max="57" width="10.625" style="465" customWidth="1"/>
    <col min="58" max="16384" width="9" style="465"/>
  </cols>
  <sheetData>
    <row r="1" spans="1:50" s="459" customFormat="1" ht="30" customHeight="1">
      <c r="A1" s="455"/>
      <c r="B1" s="456"/>
      <c r="C1" s="456"/>
      <c r="D1" s="456"/>
      <c r="E1" s="456"/>
      <c r="F1" s="457"/>
      <c r="G1" s="458"/>
      <c r="R1" s="1869" t="str">
        <f xml:space="preserve">
IF(表紙!$X$2="事前協議","（10月１日～３月31日分）",
IF(表紙!$X$2="交付申請（２次）","（10月１日～３月31日分）",
IF(表紙!$X$2="変更申請","（10月１日～３月31日分）",
IF(表紙!$X$2="実績報告（１次）","（５月８日～10月31日分）",
IF(表紙!$X$2="実績報告（２次）","（10月１日～３月31日分）",
IF(表紙!$X$2="交付申請兼実績報告","（10月１日～３月31日分）"))))))</f>
        <v>（10月１日～３月31日分）</v>
      </c>
      <c r="S1" s="1869"/>
      <c r="T1" s="1870"/>
      <c r="AJ1" s="460"/>
      <c r="AK1" s="455"/>
      <c r="AX1" s="455"/>
    </row>
    <row r="2" spans="1:50" ht="20.100000000000001" customHeight="1">
      <c r="B2" s="462" t="s">
        <v>455</v>
      </c>
      <c r="C2" s="462"/>
      <c r="D2" s="463"/>
      <c r="E2" s="463"/>
      <c r="L2" s="466"/>
      <c r="Q2" s="467" t="s">
        <v>456</v>
      </c>
      <c r="R2" s="1871">
        <f xml:space="preserve">
IF(AU118="○",0,
IF(AU118="◎",SUM(M13:M112),
IF(AU118="×",0)))</f>
        <v>0</v>
      </c>
      <c r="S2" s="1872"/>
    </row>
    <row r="3" spans="1:50" ht="9.9499999999999993" customHeight="1">
      <c r="B3" s="463"/>
      <c r="C3" s="463"/>
      <c r="D3" s="463"/>
      <c r="E3" s="463"/>
      <c r="H3" s="461"/>
      <c r="R3" s="469"/>
      <c r="S3" s="469"/>
    </row>
    <row r="4" spans="1:50" ht="24.95" customHeight="1">
      <c r="A4" s="712" t="s">
        <v>457</v>
      </c>
      <c r="B4" s="470"/>
      <c r="C4" s="470"/>
      <c r="D4" s="470"/>
      <c r="E4" s="470"/>
      <c r="F4" s="471"/>
      <c r="G4" s="472"/>
      <c r="H4" s="473"/>
      <c r="I4" s="474"/>
      <c r="J4" s="474"/>
      <c r="K4" s="474"/>
      <c r="L4" s="474"/>
      <c r="M4" s="474"/>
      <c r="N4" s="474"/>
      <c r="O4" s="474"/>
      <c r="P4" s="474"/>
      <c r="Q4" s="474"/>
      <c r="R4" s="474"/>
      <c r="S4" s="474"/>
    </row>
    <row r="5" spans="1:50" ht="20.100000000000001" customHeight="1">
      <c r="A5" s="1873" t="s">
        <v>1270</v>
      </c>
      <c r="B5" s="1874"/>
      <c r="C5" s="1874"/>
      <c r="D5" s="1874"/>
      <c r="E5" s="1874"/>
      <c r="F5" s="1874"/>
      <c r="G5" s="1874"/>
      <c r="H5" s="1874"/>
      <c r="I5" s="1874"/>
      <c r="J5" s="1874"/>
      <c r="K5" s="1874"/>
      <c r="L5" s="1874"/>
      <c r="M5" s="1874"/>
      <c r="N5" s="1874"/>
      <c r="O5" s="1874"/>
      <c r="P5" s="1874"/>
      <c r="Q5" s="1874"/>
      <c r="R5" s="1874"/>
      <c r="S5" s="1874"/>
    </row>
    <row r="6" spans="1:50" ht="20.100000000000001" customHeight="1">
      <c r="A6" s="467">
        <v>1</v>
      </c>
      <c r="B6" s="475" t="s">
        <v>1236</v>
      </c>
      <c r="C6" s="476" t="str">
        <f xml:space="preserve">
IF(AND(表紙!X2="交付申請兼実績報告",《基礎情報》!AU51="要修正・表示不可"),"「基礎情報」要修正",
IF(AND(表紙!X2="交付申請兼実績報告",《基礎情報》!AU51&lt;&gt;"要修正・表示不可"),《基礎情報》!AU50,
IF(AND(表紙!X2&lt;&gt;"交付申請兼実績報告",基礎情報!AK70="要修正・表示不可"),"「基礎情報」要修正",
IF(AND(表紙!X2&lt;&gt;"交付申請兼実績報告",基礎情報!AK70&lt;&gt;"要修正・表示不可"),基礎情報!AK84))))</f>
        <v>×</v>
      </c>
      <c r="D6" s="477" t="str">
        <f>IF(C6="要修正・表示不可","×","○")</f>
        <v>○</v>
      </c>
      <c r="E6" s="1875" t="s">
        <v>458</v>
      </c>
      <c r="F6" s="1876"/>
      <c r="G6" s="1876"/>
      <c r="AN6" s="461"/>
      <c r="AO6" s="461"/>
      <c r="AP6" s="461"/>
      <c r="AQ6" s="461"/>
    </row>
    <row r="7" spans="1:50" ht="20.100000000000001" customHeight="1">
      <c r="A7" s="467">
        <v>2</v>
      </c>
      <c r="B7" s="475" t="s">
        <v>1237</v>
      </c>
      <c r="C7" s="478" t="str">
        <f xml:space="preserve">
IF(AND(表紙!X2="交付申請兼実績報告",《基礎情報》!AU56="要修正・表示不可"),"「基礎情報」要修正",
IF(AND(表紙!X2="交付申請兼実績報告",《基礎情報》!AU56&lt;&gt;"要修正・表示不可"),《基礎情報》!AU56,
IF(AND(表紙!X2&lt;&gt;"交付申請兼実績報告",基礎情報!AK75="要修正・表示不可"),"「基礎情報」要修正",
IF(AND(表紙!X2&lt;&gt;"交付申請兼実績報告",基礎情報!AK75&lt;&gt;"要修正・表示不可"),基礎情報!AK89))))</f>
        <v>×</v>
      </c>
      <c r="D7" s="477" t="str">
        <f>IF(C7="要修正・表示不可","×","○")</f>
        <v>○</v>
      </c>
      <c r="E7" s="710" t="s">
        <v>459</v>
      </c>
      <c r="F7" s="1877"/>
      <c r="G7" s="1878"/>
      <c r="H7" s="1862" t="s">
        <v>1238</v>
      </c>
      <c r="I7" s="1879"/>
      <c r="J7" s="1879"/>
      <c r="K7" s="1879"/>
      <c r="L7" s="711"/>
      <c r="M7" s="479"/>
      <c r="N7" s="479"/>
      <c r="O7" s="479"/>
      <c r="P7" s="479"/>
      <c r="Q7" s="479"/>
      <c r="AN7" s="464"/>
      <c r="AO7" s="464"/>
      <c r="AP7" s="464"/>
      <c r="AQ7" s="464"/>
    </row>
    <row r="8" spans="1:50" ht="20.100000000000001" customHeight="1">
      <c r="A8" s="467">
        <v>3</v>
      </c>
      <c r="B8" s="480" t="s">
        <v>1239</v>
      </c>
      <c r="C8" s="481" t="e">
        <f xml:space="preserve">
IF(COUNTIF(D6:D7,"○")=2,ROUNDUP(C6*C7,1),
IF(COUNTIF(D6:D7,"○")&lt;&gt;2,"表示不可"))</f>
        <v>#VALUE!</v>
      </c>
      <c r="E8" s="710" t="s">
        <v>460</v>
      </c>
      <c r="F8" s="1881">
        <f>ROUNDUP(F7/1.1,2)</f>
        <v>0</v>
      </c>
      <c r="G8" s="1882"/>
      <c r="H8" s="1880"/>
      <c r="I8" s="1879"/>
      <c r="J8" s="1879"/>
      <c r="K8" s="1879"/>
      <c r="L8" s="711"/>
      <c r="M8" s="479"/>
      <c r="N8" s="479"/>
      <c r="O8" s="479"/>
      <c r="P8" s="479"/>
      <c r="Q8" s="479"/>
      <c r="AN8" s="464"/>
      <c r="AO8" s="464"/>
      <c r="AP8" s="464"/>
      <c r="AQ8" s="464"/>
    </row>
    <row r="9" spans="1:50" ht="15" customHeight="1">
      <c r="A9" s="483"/>
      <c r="B9" s="484"/>
      <c r="C9" s="708"/>
      <c r="D9" s="485"/>
      <c r="E9" s="486" t="s">
        <v>461</v>
      </c>
      <c r="G9" s="487"/>
      <c r="H9" s="488"/>
      <c r="AN9" s="464"/>
      <c r="AO9" s="464"/>
      <c r="AP9" s="464"/>
      <c r="AQ9" s="464"/>
    </row>
    <row r="10" spans="1:50" ht="24.95" customHeight="1">
      <c r="A10" s="1886" t="s">
        <v>462</v>
      </c>
      <c r="B10" s="1887"/>
      <c r="C10" s="713"/>
      <c r="D10" s="489"/>
      <c r="E10" s="489"/>
      <c r="F10" s="471"/>
      <c r="G10" s="472"/>
      <c r="H10" s="490"/>
      <c r="I10" s="490"/>
      <c r="J10" s="490"/>
      <c r="K10" s="490"/>
      <c r="L10" s="490"/>
      <c r="M10" s="490"/>
      <c r="N10" s="490"/>
      <c r="O10" s="490"/>
      <c r="P10" s="490"/>
      <c r="Q10" s="490"/>
      <c r="R10" s="490"/>
      <c r="S10" s="490"/>
      <c r="AN10" s="461"/>
      <c r="AO10" s="461"/>
      <c r="AP10" s="461"/>
      <c r="AQ10" s="461"/>
    </row>
    <row r="11" spans="1:50" ht="120" customHeight="1">
      <c r="A11" s="1888" t="str">
        <f xml:space="preserve">
IF(OR(表紙!$X$2="事前協議",表紙!$X$2="交付申請",表紙!$X$2="交付申請（２次）"),
"【注意１】！！発注書、見積書、カタログ等の提出は不要です。！！"&amp;CHAR(10)&amp;
"【注意２】記載にあたってはお手元の発注書、見積書、カタログ等に記載の金額と一致するようにしてください。"&amp;CHAR(10)&amp;
"【注意３】購入数量に基づく１人１日あたり使用量が過剰と見受けられる場合は、県から確認の連絡をさせていただく場合があります。"&amp;CHAR(10)&amp;
"【注意４】補助対象期間"&amp;R1&amp;"の納品（見込）分のみ入力するようにしてください。"&amp;CHAR(10)&amp;
"【注意５】公費補助の範囲は直近募集における品目毎の平均単価を上限とし、これを超える購入単価の場合は部分補助とさせていただきます。",
IF(OR(表紙!X2="変更申請"),
"【注意１】！！発注書、見積書、カタログ等の提出は不要です。！！"&amp;CHAR(10)&amp;
"【注意２】記載にあたってはお手元の発注書、見積書、カタログ等に記載の金額と一致するようにしてください。"&amp;CHAR(10)&amp;
"【注意３】変更前の記載を入力した上で、印刷したものに数量等変更の箇所及び追記した部分をマーカーで着色してください。"&amp;CHAR(10)&amp;
"【注意４】購入数量に基づく１人１日あたり使用量が過剰と見受けられる場合は、県から確認の連絡をさせていただく場合があります。"&amp;CHAR(10)&amp;
"【注意５】補助対象期間"&amp;R1&amp;"の納品（見込）分のみ入力するようにしてください。"&amp;CHAR(10)&amp;
"【注意６】公費補助の範囲は直近募集における品目毎の平均単価を上限とし、これを超える購入単価の場合は部分補助とさせていただきます。",
IF(OR(表紙!X2="実績報告（１次）",表紙!X2="実績報告（２次）"),
"【注意１】！！購入の具体的内容及び経費発生の事実がわかる書類（納品書、領収書等）の提出が必要です。！！"&amp;CHAR(10)&amp;
"【注意２】記載にあたっては納品書、領収書等に記載の金額と一致するようにしてください。"&amp;CHAR(10)&amp;
"【注意３】各行の右に表示の「添付資料番号」は資料中、該当の記述箇所に番号を付記してください。"&amp;CHAR(10)&amp;
"【注意４】購入数量に基づく１人１日あたり使用量が過剰と見受けられる場合は、県から確認の連絡をさせていただく場合があります。"&amp;CHAR(10)&amp;
"【注意５】補助対象期間"&amp;R1&amp;"の納品分のみ入力するようにしてください。"&amp;CHAR(10)&amp;
"【注意６】公費補助の範囲は直近募集における品目毎の平均単価を上限とし、これを超える購入単価の場合は部分補助とさせていただきます。",
IF(表紙!X2="交付申請兼実績報告",
"【注意１】！！購入の具体的内容及び経費発生の事実がわかる書類（納品書、領収書等）の提出が必要です。！！"&amp;CHAR(10)&amp;
"【注意２】記載にあたっては納品書、領収書等に記載の金額と一致するようにしてください。"&amp;CHAR(10)&amp;
"【注意３】各行の右に表示の「添付資料番号」は資料中、該当の記述箇所に番号を付記してください。"&amp;CHAR(10)&amp;
"【注意４】購入数量に基づく１人１日あたり使用量が過剰と見受けられる場合は、県から確認の連絡をさせていただく場合があります。"&amp;CHAR(10)&amp;
"【注意５】補助対象期間"&amp;R1&amp;"の納品分のみ入力するようにしてください。"&amp;CHAR(10)&amp;
"【注意６】公費補助の範囲は直近募集における品目毎の平均単価を上限とし、これを超える購入単価の場合は部分補助とさせていただきます。"))))</f>
        <v>【注意１】！！発注書、見積書、カタログ等の提出は不要です。！！
【注意２】記載にあたってはお手元の発注書、見積書、カタログ等に記載の金額と一致するようにしてください。
【注意３】購入数量に基づく１人１日あたり使用量が過剰と見受けられる場合は、県から確認の連絡をさせていただく場合があります。
【注意４】補助対象期間（10月１日～３月31日分）の納品（見込）分のみ入力するようにしてください。
【注意５】公費補助の範囲は直近募集における品目毎の平均単価を上限とし、これを超える購入単価の場合は部分補助とさせていただきます。</v>
      </c>
      <c r="B11" s="1874"/>
      <c r="C11" s="1874"/>
      <c r="D11" s="1874"/>
      <c r="E11" s="1874"/>
      <c r="F11" s="1874"/>
      <c r="G11" s="1874"/>
      <c r="H11" s="1874"/>
      <c r="I11" s="1874"/>
      <c r="J11" s="1874"/>
      <c r="K11" s="1874"/>
      <c r="L11" s="1874"/>
      <c r="M11" s="1874"/>
      <c r="N11" s="1874"/>
      <c r="O11" s="1874"/>
      <c r="P11" s="1874"/>
      <c r="Q11" s="1874"/>
      <c r="R11" s="1874"/>
      <c r="S11" s="709"/>
      <c r="AN11" s="461"/>
      <c r="AO11" s="461"/>
      <c r="AP11" s="461"/>
      <c r="AQ11" s="461"/>
    </row>
    <row r="12" spans="1:50" ht="39.950000000000003" customHeight="1" thickBot="1">
      <c r="B12" s="784" t="s">
        <v>1138</v>
      </c>
      <c r="C12" s="785" t="s">
        <v>1240</v>
      </c>
      <c r="D12" s="1889" t="s">
        <v>1241</v>
      </c>
      <c r="E12" s="1890"/>
      <c r="F12" s="1891"/>
      <c r="G12" s="784" t="s">
        <v>1142</v>
      </c>
      <c r="H12" s="784" t="s">
        <v>1242</v>
      </c>
      <c r="I12" s="784" t="s">
        <v>50</v>
      </c>
      <c r="J12" s="784" t="s">
        <v>51</v>
      </c>
      <c r="K12" s="784" t="s">
        <v>52</v>
      </c>
      <c r="L12" s="784" t="s">
        <v>1243</v>
      </c>
      <c r="M12" s="784" t="s">
        <v>1244</v>
      </c>
      <c r="N12" s="1883" t="s">
        <v>1405</v>
      </c>
      <c r="O12" s="1884"/>
      <c r="P12" s="1885"/>
      <c r="Q12" s="784" t="s">
        <v>1245</v>
      </c>
      <c r="R12" s="784" t="s">
        <v>464</v>
      </c>
      <c r="S12" s="784" t="s">
        <v>465</v>
      </c>
      <c r="U12" s="700" t="s">
        <v>1406</v>
      </c>
      <c r="V12" s="701" t="s">
        <v>1387</v>
      </c>
      <c r="W12" s="701" t="s">
        <v>1184</v>
      </c>
      <c r="X12" s="701" t="s">
        <v>1389</v>
      </c>
      <c r="Y12" s="475" t="s">
        <v>1427</v>
      </c>
      <c r="AK12" s="491" t="s">
        <v>466</v>
      </c>
      <c r="AL12" s="492" t="s">
        <v>100</v>
      </c>
      <c r="AM12" s="491" t="s">
        <v>467</v>
      </c>
      <c r="AN12" s="493"/>
      <c r="AO12" s="467" t="s">
        <v>49</v>
      </c>
      <c r="AP12" s="461"/>
      <c r="AQ12" s="461"/>
    </row>
    <row r="13" spans="1:50" ht="20.100000000000001" customHeight="1">
      <c r="A13" s="494">
        <v>1</v>
      </c>
      <c r="B13" s="2139" t="s">
        <v>1214</v>
      </c>
      <c r="C13" s="2140" t="s">
        <v>1246</v>
      </c>
      <c r="D13" s="2141" t="s">
        <v>1495</v>
      </c>
      <c r="E13" s="2142"/>
      <c r="F13" s="2143"/>
      <c r="G13" s="2144">
        <v>1</v>
      </c>
      <c r="H13" s="2144">
        <v>1000</v>
      </c>
      <c r="I13" s="2145">
        <v>0</v>
      </c>
      <c r="J13" s="794">
        <f>ROUNDDOWN(I13*1.1,0)</f>
        <v>0</v>
      </c>
      <c r="K13" s="795">
        <f>ROUNDDOWN(H13*J13,0)</f>
        <v>0</v>
      </c>
      <c r="L13" s="795">
        <f>IFERROR(G13*H13*VLOOKUP(C13,$AY$123:$AZ$139,2,FALSE),"")</f>
        <v>14000</v>
      </c>
      <c r="M13" s="795">
        <f>IF(L13="","",MIN(K13,L13))</f>
        <v>0</v>
      </c>
      <c r="N13" s="2146">
        <v>5</v>
      </c>
      <c r="O13" s="2146">
        <v>10</v>
      </c>
      <c r="P13" s="2146">
        <v>1</v>
      </c>
      <c r="Q13" s="796">
        <f xml:space="preserve">
IF(AND(AL13="◎",M13&gt;=0),G13*H13,
IF(AND(AL13="◎",M13&lt;0),0,0))</f>
        <v>1000</v>
      </c>
      <c r="R13" s="797" t="str">
        <f xml:space="preserve">
IF(表紙!$X$2="事前協議","－",
IF(表紙!$X$2="交付申請（２次）","－",
IF(表紙!$X$2="変更申請","－",
IF(AND(表紙!$X$2="実績報告（１次）",AL13="◎"),COUNTIF($AL$13:AL13,"◎"),
IF(AND(表紙!$X$2="実績報告（１次）",OR(AL13="×",AL13="○")),"",
IF(表紙!$X$2="実績報告（２次）","－",
IF(表紙!$X$2="交付申請兼実績報告","－")))))))</f>
        <v>－</v>
      </c>
      <c r="S13" s="798" t="str">
        <f>IFERROR(
"@"&amp;TEXT(ROUNDUP(J13/G13,0),"#,###円")&amp;
IF(ROUNDUP(J13/G13,0)&lt;VLOOKUP(C13,$AY$123:$AZ$139,2,FALSE),"&lt;",
IF(ROUNDUP(J13/G13,0)=VLOOKUP(C13,$AY$123:$AZ$139,2,FALSE),"=",
IF(ROUNDUP(J13/G13,0)&gt;VLOOKUP(C13,$AY$123:$AZ$139,2,FALSE),"&gt;")))&amp;
"上限@"&amp;TEXT(VLOOKUP(C13,$AY$123:$AZ$139,2,FALSE),"#,###円"),"")</f>
        <v>@円&lt;上限@14円</v>
      </c>
      <c r="U13" s="610">
        <f>IF(AL13="◎",DATE(IF(N13=5,2023,IF(N13=6,2024)),O13,P13),"")</f>
        <v>45200</v>
      </c>
      <c r="V13" s="701">
        <f>IF($U13=MAX($U$13:$U$212),N13,"")</f>
        <v>5</v>
      </c>
      <c r="W13" s="701">
        <f>IF($U13=MAX($U$13:$U$212),O13,"")</f>
        <v>10</v>
      </c>
      <c r="X13" s="701">
        <f>IF($U13=MAX($U$13:$U$212),P13,"")</f>
        <v>1</v>
      </c>
      <c r="Y13" s="500" t="str">
        <f>U13&amp;C13</f>
        <v>45200その他マスク</v>
      </c>
      <c r="AJ13" s="468" t="s">
        <v>468</v>
      </c>
      <c r="AK13" s="499">
        <v>1</v>
      </c>
      <c r="AL13" s="467" t="str">
        <f xml:space="preserve">
IF(COUNTA(B13:I13,N13:P13)=0,"○",
IF(AND(COUNTA(B13:I13,N13:P13)&gt;=1,COUNTA(B13:I13,N13:P13)&lt;9),"×",
IF(COUNTA(B13:I13,N13:P13)=9,"◎")))</f>
        <v>◎</v>
      </c>
      <c r="AM13" s="475" t="str">
        <f xml:space="preserve">
IF(COUNTA(B13:I13)=0,"申請しない場合は入力不要です。",
IF(AND(COUNTA(B13:I13)&gt;=1,COUNTA(B13:I13)&lt;6),"【要修正】種類、品名、内容量、数量、税抜単価の内、未入力の箇所があります。",
IF(COUNTA(B13:I13)=6,"適切に入力がされました。")))</f>
        <v>適切に入力がされました。</v>
      </c>
      <c r="AO13" s="475">
        <f t="shared" ref="AO13:AO76" si="0">G13*H13</f>
        <v>1000</v>
      </c>
    </row>
    <row r="14" spans="1:50" ht="20.100000000000001" customHeight="1">
      <c r="A14" s="494">
        <v>2</v>
      </c>
      <c r="B14" s="2147" t="s">
        <v>1214</v>
      </c>
      <c r="C14" s="2148" t="s">
        <v>1256</v>
      </c>
      <c r="D14" s="2149" t="s">
        <v>1495</v>
      </c>
      <c r="E14" s="2150"/>
      <c r="F14" s="2151"/>
      <c r="G14" s="2152">
        <v>1</v>
      </c>
      <c r="H14" s="2152">
        <v>2000</v>
      </c>
      <c r="I14" s="2153">
        <v>0</v>
      </c>
      <c r="J14" s="495">
        <f t="shared" ref="J14:J77" si="1">ROUNDDOWN(I14*1.1,0)</f>
        <v>0</v>
      </c>
      <c r="K14" s="496">
        <f t="shared" ref="K14:K77" si="2">ROUNDDOWN(H14*J14,0)</f>
        <v>0</v>
      </c>
      <c r="L14" s="496">
        <f t="shared" ref="L14:L77" si="3">IFERROR(G14*H14*VLOOKUP(C14,$AY$123:$AZ$139,2,FALSE),"")</f>
        <v>164000</v>
      </c>
      <c r="M14" s="496">
        <f t="shared" ref="M14:M77" si="4">IF(L14="","",MIN(K14,L14))</f>
        <v>0</v>
      </c>
      <c r="N14" s="625">
        <v>5</v>
      </c>
      <c r="O14" s="625">
        <v>10</v>
      </c>
      <c r="P14" s="625">
        <v>1</v>
      </c>
      <c r="Q14" s="497">
        <f xml:space="preserve">
IF(AND(AL14="◎",M14&gt;=0),G14*H14,
IF(AND(AL14="◎",M14&lt;0),0,0))</f>
        <v>2000</v>
      </c>
      <c r="R14" s="498" t="str">
        <f xml:space="preserve">
IF(表紙!$X$2="事前協議","－",
IF(表紙!$X$2="交付申請（２次）","－",
IF(表紙!$X$2="変更申請","－",
IF(AND(表紙!$X$2="実績報告（１次）",AL14="◎"),COUNTIF($AL$13:AL14,"◎"),
IF(AND(表紙!$X$2="実績報告（１次）",OR(AL14="×",AL14="○")),"",
IF(表紙!$X$2="実績報告（２次）","－",
IF(表紙!$X$2="交付申請兼実績報告","－")))))))</f>
        <v>－</v>
      </c>
      <c r="S14" s="799" t="str">
        <f>IFERROR(
"@"&amp;TEXT(ROUNDUP(J14/G14,0),"#,###円")&amp;
IF(ROUNDUP(J14/G14,0)&lt;VLOOKUP(C14,$AY$123:$AZ$139,2,FALSE),"&lt;",
IF(ROUNDUP(J14/G14,0)=VLOOKUP(C14,$AY$123:$AZ$139,2,FALSE),"=",
IF(ROUNDUP(J14/G14,0)&gt;VLOOKUP(C14,$AY$123:$AZ$139,2,FALSE),"&gt;")))&amp;
"上限@"&amp;TEXT(VLOOKUP(C14,$AY$123:$AZ$139,2,FALSE),"#,###円"),"")</f>
        <v>@円&lt;上限@82円</v>
      </c>
      <c r="U14" s="610">
        <f>IF(AL14="◎",DATE(IF(N14=5,2023,IF(N14=6,2024)),O14,P14),"")</f>
        <v>45200</v>
      </c>
      <c r="V14" s="701">
        <f t="shared" ref="V14:V77" si="5">IF($U14=MAX($U$13:$U$212),N14,"")</f>
        <v>5</v>
      </c>
      <c r="W14" s="701">
        <f t="shared" ref="W14:W77" si="6">IF($U14=MAX($U$13:$U$212),O14,"")</f>
        <v>10</v>
      </c>
      <c r="X14" s="701">
        <f t="shared" ref="X14:X77" si="7">IF($U14=MAX($U$13:$U$212),P14,"")</f>
        <v>1</v>
      </c>
      <c r="Y14" s="500" t="str">
        <f t="shared" ref="Y14:Y77" si="8">U14&amp;C14</f>
        <v>45200シールド付きマスク</v>
      </c>
      <c r="AJ14" s="468" t="s">
        <v>468</v>
      </c>
      <c r="AK14" s="499">
        <v>2</v>
      </c>
      <c r="AL14" s="467" t="str">
        <f xml:space="preserve">
IF(COUNTA(B14:I14,N14:P14)=0,"○",
IF(AND(COUNTA(B14:I14,N14:P14)&gt;=1,COUNTA(B14:I14,N14:P14)&lt;9),"×",
IF(COUNTA(B14:I14,N14:P14)=9,"◎")))</f>
        <v>◎</v>
      </c>
      <c r="AM14" s="475" t="str">
        <f t="shared" ref="AM14:AM77" si="9" xml:space="preserve">
IF(COUNTA(B14:I14)=0,"申請しない場合は入力不要です。",
IF(AND(COUNTA(B14:I14)&gt;=1,COUNTA(B14:I14)&lt;6),"【要修正】種類、品名、内容量、数量、税抜単価の内、未入力の箇所があります。",
IF(COUNTA(B14:I14)=6,"適切に入力がされました。")))</f>
        <v>適切に入力がされました。</v>
      </c>
      <c r="AO14" s="475">
        <f t="shared" si="0"/>
        <v>2000</v>
      </c>
    </row>
    <row r="15" spans="1:50" ht="20.100000000000001" customHeight="1">
      <c r="A15" s="494">
        <v>3</v>
      </c>
      <c r="B15" s="2147" t="s">
        <v>1214</v>
      </c>
      <c r="C15" s="2148" t="s">
        <v>1257</v>
      </c>
      <c r="D15" s="2149" t="s">
        <v>1495</v>
      </c>
      <c r="E15" s="2150"/>
      <c r="F15" s="2151"/>
      <c r="G15" s="2152">
        <v>1</v>
      </c>
      <c r="H15" s="2152">
        <v>3000</v>
      </c>
      <c r="I15" s="2153">
        <v>0</v>
      </c>
      <c r="J15" s="495">
        <f t="shared" si="1"/>
        <v>0</v>
      </c>
      <c r="K15" s="496">
        <f t="shared" si="2"/>
        <v>0</v>
      </c>
      <c r="L15" s="496">
        <f t="shared" si="3"/>
        <v>465000</v>
      </c>
      <c r="M15" s="496">
        <f t="shared" si="4"/>
        <v>0</v>
      </c>
      <c r="N15" s="625">
        <v>5</v>
      </c>
      <c r="O15" s="625">
        <v>10</v>
      </c>
      <c r="P15" s="625">
        <v>1</v>
      </c>
      <c r="Q15" s="497">
        <f t="shared" ref="Q15:Q20" si="10" xml:space="preserve">
IF(AND(AL15="◎",M15&gt;=0),G15*H15,
IF(AND(AL15="◎",M15&lt;0),0,0))</f>
        <v>3000</v>
      </c>
      <c r="R15" s="498" t="str">
        <f xml:space="preserve">
IF(表紙!$X$2="事前協議","－",
IF(表紙!$X$2="交付申請（２次）","－",
IF(表紙!$X$2="変更申請","－",
IF(AND(表紙!$X$2="実績報告（１次）",AL15="◎"),COUNTIF($AL$13:AL15,"◎"),
IF(AND(表紙!$X$2="実績報告（１次）",OR(AL15="×",AL15="○")),"",
IF(表紙!$X$2="実績報告（２次）","－",
IF(表紙!$X$2="交付申請兼実績報告","－")))))))</f>
        <v>－</v>
      </c>
      <c r="S15" s="799" t="str">
        <f t="shared" ref="S15:S77" si="11">IFERROR(
"@"&amp;TEXT(ROUNDUP(J15/G15,0),"#,###円")&amp;
IF(ROUNDUP(J15/G15,0)&lt;VLOOKUP(C15,$AY$123:$AZ$139,2,FALSE),"&lt;",
IF(ROUNDUP(J15/G15,0)=VLOOKUP(C15,$AY$123:$AZ$139,2,FALSE),"=",
IF(ROUNDUP(J15/G15,0)&gt;VLOOKUP(C15,$AY$123:$AZ$139,2,FALSE),"&gt;")))&amp;
"上限@"&amp;TEXT(VLOOKUP(C15,$AY$123:$AZ$139,2,FALSE),"#,###円"),"")</f>
        <v>@円&lt;上限@155円</v>
      </c>
      <c r="U15" s="610">
        <f t="shared" ref="U15:U78" si="12">IF(AL15="◎",DATE(IF(N15=5,2023,IF(N15=6,2024)),O15,P15),"")</f>
        <v>45200</v>
      </c>
      <c r="V15" s="701">
        <f t="shared" si="5"/>
        <v>5</v>
      </c>
      <c r="W15" s="701">
        <f t="shared" si="6"/>
        <v>10</v>
      </c>
      <c r="X15" s="701">
        <f t="shared" si="7"/>
        <v>1</v>
      </c>
      <c r="Y15" s="500" t="str">
        <f t="shared" si="8"/>
        <v>45200N95マスク</v>
      </c>
      <c r="AJ15" s="468" t="s">
        <v>468</v>
      </c>
      <c r="AK15" s="499">
        <v>3</v>
      </c>
      <c r="AL15" s="467" t="str">
        <f t="shared" ref="AL15:AL77" si="13" xml:space="preserve">
IF(COUNTA(B15:I15,N15:P15)=0,"○",
IF(AND(COUNTA(B15:I15,N15:P15)&gt;=1,COUNTA(B15:I15,N15:P15)&lt;9),"×",
IF(COUNTA(B15:I15,N15:P15)=9,"◎")))</f>
        <v>◎</v>
      </c>
      <c r="AM15" s="475" t="str">
        <f t="shared" si="9"/>
        <v>適切に入力がされました。</v>
      </c>
      <c r="AO15" s="475">
        <f t="shared" si="0"/>
        <v>3000</v>
      </c>
    </row>
    <row r="16" spans="1:50" ht="20.100000000000001" customHeight="1">
      <c r="A16" s="494">
        <v>4</v>
      </c>
      <c r="B16" s="2147" t="s">
        <v>1214</v>
      </c>
      <c r="C16" s="2148" t="s">
        <v>1258</v>
      </c>
      <c r="D16" s="2149" t="s">
        <v>1495</v>
      </c>
      <c r="E16" s="2150"/>
      <c r="F16" s="2151"/>
      <c r="G16" s="2152">
        <v>1</v>
      </c>
      <c r="H16" s="2152">
        <v>4000</v>
      </c>
      <c r="I16" s="2153">
        <v>0</v>
      </c>
      <c r="J16" s="495">
        <f t="shared" si="1"/>
        <v>0</v>
      </c>
      <c r="K16" s="496">
        <f t="shared" si="2"/>
        <v>0</v>
      </c>
      <c r="L16" s="496">
        <f t="shared" si="3"/>
        <v>768000</v>
      </c>
      <c r="M16" s="496">
        <f t="shared" si="4"/>
        <v>0</v>
      </c>
      <c r="N16" s="625">
        <v>5</v>
      </c>
      <c r="O16" s="625">
        <v>10</v>
      </c>
      <c r="P16" s="625">
        <v>1</v>
      </c>
      <c r="Q16" s="497">
        <f t="shared" si="10"/>
        <v>4000</v>
      </c>
      <c r="R16" s="498" t="str">
        <f xml:space="preserve">
IF(表紙!$X$2="事前協議","－",
IF(表紙!$X$2="交付申請（２次）","－",
IF(表紙!$X$2="変更申請","－",
IF(AND(表紙!$X$2="実績報告（１次）",AL16="◎"),COUNTIF($AL$13:AL16,"◎"),
IF(AND(表紙!$X$2="実績報告（１次）",OR(AL16="×",AL16="○")),"",
IF(表紙!$X$2="実績報告（２次）","－",
IF(表紙!$X$2="交付申請兼実績報告","－")))))))</f>
        <v>－</v>
      </c>
      <c r="S16" s="799" t="str">
        <f t="shared" si="11"/>
        <v>@円&lt;上限@192円</v>
      </c>
      <c r="U16" s="610">
        <f t="shared" si="12"/>
        <v>45200</v>
      </c>
      <c r="V16" s="701">
        <f t="shared" si="5"/>
        <v>5</v>
      </c>
      <c r="W16" s="701">
        <f t="shared" si="6"/>
        <v>10</v>
      </c>
      <c r="X16" s="701">
        <f t="shared" si="7"/>
        <v>1</v>
      </c>
      <c r="Y16" s="500" t="str">
        <f t="shared" si="8"/>
        <v>45200ハイラックマスク</v>
      </c>
      <c r="AJ16" s="468" t="s">
        <v>468</v>
      </c>
      <c r="AK16" s="499">
        <v>4</v>
      </c>
      <c r="AL16" s="467" t="str">
        <f t="shared" si="13"/>
        <v>◎</v>
      </c>
      <c r="AM16" s="475" t="str">
        <f t="shared" si="9"/>
        <v>適切に入力がされました。</v>
      </c>
      <c r="AO16" s="475">
        <f t="shared" si="0"/>
        <v>4000</v>
      </c>
    </row>
    <row r="17" spans="1:41" ht="20.100000000000001" customHeight="1">
      <c r="A17" s="494">
        <v>5</v>
      </c>
      <c r="B17" s="2147" t="s">
        <v>1247</v>
      </c>
      <c r="C17" s="2148" t="s">
        <v>1419</v>
      </c>
      <c r="D17" s="2149" t="s">
        <v>1495</v>
      </c>
      <c r="E17" s="2150"/>
      <c r="F17" s="2151"/>
      <c r="G17" s="2152">
        <v>1</v>
      </c>
      <c r="H17" s="2152">
        <v>5000</v>
      </c>
      <c r="I17" s="2153">
        <v>0</v>
      </c>
      <c r="J17" s="495">
        <f t="shared" si="1"/>
        <v>0</v>
      </c>
      <c r="K17" s="496">
        <f t="shared" si="2"/>
        <v>0</v>
      </c>
      <c r="L17" s="496">
        <f t="shared" si="3"/>
        <v>10535000</v>
      </c>
      <c r="M17" s="496">
        <f t="shared" si="4"/>
        <v>0</v>
      </c>
      <c r="N17" s="625">
        <v>5</v>
      </c>
      <c r="O17" s="625">
        <v>10</v>
      </c>
      <c r="P17" s="625">
        <v>1</v>
      </c>
      <c r="Q17" s="497">
        <f t="shared" si="10"/>
        <v>5000</v>
      </c>
      <c r="R17" s="498" t="str">
        <f xml:space="preserve">
IF(表紙!$X$2="事前協議","－",
IF(表紙!$X$2="交付申請（２次）","－",
IF(表紙!$X$2="変更申請","－",
IF(AND(表紙!$X$2="実績報告（１次）",AL17="◎"),COUNTIF($AL$13:AL17,"◎"),
IF(AND(表紙!$X$2="実績報告（１次）",OR(AL17="×",AL17="○")),"",
IF(表紙!$X$2="実績報告（２次）","－",
IF(表紙!$X$2="交付申請兼実績報告","－")))))))</f>
        <v>－</v>
      </c>
      <c r="S17" s="799" t="str">
        <f t="shared" si="11"/>
        <v>@円&lt;上限@2,107円</v>
      </c>
      <c r="U17" s="610">
        <f t="shared" si="12"/>
        <v>45200</v>
      </c>
      <c r="V17" s="701">
        <f t="shared" si="5"/>
        <v>5</v>
      </c>
      <c r="W17" s="701">
        <f t="shared" si="6"/>
        <v>10</v>
      </c>
      <c r="X17" s="701">
        <f t="shared" si="7"/>
        <v>1</v>
      </c>
      <c r="Y17" s="500" t="str">
        <f t="shared" si="8"/>
        <v>45200リユーサブルゴーグル</v>
      </c>
      <c r="AJ17" s="468" t="s">
        <v>468</v>
      </c>
      <c r="AK17" s="499">
        <v>5</v>
      </c>
      <c r="AL17" s="467" t="str">
        <f t="shared" si="13"/>
        <v>◎</v>
      </c>
      <c r="AM17" s="475" t="str">
        <f t="shared" si="9"/>
        <v>適切に入力がされました。</v>
      </c>
      <c r="AO17" s="475">
        <f t="shared" si="0"/>
        <v>5000</v>
      </c>
    </row>
    <row r="18" spans="1:41" ht="20.100000000000001" customHeight="1">
      <c r="A18" s="494">
        <v>6</v>
      </c>
      <c r="B18" s="2147" t="s">
        <v>1247</v>
      </c>
      <c r="C18" s="2148" t="s">
        <v>1259</v>
      </c>
      <c r="D18" s="2149" t="s">
        <v>1495</v>
      </c>
      <c r="E18" s="2150"/>
      <c r="F18" s="2151"/>
      <c r="G18" s="2152">
        <v>1</v>
      </c>
      <c r="H18" s="2152">
        <v>6000</v>
      </c>
      <c r="I18" s="2153">
        <v>0</v>
      </c>
      <c r="J18" s="495">
        <f t="shared" si="1"/>
        <v>0</v>
      </c>
      <c r="K18" s="496">
        <f t="shared" si="2"/>
        <v>0</v>
      </c>
      <c r="L18" s="496">
        <f t="shared" si="3"/>
        <v>5730000</v>
      </c>
      <c r="M18" s="496">
        <f t="shared" si="4"/>
        <v>0</v>
      </c>
      <c r="N18" s="625">
        <v>5</v>
      </c>
      <c r="O18" s="625">
        <v>10</v>
      </c>
      <c r="P18" s="625">
        <v>1</v>
      </c>
      <c r="Q18" s="497">
        <f t="shared" si="10"/>
        <v>6000</v>
      </c>
      <c r="R18" s="498" t="str">
        <f xml:space="preserve">
IF(表紙!$X$2="事前協議","－",
IF(表紙!$X$2="交付申請（２次）","－",
IF(表紙!$X$2="変更申請","－",
IF(AND(表紙!$X$2="実績報告（１次）",AL18="◎"),COUNTIF($AL$13:AL18,"◎"),
IF(AND(表紙!$X$2="実績報告（１次）",OR(AL18="×",AL18="○")),"",
IF(表紙!$X$2="実績報告（２次）","－",
IF(表紙!$X$2="交付申請兼実績報告","－")))))))</f>
        <v>－</v>
      </c>
      <c r="S18" s="799" t="str">
        <f t="shared" si="11"/>
        <v>@円&lt;上限@955円</v>
      </c>
      <c r="U18" s="610">
        <f t="shared" si="12"/>
        <v>45200</v>
      </c>
      <c r="V18" s="701">
        <f t="shared" si="5"/>
        <v>5</v>
      </c>
      <c r="W18" s="701">
        <f t="shared" si="6"/>
        <v>10</v>
      </c>
      <c r="X18" s="701">
        <f t="shared" si="7"/>
        <v>1</v>
      </c>
      <c r="Y18" s="500" t="str">
        <f t="shared" si="8"/>
        <v>45200レンズ交換型</v>
      </c>
      <c r="AJ18" s="468" t="s">
        <v>468</v>
      </c>
      <c r="AK18" s="499">
        <v>6</v>
      </c>
      <c r="AL18" s="467" t="str">
        <f t="shared" si="13"/>
        <v>◎</v>
      </c>
      <c r="AM18" s="475" t="str">
        <f t="shared" si="9"/>
        <v>適切に入力がされました。</v>
      </c>
      <c r="AO18" s="475">
        <f t="shared" si="0"/>
        <v>6000</v>
      </c>
    </row>
    <row r="19" spans="1:41" ht="20.100000000000001" customHeight="1">
      <c r="A19" s="494">
        <v>7</v>
      </c>
      <c r="B19" s="2147" t="s">
        <v>1247</v>
      </c>
      <c r="C19" s="2148" t="s">
        <v>1260</v>
      </c>
      <c r="D19" s="2149" t="s">
        <v>1495</v>
      </c>
      <c r="E19" s="2150"/>
      <c r="F19" s="2151"/>
      <c r="G19" s="2152">
        <v>1</v>
      </c>
      <c r="H19" s="2152">
        <v>7000</v>
      </c>
      <c r="I19" s="2153">
        <v>0</v>
      </c>
      <c r="J19" s="495">
        <f t="shared" si="1"/>
        <v>0</v>
      </c>
      <c r="K19" s="496">
        <f t="shared" si="2"/>
        <v>0</v>
      </c>
      <c r="L19" s="496">
        <f t="shared" si="3"/>
        <v>602000</v>
      </c>
      <c r="M19" s="496">
        <f t="shared" si="4"/>
        <v>0</v>
      </c>
      <c r="N19" s="625">
        <v>5</v>
      </c>
      <c r="O19" s="625">
        <v>10</v>
      </c>
      <c r="P19" s="625">
        <v>1</v>
      </c>
      <c r="Q19" s="497">
        <f t="shared" si="10"/>
        <v>7000</v>
      </c>
      <c r="R19" s="498" t="str">
        <f xml:space="preserve">
IF(表紙!$X$2="事前協議","－",
IF(表紙!$X$2="交付申請（２次）","－",
IF(表紙!$X$2="変更申請","－",
IF(AND(表紙!$X$2="実績報告（１次）",AL19="◎"),COUNTIF($AL$13:AL19,"◎"),
IF(AND(表紙!$X$2="実績報告（１次）",OR(AL19="×",AL19="○")),"",
IF(表紙!$X$2="実績報告（２次）","－",
IF(表紙!$X$2="交付申請兼実績報告","－")))))))</f>
        <v>－</v>
      </c>
      <c r="S19" s="799" t="str">
        <f t="shared" si="11"/>
        <v>@円&lt;上限@86円</v>
      </c>
      <c r="U19" s="610">
        <f t="shared" si="12"/>
        <v>45200</v>
      </c>
      <c r="V19" s="701">
        <f t="shared" si="5"/>
        <v>5</v>
      </c>
      <c r="W19" s="701">
        <f t="shared" si="6"/>
        <v>10</v>
      </c>
      <c r="X19" s="701">
        <f t="shared" si="7"/>
        <v>1</v>
      </c>
      <c r="Y19" s="500" t="str">
        <f t="shared" si="8"/>
        <v>45200スペアレンズ</v>
      </c>
      <c r="AJ19" s="468" t="s">
        <v>468</v>
      </c>
      <c r="AK19" s="499">
        <v>7</v>
      </c>
      <c r="AL19" s="467" t="str">
        <f t="shared" si="13"/>
        <v>◎</v>
      </c>
      <c r="AM19" s="475" t="str">
        <f t="shared" si="9"/>
        <v>適切に入力がされました。</v>
      </c>
      <c r="AO19" s="475">
        <f t="shared" si="0"/>
        <v>7000</v>
      </c>
    </row>
    <row r="20" spans="1:41" ht="20.100000000000001" customHeight="1">
      <c r="A20" s="494">
        <v>8</v>
      </c>
      <c r="B20" s="2147" t="s">
        <v>1330</v>
      </c>
      <c r="C20" s="2148" t="s">
        <v>1261</v>
      </c>
      <c r="D20" s="2149" t="s">
        <v>1495</v>
      </c>
      <c r="E20" s="2150"/>
      <c r="F20" s="2151"/>
      <c r="G20" s="2152">
        <v>1</v>
      </c>
      <c r="H20" s="2152">
        <v>8000</v>
      </c>
      <c r="I20" s="2153">
        <v>0</v>
      </c>
      <c r="J20" s="495">
        <f t="shared" si="1"/>
        <v>0</v>
      </c>
      <c r="K20" s="496">
        <f t="shared" si="2"/>
        <v>0</v>
      </c>
      <c r="L20" s="496">
        <f t="shared" si="3"/>
        <v>1128000</v>
      </c>
      <c r="M20" s="496">
        <f t="shared" si="4"/>
        <v>0</v>
      </c>
      <c r="N20" s="625">
        <v>5</v>
      </c>
      <c r="O20" s="625">
        <v>10</v>
      </c>
      <c r="P20" s="625">
        <v>1</v>
      </c>
      <c r="Q20" s="497">
        <f t="shared" si="10"/>
        <v>8000</v>
      </c>
      <c r="R20" s="498" t="str">
        <f xml:space="preserve">
IF(表紙!$X$2="事前協議","－",
IF(表紙!$X$2="交付申請（２次）","－",
IF(表紙!$X$2="変更申請","－",
IF(AND(表紙!$X$2="実績報告（１次）",AL20="◎"),COUNTIF($AL$13:AL20,"◎"),
IF(AND(表紙!$X$2="実績報告（１次）",OR(AL20="×",AL20="○")),"",
IF(表紙!$X$2="実績報告（２次）","－",
IF(表紙!$X$2="交付申請兼実績報告","－")))))))</f>
        <v>－</v>
      </c>
      <c r="S20" s="799" t="str">
        <f t="shared" si="11"/>
        <v>@円&lt;上限@141円</v>
      </c>
      <c r="U20" s="610">
        <f t="shared" si="12"/>
        <v>45200</v>
      </c>
      <c r="V20" s="701">
        <f t="shared" si="5"/>
        <v>5</v>
      </c>
      <c r="W20" s="701">
        <f t="shared" si="6"/>
        <v>10</v>
      </c>
      <c r="X20" s="701">
        <f t="shared" si="7"/>
        <v>1</v>
      </c>
      <c r="Y20" s="500" t="str">
        <f t="shared" si="8"/>
        <v>45200アイソレーションガウン</v>
      </c>
      <c r="AJ20" s="468" t="s">
        <v>468</v>
      </c>
      <c r="AK20" s="499">
        <v>8</v>
      </c>
      <c r="AL20" s="467" t="str">
        <f t="shared" si="13"/>
        <v>◎</v>
      </c>
      <c r="AM20" s="475" t="str">
        <f t="shared" si="9"/>
        <v>適切に入力がされました。</v>
      </c>
      <c r="AO20" s="475">
        <f t="shared" si="0"/>
        <v>8000</v>
      </c>
    </row>
    <row r="21" spans="1:41" ht="20.100000000000001" customHeight="1">
      <c r="A21" s="494">
        <v>9</v>
      </c>
      <c r="B21" s="2147" t="s">
        <v>1330</v>
      </c>
      <c r="C21" s="2148" t="s">
        <v>1262</v>
      </c>
      <c r="D21" s="2149" t="s">
        <v>1495</v>
      </c>
      <c r="E21" s="2150"/>
      <c r="F21" s="2151"/>
      <c r="G21" s="2152">
        <v>1</v>
      </c>
      <c r="H21" s="2152">
        <v>9000</v>
      </c>
      <c r="I21" s="2153">
        <v>0</v>
      </c>
      <c r="J21" s="495">
        <f t="shared" si="1"/>
        <v>0</v>
      </c>
      <c r="K21" s="496">
        <f t="shared" si="2"/>
        <v>0</v>
      </c>
      <c r="L21" s="496">
        <f t="shared" si="3"/>
        <v>495000</v>
      </c>
      <c r="M21" s="496">
        <f t="shared" si="4"/>
        <v>0</v>
      </c>
      <c r="N21" s="625">
        <v>5</v>
      </c>
      <c r="O21" s="625">
        <v>10</v>
      </c>
      <c r="P21" s="625">
        <v>1</v>
      </c>
      <c r="Q21" s="497">
        <f t="shared" ref="Q21:Q84" si="14" xml:space="preserve">
IF(AND(AL21="◎",M21&gt;=0),G21*H21,
IF(AND(AL21="◎",M21&lt;0),0,0))</f>
        <v>9000</v>
      </c>
      <c r="R21" s="498" t="str">
        <f xml:space="preserve">
IF(表紙!$X$2="事前協議","－",
IF(表紙!$X$2="交付申請（２次）","－",
IF(表紙!$X$2="変更申請","－",
IF(AND(表紙!$X$2="実績報告（１次）",AL21="◎"),COUNTIF($AL$13:AL21,"◎"),
IF(AND(表紙!$X$2="実績報告（１次）",OR(AL21="×",AL21="○")),"",
IF(表紙!$X$2="実績報告（２次）","－",
IF(表紙!$X$2="交付申請兼実績報告","－")))))))</f>
        <v>－</v>
      </c>
      <c r="S21" s="799" t="str">
        <f t="shared" si="11"/>
        <v>@円&lt;上限@55円</v>
      </c>
      <c r="U21" s="610">
        <f t="shared" si="12"/>
        <v>45200</v>
      </c>
      <c r="V21" s="701">
        <f t="shared" si="5"/>
        <v>5</v>
      </c>
      <c r="W21" s="701">
        <f t="shared" si="6"/>
        <v>10</v>
      </c>
      <c r="X21" s="701">
        <f t="shared" si="7"/>
        <v>1</v>
      </c>
      <c r="Y21" s="500" t="str">
        <f t="shared" si="8"/>
        <v>45200プラスチックガウン</v>
      </c>
      <c r="AJ21" s="468" t="s">
        <v>468</v>
      </c>
      <c r="AK21" s="499">
        <v>9</v>
      </c>
      <c r="AL21" s="467" t="str">
        <f t="shared" si="13"/>
        <v>◎</v>
      </c>
      <c r="AM21" s="475" t="str">
        <f t="shared" si="9"/>
        <v>適切に入力がされました。</v>
      </c>
      <c r="AO21" s="475">
        <f t="shared" si="0"/>
        <v>9000</v>
      </c>
    </row>
    <row r="22" spans="1:41" ht="20.100000000000001" customHeight="1">
      <c r="A22" s="494">
        <v>10</v>
      </c>
      <c r="B22" s="2147" t="s">
        <v>1330</v>
      </c>
      <c r="C22" s="2148" t="s">
        <v>1263</v>
      </c>
      <c r="D22" s="2149" t="s">
        <v>1495</v>
      </c>
      <c r="E22" s="2150"/>
      <c r="F22" s="2151"/>
      <c r="G22" s="2152">
        <v>1</v>
      </c>
      <c r="H22" s="2152">
        <v>8000</v>
      </c>
      <c r="I22" s="2153">
        <v>0</v>
      </c>
      <c r="J22" s="495">
        <f t="shared" si="1"/>
        <v>0</v>
      </c>
      <c r="K22" s="496">
        <f t="shared" si="2"/>
        <v>0</v>
      </c>
      <c r="L22" s="496">
        <f t="shared" si="3"/>
        <v>448000</v>
      </c>
      <c r="M22" s="496">
        <f t="shared" si="4"/>
        <v>0</v>
      </c>
      <c r="N22" s="625">
        <v>5</v>
      </c>
      <c r="O22" s="625">
        <v>10</v>
      </c>
      <c r="P22" s="625">
        <v>1</v>
      </c>
      <c r="Q22" s="497">
        <f t="shared" si="14"/>
        <v>8000</v>
      </c>
      <c r="R22" s="498" t="str">
        <f xml:space="preserve">
IF(表紙!$X$2="事前協議","－",
IF(表紙!$X$2="交付申請（２次）","－",
IF(表紙!$X$2="変更申請","－",
IF(AND(表紙!$X$2="実績報告（１次）",AL22="◎"),COUNTIF($AL$13:AL22,"◎"),
IF(AND(表紙!$X$2="実績報告（１次）",OR(AL22="×",AL22="○")),"",
IF(表紙!$X$2="実績報告（２次）","－",
IF(表紙!$X$2="交付申請兼実績報告","－")))))))</f>
        <v>－</v>
      </c>
      <c r="S22" s="799" t="str">
        <f t="shared" si="11"/>
        <v>@円&lt;上限@56円</v>
      </c>
      <c r="U22" s="610">
        <f t="shared" si="12"/>
        <v>45200</v>
      </c>
      <c r="V22" s="701">
        <f t="shared" si="5"/>
        <v>5</v>
      </c>
      <c r="W22" s="701">
        <f t="shared" si="6"/>
        <v>10</v>
      </c>
      <c r="X22" s="701">
        <f t="shared" si="7"/>
        <v>1</v>
      </c>
      <c r="Y22" s="500" t="str">
        <f t="shared" si="8"/>
        <v>45200エプロン</v>
      </c>
      <c r="AJ22" s="468" t="s">
        <v>468</v>
      </c>
      <c r="AK22" s="499">
        <v>10</v>
      </c>
      <c r="AL22" s="467" t="str">
        <f t="shared" si="13"/>
        <v>◎</v>
      </c>
      <c r="AM22" s="475" t="str">
        <f t="shared" si="9"/>
        <v>適切に入力がされました。</v>
      </c>
      <c r="AO22" s="475">
        <f t="shared" si="0"/>
        <v>8000</v>
      </c>
    </row>
    <row r="23" spans="1:41" ht="20.100000000000001" customHeight="1">
      <c r="A23" s="494">
        <v>11</v>
      </c>
      <c r="B23" s="2147" t="s">
        <v>1331</v>
      </c>
      <c r="C23" s="2148" t="s">
        <v>1264</v>
      </c>
      <c r="D23" s="2149" t="s">
        <v>1495</v>
      </c>
      <c r="E23" s="2150"/>
      <c r="F23" s="2151"/>
      <c r="G23" s="2152">
        <v>1</v>
      </c>
      <c r="H23" s="2152">
        <v>7000</v>
      </c>
      <c r="I23" s="2153">
        <v>0</v>
      </c>
      <c r="J23" s="495">
        <f t="shared" si="1"/>
        <v>0</v>
      </c>
      <c r="K23" s="496">
        <f t="shared" si="2"/>
        <v>0</v>
      </c>
      <c r="L23" s="496">
        <f t="shared" si="3"/>
        <v>63000</v>
      </c>
      <c r="M23" s="496">
        <f t="shared" si="4"/>
        <v>0</v>
      </c>
      <c r="N23" s="625">
        <v>5</v>
      </c>
      <c r="O23" s="625">
        <v>10</v>
      </c>
      <c r="P23" s="625">
        <v>1</v>
      </c>
      <c r="Q23" s="497">
        <f t="shared" si="14"/>
        <v>7000</v>
      </c>
      <c r="R23" s="498" t="str">
        <f xml:space="preserve">
IF(表紙!$X$2="事前協議","－",
IF(表紙!$X$2="交付申請（２次）","－",
IF(表紙!$X$2="変更申請","－",
IF(AND(表紙!$X$2="実績報告（１次）",AL23="◎"),COUNTIF($AL$13:AL23,"◎"),
IF(AND(表紙!$X$2="実績報告（１次）",OR(AL23="×",AL23="○")),"",
IF(表紙!$X$2="実績報告（２次）","－",
IF(表紙!$X$2="交付申請兼実績報告","－")))))))</f>
        <v>－</v>
      </c>
      <c r="S23" s="799" t="str">
        <f t="shared" si="11"/>
        <v>@円&lt;上限@9円</v>
      </c>
      <c r="U23" s="610">
        <f t="shared" si="12"/>
        <v>45200</v>
      </c>
      <c r="V23" s="701">
        <f t="shared" si="5"/>
        <v>5</v>
      </c>
      <c r="W23" s="701">
        <f t="shared" si="6"/>
        <v>10</v>
      </c>
      <c r="X23" s="701">
        <f t="shared" si="7"/>
        <v>1</v>
      </c>
      <c r="Y23" s="500" t="str">
        <f t="shared" si="8"/>
        <v>45200ニトリルグローブ</v>
      </c>
      <c r="AJ23" s="468" t="s">
        <v>468</v>
      </c>
      <c r="AK23" s="499">
        <v>11</v>
      </c>
      <c r="AL23" s="467" t="str">
        <f t="shared" si="13"/>
        <v>◎</v>
      </c>
      <c r="AM23" s="475" t="str">
        <f t="shared" si="9"/>
        <v>適切に入力がされました。</v>
      </c>
      <c r="AO23" s="475">
        <f t="shared" si="0"/>
        <v>7000</v>
      </c>
    </row>
    <row r="24" spans="1:41" ht="20.100000000000001" customHeight="1">
      <c r="A24" s="494">
        <v>12</v>
      </c>
      <c r="B24" s="2147" t="s">
        <v>1331</v>
      </c>
      <c r="C24" s="2148" t="s">
        <v>1265</v>
      </c>
      <c r="D24" s="2149" t="s">
        <v>1495</v>
      </c>
      <c r="E24" s="2150"/>
      <c r="F24" s="2151"/>
      <c r="G24" s="2152">
        <v>1</v>
      </c>
      <c r="H24" s="2152">
        <v>6000</v>
      </c>
      <c r="I24" s="2153">
        <v>0</v>
      </c>
      <c r="J24" s="495">
        <f t="shared" si="1"/>
        <v>0</v>
      </c>
      <c r="K24" s="496">
        <f t="shared" si="2"/>
        <v>0</v>
      </c>
      <c r="L24" s="496">
        <f t="shared" si="3"/>
        <v>24000</v>
      </c>
      <c r="M24" s="496">
        <f t="shared" si="4"/>
        <v>0</v>
      </c>
      <c r="N24" s="625">
        <v>5</v>
      </c>
      <c r="O24" s="625">
        <v>10</v>
      </c>
      <c r="P24" s="625">
        <v>1</v>
      </c>
      <c r="Q24" s="497">
        <f t="shared" si="14"/>
        <v>6000</v>
      </c>
      <c r="R24" s="498" t="str">
        <f xml:space="preserve">
IF(表紙!$X$2="事前協議","－",
IF(表紙!$X$2="交付申請（２次）","－",
IF(表紙!$X$2="変更申請","－",
IF(AND(表紙!$X$2="実績報告（１次）",AL24="◎"),COUNTIF($AL$13:AL24,"◎"),
IF(AND(表紙!$X$2="実績報告（１次）",OR(AL24="×",AL24="○")),"",
IF(表紙!$X$2="実績報告（２次）","－",
IF(表紙!$X$2="交付申請兼実績報告","－")))))))</f>
        <v>－</v>
      </c>
      <c r="S24" s="799" t="str">
        <f t="shared" si="11"/>
        <v>@円&lt;上限@4円</v>
      </c>
      <c r="U24" s="610">
        <f t="shared" si="12"/>
        <v>45200</v>
      </c>
      <c r="V24" s="701">
        <f t="shared" si="5"/>
        <v>5</v>
      </c>
      <c r="W24" s="701">
        <f t="shared" si="6"/>
        <v>10</v>
      </c>
      <c r="X24" s="701">
        <f t="shared" si="7"/>
        <v>1</v>
      </c>
      <c r="Y24" s="500" t="str">
        <f t="shared" si="8"/>
        <v>45200プラスチックグローブ等</v>
      </c>
      <c r="AJ24" s="468" t="s">
        <v>468</v>
      </c>
      <c r="AK24" s="499">
        <v>12</v>
      </c>
      <c r="AL24" s="467" t="str">
        <f t="shared" si="13"/>
        <v>◎</v>
      </c>
      <c r="AM24" s="475" t="str">
        <f t="shared" si="9"/>
        <v>適切に入力がされました。</v>
      </c>
      <c r="AO24" s="475">
        <f t="shared" si="0"/>
        <v>6000</v>
      </c>
    </row>
    <row r="25" spans="1:41" ht="20.100000000000001" customHeight="1">
      <c r="A25" s="494">
        <v>13</v>
      </c>
      <c r="B25" s="2147" t="s">
        <v>1332</v>
      </c>
      <c r="C25" s="2148" t="s">
        <v>1332</v>
      </c>
      <c r="D25" s="2149" t="s">
        <v>1495</v>
      </c>
      <c r="E25" s="2150"/>
      <c r="F25" s="2151"/>
      <c r="G25" s="2152">
        <v>1</v>
      </c>
      <c r="H25" s="2152">
        <v>5000</v>
      </c>
      <c r="I25" s="2153">
        <v>0</v>
      </c>
      <c r="J25" s="495">
        <f t="shared" si="1"/>
        <v>0</v>
      </c>
      <c r="K25" s="496">
        <f t="shared" si="2"/>
        <v>0</v>
      </c>
      <c r="L25" s="496">
        <f t="shared" si="3"/>
        <v>55000</v>
      </c>
      <c r="M25" s="496">
        <f t="shared" si="4"/>
        <v>0</v>
      </c>
      <c r="N25" s="625">
        <v>5</v>
      </c>
      <c r="O25" s="625">
        <v>10</v>
      </c>
      <c r="P25" s="625">
        <v>1</v>
      </c>
      <c r="Q25" s="497">
        <f t="shared" si="14"/>
        <v>5000</v>
      </c>
      <c r="R25" s="498" t="str">
        <f xml:space="preserve">
IF(表紙!$X$2="事前協議","－",
IF(表紙!$X$2="交付申請（２次）","－",
IF(表紙!$X$2="変更申請","－",
IF(AND(表紙!$X$2="実績報告（１次）",AL25="◎"),COUNTIF($AL$13:AL25,"◎"),
IF(AND(表紙!$X$2="実績報告（１次）",OR(AL25="×",AL25="○")),"",
IF(表紙!$X$2="実績報告（２次）","－",
IF(表紙!$X$2="交付申請兼実績報告","－")))))))</f>
        <v>－</v>
      </c>
      <c r="S25" s="799" t="str">
        <f t="shared" si="11"/>
        <v>@円&lt;上限@11円</v>
      </c>
      <c r="U25" s="610">
        <f t="shared" si="12"/>
        <v>45200</v>
      </c>
      <c r="V25" s="701">
        <f t="shared" si="5"/>
        <v>5</v>
      </c>
      <c r="W25" s="701">
        <f t="shared" si="6"/>
        <v>10</v>
      </c>
      <c r="X25" s="701">
        <f t="shared" si="7"/>
        <v>1</v>
      </c>
      <c r="Y25" s="500" t="str">
        <f t="shared" si="8"/>
        <v>45200キャップ</v>
      </c>
      <c r="AJ25" s="468" t="s">
        <v>468</v>
      </c>
      <c r="AK25" s="499">
        <v>13</v>
      </c>
      <c r="AL25" s="467" t="str">
        <f t="shared" si="13"/>
        <v>◎</v>
      </c>
      <c r="AM25" s="475" t="str">
        <f t="shared" si="9"/>
        <v>適切に入力がされました。</v>
      </c>
      <c r="AO25" s="475">
        <f t="shared" si="0"/>
        <v>5000</v>
      </c>
    </row>
    <row r="26" spans="1:41" ht="20.100000000000001" customHeight="1">
      <c r="A26" s="494">
        <v>14</v>
      </c>
      <c r="B26" s="2147" t="s">
        <v>1407</v>
      </c>
      <c r="C26" s="2148" t="s">
        <v>1266</v>
      </c>
      <c r="D26" s="2149" t="s">
        <v>1495</v>
      </c>
      <c r="E26" s="2150"/>
      <c r="F26" s="2151"/>
      <c r="G26" s="2152">
        <v>1</v>
      </c>
      <c r="H26" s="2152">
        <v>4000</v>
      </c>
      <c r="I26" s="2153">
        <v>0</v>
      </c>
      <c r="J26" s="495">
        <f t="shared" si="1"/>
        <v>0</v>
      </c>
      <c r="K26" s="496">
        <f t="shared" si="2"/>
        <v>0</v>
      </c>
      <c r="L26" s="496">
        <f t="shared" si="3"/>
        <v>532000</v>
      </c>
      <c r="M26" s="496">
        <f t="shared" si="4"/>
        <v>0</v>
      </c>
      <c r="N26" s="625">
        <v>5</v>
      </c>
      <c r="O26" s="625">
        <v>10</v>
      </c>
      <c r="P26" s="625">
        <v>1</v>
      </c>
      <c r="Q26" s="497">
        <f t="shared" si="14"/>
        <v>4000</v>
      </c>
      <c r="R26" s="498" t="str">
        <f xml:space="preserve">
IF(表紙!$X$2="事前協議","－",
IF(表紙!$X$2="交付申請（２次）","－",
IF(表紙!$X$2="変更申請","－",
IF(AND(表紙!$X$2="実績報告（１次）",AL26="◎"),COUNTIF($AL$13:AL26,"◎"),
IF(AND(表紙!$X$2="実績報告（１次）",OR(AL26="×",AL26="○")),"",
IF(表紙!$X$2="実績報告（２次）","－",
IF(表紙!$X$2="交付申請兼実績報告","－")))))))</f>
        <v>－</v>
      </c>
      <c r="S26" s="799" t="str">
        <f t="shared" si="11"/>
        <v>@円&lt;上限@133円</v>
      </c>
      <c r="U26" s="610">
        <f t="shared" si="12"/>
        <v>45200</v>
      </c>
      <c r="V26" s="701">
        <f t="shared" si="5"/>
        <v>5</v>
      </c>
      <c r="W26" s="701">
        <f t="shared" si="6"/>
        <v>10</v>
      </c>
      <c r="X26" s="701">
        <f t="shared" si="7"/>
        <v>1</v>
      </c>
      <c r="Y26" s="500" t="str">
        <f t="shared" si="8"/>
        <v>45200使い捨て一体型</v>
      </c>
      <c r="AJ26" s="468" t="s">
        <v>468</v>
      </c>
      <c r="AK26" s="499">
        <v>14</v>
      </c>
      <c r="AL26" s="467" t="str">
        <f t="shared" si="13"/>
        <v>◎</v>
      </c>
      <c r="AM26" s="475" t="str">
        <f t="shared" si="9"/>
        <v>適切に入力がされました。</v>
      </c>
      <c r="AO26" s="475">
        <f t="shared" si="0"/>
        <v>4000</v>
      </c>
    </row>
    <row r="27" spans="1:41" ht="20.100000000000001" customHeight="1">
      <c r="A27" s="494">
        <v>15</v>
      </c>
      <c r="B27" s="2147" t="s">
        <v>1407</v>
      </c>
      <c r="C27" s="2148" t="s">
        <v>1267</v>
      </c>
      <c r="D27" s="2149" t="s">
        <v>1495</v>
      </c>
      <c r="E27" s="2150"/>
      <c r="F27" s="2151"/>
      <c r="G27" s="2152">
        <v>1</v>
      </c>
      <c r="H27" s="2152">
        <v>3000</v>
      </c>
      <c r="I27" s="2153">
        <v>0</v>
      </c>
      <c r="J27" s="495">
        <f t="shared" si="1"/>
        <v>0</v>
      </c>
      <c r="K27" s="496">
        <f t="shared" si="2"/>
        <v>0</v>
      </c>
      <c r="L27" s="496">
        <f t="shared" si="3"/>
        <v>747000</v>
      </c>
      <c r="M27" s="496">
        <f t="shared" si="4"/>
        <v>0</v>
      </c>
      <c r="N27" s="625">
        <v>5</v>
      </c>
      <c r="O27" s="625">
        <v>10</v>
      </c>
      <c r="P27" s="625">
        <v>1</v>
      </c>
      <c r="Q27" s="497">
        <f t="shared" si="14"/>
        <v>3000</v>
      </c>
      <c r="R27" s="498" t="str">
        <f xml:space="preserve">
IF(表紙!$X$2="事前協議","－",
IF(表紙!$X$2="交付申請（２次）","－",
IF(表紙!$X$2="変更申請","－",
IF(AND(表紙!$X$2="実績報告（１次）",AL27="◎"),COUNTIF($AL$13:AL27,"◎"),
IF(AND(表紙!$X$2="実績報告（１次）",OR(AL27="×",AL27="○")),"",
IF(表紙!$X$2="実績報告（２次）","－",
IF(表紙!$X$2="交付申請兼実績報告","－")))))))</f>
        <v>－</v>
      </c>
      <c r="S27" s="799" t="str">
        <f t="shared" si="11"/>
        <v>@円&lt;上限@249円</v>
      </c>
      <c r="U27" s="610">
        <f t="shared" si="12"/>
        <v>45200</v>
      </c>
      <c r="V27" s="701">
        <f t="shared" si="5"/>
        <v>5</v>
      </c>
      <c r="W27" s="701">
        <f t="shared" si="6"/>
        <v>10</v>
      </c>
      <c r="X27" s="701">
        <f t="shared" si="7"/>
        <v>1</v>
      </c>
      <c r="Y27" s="500" t="str">
        <f t="shared" si="8"/>
        <v>45200フレーム</v>
      </c>
      <c r="AJ27" s="468" t="s">
        <v>468</v>
      </c>
      <c r="AK27" s="499">
        <v>15</v>
      </c>
      <c r="AL27" s="467" t="str">
        <f t="shared" si="13"/>
        <v>◎</v>
      </c>
      <c r="AM27" s="475" t="str">
        <f t="shared" si="9"/>
        <v>適切に入力がされました。</v>
      </c>
      <c r="AO27" s="475">
        <f t="shared" si="0"/>
        <v>3000</v>
      </c>
    </row>
    <row r="28" spans="1:41" ht="20.100000000000001" customHeight="1">
      <c r="A28" s="494">
        <v>16</v>
      </c>
      <c r="B28" s="2147" t="s">
        <v>1407</v>
      </c>
      <c r="C28" s="2148" t="s">
        <v>1101</v>
      </c>
      <c r="D28" s="2149" t="s">
        <v>1495</v>
      </c>
      <c r="E28" s="2150"/>
      <c r="F28" s="2151"/>
      <c r="G28" s="2152">
        <v>1</v>
      </c>
      <c r="H28" s="2152">
        <v>2000</v>
      </c>
      <c r="I28" s="2153">
        <v>0</v>
      </c>
      <c r="J28" s="495">
        <f t="shared" si="1"/>
        <v>0</v>
      </c>
      <c r="K28" s="496">
        <f t="shared" si="2"/>
        <v>0</v>
      </c>
      <c r="L28" s="496">
        <f t="shared" si="3"/>
        <v>208000</v>
      </c>
      <c r="M28" s="496">
        <f t="shared" si="4"/>
        <v>0</v>
      </c>
      <c r="N28" s="625">
        <v>5</v>
      </c>
      <c r="O28" s="625">
        <v>10</v>
      </c>
      <c r="P28" s="625">
        <v>1</v>
      </c>
      <c r="Q28" s="497">
        <f t="shared" si="14"/>
        <v>2000</v>
      </c>
      <c r="R28" s="498" t="str">
        <f xml:space="preserve">
IF(表紙!$X$2="事前協議","－",
IF(表紙!$X$2="交付申請（２次）","－",
IF(表紙!$X$2="変更申請","－",
IF(AND(表紙!$X$2="実績報告（１次）",AL28="◎"),COUNTIF($AL$13:AL28,"◎"),
IF(AND(表紙!$X$2="実績報告（１次）",OR(AL28="×",AL28="○")),"",
IF(表紙!$X$2="実績報告（２次）","－",
IF(表紙!$X$2="交付申請兼実績報告","－")))))))</f>
        <v>－</v>
      </c>
      <c r="S28" s="799" t="str">
        <f t="shared" si="11"/>
        <v>@円&lt;上限@104円</v>
      </c>
      <c r="U28" s="610">
        <f t="shared" si="12"/>
        <v>45200</v>
      </c>
      <c r="V28" s="701">
        <f t="shared" si="5"/>
        <v>5</v>
      </c>
      <c r="W28" s="701">
        <f t="shared" si="6"/>
        <v>10</v>
      </c>
      <c r="X28" s="701">
        <f t="shared" si="7"/>
        <v>1</v>
      </c>
      <c r="Y28" s="500" t="str">
        <f t="shared" si="8"/>
        <v>45200交換用シールド</v>
      </c>
      <c r="AJ28" s="468" t="s">
        <v>468</v>
      </c>
      <c r="AK28" s="499">
        <v>16</v>
      </c>
      <c r="AL28" s="467" t="str">
        <f t="shared" si="13"/>
        <v>◎</v>
      </c>
      <c r="AM28" s="475" t="str">
        <f t="shared" si="9"/>
        <v>適切に入力がされました。</v>
      </c>
      <c r="AO28" s="475">
        <f t="shared" si="0"/>
        <v>2000</v>
      </c>
    </row>
    <row r="29" spans="1:41" ht="20.100000000000001" customHeight="1" thickBot="1">
      <c r="A29" s="494">
        <v>17</v>
      </c>
      <c r="B29" s="2154" t="s">
        <v>1407</v>
      </c>
      <c r="C29" s="2155" t="s">
        <v>1410</v>
      </c>
      <c r="D29" s="2156" t="s">
        <v>1495</v>
      </c>
      <c r="E29" s="2157"/>
      <c r="F29" s="2158"/>
      <c r="G29" s="2159">
        <v>1</v>
      </c>
      <c r="H29" s="2159">
        <v>1000</v>
      </c>
      <c r="I29" s="2160">
        <v>0</v>
      </c>
      <c r="J29" s="800">
        <f t="shared" si="1"/>
        <v>0</v>
      </c>
      <c r="K29" s="801">
        <f t="shared" si="2"/>
        <v>0</v>
      </c>
      <c r="L29" s="801">
        <f t="shared" si="3"/>
        <v>1614000</v>
      </c>
      <c r="M29" s="801">
        <f t="shared" si="4"/>
        <v>0</v>
      </c>
      <c r="N29" s="2161">
        <v>5</v>
      </c>
      <c r="O29" s="2161">
        <v>10</v>
      </c>
      <c r="P29" s="2161">
        <v>1</v>
      </c>
      <c r="Q29" s="802">
        <f t="shared" si="14"/>
        <v>1000</v>
      </c>
      <c r="R29" s="803" t="str">
        <f xml:space="preserve">
IF(表紙!$X$2="事前協議","－",
IF(表紙!$X$2="交付申請（２次）","－",
IF(表紙!$X$2="変更申請","－",
IF(AND(表紙!$X$2="実績報告（１次）",AL29="◎"),COUNTIF($AL$13:AL29,"◎"),
IF(AND(表紙!$X$2="実績報告（１次）",OR(AL29="×",AL29="○")),"",
IF(表紙!$X$2="実績報告（２次）","－",
IF(表紙!$X$2="交付申請兼実績報告","－")))))))</f>
        <v>－</v>
      </c>
      <c r="S29" s="804" t="str">
        <f t="shared" si="11"/>
        <v>@円&lt;上限@1,614円</v>
      </c>
      <c r="U29" s="610">
        <f t="shared" si="12"/>
        <v>45200</v>
      </c>
      <c r="V29" s="701">
        <f t="shared" si="5"/>
        <v>5</v>
      </c>
      <c r="W29" s="701">
        <f t="shared" si="6"/>
        <v>10</v>
      </c>
      <c r="X29" s="701">
        <f t="shared" si="7"/>
        <v>1</v>
      </c>
      <c r="Y29" s="500" t="str">
        <f t="shared" si="8"/>
        <v>45200リユーサブルシールド</v>
      </c>
      <c r="AJ29" s="468" t="s">
        <v>468</v>
      </c>
      <c r="AK29" s="499">
        <v>17</v>
      </c>
      <c r="AL29" s="467" t="str">
        <f t="shared" si="13"/>
        <v>◎</v>
      </c>
      <c r="AM29" s="475" t="str">
        <f t="shared" si="9"/>
        <v>適切に入力がされました。</v>
      </c>
      <c r="AO29" s="475">
        <f t="shared" si="0"/>
        <v>1000</v>
      </c>
    </row>
    <row r="30" spans="1:41" ht="20.100000000000001" customHeight="1">
      <c r="A30" s="494">
        <v>18</v>
      </c>
      <c r="B30" s="786"/>
      <c r="C30" s="787"/>
      <c r="D30" s="1866"/>
      <c r="E30" s="1867"/>
      <c r="F30" s="1868"/>
      <c r="G30" s="788"/>
      <c r="H30" s="788"/>
      <c r="I30" s="789"/>
      <c r="J30" s="790">
        <f t="shared" si="1"/>
        <v>0</v>
      </c>
      <c r="K30" s="791">
        <f t="shared" si="2"/>
        <v>0</v>
      </c>
      <c r="L30" s="791" t="str">
        <f t="shared" si="3"/>
        <v/>
      </c>
      <c r="M30" s="791" t="str">
        <f t="shared" si="4"/>
        <v/>
      </c>
      <c r="N30" s="806"/>
      <c r="O30" s="806"/>
      <c r="P30" s="806"/>
      <c r="Q30" s="792">
        <f t="shared" si="14"/>
        <v>0</v>
      </c>
      <c r="R30" s="793" t="str">
        <f xml:space="preserve">
IF(表紙!$X$2="事前協議","－",
IF(表紙!$X$2="交付申請（２次）","－",
IF(表紙!$X$2="変更申請","－",
IF(AND(表紙!$X$2="実績報告（１次）",AL30="◎"),COUNTIF($AL$13:AL30,"◎"),
IF(AND(表紙!$X$2="実績報告（１次）",OR(AL30="×",AL30="○")),"",
IF(表紙!$X$2="実績報告（２次）","－",
IF(表紙!$X$2="交付申請兼実績報告","－")))))))</f>
        <v>－</v>
      </c>
      <c r="S30" s="793" t="str">
        <f t="shared" si="11"/>
        <v/>
      </c>
      <c r="U30" s="610" t="str">
        <f t="shared" si="12"/>
        <v/>
      </c>
      <c r="V30" s="701" t="str">
        <f t="shared" si="5"/>
        <v/>
      </c>
      <c r="W30" s="701" t="str">
        <f t="shared" si="6"/>
        <v/>
      </c>
      <c r="X30" s="701" t="str">
        <f t="shared" si="7"/>
        <v/>
      </c>
      <c r="Y30" s="500" t="str">
        <f t="shared" si="8"/>
        <v/>
      </c>
      <c r="AJ30" s="468" t="s">
        <v>468</v>
      </c>
      <c r="AK30" s="499">
        <v>18</v>
      </c>
      <c r="AL30" s="467" t="str">
        <f t="shared" si="13"/>
        <v>○</v>
      </c>
      <c r="AM30" s="475" t="str">
        <f t="shared" si="9"/>
        <v>申請しない場合は入力不要です。</v>
      </c>
      <c r="AO30" s="475">
        <f t="shared" si="0"/>
        <v>0</v>
      </c>
    </row>
    <row r="31" spans="1:41" ht="20.100000000000001" customHeight="1">
      <c r="A31" s="494">
        <v>19</v>
      </c>
      <c r="B31" s="206"/>
      <c r="C31" s="207"/>
      <c r="D31" s="1859"/>
      <c r="E31" s="1860"/>
      <c r="F31" s="1861"/>
      <c r="G31" s="208"/>
      <c r="H31" s="208"/>
      <c r="I31" s="209"/>
      <c r="J31" s="495">
        <f t="shared" si="1"/>
        <v>0</v>
      </c>
      <c r="K31" s="496">
        <f t="shared" si="2"/>
        <v>0</v>
      </c>
      <c r="L31" s="496" t="str">
        <f t="shared" si="3"/>
        <v/>
      </c>
      <c r="M31" s="496" t="str">
        <f t="shared" si="4"/>
        <v/>
      </c>
      <c r="N31" s="805"/>
      <c r="O31" s="805"/>
      <c r="P31" s="805"/>
      <c r="Q31" s="497">
        <f t="shared" si="14"/>
        <v>0</v>
      </c>
      <c r="R31" s="498" t="str">
        <f xml:space="preserve">
IF(表紙!$X$2="事前協議","－",
IF(表紙!$X$2="交付申請（２次）","－",
IF(表紙!$X$2="変更申請","－",
IF(AND(表紙!$X$2="実績報告（１次）",AL31="◎"),COUNTIF($AL$13:AL31,"◎"),
IF(AND(表紙!$X$2="実績報告（１次）",OR(AL31="×",AL31="○")),"",
IF(表紙!$X$2="実績報告（２次）","－",
IF(表紙!$X$2="交付申請兼実績報告","－")))))))</f>
        <v>－</v>
      </c>
      <c r="S31" s="498" t="str">
        <f t="shared" si="11"/>
        <v/>
      </c>
      <c r="U31" s="610" t="str">
        <f t="shared" si="12"/>
        <v/>
      </c>
      <c r="V31" s="701" t="str">
        <f t="shared" si="5"/>
        <v/>
      </c>
      <c r="W31" s="701" t="str">
        <f t="shared" si="6"/>
        <v/>
      </c>
      <c r="X31" s="701" t="str">
        <f t="shared" si="7"/>
        <v/>
      </c>
      <c r="Y31" s="500" t="str">
        <f t="shared" si="8"/>
        <v/>
      </c>
      <c r="AJ31" s="468" t="s">
        <v>468</v>
      </c>
      <c r="AK31" s="499">
        <v>19</v>
      </c>
      <c r="AL31" s="467" t="str">
        <f t="shared" si="13"/>
        <v>○</v>
      </c>
      <c r="AM31" s="475" t="str">
        <f t="shared" si="9"/>
        <v>申請しない場合は入力不要です。</v>
      </c>
      <c r="AO31" s="475">
        <f t="shared" si="0"/>
        <v>0</v>
      </c>
    </row>
    <row r="32" spans="1:41" ht="20.100000000000001" customHeight="1">
      <c r="A32" s="494">
        <v>20</v>
      </c>
      <c r="B32" s="206"/>
      <c r="C32" s="207"/>
      <c r="D32" s="1859"/>
      <c r="E32" s="1860"/>
      <c r="F32" s="1861"/>
      <c r="G32" s="208"/>
      <c r="H32" s="208"/>
      <c r="I32" s="209"/>
      <c r="J32" s="495">
        <f t="shared" si="1"/>
        <v>0</v>
      </c>
      <c r="K32" s="496">
        <f t="shared" si="2"/>
        <v>0</v>
      </c>
      <c r="L32" s="496" t="str">
        <f t="shared" si="3"/>
        <v/>
      </c>
      <c r="M32" s="496" t="str">
        <f t="shared" si="4"/>
        <v/>
      </c>
      <c r="N32" s="805"/>
      <c r="O32" s="805"/>
      <c r="P32" s="805"/>
      <c r="Q32" s="497">
        <f t="shared" si="14"/>
        <v>0</v>
      </c>
      <c r="R32" s="498" t="str">
        <f xml:space="preserve">
IF(表紙!$X$2="事前協議","－",
IF(表紙!$X$2="交付申請（２次）","－",
IF(表紙!$X$2="変更申請","－",
IF(AND(表紙!$X$2="実績報告（１次）",AL32="◎"),COUNTIF($AL$13:AL32,"◎"),
IF(AND(表紙!$X$2="実績報告（１次）",OR(AL32="×",AL32="○")),"",
IF(表紙!$X$2="実績報告（２次）","－",
IF(表紙!$X$2="交付申請兼実績報告","－")))))))</f>
        <v>－</v>
      </c>
      <c r="S32" s="498" t="str">
        <f t="shared" si="11"/>
        <v/>
      </c>
      <c r="U32" s="610" t="str">
        <f t="shared" si="12"/>
        <v/>
      </c>
      <c r="V32" s="701" t="str">
        <f t="shared" si="5"/>
        <v/>
      </c>
      <c r="W32" s="701" t="str">
        <f t="shared" si="6"/>
        <v/>
      </c>
      <c r="X32" s="701" t="str">
        <f t="shared" si="7"/>
        <v/>
      </c>
      <c r="Y32" s="500" t="str">
        <f t="shared" si="8"/>
        <v/>
      </c>
      <c r="AJ32" s="468" t="s">
        <v>468</v>
      </c>
      <c r="AK32" s="499">
        <v>20</v>
      </c>
      <c r="AL32" s="467" t="str">
        <f t="shared" si="13"/>
        <v>○</v>
      </c>
      <c r="AM32" s="475" t="str">
        <f t="shared" si="9"/>
        <v>申請しない場合は入力不要です。</v>
      </c>
      <c r="AO32" s="475">
        <f t="shared" si="0"/>
        <v>0</v>
      </c>
    </row>
    <row r="33" spans="1:41" ht="20.100000000000001" customHeight="1">
      <c r="A33" s="494">
        <v>21</v>
      </c>
      <c r="B33" s="206"/>
      <c r="C33" s="207"/>
      <c r="D33" s="1859"/>
      <c r="E33" s="1860"/>
      <c r="F33" s="1861"/>
      <c r="G33" s="208"/>
      <c r="H33" s="208"/>
      <c r="I33" s="209"/>
      <c r="J33" s="495">
        <f t="shared" si="1"/>
        <v>0</v>
      </c>
      <c r="K33" s="496">
        <f t="shared" si="2"/>
        <v>0</v>
      </c>
      <c r="L33" s="496" t="str">
        <f t="shared" si="3"/>
        <v/>
      </c>
      <c r="M33" s="496" t="str">
        <f t="shared" si="4"/>
        <v/>
      </c>
      <c r="N33" s="805"/>
      <c r="O33" s="805"/>
      <c r="P33" s="805"/>
      <c r="Q33" s="497">
        <f t="shared" si="14"/>
        <v>0</v>
      </c>
      <c r="R33" s="498" t="str">
        <f xml:space="preserve">
IF(表紙!$X$2="事前協議","－",
IF(表紙!$X$2="交付申請（２次）","－",
IF(表紙!$X$2="変更申請","－",
IF(AND(表紙!$X$2="実績報告（１次）",AL33="◎"),COUNTIF($AL$13:AL33,"◎"),
IF(AND(表紙!$X$2="実績報告（１次）",OR(AL33="×",AL33="○")),"",
IF(表紙!$X$2="実績報告（２次）","－",
IF(表紙!$X$2="交付申請兼実績報告","－")))))))</f>
        <v>－</v>
      </c>
      <c r="S33" s="498" t="str">
        <f t="shared" si="11"/>
        <v/>
      </c>
      <c r="U33" s="610" t="str">
        <f t="shared" si="12"/>
        <v/>
      </c>
      <c r="V33" s="701" t="str">
        <f t="shared" si="5"/>
        <v/>
      </c>
      <c r="W33" s="701" t="str">
        <f t="shared" si="6"/>
        <v/>
      </c>
      <c r="X33" s="701" t="str">
        <f t="shared" si="7"/>
        <v/>
      </c>
      <c r="Y33" s="500" t="str">
        <f t="shared" si="8"/>
        <v/>
      </c>
      <c r="AJ33" s="468" t="s">
        <v>468</v>
      </c>
      <c r="AK33" s="499">
        <v>21</v>
      </c>
      <c r="AL33" s="467" t="str">
        <f t="shared" si="13"/>
        <v>○</v>
      </c>
      <c r="AM33" s="475" t="str">
        <f t="shared" si="9"/>
        <v>申請しない場合は入力不要です。</v>
      </c>
      <c r="AO33" s="475">
        <f t="shared" si="0"/>
        <v>0</v>
      </c>
    </row>
    <row r="34" spans="1:41" ht="20.100000000000001" customHeight="1">
      <c r="A34" s="494">
        <v>22</v>
      </c>
      <c r="B34" s="206"/>
      <c r="C34" s="207"/>
      <c r="D34" s="1859"/>
      <c r="E34" s="1860"/>
      <c r="F34" s="1861"/>
      <c r="G34" s="208"/>
      <c r="H34" s="208"/>
      <c r="I34" s="209"/>
      <c r="J34" s="495">
        <f t="shared" si="1"/>
        <v>0</v>
      </c>
      <c r="K34" s="496">
        <f t="shared" si="2"/>
        <v>0</v>
      </c>
      <c r="L34" s="496" t="str">
        <f t="shared" si="3"/>
        <v/>
      </c>
      <c r="M34" s="496" t="str">
        <f t="shared" si="4"/>
        <v/>
      </c>
      <c r="N34" s="805"/>
      <c r="O34" s="805"/>
      <c r="P34" s="805"/>
      <c r="Q34" s="497">
        <f t="shared" si="14"/>
        <v>0</v>
      </c>
      <c r="R34" s="498" t="str">
        <f xml:space="preserve">
IF(表紙!$X$2="事前協議","－",
IF(表紙!$X$2="交付申請（２次）","－",
IF(表紙!$X$2="変更申請","－",
IF(AND(表紙!$X$2="実績報告（１次）",AL34="◎"),COUNTIF($AL$13:AL34,"◎"),
IF(AND(表紙!$X$2="実績報告（１次）",OR(AL34="×",AL34="○")),"",
IF(表紙!$X$2="実績報告（２次）","－",
IF(表紙!$X$2="交付申請兼実績報告","－")))))))</f>
        <v>－</v>
      </c>
      <c r="S34" s="498" t="str">
        <f t="shared" si="11"/>
        <v/>
      </c>
      <c r="U34" s="610" t="str">
        <f t="shared" si="12"/>
        <v/>
      </c>
      <c r="V34" s="701" t="str">
        <f t="shared" si="5"/>
        <v/>
      </c>
      <c r="W34" s="701" t="str">
        <f t="shared" si="6"/>
        <v/>
      </c>
      <c r="X34" s="701" t="str">
        <f t="shared" si="7"/>
        <v/>
      </c>
      <c r="Y34" s="500" t="str">
        <f t="shared" si="8"/>
        <v/>
      </c>
      <c r="AJ34" s="468" t="s">
        <v>468</v>
      </c>
      <c r="AK34" s="499">
        <v>22</v>
      </c>
      <c r="AL34" s="467" t="str">
        <f t="shared" si="13"/>
        <v>○</v>
      </c>
      <c r="AM34" s="475" t="str">
        <f t="shared" si="9"/>
        <v>申請しない場合は入力不要です。</v>
      </c>
      <c r="AO34" s="475">
        <f t="shared" si="0"/>
        <v>0</v>
      </c>
    </row>
    <row r="35" spans="1:41" ht="20.100000000000001" customHeight="1">
      <c r="A35" s="494">
        <v>23</v>
      </c>
      <c r="B35" s="206"/>
      <c r="C35" s="207"/>
      <c r="D35" s="1859"/>
      <c r="E35" s="1860"/>
      <c r="F35" s="1861"/>
      <c r="G35" s="208"/>
      <c r="H35" s="208"/>
      <c r="I35" s="209"/>
      <c r="J35" s="495">
        <f t="shared" si="1"/>
        <v>0</v>
      </c>
      <c r="K35" s="496">
        <f t="shared" si="2"/>
        <v>0</v>
      </c>
      <c r="L35" s="496" t="str">
        <f t="shared" si="3"/>
        <v/>
      </c>
      <c r="M35" s="496" t="str">
        <f t="shared" si="4"/>
        <v/>
      </c>
      <c r="N35" s="805"/>
      <c r="O35" s="805"/>
      <c r="P35" s="805"/>
      <c r="Q35" s="497">
        <f t="shared" si="14"/>
        <v>0</v>
      </c>
      <c r="R35" s="498" t="str">
        <f xml:space="preserve">
IF(表紙!$X$2="事前協議","－",
IF(表紙!$X$2="交付申請（２次）","－",
IF(表紙!$X$2="変更申請","－",
IF(AND(表紙!$X$2="実績報告（１次）",AL35="◎"),COUNTIF($AL$13:AL35,"◎"),
IF(AND(表紙!$X$2="実績報告（１次）",OR(AL35="×",AL35="○")),"",
IF(表紙!$X$2="実績報告（２次）","－",
IF(表紙!$X$2="交付申請兼実績報告","－")))))))</f>
        <v>－</v>
      </c>
      <c r="S35" s="498" t="str">
        <f t="shared" si="11"/>
        <v/>
      </c>
      <c r="U35" s="610" t="str">
        <f t="shared" si="12"/>
        <v/>
      </c>
      <c r="V35" s="701" t="str">
        <f t="shared" si="5"/>
        <v/>
      </c>
      <c r="W35" s="701" t="str">
        <f t="shared" si="6"/>
        <v/>
      </c>
      <c r="X35" s="701" t="str">
        <f t="shared" si="7"/>
        <v/>
      </c>
      <c r="Y35" s="500" t="str">
        <f t="shared" si="8"/>
        <v/>
      </c>
      <c r="AJ35" s="468" t="s">
        <v>468</v>
      </c>
      <c r="AK35" s="499">
        <v>23</v>
      </c>
      <c r="AL35" s="467" t="str">
        <f t="shared" si="13"/>
        <v>○</v>
      </c>
      <c r="AM35" s="475" t="str">
        <f t="shared" si="9"/>
        <v>申請しない場合は入力不要です。</v>
      </c>
      <c r="AO35" s="475">
        <f t="shared" si="0"/>
        <v>0</v>
      </c>
    </row>
    <row r="36" spans="1:41" ht="20.100000000000001" customHeight="1">
      <c r="A36" s="494">
        <v>24</v>
      </c>
      <c r="B36" s="206"/>
      <c r="C36" s="207"/>
      <c r="D36" s="1859"/>
      <c r="E36" s="1860"/>
      <c r="F36" s="1861"/>
      <c r="G36" s="208"/>
      <c r="H36" s="208"/>
      <c r="I36" s="209"/>
      <c r="J36" s="495">
        <f t="shared" si="1"/>
        <v>0</v>
      </c>
      <c r="K36" s="496">
        <f t="shared" si="2"/>
        <v>0</v>
      </c>
      <c r="L36" s="496" t="str">
        <f t="shared" si="3"/>
        <v/>
      </c>
      <c r="M36" s="496" t="str">
        <f t="shared" si="4"/>
        <v/>
      </c>
      <c r="N36" s="805"/>
      <c r="O36" s="805"/>
      <c r="P36" s="805"/>
      <c r="Q36" s="497">
        <f t="shared" si="14"/>
        <v>0</v>
      </c>
      <c r="R36" s="498" t="str">
        <f xml:space="preserve">
IF(表紙!$X$2="事前協議","－",
IF(表紙!$X$2="交付申請（２次）","－",
IF(表紙!$X$2="変更申請","－",
IF(AND(表紙!$X$2="実績報告（１次）",AL36="◎"),COUNTIF($AL$13:AL36,"◎"),
IF(AND(表紙!$X$2="実績報告（１次）",OR(AL36="×",AL36="○")),"",
IF(表紙!$X$2="実績報告（２次）","－",
IF(表紙!$X$2="交付申請兼実績報告","－")))))))</f>
        <v>－</v>
      </c>
      <c r="S36" s="498" t="str">
        <f t="shared" si="11"/>
        <v/>
      </c>
      <c r="U36" s="610" t="str">
        <f t="shared" si="12"/>
        <v/>
      </c>
      <c r="V36" s="701" t="str">
        <f t="shared" si="5"/>
        <v/>
      </c>
      <c r="W36" s="701" t="str">
        <f t="shared" si="6"/>
        <v/>
      </c>
      <c r="X36" s="701" t="str">
        <f t="shared" si="7"/>
        <v/>
      </c>
      <c r="Y36" s="500" t="str">
        <f t="shared" si="8"/>
        <v/>
      </c>
      <c r="AJ36" s="468" t="s">
        <v>468</v>
      </c>
      <c r="AK36" s="499">
        <v>24</v>
      </c>
      <c r="AL36" s="467" t="str">
        <f t="shared" si="13"/>
        <v>○</v>
      </c>
      <c r="AM36" s="475" t="str">
        <f t="shared" si="9"/>
        <v>申請しない場合は入力不要です。</v>
      </c>
      <c r="AO36" s="475">
        <f t="shared" si="0"/>
        <v>0</v>
      </c>
    </row>
    <row r="37" spans="1:41" ht="20.100000000000001" customHeight="1">
      <c r="A37" s="494">
        <v>25</v>
      </c>
      <c r="B37" s="206"/>
      <c r="C37" s="207"/>
      <c r="D37" s="1859"/>
      <c r="E37" s="1860"/>
      <c r="F37" s="1861"/>
      <c r="G37" s="208"/>
      <c r="H37" s="208"/>
      <c r="I37" s="209"/>
      <c r="J37" s="495">
        <f t="shared" si="1"/>
        <v>0</v>
      </c>
      <c r="K37" s="496">
        <f t="shared" si="2"/>
        <v>0</v>
      </c>
      <c r="L37" s="496" t="str">
        <f t="shared" si="3"/>
        <v/>
      </c>
      <c r="M37" s="496" t="str">
        <f t="shared" si="4"/>
        <v/>
      </c>
      <c r="N37" s="805"/>
      <c r="O37" s="805"/>
      <c r="P37" s="805"/>
      <c r="Q37" s="497">
        <f t="shared" si="14"/>
        <v>0</v>
      </c>
      <c r="R37" s="498" t="str">
        <f xml:space="preserve">
IF(表紙!$X$2="事前協議","－",
IF(表紙!$X$2="交付申請（２次）","－",
IF(表紙!$X$2="変更申請","－",
IF(AND(表紙!$X$2="実績報告（１次）",AL37="◎"),COUNTIF($AL$13:AL37,"◎"),
IF(AND(表紙!$X$2="実績報告（１次）",OR(AL37="×",AL37="○")),"",
IF(表紙!$X$2="実績報告（２次）","－",
IF(表紙!$X$2="交付申請兼実績報告","－")))))))</f>
        <v>－</v>
      </c>
      <c r="S37" s="498" t="str">
        <f t="shared" si="11"/>
        <v/>
      </c>
      <c r="U37" s="610" t="str">
        <f t="shared" si="12"/>
        <v/>
      </c>
      <c r="V37" s="701" t="str">
        <f t="shared" si="5"/>
        <v/>
      </c>
      <c r="W37" s="701" t="str">
        <f t="shared" si="6"/>
        <v/>
      </c>
      <c r="X37" s="701" t="str">
        <f t="shared" si="7"/>
        <v/>
      </c>
      <c r="Y37" s="500" t="str">
        <f t="shared" si="8"/>
        <v/>
      </c>
      <c r="AJ37" s="468" t="s">
        <v>468</v>
      </c>
      <c r="AK37" s="499">
        <v>25</v>
      </c>
      <c r="AL37" s="467" t="str">
        <f t="shared" si="13"/>
        <v>○</v>
      </c>
      <c r="AM37" s="475" t="str">
        <f t="shared" si="9"/>
        <v>申請しない場合は入力不要です。</v>
      </c>
      <c r="AO37" s="475">
        <f t="shared" si="0"/>
        <v>0</v>
      </c>
    </row>
    <row r="38" spans="1:41" ht="20.100000000000001" customHeight="1">
      <c r="A38" s="494">
        <v>26</v>
      </c>
      <c r="B38" s="206"/>
      <c r="C38" s="207"/>
      <c r="D38" s="1859"/>
      <c r="E38" s="1860"/>
      <c r="F38" s="1861"/>
      <c r="G38" s="208"/>
      <c r="H38" s="208"/>
      <c r="I38" s="209"/>
      <c r="J38" s="495">
        <f t="shared" si="1"/>
        <v>0</v>
      </c>
      <c r="K38" s="496">
        <f t="shared" si="2"/>
        <v>0</v>
      </c>
      <c r="L38" s="496" t="str">
        <f t="shared" si="3"/>
        <v/>
      </c>
      <c r="M38" s="496" t="str">
        <f t="shared" si="4"/>
        <v/>
      </c>
      <c r="N38" s="805"/>
      <c r="O38" s="805"/>
      <c r="P38" s="805"/>
      <c r="Q38" s="497">
        <f t="shared" si="14"/>
        <v>0</v>
      </c>
      <c r="R38" s="498" t="str">
        <f xml:space="preserve">
IF(表紙!$X$2="事前協議","－",
IF(表紙!$X$2="交付申請（２次）","－",
IF(表紙!$X$2="変更申請","－",
IF(AND(表紙!$X$2="実績報告（１次）",AL38="◎"),COUNTIF($AL$13:AL38,"◎"),
IF(AND(表紙!$X$2="実績報告（１次）",OR(AL38="×",AL38="○")),"",
IF(表紙!$X$2="実績報告（２次）","－",
IF(表紙!$X$2="交付申請兼実績報告","－")))))))</f>
        <v>－</v>
      </c>
      <c r="S38" s="498" t="str">
        <f t="shared" si="11"/>
        <v/>
      </c>
      <c r="U38" s="610" t="str">
        <f t="shared" si="12"/>
        <v/>
      </c>
      <c r="V38" s="701" t="str">
        <f t="shared" si="5"/>
        <v/>
      </c>
      <c r="W38" s="701" t="str">
        <f t="shared" si="6"/>
        <v/>
      </c>
      <c r="X38" s="701" t="str">
        <f t="shared" si="7"/>
        <v/>
      </c>
      <c r="Y38" s="500" t="str">
        <f t="shared" si="8"/>
        <v/>
      </c>
      <c r="AJ38" s="468" t="s">
        <v>468</v>
      </c>
      <c r="AK38" s="499">
        <v>26</v>
      </c>
      <c r="AL38" s="467" t="str">
        <f t="shared" si="13"/>
        <v>○</v>
      </c>
      <c r="AM38" s="475" t="str">
        <f t="shared" si="9"/>
        <v>申請しない場合は入力不要です。</v>
      </c>
      <c r="AO38" s="475">
        <f t="shared" si="0"/>
        <v>0</v>
      </c>
    </row>
    <row r="39" spans="1:41" ht="20.100000000000001" customHeight="1">
      <c r="A39" s="494">
        <v>27</v>
      </c>
      <c r="B39" s="206"/>
      <c r="C39" s="207"/>
      <c r="D39" s="1859"/>
      <c r="E39" s="1860"/>
      <c r="F39" s="1861"/>
      <c r="G39" s="208"/>
      <c r="H39" s="208"/>
      <c r="I39" s="209"/>
      <c r="J39" s="495">
        <f t="shared" si="1"/>
        <v>0</v>
      </c>
      <c r="K39" s="496">
        <f t="shared" si="2"/>
        <v>0</v>
      </c>
      <c r="L39" s="496" t="str">
        <f t="shared" si="3"/>
        <v/>
      </c>
      <c r="M39" s="496" t="str">
        <f t="shared" si="4"/>
        <v/>
      </c>
      <c r="N39" s="805"/>
      <c r="O39" s="805"/>
      <c r="P39" s="805"/>
      <c r="Q39" s="497">
        <f t="shared" si="14"/>
        <v>0</v>
      </c>
      <c r="R39" s="498" t="str">
        <f xml:space="preserve">
IF(表紙!$X$2="事前協議","－",
IF(表紙!$X$2="交付申請（２次）","－",
IF(表紙!$X$2="変更申請","－",
IF(AND(表紙!$X$2="実績報告（１次）",AL39="◎"),COUNTIF($AL$13:AL39,"◎"),
IF(AND(表紙!$X$2="実績報告（１次）",OR(AL39="×",AL39="○")),"",
IF(表紙!$X$2="実績報告（２次）","－",
IF(表紙!$X$2="交付申請兼実績報告","－")))))))</f>
        <v>－</v>
      </c>
      <c r="S39" s="498" t="str">
        <f t="shared" si="11"/>
        <v/>
      </c>
      <c r="U39" s="610" t="str">
        <f t="shared" si="12"/>
        <v/>
      </c>
      <c r="V39" s="701" t="str">
        <f t="shared" si="5"/>
        <v/>
      </c>
      <c r="W39" s="701" t="str">
        <f t="shared" si="6"/>
        <v/>
      </c>
      <c r="X39" s="701" t="str">
        <f t="shared" si="7"/>
        <v/>
      </c>
      <c r="Y39" s="500" t="str">
        <f t="shared" si="8"/>
        <v/>
      </c>
      <c r="AJ39" s="468" t="s">
        <v>468</v>
      </c>
      <c r="AK39" s="499">
        <v>27</v>
      </c>
      <c r="AL39" s="467" t="str">
        <f t="shared" si="13"/>
        <v>○</v>
      </c>
      <c r="AM39" s="475" t="str">
        <f t="shared" si="9"/>
        <v>申請しない場合は入力不要です。</v>
      </c>
      <c r="AO39" s="475">
        <f t="shared" si="0"/>
        <v>0</v>
      </c>
    </row>
    <row r="40" spans="1:41" ht="20.100000000000001" customHeight="1">
      <c r="A40" s="494">
        <v>28</v>
      </c>
      <c r="B40" s="206"/>
      <c r="C40" s="207"/>
      <c r="D40" s="1859"/>
      <c r="E40" s="1860"/>
      <c r="F40" s="1861"/>
      <c r="G40" s="208"/>
      <c r="H40" s="208"/>
      <c r="I40" s="209"/>
      <c r="J40" s="495">
        <f t="shared" si="1"/>
        <v>0</v>
      </c>
      <c r="K40" s="496">
        <f t="shared" si="2"/>
        <v>0</v>
      </c>
      <c r="L40" s="496" t="str">
        <f t="shared" si="3"/>
        <v/>
      </c>
      <c r="M40" s="496" t="str">
        <f t="shared" si="4"/>
        <v/>
      </c>
      <c r="N40" s="805"/>
      <c r="O40" s="805"/>
      <c r="P40" s="805"/>
      <c r="Q40" s="497">
        <f t="shared" si="14"/>
        <v>0</v>
      </c>
      <c r="R40" s="498" t="str">
        <f xml:space="preserve">
IF(表紙!$X$2="事前協議","－",
IF(表紙!$X$2="交付申請（２次）","－",
IF(表紙!$X$2="変更申請","－",
IF(AND(表紙!$X$2="実績報告（１次）",AL40="◎"),COUNTIF($AL$13:AL40,"◎"),
IF(AND(表紙!$X$2="実績報告（１次）",OR(AL40="×",AL40="○")),"",
IF(表紙!$X$2="実績報告（２次）","－",
IF(表紙!$X$2="交付申請兼実績報告","－")))))))</f>
        <v>－</v>
      </c>
      <c r="S40" s="498" t="str">
        <f t="shared" si="11"/>
        <v/>
      </c>
      <c r="U40" s="610" t="str">
        <f t="shared" si="12"/>
        <v/>
      </c>
      <c r="V40" s="701" t="str">
        <f t="shared" si="5"/>
        <v/>
      </c>
      <c r="W40" s="701" t="str">
        <f t="shared" si="6"/>
        <v/>
      </c>
      <c r="X40" s="701" t="str">
        <f t="shared" si="7"/>
        <v/>
      </c>
      <c r="Y40" s="500" t="str">
        <f t="shared" si="8"/>
        <v/>
      </c>
      <c r="AJ40" s="468" t="s">
        <v>468</v>
      </c>
      <c r="AK40" s="499">
        <v>28</v>
      </c>
      <c r="AL40" s="467" t="str">
        <f t="shared" si="13"/>
        <v>○</v>
      </c>
      <c r="AM40" s="475" t="str">
        <f t="shared" si="9"/>
        <v>申請しない場合は入力不要です。</v>
      </c>
      <c r="AO40" s="475">
        <f t="shared" si="0"/>
        <v>0</v>
      </c>
    </row>
    <row r="41" spans="1:41" ht="20.100000000000001" customHeight="1">
      <c r="A41" s="494">
        <v>29</v>
      </c>
      <c r="B41" s="206"/>
      <c r="C41" s="207"/>
      <c r="D41" s="1859"/>
      <c r="E41" s="1860"/>
      <c r="F41" s="1861"/>
      <c r="G41" s="208"/>
      <c r="H41" s="208"/>
      <c r="I41" s="209"/>
      <c r="J41" s="495">
        <f t="shared" si="1"/>
        <v>0</v>
      </c>
      <c r="K41" s="496">
        <f t="shared" si="2"/>
        <v>0</v>
      </c>
      <c r="L41" s="496" t="str">
        <f t="shared" si="3"/>
        <v/>
      </c>
      <c r="M41" s="496" t="str">
        <f t="shared" si="4"/>
        <v/>
      </c>
      <c r="N41" s="805"/>
      <c r="O41" s="805"/>
      <c r="P41" s="805"/>
      <c r="Q41" s="497">
        <f t="shared" si="14"/>
        <v>0</v>
      </c>
      <c r="R41" s="498" t="str">
        <f xml:space="preserve">
IF(表紙!$X$2="事前協議","－",
IF(表紙!$X$2="交付申請（２次）","－",
IF(表紙!$X$2="変更申請","－",
IF(AND(表紙!$X$2="実績報告（１次）",AL41="◎"),COUNTIF($AL$13:AL41,"◎"),
IF(AND(表紙!$X$2="実績報告（１次）",OR(AL41="×",AL41="○")),"",
IF(表紙!$X$2="実績報告（２次）","－",
IF(表紙!$X$2="交付申請兼実績報告","－")))))))</f>
        <v>－</v>
      </c>
      <c r="S41" s="498" t="str">
        <f t="shared" si="11"/>
        <v/>
      </c>
      <c r="U41" s="610" t="str">
        <f t="shared" si="12"/>
        <v/>
      </c>
      <c r="V41" s="701" t="str">
        <f t="shared" si="5"/>
        <v/>
      </c>
      <c r="W41" s="701" t="str">
        <f t="shared" si="6"/>
        <v/>
      </c>
      <c r="X41" s="701" t="str">
        <f t="shared" si="7"/>
        <v/>
      </c>
      <c r="Y41" s="500" t="str">
        <f t="shared" si="8"/>
        <v/>
      </c>
      <c r="AJ41" s="468" t="s">
        <v>468</v>
      </c>
      <c r="AK41" s="499">
        <v>29</v>
      </c>
      <c r="AL41" s="467" t="str">
        <f t="shared" si="13"/>
        <v>○</v>
      </c>
      <c r="AM41" s="475" t="str">
        <f t="shared" si="9"/>
        <v>申請しない場合は入力不要です。</v>
      </c>
      <c r="AO41" s="475">
        <f t="shared" si="0"/>
        <v>0</v>
      </c>
    </row>
    <row r="42" spans="1:41" ht="20.100000000000001" customHeight="1">
      <c r="A42" s="494">
        <v>30</v>
      </c>
      <c r="B42" s="206"/>
      <c r="C42" s="207"/>
      <c r="D42" s="1859"/>
      <c r="E42" s="1860"/>
      <c r="F42" s="1861"/>
      <c r="G42" s="208"/>
      <c r="H42" s="208"/>
      <c r="I42" s="209"/>
      <c r="J42" s="495">
        <f t="shared" si="1"/>
        <v>0</v>
      </c>
      <c r="K42" s="496">
        <f t="shared" si="2"/>
        <v>0</v>
      </c>
      <c r="L42" s="496" t="str">
        <f t="shared" si="3"/>
        <v/>
      </c>
      <c r="M42" s="496" t="str">
        <f t="shared" si="4"/>
        <v/>
      </c>
      <c r="N42" s="805"/>
      <c r="O42" s="805"/>
      <c r="P42" s="805"/>
      <c r="Q42" s="497">
        <f t="shared" si="14"/>
        <v>0</v>
      </c>
      <c r="R42" s="498" t="str">
        <f xml:space="preserve">
IF(表紙!$X$2="事前協議","－",
IF(表紙!$X$2="交付申請（２次）","－",
IF(表紙!$X$2="変更申請","－",
IF(AND(表紙!$X$2="実績報告（１次）",AL42="◎"),COUNTIF($AL$13:AL42,"◎"),
IF(AND(表紙!$X$2="実績報告（１次）",OR(AL42="×",AL42="○")),"",
IF(表紙!$X$2="実績報告（２次）","－",
IF(表紙!$X$2="交付申請兼実績報告","－")))))))</f>
        <v>－</v>
      </c>
      <c r="S42" s="498" t="str">
        <f t="shared" si="11"/>
        <v/>
      </c>
      <c r="U42" s="610" t="str">
        <f t="shared" si="12"/>
        <v/>
      </c>
      <c r="V42" s="701" t="str">
        <f t="shared" si="5"/>
        <v/>
      </c>
      <c r="W42" s="701" t="str">
        <f t="shared" si="6"/>
        <v/>
      </c>
      <c r="X42" s="701" t="str">
        <f t="shared" si="7"/>
        <v/>
      </c>
      <c r="Y42" s="500" t="str">
        <f t="shared" si="8"/>
        <v/>
      </c>
      <c r="AJ42" s="468" t="s">
        <v>468</v>
      </c>
      <c r="AK42" s="499">
        <v>30</v>
      </c>
      <c r="AL42" s="467" t="str">
        <f t="shared" si="13"/>
        <v>○</v>
      </c>
      <c r="AM42" s="475" t="str">
        <f t="shared" si="9"/>
        <v>申請しない場合は入力不要です。</v>
      </c>
      <c r="AO42" s="475">
        <f t="shared" si="0"/>
        <v>0</v>
      </c>
    </row>
    <row r="43" spans="1:41" ht="20.100000000000001" customHeight="1">
      <c r="A43" s="494">
        <v>31</v>
      </c>
      <c r="B43" s="206"/>
      <c r="C43" s="207"/>
      <c r="D43" s="1859"/>
      <c r="E43" s="1860"/>
      <c r="F43" s="1861"/>
      <c r="G43" s="208"/>
      <c r="H43" s="208"/>
      <c r="I43" s="209"/>
      <c r="J43" s="495">
        <f t="shared" si="1"/>
        <v>0</v>
      </c>
      <c r="K43" s="496">
        <f t="shared" si="2"/>
        <v>0</v>
      </c>
      <c r="L43" s="496" t="str">
        <f t="shared" si="3"/>
        <v/>
      </c>
      <c r="M43" s="496" t="str">
        <f t="shared" si="4"/>
        <v/>
      </c>
      <c r="N43" s="805"/>
      <c r="O43" s="805"/>
      <c r="P43" s="805"/>
      <c r="Q43" s="497">
        <f t="shared" si="14"/>
        <v>0</v>
      </c>
      <c r="R43" s="498" t="str">
        <f xml:space="preserve">
IF(表紙!$X$2="事前協議","－",
IF(表紙!$X$2="交付申請（２次）","－",
IF(表紙!$X$2="変更申請","－",
IF(AND(表紙!$X$2="実績報告（１次）",AL43="◎"),COUNTIF($AL$13:AL43,"◎"),
IF(AND(表紙!$X$2="実績報告（１次）",OR(AL43="×",AL43="○")),"",
IF(表紙!$X$2="実績報告（２次）","－",
IF(表紙!$X$2="交付申請兼実績報告","－")))))))</f>
        <v>－</v>
      </c>
      <c r="S43" s="498" t="str">
        <f t="shared" si="11"/>
        <v/>
      </c>
      <c r="U43" s="610" t="str">
        <f t="shared" si="12"/>
        <v/>
      </c>
      <c r="V43" s="701" t="str">
        <f t="shared" si="5"/>
        <v/>
      </c>
      <c r="W43" s="701" t="str">
        <f t="shared" si="6"/>
        <v/>
      </c>
      <c r="X43" s="701" t="str">
        <f t="shared" si="7"/>
        <v/>
      </c>
      <c r="Y43" s="500" t="str">
        <f t="shared" si="8"/>
        <v/>
      </c>
      <c r="AJ43" s="468" t="s">
        <v>468</v>
      </c>
      <c r="AK43" s="499">
        <v>31</v>
      </c>
      <c r="AL43" s="467" t="str">
        <f t="shared" si="13"/>
        <v>○</v>
      </c>
      <c r="AM43" s="475" t="str">
        <f t="shared" si="9"/>
        <v>申請しない場合は入力不要です。</v>
      </c>
      <c r="AO43" s="475">
        <f t="shared" si="0"/>
        <v>0</v>
      </c>
    </row>
    <row r="44" spans="1:41" ht="20.100000000000001" customHeight="1">
      <c r="A44" s="494">
        <v>32</v>
      </c>
      <c r="B44" s="206"/>
      <c r="C44" s="207"/>
      <c r="D44" s="1859"/>
      <c r="E44" s="1860"/>
      <c r="F44" s="1861"/>
      <c r="G44" s="208"/>
      <c r="H44" s="208"/>
      <c r="I44" s="209"/>
      <c r="J44" s="495">
        <f t="shared" si="1"/>
        <v>0</v>
      </c>
      <c r="K44" s="496">
        <f t="shared" si="2"/>
        <v>0</v>
      </c>
      <c r="L44" s="496" t="str">
        <f t="shared" si="3"/>
        <v/>
      </c>
      <c r="M44" s="496" t="str">
        <f t="shared" si="4"/>
        <v/>
      </c>
      <c r="N44" s="805"/>
      <c r="O44" s="805"/>
      <c r="P44" s="805"/>
      <c r="Q44" s="497">
        <f t="shared" si="14"/>
        <v>0</v>
      </c>
      <c r="R44" s="498" t="str">
        <f xml:space="preserve">
IF(表紙!$X$2="事前協議","－",
IF(表紙!$X$2="交付申請（２次）","－",
IF(表紙!$X$2="変更申請","－",
IF(AND(表紙!$X$2="実績報告（１次）",AL44="◎"),COUNTIF($AL$13:AL44,"◎"),
IF(AND(表紙!$X$2="実績報告（１次）",OR(AL44="×",AL44="○")),"",
IF(表紙!$X$2="実績報告（２次）","－",
IF(表紙!$X$2="交付申請兼実績報告","－")))))))</f>
        <v>－</v>
      </c>
      <c r="S44" s="498" t="str">
        <f t="shared" si="11"/>
        <v/>
      </c>
      <c r="U44" s="610" t="str">
        <f t="shared" si="12"/>
        <v/>
      </c>
      <c r="V44" s="701" t="str">
        <f t="shared" si="5"/>
        <v/>
      </c>
      <c r="W44" s="701" t="str">
        <f t="shared" si="6"/>
        <v/>
      </c>
      <c r="X44" s="701" t="str">
        <f t="shared" si="7"/>
        <v/>
      </c>
      <c r="Y44" s="500" t="str">
        <f t="shared" si="8"/>
        <v/>
      </c>
      <c r="AJ44" s="468" t="s">
        <v>468</v>
      </c>
      <c r="AK44" s="499">
        <v>32</v>
      </c>
      <c r="AL44" s="467" t="str">
        <f t="shared" si="13"/>
        <v>○</v>
      </c>
      <c r="AM44" s="475" t="str">
        <f t="shared" si="9"/>
        <v>申請しない場合は入力不要です。</v>
      </c>
      <c r="AO44" s="475">
        <f t="shared" si="0"/>
        <v>0</v>
      </c>
    </row>
    <row r="45" spans="1:41" ht="20.100000000000001" customHeight="1">
      <c r="A45" s="494">
        <v>33</v>
      </c>
      <c r="B45" s="206"/>
      <c r="C45" s="207"/>
      <c r="D45" s="1859"/>
      <c r="E45" s="1860"/>
      <c r="F45" s="1861"/>
      <c r="G45" s="208"/>
      <c r="H45" s="208"/>
      <c r="I45" s="209"/>
      <c r="J45" s="495">
        <f t="shared" si="1"/>
        <v>0</v>
      </c>
      <c r="K45" s="496">
        <f t="shared" si="2"/>
        <v>0</v>
      </c>
      <c r="L45" s="496" t="str">
        <f t="shared" si="3"/>
        <v/>
      </c>
      <c r="M45" s="496" t="str">
        <f t="shared" si="4"/>
        <v/>
      </c>
      <c r="N45" s="805"/>
      <c r="O45" s="805"/>
      <c r="P45" s="805"/>
      <c r="Q45" s="497">
        <f t="shared" si="14"/>
        <v>0</v>
      </c>
      <c r="R45" s="498" t="str">
        <f xml:space="preserve">
IF(表紙!$X$2="事前協議","－",
IF(表紙!$X$2="交付申請（２次）","－",
IF(表紙!$X$2="変更申請","－",
IF(AND(表紙!$X$2="実績報告（１次）",AL45="◎"),COUNTIF($AL$13:AL45,"◎"),
IF(AND(表紙!$X$2="実績報告（１次）",OR(AL45="×",AL45="○")),"",
IF(表紙!$X$2="実績報告（２次）","－",
IF(表紙!$X$2="交付申請兼実績報告","－")))))))</f>
        <v>－</v>
      </c>
      <c r="S45" s="498" t="str">
        <f t="shared" si="11"/>
        <v/>
      </c>
      <c r="U45" s="610" t="str">
        <f t="shared" si="12"/>
        <v/>
      </c>
      <c r="V45" s="701" t="str">
        <f t="shared" si="5"/>
        <v/>
      </c>
      <c r="W45" s="701" t="str">
        <f t="shared" si="6"/>
        <v/>
      </c>
      <c r="X45" s="701" t="str">
        <f t="shared" si="7"/>
        <v/>
      </c>
      <c r="Y45" s="500" t="str">
        <f t="shared" si="8"/>
        <v/>
      </c>
      <c r="AI45" s="468" t="e">
        <f>IF(C8=0,"×","○")</f>
        <v>#VALUE!</v>
      </c>
      <c r="AJ45" s="468" t="s">
        <v>468</v>
      </c>
      <c r="AK45" s="499">
        <v>33</v>
      </c>
      <c r="AL45" s="467" t="str">
        <f t="shared" si="13"/>
        <v>○</v>
      </c>
      <c r="AM45" s="475" t="str">
        <f t="shared" si="9"/>
        <v>申請しない場合は入力不要です。</v>
      </c>
      <c r="AO45" s="475">
        <f t="shared" si="0"/>
        <v>0</v>
      </c>
    </row>
    <row r="46" spans="1:41" ht="20.100000000000001" customHeight="1">
      <c r="A46" s="494">
        <v>34</v>
      </c>
      <c r="B46" s="206"/>
      <c r="C46" s="207"/>
      <c r="D46" s="1859"/>
      <c r="E46" s="1860"/>
      <c r="F46" s="1861"/>
      <c r="G46" s="208"/>
      <c r="H46" s="208"/>
      <c r="I46" s="209"/>
      <c r="J46" s="495">
        <f t="shared" si="1"/>
        <v>0</v>
      </c>
      <c r="K46" s="496">
        <f t="shared" si="2"/>
        <v>0</v>
      </c>
      <c r="L46" s="496" t="str">
        <f t="shared" si="3"/>
        <v/>
      </c>
      <c r="M46" s="496" t="str">
        <f t="shared" si="4"/>
        <v/>
      </c>
      <c r="N46" s="805"/>
      <c r="O46" s="805"/>
      <c r="P46" s="805"/>
      <c r="Q46" s="497">
        <f t="shared" si="14"/>
        <v>0</v>
      </c>
      <c r="R46" s="498" t="str">
        <f xml:space="preserve">
IF(表紙!$X$2="事前協議","－",
IF(表紙!$X$2="交付申請（２次）","－",
IF(表紙!$X$2="変更申請","－",
IF(AND(表紙!$X$2="実績報告（１次）",AL46="◎"),COUNTIF($AL$13:AL46,"◎"),
IF(AND(表紙!$X$2="実績報告（１次）",OR(AL46="×",AL46="○")),"",
IF(表紙!$X$2="実績報告（２次）","－",
IF(表紙!$X$2="交付申請兼実績報告","－")))))))</f>
        <v>－</v>
      </c>
      <c r="S46" s="498" t="str">
        <f t="shared" si="11"/>
        <v/>
      </c>
      <c r="U46" s="610" t="str">
        <f t="shared" si="12"/>
        <v/>
      </c>
      <c r="V46" s="701" t="str">
        <f t="shared" si="5"/>
        <v/>
      </c>
      <c r="W46" s="701" t="str">
        <f t="shared" si="6"/>
        <v/>
      </c>
      <c r="X46" s="701" t="str">
        <f t="shared" si="7"/>
        <v/>
      </c>
      <c r="Y46" s="500" t="str">
        <f t="shared" si="8"/>
        <v/>
      </c>
      <c r="AJ46" s="468" t="s">
        <v>468</v>
      </c>
      <c r="AK46" s="499">
        <v>34</v>
      </c>
      <c r="AL46" s="467" t="str">
        <f t="shared" si="13"/>
        <v>○</v>
      </c>
      <c r="AM46" s="475" t="str">
        <f t="shared" si="9"/>
        <v>申請しない場合は入力不要です。</v>
      </c>
      <c r="AO46" s="475">
        <f t="shared" si="0"/>
        <v>0</v>
      </c>
    </row>
    <row r="47" spans="1:41" ht="20.100000000000001" customHeight="1">
      <c r="A47" s="494">
        <v>35</v>
      </c>
      <c r="B47" s="206"/>
      <c r="C47" s="207"/>
      <c r="D47" s="1859"/>
      <c r="E47" s="1860"/>
      <c r="F47" s="1861"/>
      <c r="G47" s="208"/>
      <c r="H47" s="208"/>
      <c r="I47" s="209"/>
      <c r="J47" s="495">
        <f t="shared" si="1"/>
        <v>0</v>
      </c>
      <c r="K47" s="496">
        <f t="shared" si="2"/>
        <v>0</v>
      </c>
      <c r="L47" s="496" t="str">
        <f t="shared" si="3"/>
        <v/>
      </c>
      <c r="M47" s="496" t="str">
        <f t="shared" si="4"/>
        <v/>
      </c>
      <c r="N47" s="805"/>
      <c r="O47" s="805"/>
      <c r="P47" s="805"/>
      <c r="Q47" s="497">
        <f t="shared" si="14"/>
        <v>0</v>
      </c>
      <c r="R47" s="498" t="str">
        <f xml:space="preserve">
IF(表紙!$X$2="事前協議","－",
IF(表紙!$X$2="交付申請（２次）","－",
IF(表紙!$X$2="変更申請","－",
IF(AND(表紙!$X$2="実績報告（１次）",AL47="◎"),COUNTIF($AL$13:AL47,"◎"),
IF(AND(表紙!$X$2="実績報告（１次）",OR(AL47="×",AL47="○")),"",
IF(表紙!$X$2="実績報告（２次）","－",
IF(表紙!$X$2="交付申請兼実績報告","－")))))))</f>
        <v>－</v>
      </c>
      <c r="S47" s="498" t="str">
        <f t="shared" si="11"/>
        <v/>
      </c>
      <c r="U47" s="610" t="str">
        <f t="shared" si="12"/>
        <v/>
      </c>
      <c r="V47" s="701" t="str">
        <f t="shared" si="5"/>
        <v/>
      </c>
      <c r="W47" s="701" t="str">
        <f t="shared" si="6"/>
        <v/>
      </c>
      <c r="X47" s="701" t="str">
        <f t="shared" si="7"/>
        <v/>
      </c>
      <c r="Y47" s="500" t="str">
        <f t="shared" si="8"/>
        <v/>
      </c>
      <c r="AJ47" s="468" t="s">
        <v>468</v>
      </c>
      <c r="AK47" s="499">
        <v>35</v>
      </c>
      <c r="AL47" s="467" t="str">
        <f t="shared" si="13"/>
        <v>○</v>
      </c>
      <c r="AM47" s="475" t="str">
        <f t="shared" si="9"/>
        <v>申請しない場合は入力不要です。</v>
      </c>
      <c r="AO47" s="475">
        <f t="shared" si="0"/>
        <v>0</v>
      </c>
    </row>
    <row r="48" spans="1:41" ht="20.100000000000001" customHeight="1">
      <c r="A48" s="494">
        <v>36</v>
      </c>
      <c r="B48" s="206"/>
      <c r="C48" s="207"/>
      <c r="D48" s="1859"/>
      <c r="E48" s="1860"/>
      <c r="F48" s="1861"/>
      <c r="G48" s="208"/>
      <c r="H48" s="208"/>
      <c r="I48" s="209"/>
      <c r="J48" s="495">
        <f t="shared" si="1"/>
        <v>0</v>
      </c>
      <c r="K48" s="496">
        <f t="shared" si="2"/>
        <v>0</v>
      </c>
      <c r="L48" s="496" t="str">
        <f t="shared" si="3"/>
        <v/>
      </c>
      <c r="M48" s="496" t="str">
        <f t="shared" si="4"/>
        <v/>
      </c>
      <c r="N48" s="805"/>
      <c r="O48" s="805"/>
      <c r="P48" s="805"/>
      <c r="Q48" s="497">
        <f t="shared" si="14"/>
        <v>0</v>
      </c>
      <c r="R48" s="498" t="str">
        <f xml:space="preserve">
IF(表紙!$X$2="事前協議","－",
IF(表紙!$X$2="交付申請（２次）","－",
IF(表紙!$X$2="変更申請","－",
IF(AND(表紙!$X$2="実績報告（１次）",AL48="◎"),COUNTIF($AL$13:AL48,"◎"),
IF(AND(表紙!$X$2="実績報告（１次）",OR(AL48="×",AL48="○")),"",
IF(表紙!$X$2="実績報告（２次）","－",
IF(表紙!$X$2="交付申請兼実績報告","－")))))))</f>
        <v>－</v>
      </c>
      <c r="S48" s="498" t="str">
        <f t="shared" si="11"/>
        <v/>
      </c>
      <c r="U48" s="610" t="str">
        <f t="shared" si="12"/>
        <v/>
      </c>
      <c r="V48" s="701" t="str">
        <f t="shared" si="5"/>
        <v/>
      </c>
      <c r="W48" s="701" t="str">
        <f t="shared" si="6"/>
        <v/>
      </c>
      <c r="X48" s="701" t="str">
        <f t="shared" si="7"/>
        <v/>
      </c>
      <c r="Y48" s="500" t="str">
        <f t="shared" si="8"/>
        <v/>
      </c>
      <c r="AJ48" s="468" t="s">
        <v>468</v>
      </c>
      <c r="AK48" s="499">
        <v>36</v>
      </c>
      <c r="AL48" s="467" t="str">
        <f t="shared" si="13"/>
        <v>○</v>
      </c>
      <c r="AM48" s="475" t="str">
        <f t="shared" si="9"/>
        <v>申請しない場合は入力不要です。</v>
      </c>
      <c r="AO48" s="475">
        <f t="shared" si="0"/>
        <v>0</v>
      </c>
    </row>
    <row r="49" spans="1:41" ht="20.100000000000001" customHeight="1">
      <c r="A49" s="494">
        <v>37</v>
      </c>
      <c r="B49" s="206"/>
      <c r="C49" s="207"/>
      <c r="D49" s="1859"/>
      <c r="E49" s="1860"/>
      <c r="F49" s="1861"/>
      <c r="G49" s="208"/>
      <c r="H49" s="208"/>
      <c r="I49" s="209"/>
      <c r="J49" s="495">
        <f t="shared" si="1"/>
        <v>0</v>
      </c>
      <c r="K49" s="496">
        <f t="shared" si="2"/>
        <v>0</v>
      </c>
      <c r="L49" s="496" t="str">
        <f t="shared" si="3"/>
        <v/>
      </c>
      <c r="M49" s="496" t="str">
        <f t="shared" si="4"/>
        <v/>
      </c>
      <c r="N49" s="805"/>
      <c r="O49" s="805"/>
      <c r="P49" s="805"/>
      <c r="Q49" s="497">
        <f t="shared" si="14"/>
        <v>0</v>
      </c>
      <c r="R49" s="498" t="str">
        <f xml:space="preserve">
IF(表紙!$X$2="事前協議","－",
IF(表紙!$X$2="交付申請（２次）","－",
IF(表紙!$X$2="変更申請","－",
IF(AND(表紙!$X$2="実績報告（１次）",AL49="◎"),COUNTIF($AL$13:AL49,"◎"),
IF(AND(表紙!$X$2="実績報告（１次）",OR(AL49="×",AL49="○")),"",
IF(表紙!$X$2="実績報告（２次）","－",
IF(表紙!$X$2="交付申請兼実績報告","－")))))))</f>
        <v>－</v>
      </c>
      <c r="S49" s="498" t="str">
        <f t="shared" si="11"/>
        <v/>
      </c>
      <c r="U49" s="610" t="str">
        <f t="shared" si="12"/>
        <v/>
      </c>
      <c r="V49" s="701" t="str">
        <f t="shared" si="5"/>
        <v/>
      </c>
      <c r="W49" s="701" t="str">
        <f t="shared" si="6"/>
        <v/>
      </c>
      <c r="X49" s="701" t="str">
        <f t="shared" si="7"/>
        <v/>
      </c>
      <c r="Y49" s="500" t="str">
        <f t="shared" si="8"/>
        <v/>
      </c>
      <c r="AJ49" s="468" t="s">
        <v>468</v>
      </c>
      <c r="AK49" s="499">
        <v>37</v>
      </c>
      <c r="AL49" s="467" t="str">
        <f t="shared" si="13"/>
        <v>○</v>
      </c>
      <c r="AM49" s="475" t="str">
        <f t="shared" si="9"/>
        <v>申請しない場合は入力不要です。</v>
      </c>
      <c r="AO49" s="475">
        <f t="shared" si="0"/>
        <v>0</v>
      </c>
    </row>
    <row r="50" spans="1:41" ht="20.100000000000001" customHeight="1">
      <c r="A50" s="494">
        <v>38</v>
      </c>
      <c r="B50" s="206"/>
      <c r="C50" s="207"/>
      <c r="D50" s="1859"/>
      <c r="E50" s="1860"/>
      <c r="F50" s="1861"/>
      <c r="G50" s="208"/>
      <c r="H50" s="208"/>
      <c r="I50" s="209"/>
      <c r="J50" s="495">
        <f t="shared" si="1"/>
        <v>0</v>
      </c>
      <c r="K50" s="496">
        <f t="shared" si="2"/>
        <v>0</v>
      </c>
      <c r="L50" s="496" t="str">
        <f t="shared" si="3"/>
        <v/>
      </c>
      <c r="M50" s="496" t="str">
        <f t="shared" si="4"/>
        <v/>
      </c>
      <c r="N50" s="805"/>
      <c r="O50" s="805"/>
      <c r="P50" s="805"/>
      <c r="Q50" s="497">
        <f t="shared" si="14"/>
        <v>0</v>
      </c>
      <c r="R50" s="498" t="str">
        <f xml:space="preserve">
IF(表紙!$X$2="事前協議","－",
IF(表紙!$X$2="交付申請（２次）","－",
IF(表紙!$X$2="変更申請","－",
IF(AND(表紙!$X$2="実績報告（１次）",AL50="◎"),COUNTIF($AL$13:AL50,"◎"),
IF(AND(表紙!$X$2="実績報告（１次）",OR(AL50="×",AL50="○")),"",
IF(表紙!$X$2="実績報告（２次）","－",
IF(表紙!$X$2="交付申請兼実績報告","－")))))))</f>
        <v>－</v>
      </c>
      <c r="S50" s="498" t="str">
        <f t="shared" si="11"/>
        <v/>
      </c>
      <c r="U50" s="610" t="str">
        <f t="shared" si="12"/>
        <v/>
      </c>
      <c r="V50" s="701" t="str">
        <f t="shared" si="5"/>
        <v/>
      </c>
      <c r="W50" s="701" t="str">
        <f t="shared" si="6"/>
        <v/>
      </c>
      <c r="X50" s="701" t="str">
        <f t="shared" si="7"/>
        <v/>
      </c>
      <c r="Y50" s="500" t="str">
        <f t="shared" si="8"/>
        <v/>
      </c>
      <c r="AJ50" s="468" t="s">
        <v>468</v>
      </c>
      <c r="AK50" s="499">
        <v>38</v>
      </c>
      <c r="AL50" s="467" t="str">
        <f t="shared" si="13"/>
        <v>○</v>
      </c>
      <c r="AM50" s="475" t="str">
        <f t="shared" si="9"/>
        <v>申請しない場合は入力不要です。</v>
      </c>
      <c r="AO50" s="475">
        <f t="shared" si="0"/>
        <v>0</v>
      </c>
    </row>
    <row r="51" spans="1:41" ht="20.100000000000001" customHeight="1">
      <c r="A51" s="494">
        <v>39</v>
      </c>
      <c r="B51" s="206"/>
      <c r="C51" s="207"/>
      <c r="D51" s="1859"/>
      <c r="E51" s="1860"/>
      <c r="F51" s="1861"/>
      <c r="G51" s="208"/>
      <c r="H51" s="208"/>
      <c r="I51" s="209"/>
      <c r="J51" s="495">
        <f t="shared" si="1"/>
        <v>0</v>
      </c>
      <c r="K51" s="496">
        <f t="shared" si="2"/>
        <v>0</v>
      </c>
      <c r="L51" s="496" t="str">
        <f t="shared" si="3"/>
        <v/>
      </c>
      <c r="M51" s="496" t="str">
        <f t="shared" si="4"/>
        <v/>
      </c>
      <c r="N51" s="805"/>
      <c r="O51" s="805"/>
      <c r="P51" s="805"/>
      <c r="Q51" s="497">
        <f t="shared" si="14"/>
        <v>0</v>
      </c>
      <c r="R51" s="498" t="str">
        <f xml:space="preserve">
IF(表紙!$X$2="事前協議","－",
IF(表紙!$X$2="交付申請（２次）","－",
IF(表紙!$X$2="変更申請","－",
IF(AND(表紙!$X$2="実績報告（１次）",AL51="◎"),COUNTIF($AL$13:AL51,"◎"),
IF(AND(表紙!$X$2="実績報告（１次）",OR(AL51="×",AL51="○")),"",
IF(表紙!$X$2="実績報告（２次）","－",
IF(表紙!$X$2="交付申請兼実績報告","－")))))))</f>
        <v>－</v>
      </c>
      <c r="S51" s="498" t="str">
        <f t="shared" si="11"/>
        <v/>
      </c>
      <c r="U51" s="610" t="str">
        <f t="shared" si="12"/>
        <v/>
      </c>
      <c r="V51" s="701" t="str">
        <f t="shared" si="5"/>
        <v/>
      </c>
      <c r="W51" s="701" t="str">
        <f t="shared" si="6"/>
        <v/>
      </c>
      <c r="X51" s="701" t="str">
        <f t="shared" si="7"/>
        <v/>
      </c>
      <c r="Y51" s="500" t="str">
        <f t="shared" si="8"/>
        <v/>
      </c>
      <c r="AJ51" s="468" t="s">
        <v>468</v>
      </c>
      <c r="AK51" s="499">
        <v>39</v>
      </c>
      <c r="AL51" s="467" t="str">
        <f t="shared" si="13"/>
        <v>○</v>
      </c>
      <c r="AM51" s="475" t="str">
        <f t="shared" si="9"/>
        <v>申請しない場合は入力不要です。</v>
      </c>
      <c r="AO51" s="475">
        <f t="shared" si="0"/>
        <v>0</v>
      </c>
    </row>
    <row r="52" spans="1:41" ht="20.100000000000001" customHeight="1">
      <c r="A52" s="494">
        <v>40</v>
      </c>
      <c r="B52" s="206"/>
      <c r="C52" s="207"/>
      <c r="D52" s="1859"/>
      <c r="E52" s="1860"/>
      <c r="F52" s="1861"/>
      <c r="G52" s="208"/>
      <c r="H52" s="208"/>
      <c r="I52" s="209"/>
      <c r="J52" s="495">
        <f t="shared" si="1"/>
        <v>0</v>
      </c>
      <c r="K52" s="496">
        <f t="shared" si="2"/>
        <v>0</v>
      </c>
      <c r="L52" s="496" t="str">
        <f t="shared" si="3"/>
        <v/>
      </c>
      <c r="M52" s="496" t="str">
        <f t="shared" si="4"/>
        <v/>
      </c>
      <c r="N52" s="805"/>
      <c r="O52" s="805"/>
      <c r="P52" s="805"/>
      <c r="Q52" s="497">
        <f t="shared" si="14"/>
        <v>0</v>
      </c>
      <c r="R52" s="498" t="str">
        <f xml:space="preserve">
IF(表紙!$X$2="事前協議","－",
IF(表紙!$X$2="交付申請（２次）","－",
IF(表紙!$X$2="変更申請","－",
IF(AND(表紙!$X$2="実績報告（１次）",AL52="◎"),COUNTIF($AL$13:AL52,"◎"),
IF(AND(表紙!$X$2="実績報告（１次）",OR(AL52="×",AL52="○")),"",
IF(表紙!$X$2="実績報告（２次）","－",
IF(表紙!$X$2="交付申請兼実績報告","－")))))))</f>
        <v>－</v>
      </c>
      <c r="S52" s="498" t="str">
        <f t="shared" si="11"/>
        <v/>
      </c>
      <c r="U52" s="610" t="str">
        <f t="shared" si="12"/>
        <v/>
      </c>
      <c r="V52" s="701" t="str">
        <f t="shared" si="5"/>
        <v/>
      </c>
      <c r="W52" s="701" t="str">
        <f t="shared" si="6"/>
        <v/>
      </c>
      <c r="X52" s="701" t="str">
        <f t="shared" si="7"/>
        <v/>
      </c>
      <c r="Y52" s="500" t="str">
        <f t="shared" si="8"/>
        <v/>
      </c>
      <c r="AJ52" s="468" t="s">
        <v>468</v>
      </c>
      <c r="AK52" s="499">
        <v>40</v>
      </c>
      <c r="AL52" s="467" t="str">
        <f t="shared" si="13"/>
        <v>○</v>
      </c>
      <c r="AM52" s="475" t="str">
        <f t="shared" si="9"/>
        <v>申請しない場合は入力不要です。</v>
      </c>
      <c r="AO52" s="475">
        <f t="shared" si="0"/>
        <v>0</v>
      </c>
    </row>
    <row r="53" spans="1:41" ht="20.100000000000001" customHeight="1">
      <c r="A53" s="494">
        <v>41</v>
      </c>
      <c r="B53" s="206"/>
      <c r="C53" s="207"/>
      <c r="D53" s="1859"/>
      <c r="E53" s="1860"/>
      <c r="F53" s="1861"/>
      <c r="G53" s="208"/>
      <c r="H53" s="208"/>
      <c r="I53" s="209"/>
      <c r="J53" s="495">
        <f t="shared" si="1"/>
        <v>0</v>
      </c>
      <c r="K53" s="496">
        <f t="shared" si="2"/>
        <v>0</v>
      </c>
      <c r="L53" s="496" t="str">
        <f t="shared" si="3"/>
        <v/>
      </c>
      <c r="M53" s="496" t="str">
        <f t="shared" si="4"/>
        <v/>
      </c>
      <c r="N53" s="805"/>
      <c r="O53" s="805"/>
      <c r="P53" s="805"/>
      <c r="Q53" s="497">
        <f t="shared" si="14"/>
        <v>0</v>
      </c>
      <c r="R53" s="498" t="str">
        <f xml:space="preserve">
IF(表紙!$X$2="事前協議","－",
IF(表紙!$X$2="交付申請（２次）","－",
IF(表紙!$X$2="変更申請","－",
IF(AND(表紙!$X$2="実績報告（１次）",AL53="◎"),COUNTIF($AL$13:AL53,"◎"),
IF(AND(表紙!$X$2="実績報告（１次）",OR(AL53="×",AL53="○")),"",
IF(表紙!$X$2="実績報告（２次）","－",
IF(表紙!$X$2="交付申請兼実績報告","－")))))))</f>
        <v>－</v>
      </c>
      <c r="S53" s="498" t="str">
        <f t="shared" si="11"/>
        <v/>
      </c>
      <c r="U53" s="610" t="str">
        <f t="shared" si="12"/>
        <v/>
      </c>
      <c r="V53" s="701" t="str">
        <f t="shared" si="5"/>
        <v/>
      </c>
      <c r="W53" s="701" t="str">
        <f t="shared" si="6"/>
        <v/>
      </c>
      <c r="X53" s="701" t="str">
        <f t="shared" si="7"/>
        <v/>
      </c>
      <c r="Y53" s="500" t="str">
        <f t="shared" si="8"/>
        <v/>
      </c>
      <c r="AJ53" s="468" t="s">
        <v>468</v>
      </c>
      <c r="AK53" s="499">
        <v>41</v>
      </c>
      <c r="AL53" s="467" t="str">
        <f t="shared" si="13"/>
        <v>○</v>
      </c>
      <c r="AM53" s="475" t="str">
        <f t="shared" si="9"/>
        <v>申請しない場合は入力不要です。</v>
      </c>
      <c r="AO53" s="475">
        <f t="shared" si="0"/>
        <v>0</v>
      </c>
    </row>
    <row r="54" spans="1:41" ht="20.100000000000001" customHeight="1">
      <c r="A54" s="494">
        <v>42</v>
      </c>
      <c r="B54" s="206"/>
      <c r="C54" s="207"/>
      <c r="D54" s="1859"/>
      <c r="E54" s="1860"/>
      <c r="F54" s="1861"/>
      <c r="G54" s="208"/>
      <c r="H54" s="208"/>
      <c r="I54" s="209"/>
      <c r="J54" s="495">
        <f t="shared" si="1"/>
        <v>0</v>
      </c>
      <c r="K54" s="496">
        <f t="shared" si="2"/>
        <v>0</v>
      </c>
      <c r="L54" s="496" t="str">
        <f t="shared" si="3"/>
        <v/>
      </c>
      <c r="M54" s="496" t="str">
        <f t="shared" si="4"/>
        <v/>
      </c>
      <c r="N54" s="805"/>
      <c r="O54" s="805"/>
      <c r="P54" s="805"/>
      <c r="Q54" s="497">
        <f t="shared" si="14"/>
        <v>0</v>
      </c>
      <c r="R54" s="498" t="str">
        <f xml:space="preserve">
IF(表紙!$X$2="事前協議","－",
IF(表紙!$X$2="交付申請（２次）","－",
IF(表紙!$X$2="変更申請","－",
IF(AND(表紙!$X$2="実績報告（１次）",AL54="◎"),COUNTIF($AL$13:AL54,"◎"),
IF(AND(表紙!$X$2="実績報告（１次）",OR(AL54="×",AL54="○")),"",
IF(表紙!$X$2="実績報告（２次）","－",
IF(表紙!$X$2="交付申請兼実績報告","－")))))))</f>
        <v>－</v>
      </c>
      <c r="S54" s="498" t="str">
        <f t="shared" si="11"/>
        <v/>
      </c>
      <c r="U54" s="610" t="str">
        <f t="shared" si="12"/>
        <v/>
      </c>
      <c r="V54" s="701" t="str">
        <f t="shared" si="5"/>
        <v/>
      </c>
      <c r="W54" s="701" t="str">
        <f t="shared" si="6"/>
        <v/>
      </c>
      <c r="X54" s="701" t="str">
        <f t="shared" si="7"/>
        <v/>
      </c>
      <c r="Y54" s="500" t="str">
        <f t="shared" si="8"/>
        <v/>
      </c>
      <c r="AJ54" s="468" t="s">
        <v>468</v>
      </c>
      <c r="AK54" s="499">
        <v>42</v>
      </c>
      <c r="AL54" s="467" t="str">
        <f t="shared" si="13"/>
        <v>○</v>
      </c>
      <c r="AM54" s="475" t="str">
        <f t="shared" si="9"/>
        <v>申請しない場合は入力不要です。</v>
      </c>
      <c r="AO54" s="475">
        <f t="shared" si="0"/>
        <v>0</v>
      </c>
    </row>
    <row r="55" spans="1:41" ht="20.100000000000001" customHeight="1">
      <c r="A55" s="494">
        <v>43</v>
      </c>
      <c r="B55" s="206"/>
      <c r="C55" s="207"/>
      <c r="D55" s="1859"/>
      <c r="E55" s="1860"/>
      <c r="F55" s="1861"/>
      <c r="G55" s="208"/>
      <c r="H55" s="208"/>
      <c r="I55" s="209"/>
      <c r="J55" s="495">
        <f t="shared" si="1"/>
        <v>0</v>
      </c>
      <c r="K55" s="496">
        <f t="shared" si="2"/>
        <v>0</v>
      </c>
      <c r="L55" s="496" t="str">
        <f t="shared" si="3"/>
        <v/>
      </c>
      <c r="M55" s="496" t="str">
        <f t="shared" si="4"/>
        <v/>
      </c>
      <c r="N55" s="805"/>
      <c r="O55" s="805"/>
      <c r="P55" s="805"/>
      <c r="Q55" s="497">
        <f t="shared" si="14"/>
        <v>0</v>
      </c>
      <c r="R55" s="498" t="str">
        <f xml:space="preserve">
IF(表紙!$X$2="事前協議","－",
IF(表紙!$X$2="交付申請（２次）","－",
IF(表紙!$X$2="変更申請","－",
IF(AND(表紙!$X$2="実績報告（１次）",AL55="◎"),COUNTIF($AL$13:AL55,"◎"),
IF(AND(表紙!$X$2="実績報告（１次）",OR(AL55="×",AL55="○")),"",
IF(表紙!$X$2="実績報告（２次）","－",
IF(表紙!$X$2="交付申請兼実績報告","－")))))))</f>
        <v>－</v>
      </c>
      <c r="S55" s="498" t="str">
        <f t="shared" si="11"/>
        <v/>
      </c>
      <c r="U55" s="610" t="str">
        <f t="shared" si="12"/>
        <v/>
      </c>
      <c r="V55" s="701" t="str">
        <f t="shared" si="5"/>
        <v/>
      </c>
      <c r="W55" s="701" t="str">
        <f t="shared" si="6"/>
        <v/>
      </c>
      <c r="X55" s="701" t="str">
        <f t="shared" si="7"/>
        <v/>
      </c>
      <c r="Y55" s="500" t="str">
        <f t="shared" si="8"/>
        <v/>
      </c>
      <c r="AJ55" s="468" t="s">
        <v>468</v>
      </c>
      <c r="AK55" s="499">
        <v>43</v>
      </c>
      <c r="AL55" s="467" t="str">
        <f t="shared" si="13"/>
        <v>○</v>
      </c>
      <c r="AM55" s="475" t="str">
        <f t="shared" si="9"/>
        <v>申請しない場合は入力不要です。</v>
      </c>
      <c r="AO55" s="475">
        <f t="shared" si="0"/>
        <v>0</v>
      </c>
    </row>
    <row r="56" spans="1:41" ht="20.100000000000001" customHeight="1">
      <c r="A56" s="494">
        <v>44</v>
      </c>
      <c r="B56" s="206"/>
      <c r="C56" s="207"/>
      <c r="D56" s="1859"/>
      <c r="E56" s="1860"/>
      <c r="F56" s="1861"/>
      <c r="G56" s="208"/>
      <c r="H56" s="208"/>
      <c r="I56" s="209"/>
      <c r="J56" s="495">
        <f t="shared" si="1"/>
        <v>0</v>
      </c>
      <c r="K56" s="496">
        <f t="shared" si="2"/>
        <v>0</v>
      </c>
      <c r="L56" s="496" t="str">
        <f t="shared" si="3"/>
        <v/>
      </c>
      <c r="M56" s="496" t="str">
        <f t="shared" si="4"/>
        <v/>
      </c>
      <c r="N56" s="805"/>
      <c r="O56" s="805"/>
      <c r="P56" s="805"/>
      <c r="Q56" s="497">
        <f t="shared" si="14"/>
        <v>0</v>
      </c>
      <c r="R56" s="498" t="str">
        <f xml:space="preserve">
IF(表紙!$X$2="事前協議","－",
IF(表紙!$X$2="交付申請（２次）","－",
IF(表紙!$X$2="変更申請","－",
IF(AND(表紙!$X$2="実績報告（１次）",AL56="◎"),COUNTIF($AL$13:AL56,"◎"),
IF(AND(表紙!$X$2="実績報告（１次）",OR(AL56="×",AL56="○")),"",
IF(表紙!$X$2="実績報告（２次）","－",
IF(表紙!$X$2="交付申請兼実績報告","－")))))))</f>
        <v>－</v>
      </c>
      <c r="S56" s="498" t="str">
        <f t="shared" si="11"/>
        <v/>
      </c>
      <c r="U56" s="610" t="str">
        <f t="shared" si="12"/>
        <v/>
      </c>
      <c r="V56" s="701" t="str">
        <f t="shared" si="5"/>
        <v/>
      </c>
      <c r="W56" s="701" t="str">
        <f t="shared" si="6"/>
        <v/>
      </c>
      <c r="X56" s="701" t="str">
        <f t="shared" si="7"/>
        <v/>
      </c>
      <c r="Y56" s="500" t="str">
        <f t="shared" si="8"/>
        <v/>
      </c>
      <c r="AJ56" s="468" t="s">
        <v>468</v>
      </c>
      <c r="AK56" s="499">
        <v>44</v>
      </c>
      <c r="AL56" s="467" t="str">
        <f t="shared" si="13"/>
        <v>○</v>
      </c>
      <c r="AM56" s="475" t="str">
        <f t="shared" si="9"/>
        <v>申請しない場合は入力不要です。</v>
      </c>
      <c r="AO56" s="475">
        <f t="shared" si="0"/>
        <v>0</v>
      </c>
    </row>
    <row r="57" spans="1:41" ht="20.100000000000001" customHeight="1">
      <c r="A57" s="494">
        <v>45</v>
      </c>
      <c r="B57" s="206"/>
      <c r="C57" s="207"/>
      <c r="D57" s="1859"/>
      <c r="E57" s="1860"/>
      <c r="F57" s="1861"/>
      <c r="G57" s="208"/>
      <c r="H57" s="208"/>
      <c r="I57" s="209"/>
      <c r="J57" s="495">
        <f t="shared" si="1"/>
        <v>0</v>
      </c>
      <c r="K57" s="496">
        <f t="shared" si="2"/>
        <v>0</v>
      </c>
      <c r="L57" s="496" t="str">
        <f t="shared" si="3"/>
        <v/>
      </c>
      <c r="M57" s="496" t="str">
        <f t="shared" si="4"/>
        <v/>
      </c>
      <c r="N57" s="805"/>
      <c r="O57" s="805"/>
      <c r="P57" s="805"/>
      <c r="Q57" s="497">
        <f t="shared" si="14"/>
        <v>0</v>
      </c>
      <c r="R57" s="498" t="str">
        <f xml:space="preserve">
IF(表紙!$X$2="事前協議","－",
IF(表紙!$X$2="交付申請（２次）","－",
IF(表紙!$X$2="変更申請","－",
IF(AND(表紙!$X$2="実績報告（１次）",AL57="◎"),COUNTIF($AL$13:AL57,"◎"),
IF(AND(表紙!$X$2="実績報告（１次）",OR(AL57="×",AL57="○")),"",
IF(表紙!$X$2="実績報告（２次）","－",
IF(表紙!$X$2="交付申請兼実績報告","－")))))))</f>
        <v>－</v>
      </c>
      <c r="S57" s="498" t="str">
        <f t="shared" si="11"/>
        <v/>
      </c>
      <c r="U57" s="610" t="str">
        <f t="shared" si="12"/>
        <v/>
      </c>
      <c r="V57" s="701" t="str">
        <f t="shared" si="5"/>
        <v/>
      </c>
      <c r="W57" s="701" t="str">
        <f t="shared" si="6"/>
        <v/>
      </c>
      <c r="X57" s="701" t="str">
        <f t="shared" si="7"/>
        <v/>
      </c>
      <c r="Y57" s="500" t="str">
        <f t="shared" si="8"/>
        <v/>
      </c>
      <c r="AJ57" s="468" t="s">
        <v>468</v>
      </c>
      <c r="AK57" s="499">
        <v>45</v>
      </c>
      <c r="AL57" s="467" t="str">
        <f t="shared" si="13"/>
        <v>○</v>
      </c>
      <c r="AM57" s="475" t="str">
        <f t="shared" si="9"/>
        <v>申請しない場合は入力不要です。</v>
      </c>
      <c r="AO57" s="475">
        <f t="shared" si="0"/>
        <v>0</v>
      </c>
    </row>
    <row r="58" spans="1:41" ht="20.100000000000001" customHeight="1">
      <c r="A58" s="494">
        <v>46</v>
      </c>
      <c r="B58" s="206"/>
      <c r="C58" s="207"/>
      <c r="D58" s="1859"/>
      <c r="E58" s="1860"/>
      <c r="F58" s="1861"/>
      <c r="G58" s="208"/>
      <c r="H58" s="208"/>
      <c r="I58" s="209"/>
      <c r="J58" s="495">
        <f t="shared" si="1"/>
        <v>0</v>
      </c>
      <c r="K58" s="496">
        <f t="shared" si="2"/>
        <v>0</v>
      </c>
      <c r="L58" s="496" t="str">
        <f t="shared" si="3"/>
        <v/>
      </c>
      <c r="M58" s="496" t="str">
        <f t="shared" si="4"/>
        <v/>
      </c>
      <c r="N58" s="805"/>
      <c r="O58" s="805"/>
      <c r="P58" s="805"/>
      <c r="Q58" s="497">
        <f t="shared" si="14"/>
        <v>0</v>
      </c>
      <c r="R58" s="498" t="str">
        <f xml:space="preserve">
IF(表紙!$X$2="事前協議","－",
IF(表紙!$X$2="交付申請（２次）","－",
IF(表紙!$X$2="変更申請","－",
IF(AND(表紙!$X$2="実績報告（１次）",AL58="◎"),COUNTIF($AL$13:AL58,"◎"),
IF(AND(表紙!$X$2="実績報告（１次）",OR(AL58="×",AL58="○")),"",
IF(表紙!$X$2="実績報告（２次）","－",
IF(表紙!$X$2="交付申請兼実績報告","－")))))))</f>
        <v>－</v>
      </c>
      <c r="S58" s="498" t="str">
        <f t="shared" si="11"/>
        <v/>
      </c>
      <c r="U58" s="610" t="str">
        <f t="shared" si="12"/>
        <v/>
      </c>
      <c r="V58" s="701" t="str">
        <f t="shared" si="5"/>
        <v/>
      </c>
      <c r="W58" s="701" t="str">
        <f t="shared" si="6"/>
        <v/>
      </c>
      <c r="X58" s="701" t="str">
        <f t="shared" si="7"/>
        <v/>
      </c>
      <c r="Y58" s="500" t="str">
        <f t="shared" si="8"/>
        <v/>
      </c>
      <c r="AJ58" s="468" t="s">
        <v>468</v>
      </c>
      <c r="AK58" s="499">
        <v>46</v>
      </c>
      <c r="AL58" s="467" t="str">
        <f t="shared" si="13"/>
        <v>○</v>
      </c>
      <c r="AM58" s="475" t="str">
        <f t="shared" si="9"/>
        <v>申請しない場合は入力不要です。</v>
      </c>
      <c r="AO58" s="475">
        <f t="shared" si="0"/>
        <v>0</v>
      </c>
    </row>
    <row r="59" spans="1:41" ht="20.100000000000001" customHeight="1">
      <c r="A59" s="494">
        <v>47</v>
      </c>
      <c r="B59" s="206"/>
      <c r="C59" s="207"/>
      <c r="D59" s="1859"/>
      <c r="E59" s="1860"/>
      <c r="F59" s="1861"/>
      <c r="G59" s="208"/>
      <c r="H59" s="208"/>
      <c r="I59" s="209"/>
      <c r="J59" s="495">
        <f t="shared" si="1"/>
        <v>0</v>
      </c>
      <c r="K59" s="496">
        <f t="shared" si="2"/>
        <v>0</v>
      </c>
      <c r="L59" s="496" t="str">
        <f t="shared" si="3"/>
        <v/>
      </c>
      <c r="M59" s="496" t="str">
        <f t="shared" si="4"/>
        <v/>
      </c>
      <c r="N59" s="805"/>
      <c r="O59" s="805"/>
      <c r="P59" s="805"/>
      <c r="Q59" s="497">
        <f t="shared" si="14"/>
        <v>0</v>
      </c>
      <c r="R59" s="498" t="str">
        <f xml:space="preserve">
IF(表紙!$X$2="事前協議","－",
IF(表紙!$X$2="交付申請（２次）","－",
IF(表紙!$X$2="変更申請","－",
IF(AND(表紙!$X$2="実績報告（１次）",AL59="◎"),COUNTIF($AL$13:AL59,"◎"),
IF(AND(表紙!$X$2="実績報告（１次）",OR(AL59="×",AL59="○")),"",
IF(表紙!$X$2="実績報告（２次）","－",
IF(表紙!$X$2="交付申請兼実績報告","－")))))))</f>
        <v>－</v>
      </c>
      <c r="S59" s="498" t="str">
        <f t="shared" si="11"/>
        <v/>
      </c>
      <c r="U59" s="610" t="str">
        <f t="shared" si="12"/>
        <v/>
      </c>
      <c r="V59" s="701" t="str">
        <f t="shared" si="5"/>
        <v/>
      </c>
      <c r="W59" s="701" t="str">
        <f t="shared" si="6"/>
        <v/>
      </c>
      <c r="X59" s="701" t="str">
        <f t="shared" si="7"/>
        <v/>
      </c>
      <c r="Y59" s="500" t="str">
        <f t="shared" si="8"/>
        <v/>
      </c>
      <c r="AJ59" s="468" t="s">
        <v>468</v>
      </c>
      <c r="AK59" s="499">
        <v>47</v>
      </c>
      <c r="AL59" s="467" t="str">
        <f t="shared" si="13"/>
        <v>○</v>
      </c>
      <c r="AM59" s="475" t="str">
        <f t="shared" si="9"/>
        <v>申請しない場合は入力不要です。</v>
      </c>
      <c r="AO59" s="475">
        <f t="shared" si="0"/>
        <v>0</v>
      </c>
    </row>
    <row r="60" spans="1:41" ht="20.100000000000001" customHeight="1">
      <c r="A60" s="494">
        <v>48</v>
      </c>
      <c r="B60" s="206"/>
      <c r="C60" s="207"/>
      <c r="D60" s="1859"/>
      <c r="E60" s="1860"/>
      <c r="F60" s="1861"/>
      <c r="G60" s="208"/>
      <c r="H60" s="208"/>
      <c r="I60" s="209"/>
      <c r="J60" s="495">
        <f t="shared" si="1"/>
        <v>0</v>
      </c>
      <c r="K60" s="496">
        <f t="shared" si="2"/>
        <v>0</v>
      </c>
      <c r="L60" s="496" t="str">
        <f t="shared" si="3"/>
        <v/>
      </c>
      <c r="M60" s="496" t="str">
        <f t="shared" si="4"/>
        <v/>
      </c>
      <c r="N60" s="805"/>
      <c r="O60" s="805"/>
      <c r="P60" s="805"/>
      <c r="Q60" s="497">
        <f t="shared" si="14"/>
        <v>0</v>
      </c>
      <c r="R60" s="498" t="str">
        <f xml:space="preserve">
IF(表紙!$X$2="事前協議","－",
IF(表紙!$X$2="交付申請（２次）","－",
IF(表紙!$X$2="変更申請","－",
IF(AND(表紙!$X$2="実績報告（１次）",AL60="◎"),COUNTIF($AL$13:AL60,"◎"),
IF(AND(表紙!$X$2="実績報告（１次）",OR(AL60="×",AL60="○")),"",
IF(表紙!$X$2="実績報告（２次）","－",
IF(表紙!$X$2="交付申請兼実績報告","－")))))))</f>
        <v>－</v>
      </c>
      <c r="S60" s="498" t="str">
        <f t="shared" si="11"/>
        <v/>
      </c>
      <c r="U60" s="610" t="str">
        <f t="shared" si="12"/>
        <v/>
      </c>
      <c r="V60" s="701" t="str">
        <f t="shared" si="5"/>
        <v/>
      </c>
      <c r="W60" s="701" t="str">
        <f t="shared" si="6"/>
        <v/>
      </c>
      <c r="X60" s="701" t="str">
        <f t="shared" si="7"/>
        <v/>
      </c>
      <c r="Y60" s="500" t="str">
        <f t="shared" si="8"/>
        <v/>
      </c>
      <c r="AJ60" s="468" t="s">
        <v>468</v>
      </c>
      <c r="AK60" s="499">
        <v>48</v>
      </c>
      <c r="AL60" s="467" t="str">
        <f t="shared" si="13"/>
        <v>○</v>
      </c>
      <c r="AM60" s="475" t="str">
        <f t="shared" si="9"/>
        <v>申請しない場合は入力不要です。</v>
      </c>
      <c r="AO60" s="475">
        <f t="shared" si="0"/>
        <v>0</v>
      </c>
    </row>
    <row r="61" spans="1:41" ht="20.100000000000001" customHeight="1">
      <c r="A61" s="494">
        <v>49</v>
      </c>
      <c r="B61" s="206"/>
      <c r="C61" s="207"/>
      <c r="D61" s="1859"/>
      <c r="E61" s="1860"/>
      <c r="F61" s="1861"/>
      <c r="G61" s="208"/>
      <c r="H61" s="208"/>
      <c r="I61" s="209"/>
      <c r="J61" s="495">
        <f t="shared" si="1"/>
        <v>0</v>
      </c>
      <c r="K61" s="496">
        <f t="shared" si="2"/>
        <v>0</v>
      </c>
      <c r="L61" s="496" t="str">
        <f t="shared" si="3"/>
        <v/>
      </c>
      <c r="M61" s="496" t="str">
        <f t="shared" si="4"/>
        <v/>
      </c>
      <c r="N61" s="805"/>
      <c r="O61" s="805"/>
      <c r="P61" s="805"/>
      <c r="Q61" s="497">
        <f t="shared" si="14"/>
        <v>0</v>
      </c>
      <c r="R61" s="498" t="str">
        <f xml:space="preserve">
IF(表紙!$X$2="事前協議","－",
IF(表紙!$X$2="交付申請（２次）","－",
IF(表紙!$X$2="変更申請","－",
IF(AND(表紙!$X$2="実績報告（１次）",AL61="◎"),COUNTIF($AL$13:AL61,"◎"),
IF(AND(表紙!$X$2="実績報告（１次）",OR(AL61="×",AL61="○")),"",
IF(表紙!$X$2="実績報告（２次）","－",
IF(表紙!$X$2="交付申請兼実績報告","－")))))))</f>
        <v>－</v>
      </c>
      <c r="S61" s="498" t="str">
        <f t="shared" si="11"/>
        <v/>
      </c>
      <c r="U61" s="610" t="str">
        <f t="shared" si="12"/>
        <v/>
      </c>
      <c r="V61" s="701" t="str">
        <f t="shared" si="5"/>
        <v/>
      </c>
      <c r="W61" s="701" t="str">
        <f t="shared" si="6"/>
        <v/>
      </c>
      <c r="X61" s="701" t="str">
        <f t="shared" si="7"/>
        <v/>
      </c>
      <c r="Y61" s="500" t="str">
        <f t="shared" si="8"/>
        <v/>
      </c>
      <c r="AJ61" s="468" t="s">
        <v>468</v>
      </c>
      <c r="AK61" s="499">
        <v>49</v>
      </c>
      <c r="AL61" s="467" t="str">
        <f t="shared" si="13"/>
        <v>○</v>
      </c>
      <c r="AM61" s="475" t="str">
        <f t="shared" si="9"/>
        <v>申請しない場合は入力不要です。</v>
      </c>
      <c r="AO61" s="475">
        <f t="shared" si="0"/>
        <v>0</v>
      </c>
    </row>
    <row r="62" spans="1:41" ht="20.100000000000001" customHeight="1">
      <c r="A62" s="494">
        <v>50</v>
      </c>
      <c r="B62" s="206"/>
      <c r="C62" s="207"/>
      <c r="D62" s="1859"/>
      <c r="E62" s="1860"/>
      <c r="F62" s="1861"/>
      <c r="G62" s="208"/>
      <c r="H62" s="208"/>
      <c r="I62" s="209"/>
      <c r="J62" s="495">
        <f t="shared" si="1"/>
        <v>0</v>
      </c>
      <c r="K62" s="496">
        <f t="shared" si="2"/>
        <v>0</v>
      </c>
      <c r="L62" s="496" t="str">
        <f t="shared" si="3"/>
        <v/>
      </c>
      <c r="M62" s="496" t="str">
        <f t="shared" si="4"/>
        <v/>
      </c>
      <c r="N62" s="805"/>
      <c r="O62" s="805"/>
      <c r="P62" s="805"/>
      <c r="Q62" s="497">
        <f t="shared" si="14"/>
        <v>0</v>
      </c>
      <c r="R62" s="498" t="str">
        <f xml:space="preserve">
IF(表紙!$X$2="事前協議","－",
IF(表紙!$X$2="交付申請（２次）","－",
IF(表紙!$X$2="変更申請","－",
IF(AND(表紙!$X$2="実績報告（１次）",AL62="◎"),COUNTIF($AL$13:AL62,"◎"),
IF(AND(表紙!$X$2="実績報告（１次）",OR(AL62="×",AL62="○")),"",
IF(表紙!$X$2="実績報告（２次）","－",
IF(表紙!$X$2="交付申請兼実績報告","－")))))))</f>
        <v>－</v>
      </c>
      <c r="S62" s="498" t="str">
        <f t="shared" si="11"/>
        <v/>
      </c>
      <c r="U62" s="610" t="str">
        <f t="shared" si="12"/>
        <v/>
      </c>
      <c r="V62" s="701" t="str">
        <f t="shared" si="5"/>
        <v/>
      </c>
      <c r="W62" s="701" t="str">
        <f t="shared" si="6"/>
        <v/>
      </c>
      <c r="X62" s="701" t="str">
        <f t="shared" si="7"/>
        <v/>
      </c>
      <c r="Y62" s="500" t="str">
        <f t="shared" si="8"/>
        <v/>
      </c>
      <c r="AJ62" s="468" t="s">
        <v>468</v>
      </c>
      <c r="AK62" s="499">
        <v>50</v>
      </c>
      <c r="AL62" s="467" t="str">
        <f t="shared" si="13"/>
        <v>○</v>
      </c>
      <c r="AM62" s="475" t="str">
        <f t="shared" si="9"/>
        <v>申請しない場合は入力不要です。</v>
      </c>
      <c r="AO62" s="475">
        <f t="shared" si="0"/>
        <v>0</v>
      </c>
    </row>
    <row r="63" spans="1:41" ht="20.100000000000001" customHeight="1">
      <c r="A63" s="494">
        <v>51</v>
      </c>
      <c r="B63" s="206"/>
      <c r="C63" s="207"/>
      <c r="D63" s="1859"/>
      <c r="E63" s="1860"/>
      <c r="F63" s="1861"/>
      <c r="G63" s="208"/>
      <c r="H63" s="208"/>
      <c r="I63" s="209"/>
      <c r="J63" s="495">
        <f t="shared" si="1"/>
        <v>0</v>
      </c>
      <c r="K63" s="496">
        <f t="shared" si="2"/>
        <v>0</v>
      </c>
      <c r="L63" s="496" t="str">
        <f t="shared" si="3"/>
        <v/>
      </c>
      <c r="M63" s="496" t="str">
        <f t="shared" si="4"/>
        <v/>
      </c>
      <c r="N63" s="805"/>
      <c r="O63" s="805"/>
      <c r="P63" s="805"/>
      <c r="Q63" s="497">
        <f t="shared" si="14"/>
        <v>0</v>
      </c>
      <c r="R63" s="498" t="str">
        <f xml:space="preserve">
IF(表紙!$X$2="事前協議","－",
IF(表紙!$X$2="交付申請（２次）","－",
IF(表紙!$X$2="変更申請","－",
IF(AND(表紙!$X$2="実績報告（１次）",AL63="◎"),COUNTIF($AL$13:AL63,"◎"),
IF(AND(表紙!$X$2="実績報告（１次）",OR(AL63="×",AL63="○")),"",
IF(表紙!$X$2="実績報告（２次）","－",
IF(表紙!$X$2="交付申請兼実績報告","－")))))))</f>
        <v>－</v>
      </c>
      <c r="S63" s="498" t="str">
        <f t="shared" si="11"/>
        <v/>
      </c>
      <c r="U63" s="610" t="str">
        <f t="shared" si="12"/>
        <v/>
      </c>
      <c r="V63" s="701" t="str">
        <f t="shared" si="5"/>
        <v/>
      </c>
      <c r="W63" s="701" t="str">
        <f t="shared" si="6"/>
        <v/>
      </c>
      <c r="X63" s="701" t="str">
        <f t="shared" si="7"/>
        <v/>
      </c>
      <c r="Y63" s="500" t="str">
        <f t="shared" si="8"/>
        <v/>
      </c>
      <c r="AJ63" s="468" t="s">
        <v>468</v>
      </c>
      <c r="AK63" s="499">
        <v>51</v>
      </c>
      <c r="AL63" s="467" t="str">
        <f t="shared" si="13"/>
        <v>○</v>
      </c>
      <c r="AM63" s="475" t="str">
        <f t="shared" si="9"/>
        <v>申請しない場合は入力不要です。</v>
      </c>
      <c r="AO63" s="475">
        <f t="shared" si="0"/>
        <v>0</v>
      </c>
    </row>
    <row r="64" spans="1:41" ht="20.100000000000001" customHeight="1">
      <c r="A64" s="494">
        <v>52</v>
      </c>
      <c r="B64" s="206"/>
      <c r="C64" s="207"/>
      <c r="D64" s="1859"/>
      <c r="E64" s="1860"/>
      <c r="F64" s="1861"/>
      <c r="G64" s="208"/>
      <c r="H64" s="208"/>
      <c r="I64" s="209"/>
      <c r="J64" s="495">
        <f t="shared" si="1"/>
        <v>0</v>
      </c>
      <c r="K64" s="496">
        <f t="shared" si="2"/>
        <v>0</v>
      </c>
      <c r="L64" s="496" t="str">
        <f t="shared" si="3"/>
        <v/>
      </c>
      <c r="M64" s="496" t="str">
        <f t="shared" si="4"/>
        <v/>
      </c>
      <c r="N64" s="805"/>
      <c r="O64" s="805"/>
      <c r="P64" s="805"/>
      <c r="Q64" s="497">
        <f t="shared" si="14"/>
        <v>0</v>
      </c>
      <c r="R64" s="498" t="str">
        <f xml:space="preserve">
IF(表紙!$X$2="事前協議","－",
IF(表紙!$X$2="交付申請（２次）","－",
IF(表紙!$X$2="変更申請","－",
IF(AND(表紙!$X$2="実績報告（１次）",AL64="◎"),COUNTIF($AL$13:AL64,"◎"),
IF(AND(表紙!$X$2="実績報告（１次）",OR(AL64="×",AL64="○")),"",
IF(表紙!$X$2="実績報告（２次）","－",
IF(表紙!$X$2="交付申請兼実績報告","－")))))))</f>
        <v>－</v>
      </c>
      <c r="S64" s="498" t="str">
        <f t="shared" si="11"/>
        <v/>
      </c>
      <c r="U64" s="610" t="str">
        <f t="shared" si="12"/>
        <v/>
      </c>
      <c r="V64" s="701" t="str">
        <f t="shared" si="5"/>
        <v/>
      </c>
      <c r="W64" s="701" t="str">
        <f t="shared" si="6"/>
        <v/>
      </c>
      <c r="X64" s="701" t="str">
        <f t="shared" si="7"/>
        <v/>
      </c>
      <c r="Y64" s="500" t="str">
        <f t="shared" si="8"/>
        <v/>
      </c>
      <c r="AJ64" s="468" t="s">
        <v>468</v>
      </c>
      <c r="AK64" s="499">
        <v>52</v>
      </c>
      <c r="AL64" s="467" t="str">
        <f t="shared" si="13"/>
        <v>○</v>
      </c>
      <c r="AM64" s="475" t="str">
        <f t="shared" si="9"/>
        <v>申請しない場合は入力不要です。</v>
      </c>
      <c r="AO64" s="475">
        <f t="shared" si="0"/>
        <v>0</v>
      </c>
    </row>
    <row r="65" spans="1:41" ht="20.100000000000001" customHeight="1">
      <c r="A65" s="494">
        <v>53</v>
      </c>
      <c r="B65" s="206"/>
      <c r="C65" s="207"/>
      <c r="D65" s="1859"/>
      <c r="E65" s="1860"/>
      <c r="F65" s="1861"/>
      <c r="G65" s="208"/>
      <c r="H65" s="208"/>
      <c r="I65" s="209"/>
      <c r="J65" s="495">
        <f t="shared" si="1"/>
        <v>0</v>
      </c>
      <c r="K65" s="496">
        <f t="shared" si="2"/>
        <v>0</v>
      </c>
      <c r="L65" s="496" t="str">
        <f t="shared" si="3"/>
        <v/>
      </c>
      <c r="M65" s="496" t="str">
        <f t="shared" si="4"/>
        <v/>
      </c>
      <c r="N65" s="805"/>
      <c r="O65" s="805"/>
      <c r="P65" s="805"/>
      <c r="Q65" s="497">
        <f t="shared" si="14"/>
        <v>0</v>
      </c>
      <c r="R65" s="498" t="str">
        <f xml:space="preserve">
IF(表紙!$X$2="事前協議","－",
IF(表紙!$X$2="交付申請（２次）","－",
IF(表紙!$X$2="変更申請","－",
IF(AND(表紙!$X$2="実績報告（１次）",AL65="◎"),COUNTIF($AL$13:AL65,"◎"),
IF(AND(表紙!$X$2="実績報告（１次）",OR(AL65="×",AL65="○")),"",
IF(表紙!$X$2="実績報告（２次）","－",
IF(表紙!$X$2="交付申請兼実績報告","－")))))))</f>
        <v>－</v>
      </c>
      <c r="S65" s="498" t="str">
        <f t="shared" si="11"/>
        <v/>
      </c>
      <c r="U65" s="610" t="str">
        <f t="shared" si="12"/>
        <v/>
      </c>
      <c r="V65" s="701" t="str">
        <f t="shared" si="5"/>
        <v/>
      </c>
      <c r="W65" s="701" t="str">
        <f t="shared" si="6"/>
        <v/>
      </c>
      <c r="X65" s="701" t="str">
        <f t="shared" si="7"/>
        <v/>
      </c>
      <c r="Y65" s="500" t="str">
        <f t="shared" si="8"/>
        <v/>
      </c>
      <c r="AJ65" s="468" t="s">
        <v>468</v>
      </c>
      <c r="AK65" s="499">
        <v>53</v>
      </c>
      <c r="AL65" s="467" t="str">
        <f t="shared" si="13"/>
        <v>○</v>
      </c>
      <c r="AM65" s="475" t="str">
        <f t="shared" si="9"/>
        <v>申請しない場合は入力不要です。</v>
      </c>
      <c r="AO65" s="475">
        <f t="shared" si="0"/>
        <v>0</v>
      </c>
    </row>
    <row r="66" spans="1:41" ht="20.100000000000001" customHeight="1">
      <c r="A66" s="494">
        <v>54</v>
      </c>
      <c r="B66" s="206"/>
      <c r="C66" s="207"/>
      <c r="D66" s="1859"/>
      <c r="E66" s="1860"/>
      <c r="F66" s="1861"/>
      <c r="G66" s="208"/>
      <c r="H66" s="208"/>
      <c r="I66" s="209"/>
      <c r="J66" s="495">
        <f t="shared" si="1"/>
        <v>0</v>
      </c>
      <c r="K66" s="496">
        <f t="shared" si="2"/>
        <v>0</v>
      </c>
      <c r="L66" s="496" t="str">
        <f t="shared" si="3"/>
        <v/>
      </c>
      <c r="M66" s="496" t="str">
        <f t="shared" si="4"/>
        <v/>
      </c>
      <c r="N66" s="805"/>
      <c r="O66" s="805"/>
      <c r="P66" s="805"/>
      <c r="Q66" s="497">
        <f t="shared" si="14"/>
        <v>0</v>
      </c>
      <c r="R66" s="498" t="str">
        <f xml:space="preserve">
IF(表紙!$X$2="事前協議","－",
IF(表紙!$X$2="交付申請（２次）","－",
IF(表紙!$X$2="変更申請","－",
IF(AND(表紙!$X$2="実績報告（１次）",AL66="◎"),COUNTIF($AL$13:AL66,"◎"),
IF(AND(表紙!$X$2="実績報告（１次）",OR(AL66="×",AL66="○")),"",
IF(表紙!$X$2="実績報告（２次）","－",
IF(表紙!$X$2="交付申請兼実績報告","－")))))))</f>
        <v>－</v>
      </c>
      <c r="S66" s="498" t="str">
        <f t="shared" si="11"/>
        <v/>
      </c>
      <c r="U66" s="610" t="str">
        <f t="shared" si="12"/>
        <v/>
      </c>
      <c r="V66" s="701" t="str">
        <f t="shared" si="5"/>
        <v/>
      </c>
      <c r="W66" s="701" t="str">
        <f t="shared" si="6"/>
        <v/>
      </c>
      <c r="X66" s="701" t="str">
        <f t="shared" si="7"/>
        <v/>
      </c>
      <c r="Y66" s="500" t="str">
        <f t="shared" si="8"/>
        <v/>
      </c>
      <c r="AJ66" s="468" t="s">
        <v>468</v>
      </c>
      <c r="AK66" s="499">
        <v>54</v>
      </c>
      <c r="AL66" s="467" t="str">
        <f t="shared" si="13"/>
        <v>○</v>
      </c>
      <c r="AM66" s="475" t="str">
        <f t="shared" si="9"/>
        <v>申請しない場合は入力不要です。</v>
      </c>
      <c r="AO66" s="475">
        <f t="shared" si="0"/>
        <v>0</v>
      </c>
    </row>
    <row r="67" spans="1:41" ht="20.100000000000001" customHeight="1">
      <c r="A67" s="494">
        <v>55</v>
      </c>
      <c r="B67" s="206"/>
      <c r="C67" s="207"/>
      <c r="D67" s="1859"/>
      <c r="E67" s="1860"/>
      <c r="F67" s="1861"/>
      <c r="G67" s="208"/>
      <c r="H67" s="208"/>
      <c r="I67" s="209"/>
      <c r="J67" s="495">
        <f t="shared" si="1"/>
        <v>0</v>
      </c>
      <c r="K67" s="496">
        <f t="shared" si="2"/>
        <v>0</v>
      </c>
      <c r="L67" s="496" t="str">
        <f t="shared" si="3"/>
        <v/>
      </c>
      <c r="M67" s="496" t="str">
        <f t="shared" si="4"/>
        <v/>
      </c>
      <c r="N67" s="805"/>
      <c r="O67" s="805"/>
      <c r="P67" s="805"/>
      <c r="Q67" s="497">
        <f t="shared" si="14"/>
        <v>0</v>
      </c>
      <c r="R67" s="498" t="str">
        <f xml:space="preserve">
IF(表紙!$X$2="事前協議","－",
IF(表紙!$X$2="交付申請（２次）","－",
IF(表紙!$X$2="変更申請","－",
IF(AND(表紙!$X$2="実績報告（１次）",AL67="◎"),COUNTIF($AL$13:AL67,"◎"),
IF(AND(表紙!$X$2="実績報告（１次）",OR(AL67="×",AL67="○")),"",
IF(表紙!$X$2="実績報告（２次）","－",
IF(表紙!$X$2="交付申請兼実績報告","－")))))))</f>
        <v>－</v>
      </c>
      <c r="S67" s="498" t="str">
        <f t="shared" si="11"/>
        <v/>
      </c>
      <c r="U67" s="610" t="str">
        <f t="shared" si="12"/>
        <v/>
      </c>
      <c r="V67" s="701" t="str">
        <f t="shared" si="5"/>
        <v/>
      </c>
      <c r="W67" s="701" t="str">
        <f t="shared" si="6"/>
        <v/>
      </c>
      <c r="X67" s="701" t="str">
        <f t="shared" si="7"/>
        <v/>
      </c>
      <c r="Y67" s="500" t="str">
        <f t="shared" si="8"/>
        <v/>
      </c>
      <c r="AJ67" s="468" t="s">
        <v>468</v>
      </c>
      <c r="AK67" s="499">
        <v>55</v>
      </c>
      <c r="AL67" s="467" t="str">
        <f t="shared" si="13"/>
        <v>○</v>
      </c>
      <c r="AM67" s="475" t="str">
        <f t="shared" si="9"/>
        <v>申請しない場合は入力不要です。</v>
      </c>
      <c r="AO67" s="475">
        <f t="shared" si="0"/>
        <v>0</v>
      </c>
    </row>
    <row r="68" spans="1:41" ht="20.100000000000001" customHeight="1">
      <c r="A68" s="494">
        <v>56</v>
      </c>
      <c r="B68" s="206"/>
      <c r="C68" s="207"/>
      <c r="D68" s="1859"/>
      <c r="E68" s="1860"/>
      <c r="F68" s="1861"/>
      <c r="G68" s="208"/>
      <c r="H68" s="208"/>
      <c r="I68" s="209"/>
      <c r="J68" s="495">
        <f t="shared" si="1"/>
        <v>0</v>
      </c>
      <c r="K68" s="496">
        <f t="shared" si="2"/>
        <v>0</v>
      </c>
      <c r="L68" s="496" t="str">
        <f t="shared" si="3"/>
        <v/>
      </c>
      <c r="M68" s="496" t="str">
        <f t="shared" si="4"/>
        <v/>
      </c>
      <c r="N68" s="805"/>
      <c r="O68" s="805"/>
      <c r="P68" s="805"/>
      <c r="Q68" s="497">
        <f t="shared" si="14"/>
        <v>0</v>
      </c>
      <c r="R68" s="498" t="str">
        <f xml:space="preserve">
IF(表紙!$X$2="事前協議","－",
IF(表紙!$X$2="交付申請（２次）","－",
IF(表紙!$X$2="変更申請","－",
IF(AND(表紙!$X$2="実績報告（１次）",AL68="◎"),COUNTIF($AL$13:AL68,"◎"),
IF(AND(表紙!$X$2="実績報告（１次）",OR(AL68="×",AL68="○")),"",
IF(表紙!$X$2="実績報告（２次）","－",
IF(表紙!$X$2="交付申請兼実績報告","－")))))))</f>
        <v>－</v>
      </c>
      <c r="S68" s="498" t="str">
        <f t="shared" si="11"/>
        <v/>
      </c>
      <c r="U68" s="610" t="str">
        <f t="shared" si="12"/>
        <v/>
      </c>
      <c r="V68" s="701" t="str">
        <f t="shared" si="5"/>
        <v/>
      </c>
      <c r="W68" s="701" t="str">
        <f t="shared" si="6"/>
        <v/>
      </c>
      <c r="X68" s="701" t="str">
        <f t="shared" si="7"/>
        <v/>
      </c>
      <c r="Y68" s="500" t="str">
        <f t="shared" si="8"/>
        <v/>
      </c>
      <c r="AJ68" s="468" t="s">
        <v>468</v>
      </c>
      <c r="AK68" s="499">
        <v>56</v>
      </c>
      <c r="AL68" s="467" t="str">
        <f t="shared" si="13"/>
        <v>○</v>
      </c>
      <c r="AM68" s="475" t="str">
        <f t="shared" si="9"/>
        <v>申請しない場合は入力不要です。</v>
      </c>
      <c r="AO68" s="475">
        <f t="shared" si="0"/>
        <v>0</v>
      </c>
    </row>
    <row r="69" spans="1:41" ht="20.100000000000001" customHeight="1">
      <c r="A69" s="494">
        <v>57</v>
      </c>
      <c r="B69" s="206"/>
      <c r="C69" s="207"/>
      <c r="D69" s="1859"/>
      <c r="E69" s="1860"/>
      <c r="F69" s="1861"/>
      <c r="G69" s="208"/>
      <c r="H69" s="208"/>
      <c r="I69" s="209"/>
      <c r="J69" s="495">
        <f t="shared" si="1"/>
        <v>0</v>
      </c>
      <c r="K69" s="496">
        <f t="shared" si="2"/>
        <v>0</v>
      </c>
      <c r="L69" s="496" t="str">
        <f t="shared" si="3"/>
        <v/>
      </c>
      <c r="M69" s="496" t="str">
        <f t="shared" si="4"/>
        <v/>
      </c>
      <c r="N69" s="805"/>
      <c r="O69" s="805"/>
      <c r="P69" s="805"/>
      <c r="Q69" s="497">
        <f t="shared" si="14"/>
        <v>0</v>
      </c>
      <c r="R69" s="498" t="str">
        <f xml:space="preserve">
IF(表紙!$X$2="事前協議","－",
IF(表紙!$X$2="交付申請（２次）","－",
IF(表紙!$X$2="変更申請","－",
IF(AND(表紙!$X$2="実績報告（１次）",AL69="◎"),COUNTIF($AL$13:AL69,"◎"),
IF(AND(表紙!$X$2="実績報告（１次）",OR(AL69="×",AL69="○")),"",
IF(表紙!$X$2="実績報告（２次）","－",
IF(表紙!$X$2="交付申請兼実績報告","－")))))))</f>
        <v>－</v>
      </c>
      <c r="S69" s="498" t="str">
        <f t="shared" si="11"/>
        <v/>
      </c>
      <c r="U69" s="610" t="str">
        <f t="shared" si="12"/>
        <v/>
      </c>
      <c r="V69" s="701" t="str">
        <f t="shared" si="5"/>
        <v/>
      </c>
      <c r="W69" s="701" t="str">
        <f t="shared" si="6"/>
        <v/>
      </c>
      <c r="X69" s="701" t="str">
        <f t="shared" si="7"/>
        <v/>
      </c>
      <c r="Y69" s="500" t="str">
        <f t="shared" si="8"/>
        <v/>
      </c>
      <c r="AJ69" s="468" t="s">
        <v>468</v>
      </c>
      <c r="AK69" s="499">
        <v>57</v>
      </c>
      <c r="AL69" s="467" t="str">
        <f t="shared" si="13"/>
        <v>○</v>
      </c>
      <c r="AM69" s="475" t="str">
        <f t="shared" si="9"/>
        <v>申請しない場合は入力不要です。</v>
      </c>
      <c r="AO69" s="475">
        <f t="shared" si="0"/>
        <v>0</v>
      </c>
    </row>
    <row r="70" spans="1:41" ht="20.100000000000001" customHeight="1">
      <c r="A70" s="494">
        <v>58</v>
      </c>
      <c r="B70" s="206"/>
      <c r="C70" s="207"/>
      <c r="D70" s="1859"/>
      <c r="E70" s="1860"/>
      <c r="F70" s="1861"/>
      <c r="G70" s="208"/>
      <c r="H70" s="208"/>
      <c r="I70" s="209"/>
      <c r="J70" s="495">
        <f t="shared" si="1"/>
        <v>0</v>
      </c>
      <c r="K70" s="496">
        <f t="shared" si="2"/>
        <v>0</v>
      </c>
      <c r="L70" s="496" t="str">
        <f t="shared" si="3"/>
        <v/>
      </c>
      <c r="M70" s="496" t="str">
        <f t="shared" si="4"/>
        <v/>
      </c>
      <c r="N70" s="805"/>
      <c r="O70" s="805"/>
      <c r="P70" s="805"/>
      <c r="Q70" s="497">
        <f t="shared" si="14"/>
        <v>0</v>
      </c>
      <c r="R70" s="498" t="str">
        <f xml:space="preserve">
IF(表紙!$X$2="事前協議","－",
IF(表紙!$X$2="交付申請（２次）","－",
IF(表紙!$X$2="変更申請","－",
IF(AND(表紙!$X$2="実績報告（１次）",AL70="◎"),COUNTIF($AL$13:AL70,"◎"),
IF(AND(表紙!$X$2="実績報告（１次）",OR(AL70="×",AL70="○")),"",
IF(表紙!$X$2="実績報告（２次）","－",
IF(表紙!$X$2="交付申請兼実績報告","－")))))))</f>
        <v>－</v>
      </c>
      <c r="S70" s="498" t="str">
        <f t="shared" si="11"/>
        <v/>
      </c>
      <c r="U70" s="610" t="str">
        <f t="shared" si="12"/>
        <v/>
      </c>
      <c r="V70" s="701" t="str">
        <f t="shared" si="5"/>
        <v/>
      </c>
      <c r="W70" s="701" t="str">
        <f t="shared" si="6"/>
        <v/>
      </c>
      <c r="X70" s="701" t="str">
        <f t="shared" si="7"/>
        <v/>
      </c>
      <c r="Y70" s="500" t="str">
        <f t="shared" si="8"/>
        <v/>
      </c>
      <c r="AJ70" s="468" t="s">
        <v>468</v>
      </c>
      <c r="AK70" s="499">
        <v>58</v>
      </c>
      <c r="AL70" s="467" t="str">
        <f t="shared" si="13"/>
        <v>○</v>
      </c>
      <c r="AM70" s="475" t="str">
        <f t="shared" si="9"/>
        <v>申請しない場合は入力不要です。</v>
      </c>
      <c r="AO70" s="475">
        <f t="shared" si="0"/>
        <v>0</v>
      </c>
    </row>
    <row r="71" spans="1:41" ht="20.100000000000001" customHeight="1">
      <c r="A71" s="494">
        <v>59</v>
      </c>
      <c r="B71" s="206"/>
      <c r="C71" s="207"/>
      <c r="D71" s="1859"/>
      <c r="E71" s="1860"/>
      <c r="F71" s="1861"/>
      <c r="G71" s="208"/>
      <c r="H71" s="208"/>
      <c r="I71" s="209"/>
      <c r="J71" s="495">
        <f t="shared" si="1"/>
        <v>0</v>
      </c>
      <c r="K71" s="496">
        <f t="shared" si="2"/>
        <v>0</v>
      </c>
      <c r="L71" s="496" t="str">
        <f t="shared" si="3"/>
        <v/>
      </c>
      <c r="M71" s="496" t="str">
        <f t="shared" si="4"/>
        <v/>
      </c>
      <c r="N71" s="805"/>
      <c r="O71" s="805"/>
      <c r="P71" s="805"/>
      <c r="Q71" s="497">
        <f t="shared" si="14"/>
        <v>0</v>
      </c>
      <c r="R71" s="498" t="str">
        <f xml:space="preserve">
IF(表紙!$X$2="事前協議","－",
IF(表紙!$X$2="交付申請（２次）","－",
IF(表紙!$X$2="変更申請","－",
IF(AND(表紙!$X$2="実績報告（１次）",AL71="◎"),COUNTIF($AL$13:AL71,"◎"),
IF(AND(表紙!$X$2="実績報告（１次）",OR(AL71="×",AL71="○")),"",
IF(表紙!$X$2="実績報告（２次）","－",
IF(表紙!$X$2="交付申請兼実績報告","－")))))))</f>
        <v>－</v>
      </c>
      <c r="S71" s="498" t="str">
        <f t="shared" si="11"/>
        <v/>
      </c>
      <c r="U71" s="610" t="str">
        <f t="shared" si="12"/>
        <v/>
      </c>
      <c r="V71" s="701" t="str">
        <f t="shared" si="5"/>
        <v/>
      </c>
      <c r="W71" s="701" t="str">
        <f t="shared" si="6"/>
        <v/>
      </c>
      <c r="X71" s="701" t="str">
        <f t="shared" si="7"/>
        <v/>
      </c>
      <c r="Y71" s="500" t="str">
        <f t="shared" si="8"/>
        <v/>
      </c>
      <c r="AJ71" s="468" t="s">
        <v>468</v>
      </c>
      <c r="AK71" s="499">
        <v>59</v>
      </c>
      <c r="AL71" s="467" t="str">
        <f t="shared" si="13"/>
        <v>○</v>
      </c>
      <c r="AM71" s="475" t="str">
        <f t="shared" si="9"/>
        <v>申請しない場合は入力不要です。</v>
      </c>
      <c r="AO71" s="475">
        <f t="shared" si="0"/>
        <v>0</v>
      </c>
    </row>
    <row r="72" spans="1:41" ht="20.100000000000001" customHeight="1">
      <c r="A72" s="494">
        <v>60</v>
      </c>
      <c r="B72" s="206"/>
      <c r="C72" s="207"/>
      <c r="D72" s="1859"/>
      <c r="E72" s="1860"/>
      <c r="F72" s="1861"/>
      <c r="G72" s="208"/>
      <c r="H72" s="208"/>
      <c r="I72" s="209"/>
      <c r="J72" s="495">
        <f t="shared" si="1"/>
        <v>0</v>
      </c>
      <c r="K72" s="496">
        <f t="shared" si="2"/>
        <v>0</v>
      </c>
      <c r="L72" s="496" t="str">
        <f t="shared" si="3"/>
        <v/>
      </c>
      <c r="M72" s="496" t="str">
        <f t="shared" si="4"/>
        <v/>
      </c>
      <c r="N72" s="805"/>
      <c r="O72" s="805"/>
      <c r="P72" s="805"/>
      <c r="Q72" s="497">
        <f t="shared" si="14"/>
        <v>0</v>
      </c>
      <c r="R72" s="498" t="str">
        <f xml:space="preserve">
IF(表紙!$X$2="事前協議","－",
IF(表紙!$X$2="交付申請（２次）","－",
IF(表紙!$X$2="変更申請","－",
IF(AND(表紙!$X$2="実績報告（１次）",AL72="◎"),COUNTIF($AL$13:AL72,"◎"),
IF(AND(表紙!$X$2="実績報告（１次）",OR(AL72="×",AL72="○")),"",
IF(表紙!$X$2="実績報告（２次）","－",
IF(表紙!$X$2="交付申請兼実績報告","－")))))))</f>
        <v>－</v>
      </c>
      <c r="S72" s="498" t="str">
        <f t="shared" si="11"/>
        <v/>
      </c>
      <c r="U72" s="610" t="str">
        <f t="shared" si="12"/>
        <v/>
      </c>
      <c r="V72" s="701" t="str">
        <f t="shared" si="5"/>
        <v/>
      </c>
      <c r="W72" s="701" t="str">
        <f t="shared" si="6"/>
        <v/>
      </c>
      <c r="X72" s="701" t="str">
        <f t="shared" si="7"/>
        <v/>
      </c>
      <c r="Y72" s="500" t="str">
        <f t="shared" si="8"/>
        <v/>
      </c>
      <c r="AJ72" s="468" t="s">
        <v>468</v>
      </c>
      <c r="AK72" s="499">
        <v>60</v>
      </c>
      <c r="AL72" s="467" t="str">
        <f t="shared" si="13"/>
        <v>○</v>
      </c>
      <c r="AM72" s="475" t="str">
        <f t="shared" si="9"/>
        <v>申請しない場合は入力不要です。</v>
      </c>
      <c r="AO72" s="475">
        <f t="shared" si="0"/>
        <v>0</v>
      </c>
    </row>
    <row r="73" spans="1:41" ht="20.100000000000001" customHeight="1">
      <c r="A73" s="494">
        <v>61</v>
      </c>
      <c r="B73" s="206"/>
      <c r="C73" s="207"/>
      <c r="D73" s="1859"/>
      <c r="E73" s="1860"/>
      <c r="F73" s="1861"/>
      <c r="G73" s="208"/>
      <c r="H73" s="208"/>
      <c r="I73" s="209"/>
      <c r="J73" s="495">
        <f t="shared" si="1"/>
        <v>0</v>
      </c>
      <c r="K73" s="496">
        <f t="shared" si="2"/>
        <v>0</v>
      </c>
      <c r="L73" s="496" t="str">
        <f t="shared" si="3"/>
        <v/>
      </c>
      <c r="M73" s="496" t="str">
        <f t="shared" si="4"/>
        <v/>
      </c>
      <c r="N73" s="805"/>
      <c r="O73" s="805"/>
      <c r="P73" s="805"/>
      <c r="Q73" s="497">
        <f t="shared" si="14"/>
        <v>0</v>
      </c>
      <c r="R73" s="498" t="str">
        <f xml:space="preserve">
IF(表紙!$X$2="事前協議","－",
IF(表紙!$X$2="交付申請（２次）","－",
IF(表紙!$X$2="変更申請","－",
IF(AND(表紙!$X$2="実績報告（１次）",AL73="◎"),COUNTIF($AL$13:AL73,"◎"),
IF(AND(表紙!$X$2="実績報告（１次）",OR(AL73="×",AL73="○")),"",
IF(表紙!$X$2="実績報告（２次）","－",
IF(表紙!$X$2="交付申請兼実績報告","－")))))))</f>
        <v>－</v>
      </c>
      <c r="S73" s="498" t="str">
        <f t="shared" si="11"/>
        <v/>
      </c>
      <c r="U73" s="610" t="str">
        <f t="shared" si="12"/>
        <v/>
      </c>
      <c r="V73" s="701" t="str">
        <f t="shared" si="5"/>
        <v/>
      </c>
      <c r="W73" s="701" t="str">
        <f t="shared" si="6"/>
        <v/>
      </c>
      <c r="X73" s="701" t="str">
        <f t="shared" si="7"/>
        <v/>
      </c>
      <c r="Y73" s="500" t="str">
        <f t="shared" si="8"/>
        <v/>
      </c>
      <c r="AJ73" s="468" t="s">
        <v>468</v>
      </c>
      <c r="AK73" s="499">
        <v>61</v>
      </c>
      <c r="AL73" s="467" t="str">
        <f t="shared" si="13"/>
        <v>○</v>
      </c>
      <c r="AM73" s="475" t="str">
        <f t="shared" si="9"/>
        <v>申請しない場合は入力不要です。</v>
      </c>
      <c r="AO73" s="475">
        <f t="shared" si="0"/>
        <v>0</v>
      </c>
    </row>
    <row r="74" spans="1:41" ht="20.100000000000001" customHeight="1">
      <c r="A74" s="494">
        <v>62</v>
      </c>
      <c r="B74" s="206"/>
      <c r="C74" s="207"/>
      <c r="D74" s="1859"/>
      <c r="E74" s="1860"/>
      <c r="F74" s="1861"/>
      <c r="G74" s="208"/>
      <c r="H74" s="208"/>
      <c r="I74" s="209"/>
      <c r="J74" s="495">
        <f t="shared" si="1"/>
        <v>0</v>
      </c>
      <c r="K74" s="496">
        <f t="shared" si="2"/>
        <v>0</v>
      </c>
      <c r="L74" s="496" t="str">
        <f t="shared" si="3"/>
        <v/>
      </c>
      <c r="M74" s="496" t="str">
        <f t="shared" si="4"/>
        <v/>
      </c>
      <c r="N74" s="805"/>
      <c r="O74" s="805"/>
      <c r="P74" s="805"/>
      <c r="Q74" s="497">
        <f t="shared" si="14"/>
        <v>0</v>
      </c>
      <c r="R74" s="498" t="str">
        <f xml:space="preserve">
IF(表紙!$X$2="事前協議","－",
IF(表紙!$X$2="交付申請（２次）","－",
IF(表紙!$X$2="変更申請","－",
IF(AND(表紙!$X$2="実績報告（１次）",AL74="◎"),COUNTIF($AL$13:AL74,"◎"),
IF(AND(表紙!$X$2="実績報告（１次）",OR(AL74="×",AL74="○")),"",
IF(表紙!$X$2="実績報告（２次）","－",
IF(表紙!$X$2="交付申請兼実績報告","－")))))))</f>
        <v>－</v>
      </c>
      <c r="S74" s="498" t="str">
        <f t="shared" si="11"/>
        <v/>
      </c>
      <c r="U74" s="610" t="str">
        <f t="shared" si="12"/>
        <v/>
      </c>
      <c r="V74" s="701" t="str">
        <f t="shared" si="5"/>
        <v/>
      </c>
      <c r="W74" s="701" t="str">
        <f t="shared" si="6"/>
        <v/>
      </c>
      <c r="X74" s="701" t="str">
        <f t="shared" si="7"/>
        <v/>
      </c>
      <c r="Y74" s="500" t="str">
        <f t="shared" si="8"/>
        <v/>
      </c>
      <c r="AJ74" s="468" t="s">
        <v>468</v>
      </c>
      <c r="AK74" s="499">
        <v>62</v>
      </c>
      <c r="AL74" s="467" t="str">
        <f t="shared" si="13"/>
        <v>○</v>
      </c>
      <c r="AM74" s="475" t="str">
        <f t="shared" si="9"/>
        <v>申請しない場合は入力不要です。</v>
      </c>
      <c r="AO74" s="475">
        <f t="shared" si="0"/>
        <v>0</v>
      </c>
    </row>
    <row r="75" spans="1:41" ht="20.100000000000001" customHeight="1">
      <c r="A75" s="494">
        <v>63</v>
      </c>
      <c r="B75" s="206"/>
      <c r="C75" s="207"/>
      <c r="D75" s="1859"/>
      <c r="E75" s="1860"/>
      <c r="F75" s="1861"/>
      <c r="G75" s="208"/>
      <c r="H75" s="208"/>
      <c r="I75" s="209"/>
      <c r="J75" s="495">
        <f t="shared" si="1"/>
        <v>0</v>
      </c>
      <c r="K75" s="496">
        <f t="shared" si="2"/>
        <v>0</v>
      </c>
      <c r="L75" s="496" t="str">
        <f t="shared" si="3"/>
        <v/>
      </c>
      <c r="M75" s="496" t="str">
        <f t="shared" si="4"/>
        <v/>
      </c>
      <c r="N75" s="805"/>
      <c r="O75" s="805"/>
      <c r="P75" s="805"/>
      <c r="Q75" s="497">
        <f t="shared" si="14"/>
        <v>0</v>
      </c>
      <c r="R75" s="498" t="str">
        <f xml:space="preserve">
IF(表紙!$X$2="事前協議","－",
IF(表紙!$X$2="交付申請（２次）","－",
IF(表紙!$X$2="変更申請","－",
IF(AND(表紙!$X$2="実績報告（１次）",AL75="◎"),COUNTIF($AL$13:AL75,"◎"),
IF(AND(表紙!$X$2="実績報告（１次）",OR(AL75="×",AL75="○")),"",
IF(表紙!$X$2="実績報告（２次）","－",
IF(表紙!$X$2="交付申請兼実績報告","－")))))))</f>
        <v>－</v>
      </c>
      <c r="S75" s="498" t="str">
        <f t="shared" si="11"/>
        <v/>
      </c>
      <c r="U75" s="610" t="str">
        <f t="shared" si="12"/>
        <v/>
      </c>
      <c r="V75" s="701" t="str">
        <f t="shared" si="5"/>
        <v/>
      </c>
      <c r="W75" s="701" t="str">
        <f t="shared" si="6"/>
        <v/>
      </c>
      <c r="X75" s="701" t="str">
        <f t="shared" si="7"/>
        <v/>
      </c>
      <c r="Y75" s="500" t="str">
        <f t="shared" si="8"/>
        <v/>
      </c>
      <c r="AJ75" s="468" t="s">
        <v>468</v>
      </c>
      <c r="AK75" s="499">
        <v>63</v>
      </c>
      <c r="AL75" s="467" t="str">
        <f t="shared" si="13"/>
        <v>○</v>
      </c>
      <c r="AM75" s="475" t="str">
        <f t="shared" si="9"/>
        <v>申請しない場合は入力不要です。</v>
      </c>
      <c r="AO75" s="475">
        <f t="shared" si="0"/>
        <v>0</v>
      </c>
    </row>
    <row r="76" spans="1:41" ht="20.100000000000001" customHeight="1">
      <c r="A76" s="494">
        <v>64</v>
      </c>
      <c r="B76" s="206"/>
      <c r="C76" s="207"/>
      <c r="D76" s="1859"/>
      <c r="E76" s="1860"/>
      <c r="F76" s="1861"/>
      <c r="G76" s="208"/>
      <c r="H76" s="208"/>
      <c r="I76" s="209"/>
      <c r="J76" s="495">
        <f t="shared" si="1"/>
        <v>0</v>
      </c>
      <c r="K76" s="496">
        <f t="shared" si="2"/>
        <v>0</v>
      </c>
      <c r="L76" s="496" t="str">
        <f t="shared" si="3"/>
        <v/>
      </c>
      <c r="M76" s="496" t="str">
        <f t="shared" si="4"/>
        <v/>
      </c>
      <c r="N76" s="805"/>
      <c r="O76" s="805"/>
      <c r="P76" s="805"/>
      <c r="Q76" s="497">
        <f t="shared" si="14"/>
        <v>0</v>
      </c>
      <c r="R76" s="498" t="str">
        <f xml:space="preserve">
IF(表紙!$X$2="事前協議","－",
IF(表紙!$X$2="交付申請（２次）","－",
IF(表紙!$X$2="変更申請","－",
IF(AND(表紙!$X$2="実績報告（１次）",AL76="◎"),COUNTIF($AL$13:AL76,"◎"),
IF(AND(表紙!$X$2="実績報告（１次）",OR(AL76="×",AL76="○")),"",
IF(表紙!$X$2="実績報告（２次）","－",
IF(表紙!$X$2="交付申請兼実績報告","－")))))))</f>
        <v>－</v>
      </c>
      <c r="S76" s="498" t="str">
        <f t="shared" si="11"/>
        <v/>
      </c>
      <c r="U76" s="610" t="str">
        <f t="shared" si="12"/>
        <v/>
      </c>
      <c r="V76" s="701" t="str">
        <f t="shared" si="5"/>
        <v/>
      </c>
      <c r="W76" s="701" t="str">
        <f t="shared" si="6"/>
        <v/>
      </c>
      <c r="X76" s="701" t="str">
        <f t="shared" si="7"/>
        <v/>
      </c>
      <c r="Y76" s="500" t="str">
        <f t="shared" si="8"/>
        <v/>
      </c>
      <c r="AJ76" s="468" t="s">
        <v>468</v>
      </c>
      <c r="AK76" s="499">
        <v>64</v>
      </c>
      <c r="AL76" s="467" t="str">
        <f t="shared" si="13"/>
        <v>○</v>
      </c>
      <c r="AM76" s="475" t="str">
        <f t="shared" si="9"/>
        <v>申請しない場合は入力不要です。</v>
      </c>
      <c r="AO76" s="475">
        <f t="shared" si="0"/>
        <v>0</v>
      </c>
    </row>
    <row r="77" spans="1:41" ht="20.100000000000001" customHeight="1">
      <c r="A77" s="494">
        <v>65</v>
      </c>
      <c r="B77" s="206"/>
      <c r="C77" s="207"/>
      <c r="D77" s="1859"/>
      <c r="E77" s="1860"/>
      <c r="F77" s="1861"/>
      <c r="G77" s="208"/>
      <c r="H77" s="208"/>
      <c r="I77" s="209"/>
      <c r="J77" s="495">
        <f t="shared" si="1"/>
        <v>0</v>
      </c>
      <c r="K77" s="496">
        <f t="shared" si="2"/>
        <v>0</v>
      </c>
      <c r="L77" s="496" t="str">
        <f t="shared" si="3"/>
        <v/>
      </c>
      <c r="M77" s="496" t="str">
        <f t="shared" si="4"/>
        <v/>
      </c>
      <c r="N77" s="805"/>
      <c r="O77" s="805"/>
      <c r="P77" s="805"/>
      <c r="Q77" s="497">
        <f t="shared" si="14"/>
        <v>0</v>
      </c>
      <c r="R77" s="498" t="str">
        <f xml:space="preserve">
IF(表紙!$X$2="事前協議","－",
IF(表紙!$X$2="交付申請（２次）","－",
IF(表紙!$X$2="変更申請","－",
IF(AND(表紙!$X$2="実績報告（１次）",AL77="◎"),COUNTIF($AL$13:AL77,"◎"),
IF(AND(表紙!$X$2="実績報告（１次）",OR(AL77="×",AL77="○")),"",
IF(表紙!$X$2="実績報告（２次）","－",
IF(表紙!$X$2="交付申請兼実績報告","－")))))))</f>
        <v>－</v>
      </c>
      <c r="S77" s="498" t="str">
        <f t="shared" si="11"/>
        <v/>
      </c>
      <c r="U77" s="610" t="str">
        <f t="shared" si="12"/>
        <v/>
      </c>
      <c r="V77" s="701" t="str">
        <f t="shared" si="5"/>
        <v/>
      </c>
      <c r="W77" s="701" t="str">
        <f t="shared" si="6"/>
        <v/>
      </c>
      <c r="X77" s="701" t="str">
        <f t="shared" si="7"/>
        <v/>
      </c>
      <c r="Y77" s="500" t="str">
        <f t="shared" si="8"/>
        <v/>
      </c>
      <c r="AJ77" s="468" t="s">
        <v>468</v>
      </c>
      <c r="AK77" s="499">
        <v>65</v>
      </c>
      <c r="AL77" s="467" t="str">
        <f t="shared" si="13"/>
        <v>○</v>
      </c>
      <c r="AM77" s="475" t="str">
        <f t="shared" si="9"/>
        <v>申請しない場合は入力不要です。</v>
      </c>
      <c r="AO77" s="475">
        <f t="shared" ref="AO77:AO112" si="15">G77*H77</f>
        <v>0</v>
      </c>
    </row>
    <row r="78" spans="1:41" ht="20.100000000000001" customHeight="1">
      <c r="A78" s="494">
        <v>66</v>
      </c>
      <c r="B78" s="206"/>
      <c r="C78" s="207"/>
      <c r="D78" s="1859"/>
      <c r="E78" s="1860"/>
      <c r="F78" s="1861"/>
      <c r="G78" s="208"/>
      <c r="H78" s="208"/>
      <c r="I78" s="209"/>
      <c r="J78" s="495">
        <f t="shared" ref="J78:J112" si="16">ROUNDDOWN(I78*1.1,0)</f>
        <v>0</v>
      </c>
      <c r="K78" s="496">
        <f t="shared" ref="K78:K112" si="17">ROUNDDOWN(H78*J78,0)</f>
        <v>0</v>
      </c>
      <c r="L78" s="496" t="str">
        <f t="shared" ref="L78:L112" si="18">IFERROR(G78*H78*VLOOKUP(C78,$AY$123:$AZ$139,2,FALSE),"")</f>
        <v/>
      </c>
      <c r="M78" s="496" t="str">
        <f t="shared" ref="M78:M112" si="19">IF(L78="","",MIN(K78,L78))</f>
        <v/>
      </c>
      <c r="N78" s="805"/>
      <c r="O78" s="805"/>
      <c r="P78" s="805"/>
      <c r="Q78" s="497">
        <f t="shared" si="14"/>
        <v>0</v>
      </c>
      <c r="R78" s="498" t="str">
        <f xml:space="preserve">
IF(表紙!$X$2="事前協議","－",
IF(表紙!$X$2="交付申請（２次）","－",
IF(表紙!$X$2="変更申請","－",
IF(AND(表紙!$X$2="実績報告（１次）",AL78="◎"),COUNTIF($AL$13:AL78,"◎"),
IF(AND(表紙!$X$2="実績報告（１次）",OR(AL78="×",AL78="○")),"",
IF(表紙!$X$2="実績報告（２次）","－",
IF(表紙!$X$2="交付申請兼実績報告","－")))))))</f>
        <v>－</v>
      </c>
      <c r="S78" s="498" t="str">
        <f t="shared" ref="S78:S112" si="20">IFERROR(
"@"&amp;TEXT(ROUNDUP(J78/G78,0),"#,###円")&amp;
IF(ROUNDUP(J78/G78,0)&lt;VLOOKUP(C78,$AY$123:$AZ$139,2,FALSE),"&lt;",
IF(ROUNDUP(J78/G78,0)=VLOOKUP(C78,$AY$123:$AZ$139,2,FALSE),"=",
IF(ROUNDUP(J78/G78,0)&gt;VLOOKUP(C78,$AY$123:$AZ$139,2,FALSE),"&gt;")))&amp;
"上限@"&amp;TEXT(VLOOKUP(C78,$AY$123:$AZ$139,2,FALSE),"#,###円"),"")</f>
        <v/>
      </c>
      <c r="U78" s="610" t="str">
        <f t="shared" si="12"/>
        <v/>
      </c>
      <c r="V78" s="701" t="str">
        <f t="shared" ref="V78:V141" si="21">IF($U78=MAX($U$13:$U$212),N78,"")</f>
        <v/>
      </c>
      <c r="W78" s="701" t="str">
        <f t="shared" ref="W78:W141" si="22">IF($U78=MAX($U$13:$U$212),O78,"")</f>
        <v/>
      </c>
      <c r="X78" s="701" t="str">
        <f t="shared" ref="X78:X141" si="23">IF($U78=MAX($U$13:$U$212),P78,"")</f>
        <v/>
      </c>
      <c r="Y78" s="500" t="str">
        <f t="shared" ref="Y78:Y141" si="24">U78&amp;C78</f>
        <v/>
      </c>
      <c r="AJ78" s="468" t="s">
        <v>468</v>
      </c>
      <c r="AK78" s="499">
        <v>66</v>
      </c>
      <c r="AL78" s="467" t="str">
        <f t="shared" ref="AL78:AL111" si="25" xml:space="preserve">
IF(COUNTA(B78:I78,N78:P78)=0,"○",
IF(AND(COUNTA(B78:I78,N78:P78)&gt;=1,COUNTA(B78:I78,N78:P78)&lt;9),"×",
IF(COUNTA(B78:I78,N78:P78)=9,"◎")))</f>
        <v>○</v>
      </c>
      <c r="AM78" s="475" t="str">
        <f t="shared" ref="AM78:AM112" si="26" xml:space="preserve">
IF(COUNTA(B78:I78)=0,"申請しない場合は入力不要です。",
IF(AND(COUNTA(B78:I78)&gt;=1,COUNTA(B78:I78)&lt;6),"【要修正】種類、品名、内容量、数量、税抜単価の内、未入力の箇所があります。",
IF(COUNTA(B78:I78)=6,"適切に入力がされました。")))</f>
        <v>申請しない場合は入力不要です。</v>
      </c>
      <c r="AO78" s="475">
        <f t="shared" si="15"/>
        <v>0</v>
      </c>
    </row>
    <row r="79" spans="1:41" ht="20.100000000000001" customHeight="1">
      <c r="A79" s="494">
        <v>67</v>
      </c>
      <c r="B79" s="206"/>
      <c r="C79" s="207"/>
      <c r="D79" s="1859"/>
      <c r="E79" s="1860"/>
      <c r="F79" s="1861"/>
      <c r="G79" s="208"/>
      <c r="H79" s="208"/>
      <c r="I79" s="209"/>
      <c r="J79" s="495">
        <f t="shared" si="16"/>
        <v>0</v>
      </c>
      <c r="K79" s="496">
        <f t="shared" si="17"/>
        <v>0</v>
      </c>
      <c r="L79" s="496" t="str">
        <f t="shared" si="18"/>
        <v/>
      </c>
      <c r="M79" s="496" t="str">
        <f>IF(L79="","",MIN(K79,L79))</f>
        <v/>
      </c>
      <c r="N79" s="805"/>
      <c r="O79" s="805"/>
      <c r="P79" s="805"/>
      <c r="Q79" s="497">
        <f t="shared" si="14"/>
        <v>0</v>
      </c>
      <c r="R79" s="498" t="str">
        <f xml:space="preserve">
IF(表紙!$X$2="事前協議","－",
IF(表紙!$X$2="交付申請（２次）","－",
IF(表紙!$X$2="変更申請","－",
IF(AND(表紙!$X$2="実績報告（１次）",AL79="◎"),COUNTIF($AL$13:AL79,"◎"),
IF(AND(表紙!$X$2="実績報告（１次）",OR(AL79="×",AL79="○")),"",
IF(表紙!$X$2="実績報告（２次）","－",
IF(表紙!$X$2="交付申請兼実績報告","－")))))))</f>
        <v>－</v>
      </c>
      <c r="S79" s="498" t="str">
        <f t="shared" si="20"/>
        <v/>
      </c>
      <c r="U79" s="610" t="str">
        <f t="shared" ref="U79:U112" si="27">IF(AL79="◎",DATE(IF(N79=5,2023,IF(N79=6,2024)),O79,P79),"")</f>
        <v/>
      </c>
      <c r="V79" s="701" t="str">
        <f t="shared" si="21"/>
        <v/>
      </c>
      <c r="W79" s="701" t="str">
        <f t="shared" si="22"/>
        <v/>
      </c>
      <c r="X79" s="701" t="str">
        <f t="shared" si="23"/>
        <v/>
      </c>
      <c r="Y79" s="500" t="str">
        <f t="shared" si="24"/>
        <v/>
      </c>
      <c r="AJ79" s="468" t="s">
        <v>468</v>
      </c>
      <c r="AK79" s="499">
        <v>67</v>
      </c>
      <c r="AL79" s="467" t="str">
        <f t="shared" si="25"/>
        <v>○</v>
      </c>
      <c r="AM79" s="475" t="str">
        <f t="shared" si="26"/>
        <v>申請しない場合は入力不要です。</v>
      </c>
      <c r="AO79" s="475">
        <f t="shared" si="15"/>
        <v>0</v>
      </c>
    </row>
    <row r="80" spans="1:41" ht="20.100000000000001" customHeight="1">
      <c r="A80" s="494">
        <v>68</v>
      </c>
      <c r="B80" s="206"/>
      <c r="C80" s="207"/>
      <c r="D80" s="1859"/>
      <c r="E80" s="1860"/>
      <c r="F80" s="1861"/>
      <c r="G80" s="208"/>
      <c r="H80" s="208"/>
      <c r="I80" s="209"/>
      <c r="J80" s="495">
        <f t="shared" si="16"/>
        <v>0</v>
      </c>
      <c r="K80" s="496">
        <f t="shared" si="17"/>
        <v>0</v>
      </c>
      <c r="L80" s="496" t="str">
        <f t="shared" si="18"/>
        <v/>
      </c>
      <c r="M80" s="496" t="str">
        <f t="shared" si="19"/>
        <v/>
      </c>
      <c r="N80" s="805"/>
      <c r="O80" s="805"/>
      <c r="P80" s="805"/>
      <c r="Q80" s="497">
        <f t="shared" si="14"/>
        <v>0</v>
      </c>
      <c r="R80" s="498" t="str">
        <f xml:space="preserve">
IF(表紙!$X$2="事前協議","－",
IF(表紙!$X$2="交付申請（２次）","－",
IF(表紙!$X$2="変更申請","－",
IF(AND(表紙!$X$2="実績報告（１次）",AL80="◎"),COUNTIF($AL$13:AL80,"◎"),
IF(AND(表紙!$X$2="実績報告（１次）",OR(AL80="×",AL80="○")),"",
IF(表紙!$X$2="実績報告（２次）","－",
IF(表紙!$X$2="交付申請兼実績報告","－")))))))</f>
        <v>－</v>
      </c>
      <c r="S80" s="498" t="str">
        <f t="shared" si="20"/>
        <v/>
      </c>
      <c r="U80" s="610" t="str">
        <f t="shared" si="27"/>
        <v/>
      </c>
      <c r="V80" s="701" t="str">
        <f t="shared" si="21"/>
        <v/>
      </c>
      <c r="W80" s="701" t="str">
        <f t="shared" si="22"/>
        <v/>
      </c>
      <c r="X80" s="701" t="str">
        <f t="shared" si="23"/>
        <v/>
      </c>
      <c r="Y80" s="500" t="str">
        <f t="shared" si="24"/>
        <v/>
      </c>
      <c r="AJ80" s="468" t="s">
        <v>468</v>
      </c>
      <c r="AK80" s="499">
        <v>68</v>
      </c>
      <c r="AL80" s="467" t="str">
        <f t="shared" si="25"/>
        <v>○</v>
      </c>
      <c r="AM80" s="475" t="str">
        <f t="shared" si="26"/>
        <v>申請しない場合は入力不要です。</v>
      </c>
      <c r="AO80" s="475">
        <f t="shared" si="15"/>
        <v>0</v>
      </c>
    </row>
    <row r="81" spans="1:41" ht="20.100000000000001" customHeight="1">
      <c r="A81" s="494">
        <v>69</v>
      </c>
      <c r="B81" s="206"/>
      <c r="C81" s="207"/>
      <c r="D81" s="1859"/>
      <c r="E81" s="1860"/>
      <c r="F81" s="1861"/>
      <c r="G81" s="208"/>
      <c r="H81" s="208"/>
      <c r="I81" s="209"/>
      <c r="J81" s="495">
        <f t="shared" si="16"/>
        <v>0</v>
      </c>
      <c r="K81" s="496">
        <f t="shared" si="17"/>
        <v>0</v>
      </c>
      <c r="L81" s="496" t="str">
        <f t="shared" si="18"/>
        <v/>
      </c>
      <c r="M81" s="496" t="str">
        <f t="shared" si="19"/>
        <v/>
      </c>
      <c r="N81" s="805"/>
      <c r="O81" s="805"/>
      <c r="P81" s="805"/>
      <c r="Q81" s="497">
        <f t="shared" si="14"/>
        <v>0</v>
      </c>
      <c r="R81" s="498" t="str">
        <f xml:space="preserve">
IF(表紙!$X$2="事前協議","－",
IF(表紙!$X$2="交付申請（２次）","－",
IF(表紙!$X$2="変更申請","－",
IF(AND(表紙!$X$2="実績報告（１次）",AL81="◎"),COUNTIF($AL$13:AL81,"◎"),
IF(AND(表紙!$X$2="実績報告（１次）",OR(AL81="×",AL81="○")),"",
IF(表紙!$X$2="実績報告（２次）","－",
IF(表紙!$X$2="交付申請兼実績報告","－")))))))</f>
        <v>－</v>
      </c>
      <c r="S81" s="498" t="str">
        <f t="shared" si="20"/>
        <v/>
      </c>
      <c r="U81" s="610" t="str">
        <f t="shared" si="27"/>
        <v/>
      </c>
      <c r="V81" s="701" t="str">
        <f t="shared" si="21"/>
        <v/>
      </c>
      <c r="W81" s="701" t="str">
        <f t="shared" si="22"/>
        <v/>
      </c>
      <c r="X81" s="701" t="str">
        <f t="shared" si="23"/>
        <v/>
      </c>
      <c r="Y81" s="500" t="str">
        <f t="shared" si="24"/>
        <v/>
      </c>
      <c r="AJ81" s="468" t="s">
        <v>468</v>
      </c>
      <c r="AK81" s="499">
        <v>69</v>
      </c>
      <c r="AL81" s="467" t="str">
        <f t="shared" si="25"/>
        <v>○</v>
      </c>
      <c r="AM81" s="475" t="str">
        <f t="shared" si="26"/>
        <v>申請しない場合は入力不要です。</v>
      </c>
      <c r="AO81" s="475">
        <f t="shared" si="15"/>
        <v>0</v>
      </c>
    </row>
    <row r="82" spans="1:41" ht="20.100000000000001" customHeight="1">
      <c r="A82" s="494">
        <v>70</v>
      </c>
      <c r="B82" s="206"/>
      <c r="C82" s="207"/>
      <c r="D82" s="1859"/>
      <c r="E82" s="1860"/>
      <c r="F82" s="1861"/>
      <c r="G82" s="208"/>
      <c r="H82" s="208"/>
      <c r="I82" s="209"/>
      <c r="J82" s="495">
        <f t="shared" si="16"/>
        <v>0</v>
      </c>
      <c r="K82" s="496">
        <f t="shared" si="17"/>
        <v>0</v>
      </c>
      <c r="L82" s="496" t="str">
        <f t="shared" si="18"/>
        <v/>
      </c>
      <c r="M82" s="496" t="str">
        <f t="shared" si="19"/>
        <v/>
      </c>
      <c r="N82" s="805"/>
      <c r="O82" s="805"/>
      <c r="P82" s="805"/>
      <c r="Q82" s="497">
        <f t="shared" si="14"/>
        <v>0</v>
      </c>
      <c r="R82" s="498" t="str">
        <f xml:space="preserve">
IF(表紙!$X$2="事前協議","－",
IF(表紙!$X$2="交付申請（２次）","－",
IF(表紙!$X$2="変更申請","－",
IF(AND(表紙!$X$2="実績報告（１次）",AL82="◎"),COUNTIF($AL$13:AL82,"◎"),
IF(AND(表紙!$X$2="実績報告（１次）",OR(AL82="×",AL82="○")),"",
IF(表紙!$X$2="実績報告（２次）","－",
IF(表紙!$X$2="交付申請兼実績報告","－")))))))</f>
        <v>－</v>
      </c>
      <c r="S82" s="498" t="str">
        <f t="shared" si="20"/>
        <v/>
      </c>
      <c r="U82" s="610" t="str">
        <f t="shared" si="27"/>
        <v/>
      </c>
      <c r="V82" s="701" t="str">
        <f t="shared" si="21"/>
        <v/>
      </c>
      <c r="W82" s="701" t="str">
        <f t="shared" si="22"/>
        <v/>
      </c>
      <c r="X82" s="701" t="str">
        <f t="shared" si="23"/>
        <v/>
      </c>
      <c r="Y82" s="500" t="str">
        <f t="shared" si="24"/>
        <v/>
      </c>
      <c r="AJ82" s="468" t="s">
        <v>468</v>
      </c>
      <c r="AK82" s="499">
        <v>70</v>
      </c>
      <c r="AL82" s="467" t="str">
        <f t="shared" si="25"/>
        <v>○</v>
      </c>
      <c r="AM82" s="475" t="str">
        <f t="shared" si="26"/>
        <v>申請しない場合は入力不要です。</v>
      </c>
      <c r="AO82" s="475">
        <f t="shared" si="15"/>
        <v>0</v>
      </c>
    </row>
    <row r="83" spans="1:41" ht="20.100000000000001" customHeight="1">
      <c r="A83" s="494">
        <v>71</v>
      </c>
      <c r="B83" s="206"/>
      <c r="C83" s="207"/>
      <c r="D83" s="1859"/>
      <c r="E83" s="1860"/>
      <c r="F83" s="1861"/>
      <c r="G83" s="208"/>
      <c r="H83" s="208"/>
      <c r="I83" s="209"/>
      <c r="J83" s="495">
        <f t="shared" si="16"/>
        <v>0</v>
      </c>
      <c r="K83" s="496">
        <f t="shared" si="17"/>
        <v>0</v>
      </c>
      <c r="L83" s="496" t="str">
        <f t="shared" si="18"/>
        <v/>
      </c>
      <c r="M83" s="496" t="str">
        <f t="shared" si="19"/>
        <v/>
      </c>
      <c r="N83" s="805"/>
      <c r="O83" s="805"/>
      <c r="P83" s="805"/>
      <c r="Q83" s="497">
        <f t="shared" si="14"/>
        <v>0</v>
      </c>
      <c r="R83" s="498" t="str">
        <f xml:space="preserve">
IF(表紙!$X$2="事前協議","－",
IF(表紙!$X$2="交付申請（２次）","－",
IF(表紙!$X$2="変更申請","－",
IF(AND(表紙!$X$2="実績報告（１次）",AL83="◎"),COUNTIF($AL$13:AL83,"◎"),
IF(AND(表紙!$X$2="実績報告（１次）",OR(AL83="×",AL83="○")),"",
IF(表紙!$X$2="実績報告（２次）","－",
IF(表紙!$X$2="交付申請兼実績報告","－")))))))</f>
        <v>－</v>
      </c>
      <c r="S83" s="498" t="str">
        <f t="shared" si="20"/>
        <v/>
      </c>
      <c r="U83" s="610" t="str">
        <f t="shared" si="27"/>
        <v/>
      </c>
      <c r="V83" s="701" t="str">
        <f t="shared" si="21"/>
        <v/>
      </c>
      <c r="W83" s="701" t="str">
        <f t="shared" si="22"/>
        <v/>
      </c>
      <c r="X83" s="701" t="str">
        <f t="shared" si="23"/>
        <v/>
      </c>
      <c r="Y83" s="500" t="str">
        <f t="shared" si="24"/>
        <v/>
      </c>
      <c r="AJ83" s="468" t="s">
        <v>468</v>
      </c>
      <c r="AK83" s="499">
        <v>71</v>
      </c>
      <c r="AL83" s="467" t="str">
        <f t="shared" si="25"/>
        <v>○</v>
      </c>
      <c r="AM83" s="475" t="str">
        <f t="shared" si="26"/>
        <v>申請しない場合は入力不要です。</v>
      </c>
      <c r="AO83" s="475">
        <f t="shared" si="15"/>
        <v>0</v>
      </c>
    </row>
    <row r="84" spans="1:41" ht="20.100000000000001" customHeight="1">
      <c r="A84" s="494">
        <v>72</v>
      </c>
      <c r="B84" s="206"/>
      <c r="C84" s="207"/>
      <c r="D84" s="1859"/>
      <c r="E84" s="1860"/>
      <c r="F84" s="1861"/>
      <c r="G84" s="208"/>
      <c r="H84" s="208"/>
      <c r="I84" s="209"/>
      <c r="J84" s="495">
        <f t="shared" si="16"/>
        <v>0</v>
      </c>
      <c r="K84" s="496">
        <f t="shared" si="17"/>
        <v>0</v>
      </c>
      <c r="L84" s="496" t="str">
        <f t="shared" si="18"/>
        <v/>
      </c>
      <c r="M84" s="496" t="str">
        <f t="shared" si="19"/>
        <v/>
      </c>
      <c r="N84" s="805"/>
      <c r="O84" s="805"/>
      <c r="P84" s="805"/>
      <c r="Q84" s="497">
        <f t="shared" si="14"/>
        <v>0</v>
      </c>
      <c r="R84" s="498" t="str">
        <f xml:space="preserve">
IF(表紙!$X$2="事前協議","－",
IF(表紙!$X$2="交付申請（２次）","－",
IF(表紙!$X$2="変更申請","－",
IF(AND(表紙!$X$2="実績報告（１次）",AL84="◎"),COUNTIF($AL$13:AL84,"◎"),
IF(AND(表紙!$X$2="実績報告（１次）",OR(AL84="×",AL84="○")),"",
IF(表紙!$X$2="実績報告（２次）","－",
IF(表紙!$X$2="交付申請兼実績報告","－")))))))</f>
        <v>－</v>
      </c>
      <c r="S84" s="498" t="str">
        <f t="shared" si="20"/>
        <v/>
      </c>
      <c r="U84" s="610" t="str">
        <f t="shared" si="27"/>
        <v/>
      </c>
      <c r="V84" s="701" t="str">
        <f t="shared" si="21"/>
        <v/>
      </c>
      <c r="W84" s="701" t="str">
        <f t="shared" si="22"/>
        <v/>
      </c>
      <c r="X84" s="701" t="str">
        <f t="shared" si="23"/>
        <v/>
      </c>
      <c r="Y84" s="500" t="str">
        <f t="shared" si="24"/>
        <v/>
      </c>
      <c r="AJ84" s="468" t="s">
        <v>468</v>
      </c>
      <c r="AK84" s="499">
        <v>72</v>
      </c>
      <c r="AL84" s="467" t="str">
        <f t="shared" si="25"/>
        <v>○</v>
      </c>
      <c r="AM84" s="475" t="str">
        <f t="shared" si="26"/>
        <v>申請しない場合は入力不要です。</v>
      </c>
      <c r="AO84" s="475">
        <f t="shared" si="15"/>
        <v>0</v>
      </c>
    </row>
    <row r="85" spans="1:41" ht="20.100000000000001" customHeight="1">
      <c r="A85" s="494">
        <v>73</v>
      </c>
      <c r="B85" s="206"/>
      <c r="C85" s="207"/>
      <c r="D85" s="1859"/>
      <c r="E85" s="1860"/>
      <c r="F85" s="1861"/>
      <c r="G85" s="208"/>
      <c r="H85" s="208"/>
      <c r="I85" s="209"/>
      <c r="J85" s="495">
        <f t="shared" si="16"/>
        <v>0</v>
      </c>
      <c r="K85" s="496">
        <f t="shared" si="17"/>
        <v>0</v>
      </c>
      <c r="L85" s="496" t="str">
        <f t="shared" si="18"/>
        <v/>
      </c>
      <c r="M85" s="496" t="str">
        <f t="shared" si="19"/>
        <v/>
      </c>
      <c r="N85" s="805"/>
      <c r="O85" s="805"/>
      <c r="P85" s="805"/>
      <c r="Q85" s="497">
        <f t="shared" ref="Q85:Q112" si="28" xml:space="preserve">
IF(AND(AL85="◎",M85&gt;=0),G85*H85,
IF(AND(AL85="◎",M85&lt;0),0,0))</f>
        <v>0</v>
      </c>
      <c r="R85" s="498" t="str">
        <f xml:space="preserve">
IF(表紙!$X$2="事前協議","－",
IF(表紙!$X$2="交付申請（２次）","－",
IF(表紙!$X$2="変更申請","－",
IF(AND(表紙!$X$2="実績報告（１次）",AL85="◎"),COUNTIF($AL$13:AL85,"◎"),
IF(AND(表紙!$X$2="実績報告（１次）",OR(AL85="×",AL85="○")),"",
IF(表紙!$X$2="実績報告（２次）","－",
IF(表紙!$X$2="交付申請兼実績報告","－")))))))</f>
        <v>－</v>
      </c>
      <c r="S85" s="498" t="str">
        <f t="shared" si="20"/>
        <v/>
      </c>
      <c r="U85" s="610" t="str">
        <f t="shared" si="27"/>
        <v/>
      </c>
      <c r="V85" s="701" t="str">
        <f t="shared" si="21"/>
        <v/>
      </c>
      <c r="W85" s="701" t="str">
        <f t="shared" si="22"/>
        <v/>
      </c>
      <c r="X85" s="701" t="str">
        <f t="shared" si="23"/>
        <v/>
      </c>
      <c r="Y85" s="500" t="str">
        <f t="shared" si="24"/>
        <v/>
      </c>
      <c r="AJ85" s="468" t="s">
        <v>468</v>
      </c>
      <c r="AK85" s="499">
        <v>73</v>
      </c>
      <c r="AL85" s="467" t="str">
        <f t="shared" si="25"/>
        <v>○</v>
      </c>
      <c r="AM85" s="475" t="str">
        <f t="shared" si="26"/>
        <v>申請しない場合は入力不要です。</v>
      </c>
      <c r="AO85" s="475">
        <f t="shared" si="15"/>
        <v>0</v>
      </c>
    </row>
    <row r="86" spans="1:41" ht="20.100000000000001" customHeight="1">
      <c r="A86" s="494">
        <v>74</v>
      </c>
      <c r="B86" s="206"/>
      <c r="C86" s="207"/>
      <c r="D86" s="1859"/>
      <c r="E86" s="1860"/>
      <c r="F86" s="1861"/>
      <c r="G86" s="208"/>
      <c r="H86" s="208"/>
      <c r="I86" s="209"/>
      <c r="J86" s="495">
        <f t="shared" si="16"/>
        <v>0</v>
      </c>
      <c r="K86" s="496">
        <f t="shared" si="17"/>
        <v>0</v>
      </c>
      <c r="L86" s="496" t="str">
        <f t="shared" si="18"/>
        <v/>
      </c>
      <c r="M86" s="496" t="str">
        <f t="shared" si="19"/>
        <v/>
      </c>
      <c r="N86" s="805"/>
      <c r="O86" s="805"/>
      <c r="P86" s="805"/>
      <c r="Q86" s="497">
        <f t="shared" si="28"/>
        <v>0</v>
      </c>
      <c r="R86" s="498" t="str">
        <f xml:space="preserve">
IF(表紙!$X$2="事前協議","－",
IF(表紙!$X$2="交付申請（２次）","－",
IF(表紙!$X$2="変更申請","－",
IF(AND(表紙!$X$2="実績報告（１次）",AL86="◎"),COUNTIF($AL$13:AL86,"◎"),
IF(AND(表紙!$X$2="実績報告（１次）",OR(AL86="×",AL86="○")),"",
IF(表紙!$X$2="実績報告（２次）","－",
IF(表紙!$X$2="交付申請兼実績報告","－")))))))</f>
        <v>－</v>
      </c>
      <c r="S86" s="498" t="str">
        <f t="shared" si="20"/>
        <v/>
      </c>
      <c r="U86" s="610" t="str">
        <f t="shared" si="27"/>
        <v/>
      </c>
      <c r="V86" s="701" t="str">
        <f t="shared" si="21"/>
        <v/>
      </c>
      <c r="W86" s="701" t="str">
        <f t="shared" si="22"/>
        <v/>
      </c>
      <c r="X86" s="701" t="str">
        <f t="shared" si="23"/>
        <v/>
      </c>
      <c r="Y86" s="500" t="str">
        <f t="shared" si="24"/>
        <v/>
      </c>
      <c r="AJ86" s="468" t="s">
        <v>468</v>
      </c>
      <c r="AK86" s="499">
        <v>74</v>
      </c>
      <c r="AL86" s="467" t="str">
        <f t="shared" si="25"/>
        <v>○</v>
      </c>
      <c r="AM86" s="475" t="str">
        <f t="shared" si="26"/>
        <v>申請しない場合は入力不要です。</v>
      </c>
      <c r="AO86" s="475">
        <f t="shared" si="15"/>
        <v>0</v>
      </c>
    </row>
    <row r="87" spans="1:41" ht="20.100000000000001" customHeight="1">
      <c r="A87" s="494">
        <v>75</v>
      </c>
      <c r="B87" s="206"/>
      <c r="C87" s="207"/>
      <c r="D87" s="1859"/>
      <c r="E87" s="1860"/>
      <c r="F87" s="1861"/>
      <c r="G87" s="208"/>
      <c r="H87" s="208"/>
      <c r="I87" s="209"/>
      <c r="J87" s="495">
        <f t="shared" si="16"/>
        <v>0</v>
      </c>
      <c r="K87" s="496">
        <f t="shared" si="17"/>
        <v>0</v>
      </c>
      <c r="L87" s="496" t="str">
        <f t="shared" si="18"/>
        <v/>
      </c>
      <c r="M87" s="496" t="str">
        <f t="shared" si="19"/>
        <v/>
      </c>
      <c r="N87" s="805"/>
      <c r="O87" s="805"/>
      <c r="P87" s="805"/>
      <c r="Q87" s="497">
        <f t="shared" si="28"/>
        <v>0</v>
      </c>
      <c r="R87" s="498" t="str">
        <f xml:space="preserve">
IF(表紙!$X$2="事前協議","－",
IF(表紙!$X$2="交付申請（２次）","－",
IF(表紙!$X$2="変更申請","－",
IF(AND(表紙!$X$2="実績報告（１次）",AL87="◎"),COUNTIF($AL$13:AL87,"◎"),
IF(AND(表紙!$X$2="実績報告（１次）",OR(AL87="×",AL87="○")),"",
IF(表紙!$X$2="実績報告（２次）","－",
IF(表紙!$X$2="交付申請兼実績報告","－")))))))</f>
        <v>－</v>
      </c>
      <c r="S87" s="498" t="str">
        <f t="shared" si="20"/>
        <v/>
      </c>
      <c r="U87" s="610" t="str">
        <f t="shared" si="27"/>
        <v/>
      </c>
      <c r="V87" s="701" t="str">
        <f t="shared" si="21"/>
        <v/>
      </c>
      <c r="W87" s="701" t="str">
        <f t="shared" si="22"/>
        <v/>
      </c>
      <c r="X87" s="701" t="str">
        <f t="shared" si="23"/>
        <v/>
      </c>
      <c r="Y87" s="500" t="str">
        <f t="shared" si="24"/>
        <v/>
      </c>
      <c r="AJ87" s="468" t="s">
        <v>468</v>
      </c>
      <c r="AK87" s="499">
        <v>75</v>
      </c>
      <c r="AL87" s="467" t="str">
        <f t="shared" si="25"/>
        <v>○</v>
      </c>
      <c r="AM87" s="475" t="str">
        <f t="shared" si="26"/>
        <v>申請しない場合は入力不要です。</v>
      </c>
      <c r="AO87" s="475">
        <f t="shared" si="15"/>
        <v>0</v>
      </c>
    </row>
    <row r="88" spans="1:41" ht="20.100000000000001" customHeight="1">
      <c r="A88" s="494">
        <v>76</v>
      </c>
      <c r="B88" s="206"/>
      <c r="C88" s="207"/>
      <c r="D88" s="1859"/>
      <c r="E88" s="1860"/>
      <c r="F88" s="1861"/>
      <c r="G88" s="208"/>
      <c r="H88" s="208"/>
      <c r="I88" s="209"/>
      <c r="J88" s="495">
        <f t="shared" si="16"/>
        <v>0</v>
      </c>
      <c r="K88" s="496">
        <f t="shared" si="17"/>
        <v>0</v>
      </c>
      <c r="L88" s="496" t="str">
        <f t="shared" si="18"/>
        <v/>
      </c>
      <c r="M88" s="496" t="str">
        <f t="shared" si="19"/>
        <v/>
      </c>
      <c r="N88" s="805"/>
      <c r="O88" s="805"/>
      <c r="P88" s="805"/>
      <c r="Q88" s="497">
        <f t="shared" si="28"/>
        <v>0</v>
      </c>
      <c r="R88" s="498" t="str">
        <f xml:space="preserve">
IF(表紙!$X$2="事前協議","－",
IF(表紙!$X$2="交付申請（２次）","－",
IF(表紙!$X$2="変更申請","－",
IF(AND(表紙!$X$2="実績報告（１次）",AL88="◎"),COUNTIF($AL$13:AL88,"◎"),
IF(AND(表紙!$X$2="実績報告（１次）",OR(AL88="×",AL88="○")),"",
IF(表紙!$X$2="実績報告（２次）","－",
IF(表紙!$X$2="交付申請兼実績報告","－")))))))</f>
        <v>－</v>
      </c>
      <c r="S88" s="498" t="str">
        <f t="shared" si="20"/>
        <v/>
      </c>
      <c r="U88" s="610" t="str">
        <f t="shared" si="27"/>
        <v/>
      </c>
      <c r="V88" s="701" t="str">
        <f t="shared" si="21"/>
        <v/>
      </c>
      <c r="W88" s="701" t="str">
        <f t="shared" si="22"/>
        <v/>
      </c>
      <c r="X88" s="701" t="str">
        <f t="shared" si="23"/>
        <v/>
      </c>
      <c r="Y88" s="500" t="str">
        <f t="shared" si="24"/>
        <v/>
      </c>
      <c r="AJ88" s="468" t="s">
        <v>468</v>
      </c>
      <c r="AK88" s="499">
        <v>76</v>
      </c>
      <c r="AL88" s="467" t="str">
        <f t="shared" si="25"/>
        <v>○</v>
      </c>
      <c r="AM88" s="475" t="str">
        <f t="shared" si="26"/>
        <v>申請しない場合は入力不要です。</v>
      </c>
      <c r="AO88" s="475">
        <f t="shared" si="15"/>
        <v>0</v>
      </c>
    </row>
    <row r="89" spans="1:41" ht="20.100000000000001" customHeight="1">
      <c r="A89" s="494">
        <v>77</v>
      </c>
      <c r="B89" s="206"/>
      <c r="C89" s="207"/>
      <c r="D89" s="1859"/>
      <c r="E89" s="1860"/>
      <c r="F89" s="1861"/>
      <c r="G89" s="208"/>
      <c r="H89" s="208"/>
      <c r="I89" s="209"/>
      <c r="J89" s="495">
        <f t="shared" si="16"/>
        <v>0</v>
      </c>
      <c r="K89" s="496">
        <f t="shared" si="17"/>
        <v>0</v>
      </c>
      <c r="L89" s="496" t="str">
        <f t="shared" si="18"/>
        <v/>
      </c>
      <c r="M89" s="496" t="str">
        <f t="shared" si="19"/>
        <v/>
      </c>
      <c r="N89" s="805"/>
      <c r="O89" s="805"/>
      <c r="P89" s="805"/>
      <c r="Q89" s="497">
        <f t="shared" si="28"/>
        <v>0</v>
      </c>
      <c r="R89" s="498" t="str">
        <f xml:space="preserve">
IF(表紙!$X$2="事前協議","－",
IF(表紙!$X$2="交付申請（２次）","－",
IF(表紙!$X$2="変更申請","－",
IF(AND(表紙!$X$2="実績報告（１次）",AL89="◎"),COUNTIF($AL$13:AL89,"◎"),
IF(AND(表紙!$X$2="実績報告（１次）",OR(AL89="×",AL89="○")),"",
IF(表紙!$X$2="実績報告（２次）","－",
IF(表紙!$X$2="交付申請兼実績報告","－")))))))</f>
        <v>－</v>
      </c>
      <c r="S89" s="498" t="str">
        <f t="shared" si="20"/>
        <v/>
      </c>
      <c r="U89" s="610" t="str">
        <f t="shared" si="27"/>
        <v/>
      </c>
      <c r="V89" s="701" t="str">
        <f t="shared" si="21"/>
        <v/>
      </c>
      <c r="W89" s="701" t="str">
        <f t="shared" si="22"/>
        <v/>
      </c>
      <c r="X89" s="701" t="str">
        <f t="shared" si="23"/>
        <v/>
      </c>
      <c r="Y89" s="500" t="str">
        <f t="shared" si="24"/>
        <v/>
      </c>
      <c r="AJ89" s="468" t="s">
        <v>468</v>
      </c>
      <c r="AK89" s="499">
        <v>77</v>
      </c>
      <c r="AL89" s="467" t="str">
        <f t="shared" si="25"/>
        <v>○</v>
      </c>
      <c r="AM89" s="475" t="str">
        <f t="shared" si="26"/>
        <v>申請しない場合は入力不要です。</v>
      </c>
      <c r="AO89" s="475">
        <f t="shared" si="15"/>
        <v>0</v>
      </c>
    </row>
    <row r="90" spans="1:41" ht="20.100000000000001" customHeight="1">
      <c r="A90" s="494">
        <v>78</v>
      </c>
      <c r="B90" s="206"/>
      <c r="C90" s="207"/>
      <c r="D90" s="1859"/>
      <c r="E90" s="1860"/>
      <c r="F90" s="1861"/>
      <c r="G90" s="208"/>
      <c r="H90" s="208"/>
      <c r="I90" s="209"/>
      <c r="J90" s="495">
        <f t="shared" si="16"/>
        <v>0</v>
      </c>
      <c r="K90" s="496">
        <f t="shared" si="17"/>
        <v>0</v>
      </c>
      <c r="L90" s="496" t="str">
        <f t="shared" si="18"/>
        <v/>
      </c>
      <c r="M90" s="496" t="str">
        <f t="shared" si="19"/>
        <v/>
      </c>
      <c r="N90" s="805"/>
      <c r="O90" s="805"/>
      <c r="P90" s="805"/>
      <c r="Q90" s="497">
        <f t="shared" si="28"/>
        <v>0</v>
      </c>
      <c r="R90" s="498" t="str">
        <f xml:space="preserve">
IF(表紙!$X$2="事前協議","－",
IF(表紙!$X$2="交付申請（２次）","－",
IF(表紙!$X$2="変更申請","－",
IF(AND(表紙!$X$2="実績報告（１次）",AL90="◎"),COUNTIF($AL$13:AL90,"◎"),
IF(AND(表紙!$X$2="実績報告（１次）",OR(AL90="×",AL90="○")),"",
IF(表紙!$X$2="実績報告（２次）","－",
IF(表紙!$X$2="交付申請兼実績報告","－")))))))</f>
        <v>－</v>
      </c>
      <c r="S90" s="498" t="str">
        <f t="shared" si="20"/>
        <v/>
      </c>
      <c r="U90" s="610" t="str">
        <f t="shared" si="27"/>
        <v/>
      </c>
      <c r="V90" s="701" t="str">
        <f t="shared" si="21"/>
        <v/>
      </c>
      <c r="W90" s="701" t="str">
        <f t="shared" si="22"/>
        <v/>
      </c>
      <c r="X90" s="701" t="str">
        <f t="shared" si="23"/>
        <v/>
      </c>
      <c r="Y90" s="500" t="str">
        <f t="shared" si="24"/>
        <v/>
      </c>
      <c r="AJ90" s="468" t="s">
        <v>468</v>
      </c>
      <c r="AK90" s="499">
        <v>78</v>
      </c>
      <c r="AL90" s="467" t="str">
        <f t="shared" si="25"/>
        <v>○</v>
      </c>
      <c r="AM90" s="475" t="str">
        <f t="shared" si="26"/>
        <v>申請しない場合は入力不要です。</v>
      </c>
      <c r="AO90" s="475">
        <f t="shared" si="15"/>
        <v>0</v>
      </c>
    </row>
    <row r="91" spans="1:41" ht="20.100000000000001" customHeight="1">
      <c r="A91" s="494">
        <v>79</v>
      </c>
      <c r="B91" s="206"/>
      <c r="C91" s="207"/>
      <c r="D91" s="1859"/>
      <c r="E91" s="1860"/>
      <c r="F91" s="1861"/>
      <c r="G91" s="208"/>
      <c r="H91" s="208"/>
      <c r="I91" s="209"/>
      <c r="J91" s="495">
        <f t="shared" si="16"/>
        <v>0</v>
      </c>
      <c r="K91" s="496">
        <f t="shared" si="17"/>
        <v>0</v>
      </c>
      <c r="L91" s="496" t="str">
        <f t="shared" si="18"/>
        <v/>
      </c>
      <c r="M91" s="496" t="str">
        <f t="shared" si="19"/>
        <v/>
      </c>
      <c r="N91" s="805"/>
      <c r="O91" s="805"/>
      <c r="P91" s="805"/>
      <c r="Q91" s="497">
        <f t="shared" si="28"/>
        <v>0</v>
      </c>
      <c r="R91" s="498" t="str">
        <f xml:space="preserve">
IF(表紙!$X$2="事前協議","－",
IF(表紙!$X$2="交付申請（２次）","－",
IF(表紙!$X$2="変更申請","－",
IF(AND(表紙!$X$2="実績報告（１次）",AL91="◎"),COUNTIF($AL$13:AL91,"◎"),
IF(AND(表紙!$X$2="実績報告（１次）",OR(AL91="×",AL91="○")),"",
IF(表紙!$X$2="実績報告（２次）","－",
IF(表紙!$X$2="交付申請兼実績報告","－")))))))</f>
        <v>－</v>
      </c>
      <c r="S91" s="498" t="str">
        <f t="shared" si="20"/>
        <v/>
      </c>
      <c r="U91" s="610" t="str">
        <f t="shared" si="27"/>
        <v/>
      </c>
      <c r="V91" s="701" t="str">
        <f t="shared" si="21"/>
        <v/>
      </c>
      <c r="W91" s="701" t="str">
        <f t="shared" si="22"/>
        <v/>
      </c>
      <c r="X91" s="701" t="str">
        <f t="shared" si="23"/>
        <v/>
      </c>
      <c r="Y91" s="500" t="str">
        <f t="shared" si="24"/>
        <v/>
      </c>
      <c r="AJ91" s="468" t="s">
        <v>468</v>
      </c>
      <c r="AK91" s="499">
        <v>79</v>
      </c>
      <c r="AL91" s="467" t="str">
        <f t="shared" si="25"/>
        <v>○</v>
      </c>
      <c r="AM91" s="475" t="str">
        <f t="shared" si="26"/>
        <v>申請しない場合は入力不要です。</v>
      </c>
      <c r="AO91" s="475">
        <f t="shared" si="15"/>
        <v>0</v>
      </c>
    </row>
    <row r="92" spans="1:41" ht="20.100000000000001" customHeight="1">
      <c r="A92" s="494">
        <v>80</v>
      </c>
      <c r="B92" s="206"/>
      <c r="C92" s="207"/>
      <c r="D92" s="1859"/>
      <c r="E92" s="1860"/>
      <c r="F92" s="1861"/>
      <c r="G92" s="208"/>
      <c r="H92" s="208"/>
      <c r="I92" s="209"/>
      <c r="J92" s="495">
        <f t="shared" si="16"/>
        <v>0</v>
      </c>
      <c r="K92" s="496">
        <f t="shared" si="17"/>
        <v>0</v>
      </c>
      <c r="L92" s="496" t="str">
        <f t="shared" si="18"/>
        <v/>
      </c>
      <c r="M92" s="496" t="str">
        <f t="shared" si="19"/>
        <v/>
      </c>
      <c r="N92" s="805"/>
      <c r="O92" s="805"/>
      <c r="P92" s="805"/>
      <c r="Q92" s="497">
        <f t="shared" si="28"/>
        <v>0</v>
      </c>
      <c r="R92" s="498" t="str">
        <f xml:space="preserve">
IF(表紙!$X$2="事前協議","－",
IF(表紙!$X$2="交付申請（２次）","－",
IF(表紙!$X$2="変更申請","－",
IF(AND(表紙!$X$2="実績報告（１次）",AL92="◎"),COUNTIF($AL$13:AL92,"◎"),
IF(AND(表紙!$X$2="実績報告（１次）",OR(AL92="×",AL92="○")),"",
IF(表紙!$X$2="実績報告（２次）","－",
IF(表紙!$X$2="交付申請兼実績報告","－")))))))</f>
        <v>－</v>
      </c>
      <c r="S92" s="498" t="str">
        <f t="shared" si="20"/>
        <v/>
      </c>
      <c r="U92" s="610" t="str">
        <f t="shared" si="27"/>
        <v/>
      </c>
      <c r="V92" s="701" t="str">
        <f t="shared" si="21"/>
        <v/>
      </c>
      <c r="W92" s="701" t="str">
        <f t="shared" si="22"/>
        <v/>
      </c>
      <c r="X92" s="701" t="str">
        <f t="shared" si="23"/>
        <v/>
      </c>
      <c r="Y92" s="500" t="str">
        <f t="shared" si="24"/>
        <v/>
      </c>
      <c r="AJ92" s="468" t="s">
        <v>468</v>
      </c>
      <c r="AK92" s="499">
        <v>80</v>
      </c>
      <c r="AL92" s="467" t="str">
        <f t="shared" si="25"/>
        <v>○</v>
      </c>
      <c r="AM92" s="475" t="str">
        <f t="shared" si="26"/>
        <v>申請しない場合は入力不要です。</v>
      </c>
      <c r="AO92" s="475">
        <f t="shared" si="15"/>
        <v>0</v>
      </c>
    </row>
    <row r="93" spans="1:41" ht="20.100000000000001" customHeight="1">
      <c r="A93" s="494">
        <v>81</v>
      </c>
      <c r="B93" s="206"/>
      <c r="C93" s="207"/>
      <c r="D93" s="1859"/>
      <c r="E93" s="1860"/>
      <c r="F93" s="1861"/>
      <c r="G93" s="208"/>
      <c r="H93" s="208"/>
      <c r="I93" s="209"/>
      <c r="J93" s="495">
        <f t="shared" si="16"/>
        <v>0</v>
      </c>
      <c r="K93" s="496">
        <f t="shared" si="17"/>
        <v>0</v>
      </c>
      <c r="L93" s="496" t="str">
        <f t="shared" si="18"/>
        <v/>
      </c>
      <c r="M93" s="496" t="str">
        <f t="shared" si="19"/>
        <v/>
      </c>
      <c r="N93" s="805"/>
      <c r="O93" s="805"/>
      <c r="P93" s="805"/>
      <c r="Q93" s="497">
        <f t="shared" si="28"/>
        <v>0</v>
      </c>
      <c r="R93" s="498" t="str">
        <f xml:space="preserve">
IF(表紙!$X$2="事前協議","－",
IF(表紙!$X$2="交付申請（２次）","－",
IF(表紙!$X$2="変更申請","－",
IF(AND(表紙!$X$2="実績報告（１次）",AL93="◎"),COUNTIF($AL$13:AL93,"◎"),
IF(AND(表紙!$X$2="実績報告（１次）",OR(AL93="×",AL93="○")),"",
IF(表紙!$X$2="実績報告（２次）","－",
IF(表紙!$X$2="交付申請兼実績報告","－")))))))</f>
        <v>－</v>
      </c>
      <c r="S93" s="498" t="str">
        <f t="shared" si="20"/>
        <v/>
      </c>
      <c r="U93" s="610" t="str">
        <f t="shared" si="27"/>
        <v/>
      </c>
      <c r="V93" s="701" t="str">
        <f t="shared" si="21"/>
        <v/>
      </c>
      <c r="W93" s="701" t="str">
        <f t="shared" si="22"/>
        <v/>
      </c>
      <c r="X93" s="701" t="str">
        <f t="shared" si="23"/>
        <v/>
      </c>
      <c r="Y93" s="500" t="str">
        <f t="shared" si="24"/>
        <v/>
      </c>
      <c r="AJ93" s="468" t="s">
        <v>468</v>
      </c>
      <c r="AK93" s="499">
        <v>81</v>
      </c>
      <c r="AL93" s="467" t="str">
        <f t="shared" si="25"/>
        <v>○</v>
      </c>
      <c r="AM93" s="475" t="str">
        <f t="shared" si="26"/>
        <v>申請しない場合は入力不要です。</v>
      </c>
      <c r="AO93" s="475">
        <f t="shared" si="15"/>
        <v>0</v>
      </c>
    </row>
    <row r="94" spans="1:41" ht="20.100000000000001" customHeight="1">
      <c r="A94" s="494">
        <v>82</v>
      </c>
      <c r="B94" s="206"/>
      <c r="C94" s="207"/>
      <c r="D94" s="1859"/>
      <c r="E94" s="1860"/>
      <c r="F94" s="1861"/>
      <c r="G94" s="208"/>
      <c r="H94" s="208"/>
      <c r="I94" s="209"/>
      <c r="J94" s="495">
        <f t="shared" si="16"/>
        <v>0</v>
      </c>
      <c r="K94" s="496">
        <f t="shared" si="17"/>
        <v>0</v>
      </c>
      <c r="L94" s="496" t="str">
        <f t="shared" si="18"/>
        <v/>
      </c>
      <c r="M94" s="496" t="str">
        <f t="shared" si="19"/>
        <v/>
      </c>
      <c r="N94" s="805"/>
      <c r="O94" s="805"/>
      <c r="P94" s="805"/>
      <c r="Q94" s="497">
        <f t="shared" si="28"/>
        <v>0</v>
      </c>
      <c r="R94" s="498" t="str">
        <f xml:space="preserve">
IF(表紙!$X$2="事前協議","－",
IF(表紙!$X$2="交付申請（２次）","－",
IF(表紙!$X$2="変更申請","－",
IF(AND(表紙!$X$2="実績報告（１次）",AL94="◎"),COUNTIF($AL$13:AL94,"◎"),
IF(AND(表紙!$X$2="実績報告（１次）",OR(AL94="×",AL94="○")),"",
IF(表紙!$X$2="実績報告（２次）","－",
IF(表紙!$X$2="交付申請兼実績報告","－")))))))</f>
        <v>－</v>
      </c>
      <c r="S94" s="498" t="str">
        <f t="shared" si="20"/>
        <v/>
      </c>
      <c r="U94" s="610" t="str">
        <f t="shared" si="27"/>
        <v/>
      </c>
      <c r="V94" s="701" t="str">
        <f t="shared" si="21"/>
        <v/>
      </c>
      <c r="W94" s="701" t="str">
        <f t="shared" si="22"/>
        <v/>
      </c>
      <c r="X94" s="701" t="str">
        <f t="shared" si="23"/>
        <v/>
      </c>
      <c r="Y94" s="500" t="str">
        <f t="shared" si="24"/>
        <v/>
      </c>
      <c r="AJ94" s="468" t="s">
        <v>468</v>
      </c>
      <c r="AK94" s="499">
        <v>82</v>
      </c>
      <c r="AL94" s="467" t="str">
        <f t="shared" si="25"/>
        <v>○</v>
      </c>
      <c r="AM94" s="475" t="str">
        <f t="shared" si="26"/>
        <v>申請しない場合は入力不要です。</v>
      </c>
      <c r="AO94" s="475">
        <f t="shared" si="15"/>
        <v>0</v>
      </c>
    </row>
    <row r="95" spans="1:41" ht="20.100000000000001" customHeight="1">
      <c r="A95" s="494">
        <v>83</v>
      </c>
      <c r="B95" s="206"/>
      <c r="C95" s="207"/>
      <c r="D95" s="1859"/>
      <c r="E95" s="1860"/>
      <c r="F95" s="1861"/>
      <c r="G95" s="208"/>
      <c r="H95" s="208"/>
      <c r="I95" s="209"/>
      <c r="J95" s="495">
        <f t="shared" si="16"/>
        <v>0</v>
      </c>
      <c r="K95" s="496">
        <f t="shared" si="17"/>
        <v>0</v>
      </c>
      <c r="L95" s="496" t="str">
        <f t="shared" si="18"/>
        <v/>
      </c>
      <c r="M95" s="496" t="str">
        <f t="shared" si="19"/>
        <v/>
      </c>
      <c r="N95" s="805"/>
      <c r="O95" s="805"/>
      <c r="P95" s="805"/>
      <c r="Q95" s="497">
        <f t="shared" si="28"/>
        <v>0</v>
      </c>
      <c r="R95" s="498" t="str">
        <f xml:space="preserve">
IF(表紙!$X$2="事前協議","－",
IF(表紙!$X$2="交付申請（２次）","－",
IF(表紙!$X$2="変更申請","－",
IF(AND(表紙!$X$2="実績報告（１次）",AL95="◎"),COUNTIF($AL$13:AL95,"◎"),
IF(AND(表紙!$X$2="実績報告（１次）",OR(AL95="×",AL95="○")),"",
IF(表紙!$X$2="実績報告（２次）","－",
IF(表紙!$X$2="交付申請兼実績報告","－")))))))</f>
        <v>－</v>
      </c>
      <c r="S95" s="498" t="str">
        <f t="shared" si="20"/>
        <v/>
      </c>
      <c r="U95" s="610" t="str">
        <f t="shared" si="27"/>
        <v/>
      </c>
      <c r="V95" s="701" t="str">
        <f t="shared" si="21"/>
        <v/>
      </c>
      <c r="W95" s="701" t="str">
        <f t="shared" si="22"/>
        <v/>
      </c>
      <c r="X95" s="701" t="str">
        <f t="shared" si="23"/>
        <v/>
      </c>
      <c r="Y95" s="500" t="str">
        <f t="shared" si="24"/>
        <v/>
      </c>
      <c r="AJ95" s="468" t="s">
        <v>468</v>
      </c>
      <c r="AK95" s="499">
        <v>83</v>
      </c>
      <c r="AL95" s="467" t="str">
        <f t="shared" si="25"/>
        <v>○</v>
      </c>
      <c r="AM95" s="475" t="str">
        <f t="shared" si="26"/>
        <v>申請しない場合は入力不要です。</v>
      </c>
      <c r="AO95" s="475">
        <f t="shared" si="15"/>
        <v>0</v>
      </c>
    </row>
    <row r="96" spans="1:41" ht="20.100000000000001" customHeight="1">
      <c r="A96" s="494">
        <v>84</v>
      </c>
      <c r="B96" s="206"/>
      <c r="C96" s="207"/>
      <c r="D96" s="1859"/>
      <c r="E96" s="1860"/>
      <c r="F96" s="1861"/>
      <c r="G96" s="208"/>
      <c r="H96" s="208"/>
      <c r="I96" s="209"/>
      <c r="J96" s="495">
        <f t="shared" si="16"/>
        <v>0</v>
      </c>
      <c r="K96" s="496">
        <f t="shared" si="17"/>
        <v>0</v>
      </c>
      <c r="L96" s="496" t="str">
        <f t="shared" si="18"/>
        <v/>
      </c>
      <c r="M96" s="496" t="str">
        <f t="shared" si="19"/>
        <v/>
      </c>
      <c r="N96" s="805"/>
      <c r="O96" s="805"/>
      <c r="P96" s="805"/>
      <c r="Q96" s="497">
        <f t="shared" si="28"/>
        <v>0</v>
      </c>
      <c r="R96" s="498" t="str">
        <f xml:space="preserve">
IF(表紙!$X$2="事前協議","－",
IF(表紙!$X$2="交付申請（２次）","－",
IF(表紙!$X$2="変更申請","－",
IF(AND(表紙!$X$2="実績報告（１次）",AL96="◎"),COUNTIF($AL$13:AL96,"◎"),
IF(AND(表紙!$X$2="実績報告（１次）",OR(AL96="×",AL96="○")),"",
IF(表紙!$X$2="実績報告（２次）","－",
IF(表紙!$X$2="交付申請兼実績報告","－")))))))</f>
        <v>－</v>
      </c>
      <c r="S96" s="498" t="str">
        <f t="shared" si="20"/>
        <v/>
      </c>
      <c r="U96" s="610" t="str">
        <f t="shared" si="27"/>
        <v/>
      </c>
      <c r="V96" s="701" t="str">
        <f t="shared" si="21"/>
        <v/>
      </c>
      <c r="W96" s="701" t="str">
        <f t="shared" si="22"/>
        <v/>
      </c>
      <c r="X96" s="701" t="str">
        <f t="shared" si="23"/>
        <v/>
      </c>
      <c r="Y96" s="500" t="str">
        <f t="shared" si="24"/>
        <v/>
      </c>
      <c r="AJ96" s="468" t="s">
        <v>468</v>
      </c>
      <c r="AK96" s="499">
        <v>84</v>
      </c>
      <c r="AL96" s="467" t="str">
        <f t="shared" si="25"/>
        <v>○</v>
      </c>
      <c r="AM96" s="475" t="str">
        <f t="shared" si="26"/>
        <v>申請しない場合は入力不要です。</v>
      </c>
      <c r="AO96" s="475">
        <f t="shared" si="15"/>
        <v>0</v>
      </c>
    </row>
    <row r="97" spans="1:41" ht="20.100000000000001" customHeight="1">
      <c r="A97" s="494">
        <v>85</v>
      </c>
      <c r="B97" s="206"/>
      <c r="C97" s="207"/>
      <c r="D97" s="1859"/>
      <c r="E97" s="1860"/>
      <c r="F97" s="1861"/>
      <c r="G97" s="208"/>
      <c r="H97" s="208"/>
      <c r="I97" s="209"/>
      <c r="J97" s="495">
        <f t="shared" si="16"/>
        <v>0</v>
      </c>
      <c r="K97" s="496">
        <f t="shared" si="17"/>
        <v>0</v>
      </c>
      <c r="L97" s="496" t="str">
        <f t="shared" si="18"/>
        <v/>
      </c>
      <c r="M97" s="496" t="str">
        <f t="shared" si="19"/>
        <v/>
      </c>
      <c r="N97" s="805"/>
      <c r="O97" s="805"/>
      <c r="P97" s="805"/>
      <c r="Q97" s="497">
        <f t="shared" si="28"/>
        <v>0</v>
      </c>
      <c r="R97" s="498" t="str">
        <f xml:space="preserve">
IF(表紙!$X$2="事前協議","－",
IF(表紙!$X$2="交付申請（２次）","－",
IF(表紙!$X$2="変更申請","－",
IF(AND(表紙!$X$2="実績報告（１次）",AL97="◎"),COUNTIF($AL$13:AL97,"◎"),
IF(AND(表紙!$X$2="実績報告（１次）",OR(AL97="×",AL97="○")),"",
IF(表紙!$X$2="実績報告（２次）","－",
IF(表紙!$X$2="交付申請兼実績報告","－")))))))</f>
        <v>－</v>
      </c>
      <c r="S97" s="498" t="str">
        <f t="shared" si="20"/>
        <v/>
      </c>
      <c r="U97" s="610" t="str">
        <f t="shared" si="27"/>
        <v/>
      </c>
      <c r="V97" s="701" t="str">
        <f t="shared" si="21"/>
        <v/>
      </c>
      <c r="W97" s="701" t="str">
        <f t="shared" si="22"/>
        <v/>
      </c>
      <c r="X97" s="701" t="str">
        <f t="shared" si="23"/>
        <v/>
      </c>
      <c r="Y97" s="500" t="str">
        <f t="shared" si="24"/>
        <v/>
      </c>
      <c r="AJ97" s="468" t="s">
        <v>468</v>
      </c>
      <c r="AK97" s="499">
        <v>85</v>
      </c>
      <c r="AL97" s="467" t="str">
        <f t="shared" si="25"/>
        <v>○</v>
      </c>
      <c r="AM97" s="475" t="str">
        <f t="shared" si="26"/>
        <v>申請しない場合は入力不要です。</v>
      </c>
      <c r="AO97" s="475">
        <f t="shared" si="15"/>
        <v>0</v>
      </c>
    </row>
    <row r="98" spans="1:41" ht="20.100000000000001" customHeight="1">
      <c r="A98" s="494">
        <v>86</v>
      </c>
      <c r="B98" s="206"/>
      <c r="C98" s="207"/>
      <c r="D98" s="1859"/>
      <c r="E98" s="1860"/>
      <c r="F98" s="1861"/>
      <c r="G98" s="208"/>
      <c r="H98" s="208"/>
      <c r="I98" s="209"/>
      <c r="J98" s="495">
        <f t="shared" si="16"/>
        <v>0</v>
      </c>
      <c r="K98" s="496">
        <f t="shared" si="17"/>
        <v>0</v>
      </c>
      <c r="L98" s="496" t="str">
        <f t="shared" si="18"/>
        <v/>
      </c>
      <c r="M98" s="496" t="str">
        <f t="shared" si="19"/>
        <v/>
      </c>
      <c r="N98" s="805"/>
      <c r="O98" s="805"/>
      <c r="P98" s="805"/>
      <c r="Q98" s="497">
        <f t="shared" si="28"/>
        <v>0</v>
      </c>
      <c r="R98" s="498" t="str">
        <f xml:space="preserve">
IF(表紙!$X$2="事前協議","－",
IF(表紙!$X$2="交付申請（２次）","－",
IF(表紙!$X$2="変更申請","－",
IF(AND(表紙!$X$2="実績報告（１次）",AL98="◎"),COUNTIF($AL$13:AL98,"◎"),
IF(AND(表紙!$X$2="実績報告（１次）",OR(AL98="×",AL98="○")),"",
IF(表紙!$X$2="実績報告（２次）","－",
IF(表紙!$X$2="交付申請兼実績報告","－")))))))</f>
        <v>－</v>
      </c>
      <c r="S98" s="498" t="str">
        <f t="shared" si="20"/>
        <v/>
      </c>
      <c r="U98" s="610" t="str">
        <f t="shared" si="27"/>
        <v/>
      </c>
      <c r="V98" s="701" t="str">
        <f t="shared" si="21"/>
        <v/>
      </c>
      <c r="W98" s="701" t="str">
        <f t="shared" si="22"/>
        <v/>
      </c>
      <c r="X98" s="701" t="str">
        <f t="shared" si="23"/>
        <v/>
      </c>
      <c r="Y98" s="500" t="str">
        <f t="shared" si="24"/>
        <v/>
      </c>
      <c r="AJ98" s="468" t="s">
        <v>468</v>
      </c>
      <c r="AK98" s="499">
        <v>86</v>
      </c>
      <c r="AL98" s="467" t="str">
        <f t="shared" si="25"/>
        <v>○</v>
      </c>
      <c r="AM98" s="475" t="str">
        <f t="shared" si="26"/>
        <v>申請しない場合は入力不要です。</v>
      </c>
      <c r="AO98" s="475">
        <f t="shared" si="15"/>
        <v>0</v>
      </c>
    </row>
    <row r="99" spans="1:41" ht="20.100000000000001" customHeight="1">
      <c r="A99" s="494">
        <v>87</v>
      </c>
      <c r="B99" s="206"/>
      <c r="C99" s="207"/>
      <c r="D99" s="1859"/>
      <c r="E99" s="1860"/>
      <c r="F99" s="1861"/>
      <c r="G99" s="208"/>
      <c r="H99" s="208"/>
      <c r="I99" s="209"/>
      <c r="J99" s="495">
        <f t="shared" si="16"/>
        <v>0</v>
      </c>
      <c r="K99" s="496">
        <f t="shared" si="17"/>
        <v>0</v>
      </c>
      <c r="L99" s="496" t="str">
        <f t="shared" si="18"/>
        <v/>
      </c>
      <c r="M99" s="496" t="str">
        <f t="shared" si="19"/>
        <v/>
      </c>
      <c r="N99" s="805"/>
      <c r="O99" s="805"/>
      <c r="P99" s="805"/>
      <c r="Q99" s="497">
        <f t="shared" si="28"/>
        <v>0</v>
      </c>
      <c r="R99" s="498" t="str">
        <f xml:space="preserve">
IF(表紙!$X$2="事前協議","－",
IF(表紙!$X$2="交付申請（２次）","－",
IF(表紙!$X$2="変更申請","－",
IF(AND(表紙!$X$2="実績報告（１次）",AL99="◎"),COUNTIF($AL$13:AL99,"◎"),
IF(AND(表紙!$X$2="実績報告（１次）",OR(AL99="×",AL99="○")),"",
IF(表紙!$X$2="実績報告（２次）","－",
IF(表紙!$X$2="交付申請兼実績報告","－")))))))</f>
        <v>－</v>
      </c>
      <c r="S99" s="498" t="str">
        <f t="shared" si="20"/>
        <v/>
      </c>
      <c r="U99" s="610" t="str">
        <f t="shared" si="27"/>
        <v/>
      </c>
      <c r="V99" s="701" t="str">
        <f t="shared" si="21"/>
        <v/>
      </c>
      <c r="W99" s="701" t="str">
        <f t="shared" si="22"/>
        <v/>
      </c>
      <c r="X99" s="701" t="str">
        <f t="shared" si="23"/>
        <v/>
      </c>
      <c r="Y99" s="500" t="str">
        <f t="shared" si="24"/>
        <v/>
      </c>
      <c r="AJ99" s="468" t="s">
        <v>468</v>
      </c>
      <c r="AK99" s="499">
        <v>87</v>
      </c>
      <c r="AL99" s="467" t="str">
        <f t="shared" si="25"/>
        <v>○</v>
      </c>
      <c r="AM99" s="475" t="str">
        <f t="shared" si="26"/>
        <v>申請しない場合は入力不要です。</v>
      </c>
      <c r="AO99" s="475">
        <f t="shared" si="15"/>
        <v>0</v>
      </c>
    </row>
    <row r="100" spans="1:41" ht="20.100000000000001" customHeight="1">
      <c r="A100" s="494">
        <v>88</v>
      </c>
      <c r="B100" s="206"/>
      <c r="C100" s="207"/>
      <c r="D100" s="1859"/>
      <c r="E100" s="1860"/>
      <c r="F100" s="1861"/>
      <c r="G100" s="208"/>
      <c r="H100" s="208"/>
      <c r="I100" s="209"/>
      <c r="J100" s="495">
        <f t="shared" si="16"/>
        <v>0</v>
      </c>
      <c r="K100" s="496">
        <f t="shared" si="17"/>
        <v>0</v>
      </c>
      <c r="L100" s="496" t="str">
        <f t="shared" si="18"/>
        <v/>
      </c>
      <c r="M100" s="496" t="str">
        <f t="shared" si="19"/>
        <v/>
      </c>
      <c r="N100" s="805"/>
      <c r="O100" s="805"/>
      <c r="P100" s="805"/>
      <c r="Q100" s="497">
        <f t="shared" si="28"/>
        <v>0</v>
      </c>
      <c r="R100" s="498" t="str">
        <f xml:space="preserve">
IF(表紙!$X$2="事前協議","－",
IF(表紙!$X$2="交付申請（２次）","－",
IF(表紙!$X$2="変更申請","－",
IF(AND(表紙!$X$2="実績報告（１次）",AL100="◎"),COUNTIF($AL$13:AL100,"◎"),
IF(AND(表紙!$X$2="実績報告（１次）",OR(AL100="×",AL100="○")),"",
IF(表紙!$X$2="実績報告（２次）","－",
IF(表紙!$X$2="交付申請兼実績報告","－")))))))</f>
        <v>－</v>
      </c>
      <c r="S100" s="498" t="str">
        <f t="shared" si="20"/>
        <v/>
      </c>
      <c r="U100" s="610" t="str">
        <f t="shared" si="27"/>
        <v/>
      </c>
      <c r="V100" s="701" t="str">
        <f t="shared" si="21"/>
        <v/>
      </c>
      <c r="W100" s="701" t="str">
        <f t="shared" si="22"/>
        <v/>
      </c>
      <c r="X100" s="701" t="str">
        <f t="shared" si="23"/>
        <v/>
      </c>
      <c r="Y100" s="500" t="str">
        <f t="shared" si="24"/>
        <v/>
      </c>
      <c r="AJ100" s="468" t="s">
        <v>468</v>
      </c>
      <c r="AK100" s="499">
        <v>88</v>
      </c>
      <c r="AL100" s="467" t="str">
        <f t="shared" si="25"/>
        <v>○</v>
      </c>
      <c r="AM100" s="475" t="str">
        <f t="shared" si="26"/>
        <v>申請しない場合は入力不要です。</v>
      </c>
      <c r="AO100" s="475">
        <f t="shared" si="15"/>
        <v>0</v>
      </c>
    </row>
    <row r="101" spans="1:41" ht="20.100000000000001" customHeight="1">
      <c r="A101" s="494">
        <v>89</v>
      </c>
      <c r="B101" s="206"/>
      <c r="C101" s="207"/>
      <c r="D101" s="1859"/>
      <c r="E101" s="1860"/>
      <c r="F101" s="1861"/>
      <c r="G101" s="208"/>
      <c r="H101" s="208"/>
      <c r="I101" s="209"/>
      <c r="J101" s="495">
        <f t="shared" si="16"/>
        <v>0</v>
      </c>
      <c r="K101" s="496">
        <f t="shared" si="17"/>
        <v>0</v>
      </c>
      <c r="L101" s="496" t="str">
        <f t="shared" si="18"/>
        <v/>
      </c>
      <c r="M101" s="496" t="str">
        <f t="shared" si="19"/>
        <v/>
      </c>
      <c r="N101" s="805"/>
      <c r="O101" s="805"/>
      <c r="P101" s="805"/>
      <c r="Q101" s="497">
        <f t="shared" si="28"/>
        <v>0</v>
      </c>
      <c r="R101" s="498" t="str">
        <f xml:space="preserve">
IF(表紙!$X$2="事前協議","－",
IF(表紙!$X$2="交付申請（２次）","－",
IF(表紙!$X$2="変更申請","－",
IF(AND(表紙!$X$2="実績報告（１次）",AL101="◎"),COUNTIF($AL$13:AL101,"◎"),
IF(AND(表紙!$X$2="実績報告（１次）",OR(AL101="×",AL101="○")),"",
IF(表紙!$X$2="実績報告（２次）","－",
IF(表紙!$X$2="交付申請兼実績報告","－")))))))</f>
        <v>－</v>
      </c>
      <c r="S101" s="498" t="str">
        <f t="shared" si="20"/>
        <v/>
      </c>
      <c r="U101" s="610" t="str">
        <f t="shared" si="27"/>
        <v/>
      </c>
      <c r="V101" s="701" t="str">
        <f t="shared" si="21"/>
        <v/>
      </c>
      <c r="W101" s="701" t="str">
        <f t="shared" si="22"/>
        <v/>
      </c>
      <c r="X101" s="701" t="str">
        <f t="shared" si="23"/>
        <v/>
      </c>
      <c r="Y101" s="500" t="str">
        <f t="shared" si="24"/>
        <v/>
      </c>
      <c r="AJ101" s="468" t="s">
        <v>468</v>
      </c>
      <c r="AK101" s="499">
        <v>89</v>
      </c>
      <c r="AL101" s="467" t="str">
        <f t="shared" si="25"/>
        <v>○</v>
      </c>
      <c r="AM101" s="475" t="str">
        <f t="shared" si="26"/>
        <v>申請しない場合は入力不要です。</v>
      </c>
      <c r="AO101" s="475">
        <f t="shared" si="15"/>
        <v>0</v>
      </c>
    </row>
    <row r="102" spans="1:41" ht="20.100000000000001" customHeight="1">
      <c r="A102" s="494">
        <v>90</v>
      </c>
      <c r="B102" s="206"/>
      <c r="C102" s="207"/>
      <c r="D102" s="1859"/>
      <c r="E102" s="1860"/>
      <c r="F102" s="1861"/>
      <c r="G102" s="208"/>
      <c r="H102" s="208"/>
      <c r="I102" s="209"/>
      <c r="J102" s="495">
        <f t="shared" si="16"/>
        <v>0</v>
      </c>
      <c r="K102" s="496">
        <f t="shared" si="17"/>
        <v>0</v>
      </c>
      <c r="L102" s="496" t="str">
        <f t="shared" si="18"/>
        <v/>
      </c>
      <c r="M102" s="496" t="str">
        <f t="shared" si="19"/>
        <v/>
      </c>
      <c r="N102" s="805"/>
      <c r="O102" s="805"/>
      <c r="P102" s="805"/>
      <c r="Q102" s="497">
        <f t="shared" si="28"/>
        <v>0</v>
      </c>
      <c r="R102" s="498" t="str">
        <f xml:space="preserve">
IF(表紙!$X$2="事前協議","－",
IF(表紙!$X$2="交付申請（２次）","－",
IF(表紙!$X$2="変更申請","－",
IF(AND(表紙!$X$2="実績報告（１次）",AL102="◎"),COUNTIF($AL$13:AL102,"◎"),
IF(AND(表紙!$X$2="実績報告（１次）",OR(AL102="×",AL102="○")),"",
IF(表紙!$X$2="実績報告（２次）","－",
IF(表紙!$X$2="交付申請兼実績報告","－")))))))</f>
        <v>－</v>
      </c>
      <c r="S102" s="498" t="str">
        <f t="shared" si="20"/>
        <v/>
      </c>
      <c r="U102" s="610" t="str">
        <f t="shared" si="27"/>
        <v/>
      </c>
      <c r="V102" s="701" t="str">
        <f t="shared" si="21"/>
        <v/>
      </c>
      <c r="W102" s="701" t="str">
        <f t="shared" si="22"/>
        <v/>
      </c>
      <c r="X102" s="701" t="str">
        <f t="shared" si="23"/>
        <v/>
      </c>
      <c r="Y102" s="500" t="str">
        <f t="shared" si="24"/>
        <v/>
      </c>
      <c r="AJ102" s="468" t="s">
        <v>468</v>
      </c>
      <c r="AK102" s="499">
        <v>90</v>
      </c>
      <c r="AL102" s="467" t="str">
        <f t="shared" si="25"/>
        <v>○</v>
      </c>
      <c r="AM102" s="475" t="str">
        <f t="shared" si="26"/>
        <v>申請しない場合は入力不要です。</v>
      </c>
      <c r="AO102" s="475">
        <f t="shared" si="15"/>
        <v>0</v>
      </c>
    </row>
    <row r="103" spans="1:41" ht="20.100000000000001" customHeight="1">
      <c r="A103" s="494">
        <v>91</v>
      </c>
      <c r="B103" s="206"/>
      <c r="C103" s="207"/>
      <c r="D103" s="1859"/>
      <c r="E103" s="1860"/>
      <c r="F103" s="1861"/>
      <c r="G103" s="208"/>
      <c r="H103" s="208"/>
      <c r="I103" s="209"/>
      <c r="J103" s="495">
        <f t="shared" si="16"/>
        <v>0</v>
      </c>
      <c r="K103" s="496">
        <f t="shared" si="17"/>
        <v>0</v>
      </c>
      <c r="L103" s="496" t="str">
        <f t="shared" si="18"/>
        <v/>
      </c>
      <c r="M103" s="496" t="str">
        <f t="shared" si="19"/>
        <v/>
      </c>
      <c r="N103" s="805"/>
      <c r="O103" s="805"/>
      <c r="P103" s="805"/>
      <c r="Q103" s="497">
        <f t="shared" si="28"/>
        <v>0</v>
      </c>
      <c r="R103" s="498" t="str">
        <f xml:space="preserve">
IF(表紙!$X$2="事前協議","－",
IF(表紙!$X$2="交付申請（２次）","－",
IF(表紙!$X$2="変更申請","－",
IF(AND(表紙!$X$2="実績報告（１次）",AL103="◎"),COUNTIF($AL$13:AL103,"◎"),
IF(AND(表紙!$X$2="実績報告（１次）",OR(AL103="×",AL103="○")),"",
IF(表紙!$X$2="実績報告（２次）","－",
IF(表紙!$X$2="交付申請兼実績報告","－")))))))</f>
        <v>－</v>
      </c>
      <c r="S103" s="498" t="str">
        <f t="shared" si="20"/>
        <v/>
      </c>
      <c r="U103" s="610" t="str">
        <f t="shared" si="27"/>
        <v/>
      </c>
      <c r="V103" s="701" t="str">
        <f t="shared" si="21"/>
        <v/>
      </c>
      <c r="W103" s="701" t="str">
        <f t="shared" si="22"/>
        <v/>
      </c>
      <c r="X103" s="701" t="str">
        <f t="shared" si="23"/>
        <v/>
      </c>
      <c r="Y103" s="500" t="str">
        <f t="shared" si="24"/>
        <v/>
      </c>
      <c r="AJ103" s="468" t="s">
        <v>468</v>
      </c>
      <c r="AK103" s="499">
        <v>91</v>
      </c>
      <c r="AL103" s="467" t="str">
        <f t="shared" si="25"/>
        <v>○</v>
      </c>
      <c r="AM103" s="475" t="str">
        <f t="shared" si="26"/>
        <v>申請しない場合は入力不要です。</v>
      </c>
      <c r="AO103" s="475">
        <f t="shared" si="15"/>
        <v>0</v>
      </c>
    </row>
    <row r="104" spans="1:41" ht="20.100000000000001" customHeight="1">
      <c r="A104" s="494">
        <v>92</v>
      </c>
      <c r="B104" s="206"/>
      <c r="C104" s="207"/>
      <c r="D104" s="1859"/>
      <c r="E104" s="1860"/>
      <c r="F104" s="1861"/>
      <c r="G104" s="208"/>
      <c r="H104" s="208"/>
      <c r="I104" s="209"/>
      <c r="J104" s="495">
        <f t="shared" si="16"/>
        <v>0</v>
      </c>
      <c r="K104" s="496">
        <f t="shared" si="17"/>
        <v>0</v>
      </c>
      <c r="L104" s="496" t="str">
        <f t="shared" si="18"/>
        <v/>
      </c>
      <c r="M104" s="496" t="str">
        <f t="shared" si="19"/>
        <v/>
      </c>
      <c r="N104" s="805"/>
      <c r="O104" s="805"/>
      <c r="P104" s="805"/>
      <c r="Q104" s="497">
        <f t="shared" si="28"/>
        <v>0</v>
      </c>
      <c r="R104" s="498" t="str">
        <f xml:space="preserve">
IF(表紙!$X$2="事前協議","－",
IF(表紙!$X$2="交付申請（２次）","－",
IF(表紙!$X$2="変更申請","－",
IF(AND(表紙!$X$2="実績報告（１次）",AL104="◎"),COUNTIF($AL$13:AL104,"◎"),
IF(AND(表紙!$X$2="実績報告（１次）",OR(AL104="×",AL104="○")),"",
IF(表紙!$X$2="実績報告（２次）","－",
IF(表紙!$X$2="交付申請兼実績報告","－")))))))</f>
        <v>－</v>
      </c>
      <c r="S104" s="498" t="str">
        <f t="shared" si="20"/>
        <v/>
      </c>
      <c r="U104" s="610" t="str">
        <f t="shared" si="27"/>
        <v/>
      </c>
      <c r="V104" s="701" t="str">
        <f t="shared" si="21"/>
        <v/>
      </c>
      <c r="W104" s="701" t="str">
        <f t="shared" si="22"/>
        <v/>
      </c>
      <c r="X104" s="701" t="str">
        <f t="shared" si="23"/>
        <v/>
      </c>
      <c r="Y104" s="500" t="str">
        <f t="shared" si="24"/>
        <v/>
      </c>
      <c r="AJ104" s="468" t="s">
        <v>468</v>
      </c>
      <c r="AK104" s="499">
        <v>92</v>
      </c>
      <c r="AL104" s="467" t="str">
        <f t="shared" si="25"/>
        <v>○</v>
      </c>
      <c r="AM104" s="475" t="str">
        <f t="shared" si="26"/>
        <v>申請しない場合は入力不要です。</v>
      </c>
      <c r="AO104" s="475">
        <f t="shared" si="15"/>
        <v>0</v>
      </c>
    </row>
    <row r="105" spans="1:41" ht="20.100000000000001" customHeight="1">
      <c r="A105" s="494">
        <v>93</v>
      </c>
      <c r="B105" s="206"/>
      <c r="C105" s="207"/>
      <c r="D105" s="1859"/>
      <c r="E105" s="1860"/>
      <c r="F105" s="1861"/>
      <c r="G105" s="208"/>
      <c r="H105" s="208"/>
      <c r="I105" s="209"/>
      <c r="J105" s="495">
        <f t="shared" si="16"/>
        <v>0</v>
      </c>
      <c r="K105" s="496">
        <f t="shared" si="17"/>
        <v>0</v>
      </c>
      <c r="L105" s="496" t="str">
        <f t="shared" si="18"/>
        <v/>
      </c>
      <c r="M105" s="496" t="str">
        <f t="shared" si="19"/>
        <v/>
      </c>
      <c r="N105" s="805"/>
      <c r="O105" s="805"/>
      <c r="P105" s="805"/>
      <c r="Q105" s="497">
        <f t="shared" si="28"/>
        <v>0</v>
      </c>
      <c r="R105" s="498" t="str">
        <f xml:space="preserve">
IF(表紙!$X$2="事前協議","－",
IF(表紙!$X$2="交付申請（２次）","－",
IF(表紙!$X$2="変更申請","－",
IF(AND(表紙!$X$2="実績報告（１次）",AL105="◎"),COUNTIF($AL$13:AL105,"◎"),
IF(AND(表紙!$X$2="実績報告（１次）",OR(AL105="×",AL105="○")),"",
IF(表紙!$X$2="実績報告（２次）","－",
IF(表紙!$X$2="交付申請兼実績報告","－")))))))</f>
        <v>－</v>
      </c>
      <c r="S105" s="498" t="str">
        <f t="shared" si="20"/>
        <v/>
      </c>
      <c r="U105" s="610" t="str">
        <f t="shared" si="27"/>
        <v/>
      </c>
      <c r="V105" s="701" t="str">
        <f t="shared" si="21"/>
        <v/>
      </c>
      <c r="W105" s="701" t="str">
        <f t="shared" si="22"/>
        <v/>
      </c>
      <c r="X105" s="701" t="str">
        <f t="shared" si="23"/>
        <v/>
      </c>
      <c r="Y105" s="500" t="str">
        <f t="shared" si="24"/>
        <v/>
      </c>
      <c r="AJ105" s="468" t="s">
        <v>468</v>
      </c>
      <c r="AK105" s="499">
        <v>93</v>
      </c>
      <c r="AL105" s="467" t="str">
        <f t="shared" si="25"/>
        <v>○</v>
      </c>
      <c r="AM105" s="475" t="str">
        <f t="shared" si="26"/>
        <v>申請しない場合は入力不要です。</v>
      </c>
      <c r="AO105" s="475">
        <f t="shared" si="15"/>
        <v>0</v>
      </c>
    </row>
    <row r="106" spans="1:41" ht="20.100000000000001" customHeight="1">
      <c r="A106" s="494">
        <v>94</v>
      </c>
      <c r="B106" s="206"/>
      <c r="C106" s="207"/>
      <c r="D106" s="1859"/>
      <c r="E106" s="1860"/>
      <c r="F106" s="1861"/>
      <c r="G106" s="208"/>
      <c r="H106" s="208"/>
      <c r="I106" s="209"/>
      <c r="J106" s="495">
        <f t="shared" si="16"/>
        <v>0</v>
      </c>
      <c r="K106" s="496">
        <f t="shared" si="17"/>
        <v>0</v>
      </c>
      <c r="L106" s="496" t="str">
        <f t="shared" si="18"/>
        <v/>
      </c>
      <c r="M106" s="496" t="str">
        <f t="shared" si="19"/>
        <v/>
      </c>
      <c r="N106" s="805"/>
      <c r="O106" s="805"/>
      <c r="P106" s="805"/>
      <c r="Q106" s="497">
        <f t="shared" si="28"/>
        <v>0</v>
      </c>
      <c r="R106" s="498" t="str">
        <f xml:space="preserve">
IF(表紙!$X$2="事前協議","－",
IF(表紙!$X$2="交付申請（２次）","－",
IF(表紙!$X$2="変更申請","－",
IF(AND(表紙!$X$2="実績報告（１次）",AL106="◎"),COUNTIF($AL$13:AL106,"◎"),
IF(AND(表紙!$X$2="実績報告（１次）",OR(AL106="×",AL106="○")),"",
IF(表紙!$X$2="実績報告（２次）","－",
IF(表紙!$X$2="交付申請兼実績報告","－")))))))</f>
        <v>－</v>
      </c>
      <c r="S106" s="498" t="str">
        <f t="shared" si="20"/>
        <v/>
      </c>
      <c r="U106" s="610" t="str">
        <f t="shared" si="27"/>
        <v/>
      </c>
      <c r="V106" s="701" t="str">
        <f t="shared" si="21"/>
        <v/>
      </c>
      <c r="W106" s="701" t="str">
        <f t="shared" si="22"/>
        <v/>
      </c>
      <c r="X106" s="701" t="str">
        <f t="shared" si="23"/>
        <v/>
      </c>
      <c r="Y106" s="500" t="str">
        <f t="shared" si="24"/>
        <v/>
      </c>
      <c r="AJ106" s="468" t="s">
        <v>468</v>
      </c>
      <c r="AK106" s="499">
        <v>94</v>
      </c>
      <c r="AL106" s="467" t="str">
        <f t="shared" si="25"/>
        <v>○</v>
      </c>
      <c r="AM106" s="475" t="str">
        <f t="shared" si="26"/>
        <v>申請しない場合は入力不要です。</v>
      </c>
      <c r="AO106" s="475">
        <f t="shared" si="15"/>
        <v>0</v>
      </c>
    </row>
    <row r="107" spans="1:41" ht="20.100000000000001" customHeight="1">
      <c r="A107" s="494">
        <v>95</v>
      </c>
      <c r="B107" s="206"/>
      <c r="C107" s="207"/>
      <c r="D107" s="1859"/>
      <c r="E107" s="1860"/>
      <c r="F107" s="1861"/>
      <c r="G107" s="208"/>
      <c r="H107" s="208"/>
      <c r="I107" s="209"/>
      <c r="J107" s="495">
        <f t="shared" si="16"/>
        <v>0</v>
      </c>
      <c r="K107" s="496">
        <f t="shared" si="17"/>
        <v>0</v>
      </c>
      <c r="L107" s="496" t="str">
        <f t="shared" si="18"/>
        <v/>
      </c>
      <c r="M107" s="496" t="str">
        <f t="shared" si="19"/>
        <v/>
      </c>
      <c r="N107" s="805"/>
      <c r="O107" s="805"/>
      <c r="P107" s="805"/>
      <c r="Q107" s="497">
        <f t="shared" si="28"/>
        <v>0</v>
      </c>
      <c r="R107" s="498" t="str">
        <f xml:space="preserve">
IF(表紙!$X$2="事前協議","－",
IF(表紙!$X$2="交付申請（２次）","－",
IF(表紙!$X$2="変更申請","－",
IF(AND(表紙!$X$2="実績報告（１次）",AL107="◎"),COUNTIF($AL$13:AL107,"◎"),
IF(AND(表紙!$X$2="実績報告（１次）",OR(AL107="×",AL107="○")),"",
IF(表紙!$X$2="実績報告（２次）","－",
IF(表紙!$X$2="交付申請兼実績報告","－")))))))</f>
        <v>－</v>
      </c>
      <c r="S107" s="498" t="str">
        <f t="shared" si="20"/>
        <v/>
      </c>
      <c r="U107" s="610" t="str">
        <f t="shared" si="27"/>
        <v/>
      </c>
      <c r="V107" s="701" t="str">
        <f t="shared" si="21"/>
        <v/>
      </c>
      <c r="W107" s="701" t="str">
        <f t="shared" si="22"/>
        <v/>
      </c>
      <c r="X107" s="701" t="str">
        <f t="shared" si="23"/>
        <v/>
      </c>
      <c r="Y107" s="500" t="str">
        <f t="shared" si="24"/>
        <v/>
      </c>
      <c r="AJ107" s="468" t="s">
        <v>468</v>
      </c>
      <c r="AK107" s="499">
        <v>95</v>
      </c>
      <c r="AL107" s="467" t="str">
        <f t="shared" si="25"/>
        <v>○</v>
      </c>
      <c r="AM107" s="475" t="str">
        <f t="shared" si="26"/>
        <v>申請しない場合は入力不要です。</v>
      </c>
      <c r="AO107" s="475">
        <f t="shared" si="15"/>
        <v>0</v>
      </c>
    </row>
    <row r="108" spans="1:41" ht="20.100000000000001" customHeight="1">
      <c r="A108" s="494">
        <v>96</v>
      </c>
      <c r="B108" s="206"/>
      <c r="C108" s="207"/>
      <c r="D108" s="1859"/>
      <c r="E108" s="1860"/>
      <c r="F108" s="1861"/>
      <c r="G108" s="208"/>
      <c r="H108" s="208"/>
      <c r="I108" s="209"/>
      <c r="J108" s="495">
        <f t="shared" si="16"/>
        <v>0</v>
      </c>
      <c r="K108" s="496">
        <f t="shared" si="17"/>
        <v>0</v>
      </c>
      <c r="L108" s="496" t="str">
        <f t="shared" si="18"/>
        <v/>
      </c>
      <c r="M108" s="496" t="str">
        <f t="shared" si="19"/>
        <v/>
      </c>
      <c r="N108" s="805"/>
      <c r="O108" s="805"/>
      <c r="P108" s="805"/>
      <c r="Q108" s="497">
        <f t="shared" si="28"/>
        <v>0</v>
      </c>
      <c r="R108" s="498" t="str">
        <f xml:space="preserve">
IF(表紙!$X$2="事前協議","－",
IF(表紙!$X$2="交付申請（２次）","－",
IF(表紙!$X$2="変更申請","－",
IF(AND(表紙!$X$2="実績報告（１次）",AL108="◎"),COUNTIF($AL$13:AL108,"◎"),
IF(AND(表紙!$X$2="実績報告（１次）",OR(AL108="×",AL108="○")),"",
IF(表紙!$X$2="実績報告（２次）","－",
IF(表紙!$X$2="交付申請兼実績報告","－")))))))</f>
        <v>－</v>
      </c>
      <c r="S108" s="498" t="str">
        <f t="shared" si="20"/>
        <v/>
      </c>
      <c r="U108" s="610" t="str">
        <f t="shared" si="27"/>
        <v/>
      </c>
      <c r="V108" s="701" t="str">
        <f t="shared" si="21"/>
        <v/>
      </c>
      <c r="W108" s="701" t="str">
        <f t="shared" si="22"/>
        <v/>
      </c>
      <c r="X108" s="701" t="str">
        <f t="shared" si="23"/>
        <v/>
      </c>
      <c r="Y108" s="500" t="str">
        <f t="shared" si="24"/>
        <v/>
      </c>
      <c r="AJ108" s="468" t="s">
        <v>468</v>
      </c>
      <c r="AK108" s="499">
        <v>96</v>
      </c>
      <c r="AL108" s="467" t="str">
        <f t="shared" si="25"/>
        <v>○</v>
      </c>
      <c r="AM108" s="475" t="str">
        <f t="shared" si="26"/>
        <v>申請しない場合は入力不要です。</v>
      </c>
      <c r="AO108" s="475">
        <f t="shared" si="15"/>
        <v>0</v>
      </c>
    </row>
    <row r="109" spans="1:41" ht="20.100000000000001" customHeight="1">
      <c r="A109" s="494">
        <v>97</v>
      </c>
      <c r="B109" s="206"/>
      <c r="C109" s="207"/>
      <c r="D109" s="1859"/>
      <c r="E109" s="1860"/>
      <c r="F109" s="1861"/>
      <c r="G109" s="208"/>
      <c r="H109" s="208"/>
      <c r="I109" s="209"/>
      <c r="J109" s="495">
        <f t="shared" si="16"/>
        <v>0</v>
      </c>
      <c r="K109" s="496">
        <f t="shared" si="17"/>
        <v>0</v>
      </c>
      <c r="L109" s="496" t="str">
        <f t="shared" si="18"/>
        <v/>
      </c>
      <c r="M109" s="496" t="str">
        <f t="shared" si="19"/>
        <v/>
      </c>
      <c r="N109" s="805"/>
      <c r="O109" s="805"/>
      <c r="P109" s="805"/>
      <c r="Q109" s="497">
        <f t="shared" si="28"/>
        <v>0</v>
      </c>
      <c r="R109" s="498" t="str">
        <f xml:space="preserve">
IF(表紙!$X$2="事前協議","－",
IF(表紙!$X$2="交付申請（２次）","－",
IF(表紙!$X$2="変更申請","－",
IF(AND(表紙!$X$2="実績報告（１次）",AL109="◎"),COUNTIF($AL$13:AL109,"◎"),
IF(AND(表紙!$X$2="実績報告（１次）",OR(AL109="×",AL109="○")),"",
IF(表紙!$X$2="実績報告（２次）","－",
IF(表紙!$X$2="交付申請兼実績報告","－")))))))</f>
        <v>－</v>
      </c>
      <c r="S109" s="498" t="str">
        <f t="shared" si="20"/>
        <v/>
      </c>
      <c r="U109" s="610" t="str">
        <f t="shared" si="27"/>
        <v/>
      </c>
      <c r="V109" s="701" t="str">
        <f t="shared" si="21"/>
        <v/>
      </c>
      <c r="W109" s="701" t="str">
        <f t="shared" si="22"/>
        <v/>
      </c>
      <c r="X109" s="701" t="str">
        <f t="shared" si="23"/>
        <v/>
      </c>
      <c r="Y109" s="500" t="str">
        <f t="shared" si="24"/>
        <v/>
      </c>
      <c r="AJ109" s="468" t="s">
        <v>468</v>
      </c>
      <c r="AK109" s="499">
        <v>97</v>
      </c>
      <c r="AL109" s="467" t="str">
        <f t="shared" si="25"/>
        <v>○</v>
      </c>
      <c r="AM109" s="475" t="str">
        <f t="shared" si="26"/>
        <v>申請しない場合は入力不要です。</v>
      </c>
      <c r="AO109" s="475">
        <f t="shared" si="15"/>
        <v>0</v>
      </c>
    </row>
    <row r="110" spans="1:41" ht="20.100000000000001" customHeight="1">
      <c r="A110" s="494">
        <v>98</v>
      </c>
      <c r="B110" s="206"/>
      <c r="C110" s="207"/>
      <c r="D110" s="1859"/>
      <c r="E110" s="1860"/>
      <c r="F110" s="1861"/>
      <c r="G110" s="208"/>
      <c r="H110" s="208"/>
      <c r="I110" s="209"/>
      <c r="J110" s="495">
        <f t="shared" si="16"/>
        <v>0</v>
      </c>
      <c r="K110" s="496">
        <f t="shared" si="17"/>
        <v>0</v>
      </c>
      <c r="L110" s="496" t="str">
        <f t="shared" si="18"/>
        <v/>
      </c>
      <c r="M110" s="496" t="str">
        <f t="shared" si="19"/>
        <v/>
      </c>
      <c r="N110" s="805"/>
      <c r="O110" s="805"/>
      <c r="P110" s="805"/>
      <c r="Q110" s="497">
        <f t="shared" si="28"/>
        <v>0</v>
      </c>
      <c r="R110" s="498" t="str">
        <f xml:space="preserve">
IF(表紙!$X$2="事前協議","－",
IF(表紙!$X$2="交付申請（２次）","－",
IF(表紙!$X$2="変更申請","－",
IF(AND(表紙!$X$2="実績報告（１次）",AL110="◎"),COUNTIF($AL$13:AL110,"◎"),
IF(AND(表紙!$X$2="実績報告（１次）",OR(AL110="×",AL110="○")),"",
IF(表紙!$X$2="実績報告（２次）","－",
IF(表紙!$X$2="交付申請兼実績報告","－")))))))</f>
        <v>－</v>
      </c>
      <c r="S110" s="498" t="str">
        <f t="shared" si="20"/>
        <v/>
      </c>
      <c r="U110" s="610" t="str">
        <f t="shared" si="27"/>
        <v/>
      </c>
      <c r="V110" s="701" t="str">
        <f t="shared" si="21"/>
        <v/>
      </c>
      <c r="W110" s="701" t="str">
        <f t="shared" si="22"/>
        <v/>
      </c>
      <c r="X110" s="701" t="str">
        <f t="shared" si="23"/>
        <v/>
      </c>
      <c r="Y110" s="500" t="str">
        <f t="shared" si="24"/>
        <v/>
      </c>
      <c r="AJ110" s="468" t="s">
        <v>468</v>
      </c>
      <c r="AK110" s="499">
        <v>98</v>
      </c>
      <c r="AL110" s="467" t="str">
        <f t="shared" si="25"/>
        <v>○</v>
      </c>
      <c r="AM110" s="475" t="str">
        <f t="shared" si="26"/>
        <v>申請しない場合は入力不要です。</v>
      </c>
      <c r="AO110" s="475">
        <f t="shared" si="15"/>
        <v>0</v>
      </c>
    </row>
    <row r="111" spans="1:41" ht="20.100000000000001" customHeight="1">
      <c r="A111" s="494">
        <v>99</v>
      </c>
      <c r="B111" s="206"/>
      <c r="C111" s="207"/>
      <c r="D111" s="1859"/>
      <c r="E111" s="1860"/>
      <c r="F111" s="1861"/>
      <c r="G111" s="208"/>
      <c r="H111" s="208"/>
      <c r="I111" s="209"/>
      <c r="J111" s="495">
        <f t="shared" si="16"/>
        <v>0</v>
      </c>
      <c r="K111" s="496">
        <f t="shared" si="17"/>
        <v>0</v>
      </c>
      <c r="L111" s="496" t="str">
        <f t="shared" si="18"/>
        <v/>
      </c>
      <c r="M111" s="496" t="str">
        <f t="shared" si="19"/>
        <v/>
      </c>
      <c r="N111" s="805"/>
      <c r="O111" s="805"/>
      <c r="P111" s="805"/>
      <c r="Q111" s="497">
        <f t="shared" si="28"/>
        <v>0</v>
      </c>
      <c r="R111" s="498" t="str">
        <f xml:space="preserve">
IF(表紙!$X$2="事前協議","－",
IF(表紙!$X$2="交付申請（２次）","－",
IF(表紙!$X$2="変更申請","－",
IF(AND(表紙!$X$2="実績報告（１次）",AL111="◎"),COUNTIF($AL$13:AL111,"◎"),
IF(AND(表紙!$X$2="実績報告（１次）",OR(AL111="×",AL111="○")),"",
IF(表紙!$X$2="実績報告（２次）","－",
IF(表紙!$X$2="交付申請兼実績報告","－")))))))</f>
        <v>－</v>
      </c>
      <c r="S111" s="498" t="str">
        <f t="shared" si="20"/>
        <v/>
      </c>
      <c r="U111" s="610" t="str">
        <f t="shared" si="27"/>
        <v/>
      </c>
      <c r="V111" s="701" t="str">
        <f t="shared" si="21"/>
        <v/>
      </c>
      <c r="W111" s="701" t="str">
        <f t="shared" si="22"/>
        <v/>
      </c>
      <c r="X111" s="701" t="str">
        <f t="shared" si="23"/>
        <v/>
      </c>
      <c r="Y111" s="500" t="str">
        <f t="shared" si="24"/>
        <v/>
      </c>
      <c r="AJ111" s="468" t="s">
        <v>468</v>
      </c>
      <c r="AK111" s="499">
        <v>99</v>
      </c>
      <c r="AL111" s="467" t="str">
        <f t="shared" si="25"/>
        <v>○</v>
      </c>
      <c r="AM111" s="475" t="str">
        <f t="shared" si="26"/>
        <v>申請しない場合は入力不要です。</v>
      </c>
      <c r="AO111" s="475">
        <f t="shared" si="15"/>
        <v>0</v>
      </c>
    </row>
    <row r="112" spans="1:41" ht="20.100000000000001" customHeight="1">
      <c r="A112" s="494">
        <v>100</v>
      </c>
      <c r="B112" s="206"/>
      <c r="C112" s="207"/>
      <c r="D112" s="1859"/>
      <c r="E112" s="1860"/>
      <c r="F112" s="1861"/>
      <c r="G112" s="208"/>
      <c r="H112" s="208"/>
      <c r="I112" s="209"/>
      <c r="J112" s="495">
        <f t="shared" si="16"/>
        <v>0</v>
      </c>
      <c r="K112" s="496">
        <f t="shared" si="17"/>
        <v>0</v>
      </c>
      <c r="L112" s="496" t="str">
        <f t="shared" si="18"/>
        <v/>
      </c>
      <c r="M112" s="496" t="str">
        <f t="shared" si="19"/>
        <v/>
      </c>
      <c r="N112" s="805"/>
      <c r="O112" s="805"/>
      <c r="P112" s="805"/>
      <c r="Q112" s="497">
        <f t="shared" si="28"/>
        <v>0</v>
      </c>
      <c r="R112" s="498" t="str">
        <f xml:space="preserve">
IF(表紙!$X$2="事前協議","－",
IF(表紙!$X$2="交付申請（２次）","－",
IF(表紙!$X$2="変更申請","－",
IF(AND(表紙!$X$2="実績報告（１次）",AL112="◎"),COUNTIF($AL$13:AL112,"◎"),
IF(AND(表紙!$X$2="実績報告（１次）",OR(AL112="×",AL112="○")),"",
IF(表紙!$X$2="実績報告（２次）","－",
IF(表紙!$X$2="交付申請兼実績報告","－")))))))</f>
        <v>－</v>
      </c>
      <c r="S112" s="498" t="str">
        <f t="shared" si="20"/>
        <v/>
      </c>
      <c r="U112" s="610" t="str">
        <f t="shared" si="27"/>
        <v/>
      </c>
      <c r="V112" s="701" t="str">
        <f t="shared" si="21"/>
        <v/>
      </c>
      <c r="W112" s="701" t="str">
        <f t="shared" si="22"/>
        <v/>
      </c>
      <c r="X112" s="701" t="str">
        <f t="shared" si="23"/>
        <v/>
      </c>
      <c r="Y112" s="500" t="str">
        <f t="shared" si="24"/>
        <v/>
      </c>
      <c r="AJ112" s="468" t="s">
        <v>468</v>
      </c>
      <c r="AK112" s="499">
        <v>100</v>
      </c>
      <c r="AL112" s="467" t="str">
        <f xml:space="preserve">
IF(COUNTA(B112:I112,N112:P112)=0,"○",
IF(AND(COUNTA(B112:I112,N112:P112)&gt;=1,COUNTA(B112:I112,N112:P112)&lt;9),"×",
IF(COUNTA(B112:I112,N112:P112)=9,"◎")))</f>
        <v>○</v>
      </c>
      <c r="AM112" s="475" t="str">
        <f t="shared" si="26"/>
        <v>申請しない場合は入力不要です。</v>
      </c>
      <c r="AO112" s="475">
        <f t="shared" si="15"/>
        <v>0</v>
      </c>
    </row>
    <row r="113" spans="1:57" ht="20.100000000000001" customHeight="1">
      <c r="A113" s="494">
        <v>101</v>
      </c>
      <c r="B113" s="206"/>
      <c r="C113" s="207"/>
      <c r="D113" s="1859"/>
      <c r="E113" s="1860"/>
      <c r="F113" s="1861"/>
      <c r="G113" s="208"/>
      <c r="H113" s="208"/>
      <c r="I113" s="209"/>
      <c r="J113" s="495">
        <f t="shared" ref="J113:J144" si="29">ROUNDDOWN(I113*1.1,0)</f>
        <v>0</v>
      </c>
      <c r="K113" s="496">
        <f t="shared" ref="K113:K144" si="30">ROUNDDOWN(H113*J113,0)</f>
        <v>0</v>
      </c>
      <c r="L113" s="496" t="str">
        <f t="shared" ref="L113:L144" si="31">IFERROR(G113*H113*VLOOKUP(C113,$AY$123:$AZ$139,2,FALSE),"")</f>
        <v/>
      </c>
      <c r="M113" s="496" t="str">
        <f t="shared" ref="M113:M144" si="32">IF(L113="","",MIN(K113,L113))</f>
        <v/>
      </c>
      <c r="N113" s="805"/>
      <c r="O113" s="805"/>
      <c r="P113" s="805"/>
      <c r="Q113" s="497">
        <f t="shared" ref="Q113:Q144" si="33" xml:space="preserve">
IF(AND(AL113="◎",M113&gt;=0),G113*H113,
IF(AND(AL113="◎",M113&lt;0),0,0))</f>
        <v>0</v>
      </c>
      <c r="R113" s="498" t="str">
        <f xml:space="preserve">
IF(表紙!$X$2="事前協議","－",
IF(表紙!$X$2="交付申請（２次）","－",
IF(表紙!$X$2="変更申請","－",
IF(AND(表紙!$X$2="実績報告（１次）",AL113="◎"),COUNTIF($AL$13:AL113,"◎"),
IF(AND(表紙!$X$2="実績報告（１次）",OR(AL113="×",AL113="○")),"",
IF(表紙!$X$2="実績報告（２次）","－",
IF(表紙!$X$2="交付申請兼実績報告","－")))))))</f>
        <v>－</v>
      </c>
      <c r="S113" s="498" t="str">
        <f t="shared" ref="S113:S144" si="34">IFERROR(
"@"&amp;TEXT(ROUNDUP(J113/G113,0),"#,###円")&amp;
IF(ROUNDUP(J113/G113,0)&lt;VLOOKUP(C113,$AY$123:$AZ$139,2,FALSE),"&lt;",
IF(ROUNDUP(J113/G113,0)=VLOOKUP(C113,$AY$123:$AZ$139,2,FALSE),"=",
IF(ROUNDUP(J113/G113,0)&gt;VLOOKUP(C113,$AY$123:$AZ$139,2,FALSE),"&gt;")))&amp;
"上限@"&amp;TEXT(VLOOKUP(C113,$AY$123:$AZ$139,2,FALSE),"#,###円"),"")</f>
        <v/>
      </c>
      <c r="U113" s="610" t="str">
        <f t="shared" ref="U113:U144" si="35">IF(AL113="◎",DATE(IF(N113=5,2023,IF(N113=6,2024)),O113,P113),"")</f>
        <v/>
      </c>
      <c r="V113" s="701" t="str">
        <f t="shared" si="21"/>
        <v/>
      </c>
      <c r="W113" s="701" t="str">
        <f t="shared" si="22"/>
        <v/>
      </c>
      <c r="X113" s="701" t="str">
        <f t="shared" si="23"/>
        <v/>
      </c>
      <c r="Y113" s="500" t="str">
        <f t="shared" si="24"/>
        <v/>
      </c>
      <c r="AJ113" s="468" t="s">
        <v>468</v>
      </c>
      <c r="AK113" s="499">
        <v>101</v>
      </c>
      <c r="AL113" s="467" t="str">
        <f t="shared" ref="AL113:AL144" si="36" xml:space="preserve">
IF(COUNTA(B113:I113,N113:P113)=0,"○",
IF(AND(COUNTA(B113:I113,N113:P113)&gt;=1,COUNTA(B113:I113,N113:P113)&lt;9),"×",
IF(COUNTA(B113:I113,N113:P113)=9,"◎")))</f>
        <v>○</v>
      </c>
      <c r="AM113" s="475" t="str">
        <f t="shared" ref="AM113:AM144" si="37" xml:space="preserve">
IF(COUNTA(B113:I113)=0,"申請しない場合は入力不要です。",
IF(AND(COUNTA(B113:I113)&gt;=1,COUNTA(B113:I113)&lt;6),"【要修正】種類、品名、内容量、数量、税抜単価の内、未入力の箇所があります。",
IF(COUNTA(B113:I113)=6,"適切に入力がされました。")))</f>
        <v>申請しない場合は入力不要です。</v>
      </c>
      <c r="AO113" s="475">
        <f t="shared" ref="AO113:AO144" si="38">G113*H113</f>
        <v>0</v>
      </c>
    </row>
    <row r="114" spans="1:57" ht="20.100000000000001" customHeight="1">
      <c r="A114" s="494">
        <v>102</v>
      </c>
      <c r="B114" s="206"/>
      <c r="C114" s="207"/>
      <c r="D114" s="1859"/>
      <c r="E114" s="1860"/>
      <c r="F114" s="1861"/>
      <c r="G114" s="208"/>
      <c r="H114" s="208"/>
      <c r="I114" s="209"/>
      <c r="J114" s="495">
        <f t="shared" si="29"/>
        <v>0</v>
      </c>
      <c r="K114" s="496">
        <f t="shared" si="30"/>
        <v>0</v>
      </c>
      <c r="L114" s="496" t="str">
        <f t="shared" si="31"/>
        <v/>
      </c>
      <c r="M114" s="496" t="str">
        <f t="shared" si="32"/>
        <v/>
      </c>
      <c r="N114" s="805"/>
      <c r="O114" s="805"/>
      <c r="P114" s="805"/>
      <c r="Q114" s="497">
        <f t="shared" si="33"/>
        <v>0</v>
      </c>
      <c r="R114" s="498" t="str">
        <f xml:space="preserve">
IF(表紙!$X$2="事前協議","－",
IF(表紙!$X$2="交付申請（２次）","－",
IF(表紙!$X$2="変更申請","－",
IF(AND(表紙!$X$2="実績報告（１次）",AL114="◎"),COUNTIF($AL$13:AL114,"◎"),
IF(AND(表紙!$X$2="実績報告（１次）",OR(AL114="×",AL114="○")),"",
IF(表紙!$X$2="実績報告（２次）","－",
IF(表紙!$X$2="交付申請兼実績報告","－")))))))</f>
        <v>－</v>
      </c>
      <c r="S114" s="498" t="str">
        <f t="shared" si="34"/>
        <v/>
      </c>
      <c r="U114" s="610" t="str">
        <f t="shared" si="35"/>
        <v/>
      </c>
      <c r="V114" s="701" t="str">
        <f t="shared" si="21"/>
        <v/>
      </c>
      <c r="W114" s="701" t="str">
        <f t="shared" si="22"/>
        <v/>
      </c>
      <c r="X114" s="701" t="str">
        <f t="shared" si="23"/>
        <v/>
      </c>
      <c r="Y114" s="500" t="str">
        <f t="shared" si="24"/>
        <v/>
      </c>
      <c r="AJ114" s="468" t="s">
        <v>468</v>
      </c>
      <c r="AK114" s="499">
        <v>102</v>
      </c>
      <c r="AL114" s="467" t="str">
        <f t="shared" si="36"/>
        <v>○</v>
      </c>
      <c r="AM114" s="475" t="str">
        <f t="shared" si="37"/>
        <v>申請しない場合は入力不要です。</v>
      </c>
      <c r="AO114" s="475">
        <f t="shared" si="38"/>
        <v>0</v>
      </c>
    </row>
    <row r="115" spans="1:57" ht="20.100000000000001" customHeight="1">
      <c r="A115" s="494">
        <v>103</v>
      </c>
      <c r="B115" s="206"/>
      <c r="C115" s="207"/>
      <c r="D115" s="1859"/>
      <c r="E115" s="1860"/>
      <c r="F115" s="1861"/>
      <c r="G115" s="208"/>
      <c r="H115" s="208"/>
      <c r="I115" s="209"/>
      <c r="J115" s="495">
        <f t="shared" si="29"/>
        <v>0</v>
      </c>
      <c r="K115" s="496">
        <f t="shared" si="30"/>
        <v>0</v>
      </c>
      <c r="L115" s="496" t="str">
        <f t="shared" si="31"/>
        <v/>
      </c>
      <c r="M115" s="496" t="str">
        <f t="shared" si="32"/>
        <v/>
      </c>
      <c r="N115" s="805"/>
      <c r="O115" s="805"/>
      <c r="P115" s="805"/>
      <c r="Q115" s="497">
        <f t="shared" si="33"/>
        <v>0</v>
      </c>
      <c r="R115" s="498" t="str">
        <f xml:space="preserve">
IF(表紙!$X$2="事前協議","－",
IF(表紙!$X$2="交付申請（２次）","－",
IF(表紙!$X$2="変更申請","－",
IF(AND(表紙!$X$2="実績報告（１次）",AL115="◎"),COUNTIF($AL$13:AL115,"◎"),
IF(AND(表紙!$X$2="実績報告（１次）",OR(AL115="×",AL115="○")),"",
IF(表紙!$X$2="実績報告（２次）","－",
IF(表紙!$X$2="交付申請兼実績報告","－")))))))</f>
        <v>－</v>
      </c>
      <c r="S115" s="498" t="str">
        <f t="shared" si="34"/>
        <v/>
      </c>
      <c r="U115" s="610" t="str">
        <f t="shared" si="35"/>
        <v/>
      </c>
      <c r="V115" s="701" t="str">
        <f t="shared" si="21"/>
        <v/>
      </c>
      <c r="W115" s="701" t="str">
        <f t="shared" si="22"/>
        <v/>
      </c>
      <c r="X115" s="701" t="str">
        <f t="shared" si="23"/>
        <v/>
      </c>
      <c r="Y115" s="500" t="str">
        <f t="shared" si="24"/>
        <v/>
      </c>
      <c r="AJ115" s="468" t="s">
        <v>468</v>
      </c>
      <c r="AK115" s="499">
        <v>103</v>
      </c>
      <c r="AL115" s="467" t="str">
        <f t="shared" si="36"/>
        <v>○</v>
      </c>
      <c r="AM115" s="475" t="str">
        <f t="shared" si="37"/>
        <v>申請しない場合は入力不要です。</v>
      </c>
      <c r="AO115" s="475">
        <f t="shared" si="38"/>
        <v>0</v>
      </c>
    </row>
    <row r="116" spans="1:57" ht="20.100000000000001" customHeight="1">
      <c r="A116" s="494">
        <v>104</v>
      </c>
      <c r="B116" s="206"/>
      <c r="C116" s="207"/>
      <c r="D116" s="1859"/>
      <c r="E116" s="1860"/>
      <c r="F116" s="1861"/>
      <c r="G116" s="208"/>
      <c r="H116" s="208"/>
      <c r="I116" s="209"/>
      <c r="J116" s="495">
        <f t="shared" si="29"/>
        <v>0</v>
      </c>
      <c r="K116" s="496">
        <f t="shared" si="30"/>
        <v>0</v>
      </c>
      <c r="L116" s="496" t="str">
        <f t="shared" si="31"/>
        <v/>
      </c>
      <c r="M116" s="496" t="str">
        <f t="shared" si="32"/>
        <v/>
      </c>
      <c r="N116" s="805"/>
      <c r="O116" s="805"/>
      <c r="P116" s="805"/>
      <c r="Q116" s="497">
        <f t="shared" si="33"/>
        <v>0</v>
      </c>
      <c r="R116" s="498" t="str">
        <f xml:space="preserve">
IF(表紙!$X$2="事前協議","－",
IF(表紙!$X$2="交付申請（２次）","－",
IF(表紙!$X$2="変更申請","－",
IF(AND(表紙!$X$2="実績報告（１次）",AL116="◎"),COUNTIF($AL$13:AL116,"◎"),
IF(AND(表紙!$X$2="実績報告（１次）",OR(AL116="×",AL116="○")),"",
IF(表紙!$X$2="実績報告（２次）","－",
IF(表紙!$X$2="交付申請兼実績報告","－")))))))</f>
        <v>－</v>
      </c>
      <c r="S116" s="498" t="str">
        <f t="shared" si="34"/>
        <v/>
      </c>
      <c r="U116" s="610" t="str">
        <f t="shared" si="35"/>
        <v/>
      </c>
      <c r="V116" s="701" t="str">
        <f t="shared" si="21"/>
        <v/>
      </c>
      <c r="W116" s="701" t="str">
        <f t="shared" si="22"/>
        <v/>
      </c>
      <c r="X116" s="701" t="str">
        <f t="shared" si="23"/>
        <v/>
      </c>
      <c r="Y116" s="500" t="str">
        <f t="shared" si="24"/>
        <v/>
      </c>
      <c r="AJ116" s="468" t="s">
        <v>468</v>
      </c>
      <c r="AK116" s="499">
        <v>104</v>
      </c>
      <c r="AL116" s="467" t="str">
        <f t="shared" si="36"/>
        <v>○</v>
      </c>
      <c r="AM116" s="475" t="str">
        <f t="shared" si="37"/>
        <v>申請しない場合は入力不要です。</v>
      </c>
      <c r="AO116" s="475">
        <f t="shared" si="38"/>
        <v>0</v>
      </c>
    </row>
    <row r="117" spans="1:57" ht="20.100000000000001" customHeight="1">
      <c r="A117" s="494">
        <v>105</v>
      </c>
      <c r="B117" s="206"/>
      <c r="C117" s="207"/>
      <c r="D117" s="1859"/>
      <c r="E117" s="1860"/>
      <c r="F117" s="1861"/>
      <c r="G117" s="208"/>
      <c r="H117" s="208"/>
      <c r="I117" s="209"/>
      <c r="J117" s="495">
        <f t="shared" si="29"/>
        <v>0</v>
      </c>
      <c r="K117" s="496">
        <f t="shared" si="30"/>
        <v>0</v>
      </c>
      <c r="L117" s="496" t="str">
        <f t="shared" si="31"/>
        <v/>
      </c>
      <c r="M117" s="496" t="str">
        <f t="shared" si="32"/>
        <v/>
      </c>
      <c r="N117" s="805"/>
      <c r="O117" s="805"/>
      <c r="P117" s="805"/>
      <c r="Q117" s="497">
        <f t="shared" si="33"/>
        <v>0</v>
      </c>
      <c r="R117" s="498" t="str">
        <f xml:space="preserve">
IF(表紙!$X$2="事前協議","－",
IF(表紙!$X$2="交付申請（２次）","－",
IF(表紙!$X$2="変更申請","－",
IF(AND(表紙!$X$2="実績報告（１次）",AL117="◎"),COUNTIF($AL$13:AL117,"◎"),
IF(AND(表紙!$X$2="実績報告（１次）",OR(AL117="×",AL117="○")),"",
IF(表紙!$X$2="実績報告（２次）","－",
IF(表紙!$X$2="交付申請兼実績報告","－")))))))</f>
        <v>－</v>
      </c>
      <c r="S117" s="498" t="str">
        <f t="shared" si="34"/>
        <v/>
      </c>
      <c r="U117" s="610" t="str">
        <f t="shared" si="35"/>
        <v/>
      </c>
      <c r="V117" s="701" t="str">
        <f t="shared" si="21"/>
        <v/>
      </c>
      <c r="W117" s="701" t="str">
        <f t="shared" si="22"/>
        <v/>
      </c>
      <c r="X117" s="701" t="str">
        <f t="shared" si="23"/>
        <v/>
      </c>
      <c r="Y117" s="500" t="str">
        <f t="shared" si="24"/>
        <v/>
      </c>
      <c r="AJ117" s="468" t="s">
        <v>468</v>
      </c>
      <c r="AK117" s="499">
        <v>105</v>
      </c>
      <c r="AL117" s="467" t="str">
        <f t="shared" si="36"/>
        <v>○</v>
      </c>
      <c r="AM117" s="475" t="str">
        <f t="shared" si="37"/>
        <v>申請しない場合は入力不要です。</v>
      </c>
      <c r="AO117" s="475">
        <f t="shared" si="38"/>
        <v>0</v>
      </c>
      <c r="AS117" s="467" t="s">
        <v>469</v>
      </c>
      <c r="AT117" s="467" t="s">
        <v>100</v>
      </c>
      <c r="AU117" s="467" t="s">
        <v>99</v>
      </c>
      <c r="AV117" s="467" t="s">
        <v>61</v>
      </c>
      <c r="AW117" s="1862" t="s">
        <v>470</v>
      </c>
      <c r="AX117" s="1863"/>
      <c r="AY117" s="1863"/>
      <c r="AZ117" s="1863"/>
      <c r="BA117" s="1863"/>
      <c r="BB117" s="1863"/>
      <c r="BC117" s="1863"/>
    </row>
    <row r="118" spans="1:57" ht="20.100000000000001" customHeight="1">
      <c r="A118" s="494">
        <v>106</v>
      </c>
      <c r="B118" s="206"/>
      <c r="C118" s="207"/>
      <c r="D118" s="1859"/>
      <c r="E118" s="1860"/>
      <c r="F118" s="1861"/>
      <c r="G118" s="208"/>
      <c r="H118" s="208"/>
      <c r="I118" s="209"/>
      <c r="J118" s="495">
        <f t="shared" si="29"/>
        <v>0</v>
      </c>
      <c r="K118" s="496">
        <f t="shared" si="30"/>
        <v>0</v>
      </c>
      <c r="L118" s="496" t="str">
        <f t="shared" si="31"/>
        <v/>
      </c>
      <c r="M118" s="496" t="str">
        <f t="shared" si="32"/>
        <v/>
      </c>
      <c r="N118" s="805"/>
      <c r="O118" s="805"/>
      <c r="P118" s="805"/>
      <c r="Q118" s="497">
        <f t="shared" si="33"/>
        <v>0</v>
      </c>
      <c r="R118" s="498" t="str">
        <f xml:space="preserve">
IF(表紙!$X$2="事前協議","－",
IF(表紙!$X$2="交付申請（２次）","－",
IF(表紙!$X$2="変更申請","－",
IF(AND(表紙!$X$2="実績報告（１次）",AL118="◎"),COUNTIF($AL$13:AL118,"◎"),
IF(AND(表紙!$X$2="実績報告（１次）",OR(AL118="×",AL118="○")),"",
IF(表紙!$X$2="実績報告（２次）","－",
IF(表紙!$X$2="交付申請兼実績報告","－")))))))</f>
        <v>－</v>
      </c>
      <c r="S118" s="498" t="str">
        <f t="shared" si="34"/>
        <v/>
      </c>
      <c r="U118" s="610" t="str">
        <f t="shared" si="35"/>
        <v/>
      </c>
      <c r="V118" s="701" t="str">
        <f t="shared" si="21"/>
        <v/>
      </c>
      <c r="W118" s="701" t="str">
        <f t="shared" si="22"/>
        <v/>
      </c>
      <c r="X118" s="701" t="str">
        <f t="shared" si="23"/>
        <v/>
      </c>
      <c r="Y118" s="500" t="str">
        <f t="shared" si="24"/>
        <v/>
      </c>
      <c r="AJ118" s="468" t="s">
        <v>468</v>
      </c>
      <c r="AK118" s="499">
        <v>106</v>
      </c>
      <c r="AL118" s="467" t="str">
        <f t="shared" si="36"/>
        <v>○</v>
      </c>
      <c r="AM118" s="475" t="str">
        <f t="shared" si="37"/>
        <v>申請しない場合は入力不要です。</v>
      </c>
      <c r="AO118" s="475">
        <f t="shared" si="38"/>
        <v>0</v>
      </c>
      <c r="AS118" s="500" t="s">
        <v>1248</v>
      </c>
      <c r="AT118" s="731" t="str">
        <f xml:space="preserve">
IF(基礎情報!AZ99="○","◎",
IF(基礎情報!AZ99="×","×"))</f>
        <v>×</v>
      </c>
      <c r="AU118" s="1836" t="str">
        <f xml:space="preserve">
IF(AND(AT118="×",AT119="×"),"×",
IF(AND(AT118="×",AT119="○"),"○",
IF(AND(AT118="×",AT119="◎"),"×",
IF(AND(AT118="○",AT119="×"),"×",
IF(AND(AT118="○",AT119="○"),"○",
IF(AND(AT118="○",AT119="◎"),"×",
IF(AND(AT118="◎",AT119="×"),"×",
IF(AND(AT118="◎",AT119="○"),"○",
IF(AND(AT118="◎",AT119="◎"),"◎",
)))))))))</f>
        <v>×</v>
      </c>
      <c r="AV118" s="1864" t="str">
        <f xml:space="preserve">
IF(AND(AT118="×",AT119="×"),"【要修正】「基礎情報」シート及び「防護具情報」いずれも入力が不十分です。",
IF(AND(AT118="×",AT119="○"),"申請しない場合は入力不要です。",
IF(AND(AT118="×",AT119="◎"),"【要修正】「基礎情報」シートが入力不十分です。",
IF(AND(AT118="○",AT119="×"),"【要修正】「基礎情報」シートが未入力、「防護具情報」に入力不十分な箇所があります。",
IF(AND(AT118="○",AT119="○"),"申請しない場合は入力不要です。",
IF(AND(AT118="○",AT119="◎"),"【要修正】「基礎情報」シートが未入力です。",
IF(AND(AT118="◎",AT119="×"),"【要修正】「防護具情報」に入力不十分な箇所があります。",
IF(AND(AT118="◎",AT119="○"),"申請しない場合は入力不要です。",
IF(AND(AT118="◎",AT119="◎"),"いずれの項目も適切に入力されました。",
)))))))))</f>
        <v>【要修正】「基礎情報」シートが入力不十分です。</v>
      </c>
      <c r="AW118" s="1862"/>
      <c r="AX118" s="1863"/>
      <c r="AY118" s="1863"/>
      <c r="AZ118" s="1863"/>
      <c r="BA118" s="1863"/>
      <c r="BB118" s="1863"/>
      <c r="BC118" s="1863"/>
    </row>
    <row r="119" spans="1:57" ht="20.100000000000001" customHeight="1">
      <c r="A119" s="494">
        <v>107</v>
      </c>
      <c r="B119" s="206"/>
      <c r="C119" s="207"/>
      <c r="D119" s="1859"/>
      <c r="E119" s="1860"/>
      <c r="F119" s="1861"/>
      <c r="G119" s="208"/>
      <c r="H119" s="208"/>
      <c r="I119" s="209"/>
      <c r="J119" s="495">
        <f t="shared" si="29"/>
        <v>0</v>
      </c>
      <c r="K119" s="496">
        <f t="shared" si="30"/>
        <v>0</v>
      </c>
      <c r="L119" s="496" t="str">
        <f t="shared" si="31"/>
        <v/>
      </c>
      <c r="M119" s="496" t="str">
        <f t="shared" si="32"/>
        <v/>
      </c>
      <c r="N119" s="805"/>
      <c r="O119" s="805"/>
      <c r="P119" s="805"/>
      <c r="Q119" s="497">
        <f t="shared" si="33"/>
        <v>0</v>
      </c>
      <c r="R119" s="498" t="str">
        <f xml:space="preserve">
IF(表紙!$X$2="事前協議","－",
IF(表紙!$X$2="交付申請（２次）","－",
IF(表紙!$X$2="変更申請","－",
IF(AND(表紙!$X$2="実績報告（１次）",AL119="◎"),COUNTIF($AL$13:AL119,"◎"),
IF(AND(表紙!$X$2="実績報告（１次）",OR(AL119="×",AL119="○")),"",
IF(表紙!$X$2="実績報告（２次）","－",
IF(表紙!$X$2="交付申請兼実績報告","－")))))))</f>
        <v>－</v>
      </c>
      <c r="S119" s="498" t="str">
        <f t="shared" si="34"/>
        <v/>
      </c>
      <c r="U119" s="610" t="str">
        <f t="shared" si="35"/>
        <v/>
      </c>
      <c r="V119" s="701" t="str">
        <f t="shared" si="21"/>
        <v/>
      </c>
      <c r="W119" s="701" t="str">
        <f t="shared" si="22"/>
        <v/>
      </c>
      <c r="X119" s="701" t="str">
        <f t="shared" si="23"/>
        <v/>
      </c>
      <c r="Y119" s="500" t="str">
        <f t="shared" si="24"/>
        <v/>
      </c>
      <c r="AJ119" s="468" t="s">
        <v>468</v>
      </c>
      <c r="AK119" s="499">
        <v>107</v>
      </c>
      <c r="AL119" s="467" t="str">
        <f t="shared" si="36"/>
        <v>○</v>
      </c>
      <c r="AM119" s="475" t="str">
        <f t="shared" si="37"/>
        <v>申請しない場合は入力不要です。</v>
      </c>
      <c r="AO119" s="475">
        <f t="shared" si="38"/>
        <v>0</v>
      </c>
      <c r="AS119" s="475" t="s">
        <v>471</v>
      </c>
      <c r="AT119" s="731" t="str">
        <f>IF(COUNTIF(AL13:AL112,"×")&gt;=1,"×",IF(COUNTIF(AL13:AL112,"○")=100,"○","◎"))</f>
        <v>◎</v>
      </c>
      <c r="AU119" s="1837"/>
      <c r="AV119" s="1865"/>
      <c r="AW119" s="1862"/>
      <c r="AX119" s="1863"/>
      <c r="AY119" s="1863"/>
      <c r="AZ119" s="1863"/>
      <c r="BA119" s="1863"/>
      <c r="BB119" s="1863"/>
      <c r="BC119" s="1863"/>
    </row>
    <row r="120" spans="1:57" ht="20.100000000000001" customHeight="1">
      <c r="A120" s="494">
        <v>108</v>
      </c>
      <c r="B120" s="206"/>
      <c r="C120" s="207"/>
      <c r="D120" s="1859"/>
      <c r="E120" s="1860"/>
      <c r="F120" s="1861"/>
      <c r="G120" s="208"/>
      <c r="H120" s="208"/>
      <c r="I120" s="209"/>
      <c r="J120" s="495">
        <f t="shared" si="29"/>
        <v>0</v>
      </c>
      <c r="K120" s="496">
        <f t="shared" si="30"/>
        <v>0</v>
      </c>
      <c r="L120" s="496" t="str">
        <f t="shared" si="31"/>
        <v/>
      </c>
      <c r="M120" s="496" t="str">
        <f t="shared" si="32"/>
        <v/>
      </c>
      <c r="N120" s="805"/>
      <c r="O120" s="805"/>
      <c r="P120" s="805"/>
      <c r="Q120" s="497">
        <f t="shared" si="33"/>
        <v>0</v>
      </c>
      <c r="R120" s="498" t="str">
        <f xml:space="preserve">
IF(表紙!$X$2="事前協議","－",
IF(表紙!$X$2="交付申請（２次）","－",
IF(表紙!$X$2="変更申請","－",
IF(AND(表紙!$X$2="実績報告（１次）",AL120="◎"),COUNTIF($AL$13:AL120,"◎"),
IF(AND(表紙!$X$2="実績報告（１次）",OR(AL120="×",AL120="○")),"",
IF(表紙!$X$2="実績報告（２次）","－",
IF(表紙!$X$2="交付申請兼実績報告","－")))))))</f>
        <v>－</v>
      </c>
      <c r="S120" s="498" t="str">
        <f t="shared" si="34"/>
        <v/>
      </c>
      <c r="U120" s="610" t="str">
        <f t="shared" si="35"/>
        <v/>
      </c>
      <c r="V120" s="701" t="str">
        <f t="shared" si="21"/>
        <v/>
      </c>
      <c r="W120" s="701" t="str">
        <f t="shared" si="22"/>
        <v/>
      </c>
      <c r="X120" s="701" t="str">
        <f t="shared" si="23"/>
        <v/>
      </c>
      <c r="Y120" s="500" t="str">
        <f t="shared" si="24"/>
        <v/>
      </c>
      <c r="AJ120" s="468" t="s">
        <v>468</v>
      </c>
      <c r="AK120" s="499">
        <v>108</v>
      </c>
      <c r="AL120" s="467" t="str">
        <f t="shared" si="36"/>
        <v>○</v>
      </c>
      <c r="AM120" s="475" t="str">
        <f t="shared" si="37"/>
        <v>申請しない場合は入力不要です。</v>
      </c>
      <c r="AO120" s="475">
        <f t="shared" si="38"/>
        <v>0</v>
      </c>
      <c r="AS120" s="465" t="s">
        <v>472</v>
      </c>
      <c r="AT120" s="461"/>
      <c r="AU120" s="461"/>
    </row>
    <row r="121" spans="1:57" ht="20.100000000000001" customHeight="1">
      <c r="A121" s="494">
        <v>109</v>
      </c>
      <c r="B121" s="206"/>
      <c r="C121" s="207"/>
      <c r="D121" s="1859"/>
      <c r="E121" s="1860"/>
      <c r="F121" s="1861"/>
      <c r="G121" s="208"/>
      <c r="H121" s="208"/>
      <c r="I121" s="209"/>
      <c r="J121" s="495">
        <f t="shared" si="29"/>
        <v>0</v>
      </c>
      <c r="K121" s="496">
        <f t="shared" si="30"/>
        <v>0</v>
      </c>
      <c r="L121" s="496" t="str">
        <f t="shared" si="31"/>
        <v/>
      </c>
      <c r="M121" s="496" t="str">
        <f t="shared" si="32"/>
        <v/>
      </c>
      <c r="N121" s="805"/>
      <c r="O121" s="805"/>
      <c r="P121" s="805"/>
      <c r="Q121" s="497">
        <f t="shared" si="33"/>
        <v>0</v>
      </c>
      <c r="R121" s="498" t="str">
        <f xml:space="preserve">
IF(表紙!$X$2="事前協議","－",
IF(表紙!$X$2="交付申請（２次）","－",
IF(表紙!$X$2="変更申請","－",
IF(AND(表紙!$X$2="実績報告（１次）",AL121="◎"),COUNTIF($AL$13:AL121,"◎"),
IF(AND(表紙!$X$2="実績報告（１次）",OR(AL121="×",AL121="○")),"",
IF(表紙!$X$2="実績報告（２次）","－",
IF(表紙!$X$2="交付申請兼実績報告","－")))))))</f>
        <v>－</v>
      </c>
      <c r="S121" s="498" t="str">
        <f t="shared" si="34"/>
        <v/>
      </c>
      <c r="U121" s="610" t="str">
        <f t="shared" si="35"/>
        <v/>
      </c>
      <c r="V121" s="701" t="str">
        <f t="shared" si="21"/>
        <v/>
      </c>
      <c r="W121" s="701" t="str">
        <f t="shared" si="22"/>
        <v/>
      </c>
      <c r="X121" s="701" t="str">
        <f t="shared" si="23"/>
        <v/>
      </c>
      <c r="Y121" s="500" t="str">
        <f t="shared" si="24"/>
        <v/>
      </c>
      <c r="AJ121" s="468" t="s">
        <v>468</v>
      </c>
      <c r="AK121" s="499">
        <v>109</v>
      </c>
      <c r="AL121" s="467" t="str">
        <f t="shared" si="36"/>
        <v>○</v>
      </c>
      <c r="AM121" s="475" t="str">
        <f t="shared" si="37"/>
        <v>申請しない場合は入力不要です。</v>
      </c>
      <c r="AO121" s="475">
        <f t="shared" si="38"/>
        <v>0</v>
      </c>
    </row>
    <row r="122" spans="1:57" ht="20.100000000000001" customHeight="1">
      <c r="A122" s="494">
        <v>110</v>
      </c>
      <c r="B122" s="206"/>
      <c r="C122" s="207"/>
      <c r="D122" s="1859"/>
      <c r="E122" s="1860"/>
      <c r="F122" s="1861"/>
      <c r="G122" s="208"/>
      <c r="H122" s="208"/>
      <c r="I122" s="209"/>
      <c r="J122" s="495">
        <f t="shared" si="29"/>
        <v>0</v>
      </c>
      <c r="K122" s="496">
        <f t="shared" si="30"/>
        <v>0</v>
      </c>
      <c r="L122" s="496" t="str">
        <f t="shared" si="31"/>
        <v/>
      </c>
      <c r="M122" s="496" t="str">
        <f t="shared" si="32"/>
        <v/>
      </c>
      <c r="N122" s="805"/>
      <c r="O122" s="805"/>
      <c r="P122" s="805"/>
      <c r="Q122" s="497">
        <f t="shared" si="33"/>
        <v>0</v>
      </c>
      <c r="R122" s="498" t="str">
        <f xml:space="preserve">
IF(表紙!$X$2="事前協議","－",
IF(表紙!$X$2="交付申請（２次）","－",
IF(表紙!$X$2="変更申請","－",
IF(AND(表紙!$X$2="実績報告（１次）",AL122="◎"),COUNTIF($AL$13:AL122,"◎"),
IF(AND(表紙!$X$2="実績報告（１次）",OR(AL122="×",AL122="○")),"",
IF(表紙!$X$2="実績報告（２次）","－",
IF(表紙!$X$2="交付申請兼実績報告","－")))))))</f>
        <v>－</v>
      </c>
      <c r="S122" s="498" t="str">
        <f t="shared" si="34"/>
        <v/>
      </c>
      <c r="U122" s="610" t="str">
        <f t="shared" si="35"/>
        <v/>
      </c>
      <c r="V122" s="701" t="str">
        <f t="shared" si="21"/>
        <v/>
      </c>
      <c r="W122" s="701" t="str">
        <f t="shared" si="22"/>
        <v/>
      </c>
      <c r="X122" s="701" t="str">
        <f t="shared" si="23"/>
        <v/>
      </c>
      <c r="Y122" s="500" t="str">
        <f t="shared" si="24"/>
        <v/>
      </c>
      <c r="AJ122" s="468" t="s">
        <v>468</v>
      </c>
      <c r="AK122" s="499">
        <v>110</v>
      </c>
      <c r="AL122" s="467" t="str">
        <f t="shared" si="36"/>
        <v>○</v>
      </c>
      <c r="AM122" s="475" t="str">
        <f t="shared" si="37"/>
        <v>申請しない場合は入力不要です。</v>
      </c>
      <c r="AO122" s="475">
        <f t="shared" si="38"/>
        <v>0</v>
      </c>
      <c r="AX122" s="498" t="s">
        <v>1249</v>
      </c>
      <c r="AY122" s="467" t="s">
        <v>1250</v>
      </c>
      <c r="AZ122" s="501" t="s">
        <v>1251</v>
      </c>
      <c r="BA122" s="1892" t="s">
        <v>1252</v>
      </c>
      <c r="BB122" s="1035"/>
      <c r="BC122" s="467" t="s">
        <v>1253</v>
      </c>
      <c r="BD122" s="467" t="s">
        <v>1254</v>
      </c>
      <c r="BE122" s="467" t="s">
        <v>1255</v>
      </c>
    </row>
    <row r="123" spans="1:57" ht="20.100000000000001" customHeight="1">
      <c r="A123" s="494">
        <v>111</v>
      </c>
      <c r="B123" s="206"/>
      <c r="C123" s="207"/>
      <c r="D123" s="1859"/>
      <c r="E123" s="1860"/>
      <c r="F123" s="1861"/>
      <c r="G123" s="208"/>
      <c r="H123" s="208"/>
      <c r="I123" s="209"/>
      <c r="J123" s="495">
        <f t="shared" si="29"/>
        <v>0</v>
      </c>
      <c r="K123" s="496">
        <f t="shared" si="30"/>
        <v>0</v>
      </c>
      <c r="L123" s="496" t="str">
        <f t="shared" si="31"/>
        <v/>
      </c>
      <c r="M123" s="496" t="str">
        <f t="shared" si="32"/>
        <v/>
      </c>
      <c r="N123" s="805"/>
      <c r="O123" s="805"/>
      <c r="P123" s="805"/>
      <c r="Q123" s="497">
        <f t="shared" si="33"/>
        <v>0</v>
      </c>
      <c r="R123" s="498" t="str">
        <f xml:space="preserve">
IF(表紙!$X$2="事前協議","－",
IF(表紙!$X$2="交付申請（２次）","－",
IF(表紙!$X$2="変更申請","－",
IF(AND(表紙!$X$2="実績報告（１次）",AL123="◎"),COUNTIF($AL$13:AL123,"◎"),
IF(AND(表紙!$X$2="実績報告（１次）",OR(AL123="×",AL123="○")),"",
IF(表紙!$X$2="実績報告（２次）","－",
IF(表紙!$X$2="交付申請兼実績報告","－")))))))</f>
        <v>－</v>
      </c>
      <c r="S123" s="498" t="str">
        <f t="shared" si="34"/>
        <v/>
      </c>
      <c r="U123" s="610" t="str">
        <f t="shared" si="35"/>
        <v/>
      </c>
      <c r="V123" s="701" t="str">
        <f t="shared" si="21"/>
        <v/>
      </c>
      <c r="W123" s="701" t="str">
        <f t="shared" si="22"/>
        <v/>
      </c>
      <c r="X123" s="701" t="str">
        <f t="shared" si="23"/>
        <v/>
      </c>
      <c r="Y123" s="500" t="str">
        <f t="shared" si="24"/>
        <v/>
      </c>
      <c r="AJ123" s="468" t="s">
        <v>468</v>
      </c>
      <c r="AK123" s="499">
        <v>111</v>
      </c>
      <c r="AL123" s="467" t="str">
        <f t="shared" si="36"/>
        <v>○</v>
      </c>
      <c r="AM123" s="475" t="str">
        <f t="shared" si="37"/>
        <v>申請しない場合は入力不要です。</v>
      </c>
      <c r="AO123" s="475">
        <f t="shared" si="38"/>
        <v>0</v>
      </c>
      <c r="AX123" s="1836" t="s">
        <v>474</v>
      </c>
      <c r="AY123" s="500" t="s">
        <v>1246</v>
      </c>
      <c r="AZ123" s="502">
        <v>14</v>
      </c>
      <c r="BA123" s="503">
        <f>SUMIF($C$13:$C$112,AY123,$Q$13:$Q$112)</f>
        <v>1000</v>
      </c>
      <c r="BB123" s="504">
        <f>BA123</f>
        <v>1000</v>
      </c>
      <c r="BC123" s="657">
        <f>PPE差引簿!E3</f>
        <v>0</v>
      </c>
      <c r="BD123" s="658">
        <f>BC123-BB123</f>
        <v>-1000</v>
      </c>
      <c r="BE123" s="657">
        <f>基礎情報!N116</f>
        <v>0</v>
      </c>
    </row>
    <row r="124" spans="1:57" ht="20.100000000000001" customHeight="1">
      <c r="A124" s="494">
        <v>112</v>
      </c>
      <c r="B124" s="206"/>
      <c r="C124" s="207"/>
      <c r="D124" s="1859"/>
      <c r="E124" s="1860"/>
      <c r="F124" s="1861"/>
      <c r="G124" s="208"/>
      <c r="H124" s="208"/>
      <c r="I124" s="209"/>
      <c r="J124" s="495">
        <f t="shared" si="29"/>
        <v>0</v>
      </c>
      <c r="K124" s="496">
        <f t="shared" si="30"/>
        <v>0</v>
      </c>
      <c r="L124" s="496" t="str">
        <f t="shared" si="31"/>
        <v/>
      </c>
      <c r="M124" s="496" t="str">
        <f t="shared" si="32"/>
        <v/>
      </c>
      <c r="N124" s="805"/>
      <c r="O124" s="805"/>
      <c r="P124" s="805"/>
      <c r="Q124" s="497">
        <f t="shared" si="33"/>
        <v>0</v>
      </c>
      <c r="R124" s="498" t="str">
        <f xml:space="preserve">
IF(表紙!$X$2="事前協議","－",
IF(表紙!$X$2="交付申請（２次）","－",
IF(表紙!$X$2="変更申請","－",
IF(AND(表紙!$X$2="実績報告（１次）",AL124="◎"),COUNTIF($AL$13:AL124,"◎"),
IF(AND(表紙!$X$2="実績報告（１次）",OR(AL124="×",AL124="○")),"",
IF(表紙!$X$2="実績報告（２次）","－",
IF(表紙!$X$2="交付申請兼実績報告","－")))))))</f>
        <v>－</v>
      </c>
      <c r="S124" s="498" t="str">
        <f t="shared" si="34"/>
        <v/>
      </c>
      <c r="U124" s="610" t="str">
        <f t="shared" si="35"/>
        <v/>
      </c>
      <c r="V124" s="701" t="str">
        <f t="shared" si="21"/>
        <v/>
      </c>
      <c r="W124" s="701" t="str">
        <f t="shared" si="22"/>
        <v/>
      </c>
      <c r="X124" s="701" t="str">
        <f t="shared" si="23"/>
        <v/>
      </c>
      <c r="Y124" s="500" t="str">
        <f t="shared" si="24"/>
        <v/>
      </c>
      <c r="AJ124" s="468" t="s">
        <v>468</v>
      </c>
      <c r="AK124" s="499">
        <v>112</v>
      </c>
      <c r="AL124" s="467" t="str">
        <f t="shared" si="36"/>
        <v>○</v>
      </c>
      <c r="AM124" s="475" t="str">
        <f t="shared" si="37"/>
        <v>申請しない場合は入力不要です。</v>
      </c>
      <c r="AO124" s="475">
        <f t="shared" si="38"/>
        <v>0</v>
      </c>
      <c r="AX124" s="1848"/>
      <c r="AY124" s="500" t="s">
        <v>1256</v>
      </c>
      <c r="AZ124" s="502">
        <v>82</v>
      </c>
      <c r="BA124" s="503">
        <f>SUMIF($C$13:$C$112,AY124,$Q$13:$Q$112)</f>
        <v>2000</v>
      </c>
      <c r="BB124" s="504">
        <f>BA124</f>
        <v>2000</v>
      </c>
      <c r="BC124" s="657">
        <f>PPE差引簿!E4</f>
        <v>0</v>
      </c>
      <c r="BD124" s="658">
        <f>BC124-BB124</f>
        <v>-2000</v>
      </c>
      <c r="BE124" s="657">
        <f>基礎情報!N119</f>
        <v>0</v>
      </c>
    </row>
    <row r="125" spans="1:57" ht="20.100000000000001" customHeight="1">
      <c r="A125" s="494">
        <v>113</v>
      </c>
      <c r="B125" s="206"/>
      <c r="C125" s="207"/>
      <c r="D125" s="1859"/>
      <c r="E125" s="1860"/>
      <c r="F125" s="1861"/>
      <c r="G125" s="208"/>
      <c r="H125" s="208"/>
      <c r="I125" s="209"/>
      <c r="J125" s="495">
        <f t="shared" si="29"/>
        <v>0</v>
      </c>
      <c r="K125" s="496">
        <f t="shared" si="30"/>
        <v>0</v>
      </c>
      <c r="L125" s="496" t="str">
        <f t="shared" si="31"/>
        <v/>
      </c>
      <c r="M125" s="496" t="str">
        <f t="shared" si="32"/>
        <v/>
      </c>
      <c r="N125" s="805"/>
      <c r="O125" s="805"/>
      <c r="P125" s="805"/>
      <c r="Q125" s="497">
        <f t="shared" si="33"/>
        <v>0</v>
      </c>
      <c r="R125" s="498" t="str">
        <f xml:space="preserve">
IF(表紙!$X$2="事前協議","－",
IF(表紙!$X$2="交付申請（２次）","－",
IF(表紙!$X$2="変更申請","－",
IF(AND(表紙!$X$2="実績報告（１次）",AL125="◎"),COUNTIF($AL$13:AL125,"◎"),
IF(AND(表紙!$X$2="実績報告（１次）",OR(AL125="×",AL125="○")),"",
IF(表紙!$X$2="実績報告（２次）","－",
IF(表紙!$X$2="交付申請兼実績報告","－")))))))</f>
        <v>－</v>
      </c>
      <c r="S125" s="498" t="str">
        <f t="shared" si="34"/>
        <v/>
      </c>
      <c r="U125" s="610" t="str">
        <f t="shared" si="35"/>
        <v/>
      </c>
      <c r="V125" s="701" t="str">
        <f t="shared" si="21"/>
        <v/>
      </c>
      <c r="W125" s="701" t="str">
        <f t="shared" si="22"/>
        <v/>
      </c>
      <c r="X125" s="701" t="str">
        <f t="shared" si="23"/>
        <v/>
      </c>
      <c r="Y125" s="500" t="str">
        <f t="shared" si="24"/>
        <v/>
      </c>
      <c r="AJ125" s="468" t="s">
        <v>468</v>
      </c>
      <c r="AK125" s="499">
        <v>113</v>
      </c>
      <c r="AL125" s="467" t="str">
        <f t="shared" si="36"/>
        <v>○</v>
      </c>
      <c r="AM125" s="475" t="str">
        <f t="shared" si="37"/>
        <v>申請しない場合は入力不要です。</v>
      </c>
      <c r="AO125" s="475">
        <f t="shared" si="38"/>
        <v>0</v>
      </c>
      <c r="AX125" s="1848"/>
      <c r="AY125" s="500" t="s">
        <v>1257</v>
      </c>
      <c r="AZ125" s="506">
        <v>155</v>
      </c>
      <c r="BA125" s="507">
        <f>SUMIF($C$13:$C$112,AY125,$Q$13:$Q$112)</f>
        <v>3000</v>
      </c>
      <c r="BB125" s="1838">
        <f>SUM(BA125:BA126)</f>
        <v>7000</v>
      </c>
      <c r="BC125" s="1840">
        <f>PPE差引簿!E5</f>
        <v>0</v>
      </c>
      <c r="BD125" s="1842">
        <f>BC125-BB125</f>
        <v>-7000</v>
      </c>
      <c r="BE125" s="1840">
        <f>基礎情報!N122</f>
        <v>0</v>
      </c>
    </row>
    <row r="126" spans="1:57" ht="20.100000000000001" customHeight="1">
      <c r="A126" s="494">
        <v>114</v>
      </c>
      <c r="B126" s="206"/>
      <c r="C126" s="207"/>
      <c r="D126" s="1859"/>
      <c r="E126" s="1860"/>
      <c r="F126" s="1861"/>
      <c r="G126" s="208"/>
      <c r="H126" s="208"/>
      <c r="I126" s="209"/>
      <c r="J126" s="495">
        <f t="shared" si="29"/>
        <v>0</v>
      </c>
      <c r="K126" s="496">
        <f t="shared" si="30"/>
        <v>0</v>
      </c>
      <c r="L126" s="496" t="str">
        <f t="shared" si="31"/>
        <v/>
      </c>
      <c r="M126" s="496" t="str">
        <f t="shared" si="32"/>
        <v/>
      </c>
      <c r="N126" s="805"/>
      <c r="O126" s="805"/>
      <c r="P126" s="805"/>
      <c r="Q126" s="497">
        <f t="shared" si="33"/>
        <v>0</v>
      </c>
      <c r="R126" s="498" t="str">
        <f xml:space="preserve">
IF(表紙!$X$2="事前協議","－",
IF(表紙!$X$2="交付申請（２次）","－",
IF(表紙!$X$2="変更申請","－",
IF(AND(表紙!$X$2="実績報告（１次）",AL126="◎"),COUNTIF($AL$13:AL126,"◎"),
IF(AND(表紙!$X$2="実績報告（１次）",OR(AL126="×",AL126="○")),"",
IF(表紙!$X$2="実績報告（２次）","－",
IF(表紙!$X$2="交付申請兼実績報告","－")))))))</f>
        <v>－</v>
      </c>
      <c r="S126" s="498" t="str">
        <f t="shared" si="34"/>
        <v/>
      </c>
      <c r="U126" s="610" t="str">
        <f t="shared" si="35"/>
        <v/>
      </c>
      <c r="V126" s="701" t="str">
        <f t="shared" si="21"/>
        <v/>
      </c>
      <c r="W126" s="701" t="str">
        <f t="shared" si="22"/>
        <v/>
      </c>
      <c r="X126" s="701" t="str">
        <f t="shared" si="23"/>
        <v/>
      </c>
      <c r="Y126" s="500" t="str">
        <f t="shared" si="24"/>
        <v/>
      </c>
      <c r="AJ126" s="468" t="s">
        <v>468</v>
      </c>
      <c r="AK126" s="499">
        <v>114</v>
      </c>
      <c r="AL126" s="467" t="str">
        <f t="shared" si="36"/>
        <v>○</v>
      </c>
      <c r="AM126" s="475" t="str">
        <f t="shared" si="37"/>
        <v>申請しない場合は入力不要です。</v>
      </c>
      <c r="AO126" s="475">
        <f t="shared" si="38"/>
        <v>0</v>
      </c>
      <c r="AX126" s="1837"/>
      <c r="AY126" s="500" t="s">
        <v>1258</v>
      </c>
      <c r="AZ126" s="506">
        <v>192</v>
      </c>
      <c r="BA126" s="507">
        <f>SUMIF($C$13:$C$112,AY126,$Q$13:$Q$112)</f>
        <v>4000</v>
      </c>
      <c r="BB126" s="1839"/>
      <c r="BC126" s="1844"/>
      <c r="BD126" s="1843"/>
      <c r="BE126" s="1844">
        <f xml:space="preserve">
IF(表紙!$X$2="交付申請兼実績報告",IFERROR(BB126/(《基礎情報》!$AU$52*《基礎情報》!$P$76),0),
IF(OR(表紙!$X$2="事前協議",表紙!$X$2="交付申請",表紙!$X$2="変更申請",表紙!$X$2="実績報告",表紙!$X$2="交付申請（２次以降）"),IFERROR(BB126/(基礎情報!$AK$71*基礎情報!$P$96),0)))</f>
        <v>0</v>
      </c>
    </row>
    <row r="127" spans="1:57" ht="20.100000000000001" customHeight="1">
      <c r="A127" s="494">
        <v>115</v>
      </c>
      <c r="B127" s="206"/>
      <c r="C127" s="207"/>
      <c r="D127" s="1859"/>
      <c r="E127" s="1860"/>
      <c r="F127" s="1861"/>
      <c r="G127" s="208"/>
      <c r="H127" s="208"/>
      <c r="I127" s="209"/>
      <c r="J127" s="495">
        <f t="shared" si="29"/>
        <v>0</v>
      </c>
      <c r="K127" s="496">
        <f t="shared" si="30"/>
        <v>0</v>
      </c>
      <c r="L127" s="496" t="str">
        <f t="shared" si="31"/>
        <v/>
      </c>
      <c r="M127" s="496" t="str">
        <f t="shared" si="32"/>
        <v/>
      </c>
      <c r="N127" s="805"/>
      <c r="O127" s="805"/>
      <c r="P127" s="805"/>
      <c r="Q127" s="497">
        <f t="shared" si="33"/>
        <v>0</v>
      </c>
      <c r="R127" s="498" t="str">
        <f xml:space="preserve">
IF(表紙!$X$2="事前協議","－",
IF(表紙!$X$2="交付申請（２次）","－",
IF(表紙!$X$2="変更申請","－",
IF(AND(表紙!$X$2="実績報告（１次）",AL127="◎"),COUNTIF($AL$13:AL127,"◎"),
IF(AND(表紙!$X$2="実績報告（１次）",OR(AL127="×",AL127="○")),"",
IF(表紙!$X$2="実績報告（２次）","－",
IF(表紙!$X$2="交付申請兼実績報告","－")))))))</f>
        <v>－</v>
      </c>
      <c r="S127" s="498" t="str">
        <f t="shared" si="34"/>
        <v/>
      </c>
      <c r="U127" s="610" t="str">
        <f t="shared" si="35"/>
        <v/>
      </c>
      <c r="V127" s="701" t="str">
        <f t="shared" si="21"/>
        <v/>
      </c>
      <c r="W127" s="701" t="str">
        <f t="shared" si="22"/>
        <v/>
      </c>
      <c r="X127" s="701" t="str">
        <f t="shared" si="23"/>
        <v/>
      </c>
      <c r="Y127" s="500" t="str">
        <f t="shared" si="24"/>
        <v/>
      </c>
      <c r="AJ127" s="468" t="s">
        <v>468</v>
      </c>
      <c r="AK127" s="499">
        <v>115</v>
      </c>
      <c r="AL127" s="467" t="str">
        <f t="shared" si="36"/>
        <v>○</v>
      </c>
      <c r="AM127" s="475" t="str">
        <f t="shared" si="37"/>
        <v>申請しない場合は入力不要です。</v>
      </c>
      <c r="AO127" s="475">
        <f t="shared" si="38"/>
        <v>0</v>
      </c>
      <c r="AX127" s="1836" t="s">
        <v>475</v>
      </c>
      <c r="AY127" s="500" t="s">
        <v>1333</v>
      </c>
      <c r="AZ127" s="502">
        <v>2107</v>
      </c>
      <c r="BA127" s="508">
        <f t="shared" ref="BA127:BA139" si="39">SUMIF($C$13:$C$112,AY127,$Q$13:$Q$112)</f>
        <v>5000</v>
      </c>
      <c r="BB127" s="509">
        <f>BA127</f>
        <v>5000</v>
      </c>
      <c r="BC127" s="659">
        <f>PPE差引簿!E6</f>
        <v>0</v>
      </c>
      <c r="BD127" s="660">
        <f>BC127-BB127</f>
        <v>-5000</v>
      </c>
      <c r="BE127" s="657">
        <f>基礎情報!N131</f>
        <v>0</v>
      </c>
    </row>
    <row r="128" spans="1:57" ht="20.100000000000001" customHeight="1">
      <c r="A128" s="494">
        <v>116</v>
      </c>
      <c r="B128" s="206"/>
      <c r="C128" s="207"/>
      <c r="D128" s="1859"/>
      <c r="E128" s="1860"/>
      <c r="F128" s="1861"/>
      <c r="G128" s="208"/>
      <c r="H128" s="208"/>
      <c r="I128" s="209"/>
      <c r="J128" s="495">
        <f t="shared" si="29"/>
        <v>0</v>
      </c>
      <c r="K128" s="496">
        <f t="shared" si="30"/>
        <v>0</v>
      </c>
      <c r="L128" s="496" t="str">
        <f t="shared" si="31"/>
        <v/>
      </c>
      <c r="M128" s="496" t="str">
        <f t="shared" si="32"/>
        <v/>
      </c>
      <c r="N128" s="805"/>
      <c r="O128" s="805"/>
      <c r="P128" s="805"/>
      <c r="Q128" s="497">
        <f t="shared" si="33"/>
        <v>0</v>
      </c>
      <c r="R128" s="498" t="str">
        <f xml:space="preserve">
IF(表紙!$X$2="事前協議","－",
IF(表紙!$X$2="交付申請（２次）","－",
IF(表紙!$X$2="変更申請","－",
IF(AND(表紙!$X$2="実績報告（１次）",AL128="◎"),COUNTIF($AL$13:AL128,"◎"),
IF(AND(表紙!$X$2="実績報告（１次）",OR(AL128="×",AL128="○")),"",
IF(表紙!$X$2="実績報告（２次）","－",
IF(表紙!$X$2="交付申請兼実績報告","－")))))))</f>
        <v>－</v>
      </c>
      <c r="S128" s="498" t="str">
        <f t="shared" si="34"/>
        <v/>
      </c>
      <c r="U128" s="610" t="str">
        <f t="shared" si="35"/>
        <v/>
      </c>
      <c r="V128" s="701" t="str">
        <f t="shared" si="21"/>
        <v/>
      </c>
      <c r="W128" s="701" t="str">
        <f t="shared" si="22"/>
        <v/>
      </c>
      <c r="X128" s="701" t="str">
        <f t="shared" si="23"/>
        <v/>
      </c>
      <c r="Y128" s="500" t="str">
        <f t="shared" si="24"/>
        <v/>
      </c>
      <c r="AJ128" s="468" t="s">
        <v>468</v>
      </c>
      <c r="AK128" s="499">
        <v>116</v>
      </c>
      <c r="AL128" s="467" t="str">
        <f t="shared" si="36"/>
        <v>○</v>
      </c>
      <c r="AM128" s="475" t="str">
        <f t="shared" si="37"/>
        <v>申請しない場合は入力不要です。</v>
      </c>
      <c r="AO128" s="475">
        <f t="shared" si="38"/>
        <v>0</v>
      </c>
      <c r="AX128" s="1848"/>
      <c r="AY128" s="500" t="s">
        <v>1259</v>
      </c>
      <c r="AZ128" s="502">
        <v>955</v>
      </c>
      <c r="BA128" s="508">
        <f t="shared" si="39"/>
        <v>6000</v>
      </c>
      <c r="BB128" s="509">
        <f>BA128</f>
        <v>6000</v>
      </c>
      <c r="BC128" s="659">
        <f>PPE差引簿!E7</f>
        <v>0</v>
      </c>
      <c r="BD128" s="660">
        <f>BC128-BB128</f>
        <v>-6000</v>
      </c>
      <c r="BE128" s="657">
        <f>基礎情報!N134</f>
        <v>0</v>
      </c>
    </row>
    <row r="129" spans="1:57" ht="20.100000000000001" customHeight="1">
      <c r="A129" s="494">
        <v>117</v>
      </c>
      <c r="B129" s="206"/>
      <c r="C129" s="207"/>
      <c r="D129" s="1859"/>
      <c r="E129" s="1860"/>
      <c r="F129" s="1861"/>
      <c r="G129" s="208"/>
      <c r="H129" s="208"/>
      <c r="I129" s="209"/>
      <c r="J129" s="495">
        <f t="shared" si="29"/>
        <v>0</v>
      </c>
      <c r="K129" s="496">
        <f t="shared" si="30"/>
        <v>0</v>
      </c>
      <c r="L129" s="496" t="str">
        <f t="shared" si="31"/>
        <v/>
      </c>
      <c r="M129" s="496" t="str">
        <f t="shared" si="32"/>
        <v/>
      </c>
      <c r="N129" s="805"/>
      <c r="O129" s="805"/>
      <c r="P129" s="805"/>
      <c r="Q129" s="497">
        <f t="shared" si="33"/>
        <v>0</v>
      </c>
      <c r="R129" s="498" t="str">
        <f xml:space="preserve">
IF(表紙!$X$2="事前協議","－",
IF(表紙!$X$2="交付申請（２次）","－",
IF(表紙!$X$2="変更申請","－",
IF(AND(表紙!$X$2="実績報告（１次）",AL129="◎"),COUNTIF($AL$13:AL129,"◎"),
IF(AND(表紙!$X$2="実績報告（１次）",OR(AL129="×",AL129="○")),"",
IF(表紙!$X$2="実績報告（２次）","－",
IF(表紙!$X$2="交付申請兼実績報告","－")))))))</f>
        <v>－</v>
      </c>
      <c r="S129" s="498" t="str">
        <f t="shared" si="34"/>
        <v/>
      </c>
      <c r="U129" s="610" t="str">
        <f t="shared" si="35"/>
        <v/>
      </c>
      <c r="V129" s="701" t="str">
        <f t="shared" si="21"/>
        <v/>
      </c>
      <c r="W129" s="701" t="str">
        <f t="shared" si="22"/>
        <v/>
      </c>
      <c r="X129" s="701" t="str">
        <f t="shared" si="23"/>
        <v/>
      </c>
      <c r="Y129" s="500" t="str">
        <f t="shared" si="24"/>
        <v/>
      </c>
      <c r="AJ129" s="468" t="s">
        <v>468</v>
      </c>
      <c r="AK129" s="499">
        <v>117</v>
      </c>
      <c r="AL129" s="467" t="str">
        <f t="shared" si="36"/>
        <v>○</v>
      </c>
      <c r="AM129" s="475" t="str">
        <f t="shared" si="37"/>
        <v>申請しない場合は入力不要です。</v>
      </c>
      <c r="AO129" s="475">
        <f t="shared" si="38"/>
        <v>0</v>
      </c>
      <c r="AX129" s="1837"/>
      <c r="AY129" s="500" t="s">
        <v>1260</v>
      </c>
      <c r="AZ129" s="502">
        <v>86</v>
      </c>
      <c r="BA129" s="508">
        <f t="shared" si="39"/>
        <v>7000</v>
      </c>
      <c r="BB129" s="509">
        <f>BA129</f>
        <v>7000</v>
      </c>
      <c r="BC129" s="657">
        <f>PPE差引簿!E8</f>
        <v>0</v>
      </c>
      <c r="BD129" s="660">
        <f>BC129-BB129</f>
        <v>-7000</v>
      </c>
      <c r="BE129" s="657">
        <f>基礎情報!N137</f>
        <v>0</v>
      </c>
    </row>
    <row r="130" spans="1:57" ht="20.100000000000001" customHeight="1">
      <c r="A130" s="494">
        <v>118</v>
      </c>
      <c r="B130" s="206"/>
      <c r="C130" s="207"/>
      <c r="D130" s="1859"/>
      <c r="E130" s="1860"/>
      <c r="F130" s="1861"/>
      <c r="G130" s="208"/>
      <c r="H130" s="208"/>
      <c r="I130" s="209"/>
      <c r="J130" s="495">
        <f t="shared" si="29"/>
        <v>0</v>
      </c>
      <c r="K130" s="496">
        <f t="shared" si="30"/>
        <v>0</v>
      </c>
      <c r="L130" s="496" t="str">
        <f t="shared" si="31"/>
        <v/>
      </c>
      <c r="M130" s="496" t="str">
        <f t="shared" si="32"/>
        <v/>
      </c>
      <c r="N130" s="805"/>
      <c r="O130" s="805"/>
      <c r="P130" s="805"/>
      <c r="Q130" s="497">
        <f t="shared" si="33"/>
        <v>0</v>
      </c>
      <c r="R130" s="498" t="str">
        <f xml:space="preserve">
IF(表紙!$X$2="事前協議","－",
IF(表紙!$X$2="交付申請（２次）","－",
IF(表紙!$X$2="変更申請","－",
IF(AND(表紙!$X$2="実績報告（１次）",AL130="◎"),COUNTIF($AL$13:AL130,"◎"),
IF(AND(表紙!$X$2="実績報告（１次）",OR(AL130="×",AL130="○")),"",
IF(表紙!$X$2="実績報告（２次）","－",
IF(表紙!$X$2="交付申請兼実績報告","－")))))))</f>
        <v>－</v>
      </c>
      <c r="S130" s="498" t="str">
        <f t="shared" si="34"/>
        <v/>
      </c>
      <c r="U130" s="610" t="str">
        <f t="shared" si="35"/>
        <v/>
      </c>
      <c r="V130" s="701" t="str">
        <f t="shared" si="21"/>
        <v/>
      </c>
      <c r="W130" s="701" t="str">
        <f t="shared" si="22"/>
        <v/>
      </c>
      <c r="X130" s="701" t="str">
        <f t="shared" si="23"/>
        <v/>
      </c>
      <c r="Y130" s="500" t="str">
        <f t="shared" si="24"/>
        <v/>
      </c>
      <c r="AJ130" s="468" t="s">
        <v>468</v>
      </c>
      <c r="AK130" s="499">
        <v>118</v>
      </c>
      <c r="AL130" s="467" t="str">
        <f t="shared" si="36"/>
        <v>○</v>
      </c>
      <c r="AM130" s="475" t="str">
        <f t="shared" si="37"/>
        <v>申請しない場合は入力不要です。</v>
      </c>
      <c r="AO130" s="475">
        <f t="shared" si="38"/>
        <v>0</v>
      </c>
      <c r="AX130" s="1836" t="s">
        <v>476</v>
      </c>
      <c r="AY130" s="500" t="s">
        <v>1261</v>
      </c>
      <c r="AZ130" s="502">
        <v>141</v>
      </c>
      <c r="BA130" s="510">
        <f t="shared" si="39"/>
        <v>8000</v>
      </c>
      <c r="BB130" s="1849">
        <f>SUM(BA130:BA132)</f>
        <v>25000</v>
      </c>
      <c r="BC130" s="1852">
        <f>PPE差引簿!E9</f>
        <v>0</v>
      </c>
      <c r="BD130" s="1855">
        <f>BC130-BB130</f>
        <v>-25000</v>
      </c>
      <c r="BE130" s="1840">
        <f>基礎情報!N125</f>
        <v>0</v>
      </c>
    </row>
    <row r="131" spans="1:57" ht="20.100000000000001" customHeight="1">
      <c r="A131" s="494">
        <v>119</v>
      </c>
      <c r="B131" s="206"/>
      <c r="C131" s="207"/>
      <c r="D131" s="1859"/>
      <c r="E131" s="1860"/>
      <c r="F131" s="1861"/>
      <c r="G131" s="208"/>
      <c r="H131" s="208"/>
      <c r="I131" s="209"/>
      <c r="J131" s="495">
        <f t="shared" si="29"/>
        <v>0</v>
      </c>
      <c r="K131" s="496">
        <f t="shared" si="30"/>
        <v>0</v>
      </c>
      <c r="L131" s="496" t="str">
        <f t="shared" si="31"/>
        <v/>
      </c>
      <c r="M131" s="496" t="str">
        <f t="shared" si="32"/>
        <v/>
      </c>
      <c r="N131" s="805"/>
      <c r="O131" s="805"/>
      <c r="P131" s="805"/>
      <c r="Q131" s="497">
        <f t="shared" si="33"/>
        <v>0</v>
      </c>
      <c r="R131" s="498" t="str">
        <f xml:space="preserve">
IF(表紙!$X$2="事前協議","－",
IF(表紙!$X$2="交付申請（２次）","－",
IF(表紙!$X$2="変更申請","－",
IF(AND(表紙!$X$2="実績報告（１次）",AL131="◎"),COUNTIF($AL$13:AL131,"◎"),
IF(AND(表紙!$X$2="実績報告（１次）",OR(AL131="×",AL131="○")),"",
IF(表紙!$X$2="実績報告（２次）","－",
IF(表紙!$X$2="交付申請兼実績報告","－")))))))</f>
        <v>－</v>
      </c>
      <c r="S131" s="498" t="str">
        <f t="shared" si="34"/>
        <v/>
      </c>
      <c r="U131" s="610" t="str">
        <f t="shared" si="35"/>
        <v/>
      </c>
      <c r="V131" s="701" t="str">
        <f t="shared" si="21"/>
        <v/>
      </c>
      <c r="W131" s="701" t="str">
        <f t="shared" si="22"/>
        <v/>
      </c>
      <c r="X131" s="701" t="str">
        <f t="shared" si="23"/>
        <v/>
      </c>
      <c r="Y131" s="500" t="str">
        <f t="shared" si="24"/>
        <v/>
      </c>
      <c r="AJ131" s="468" t="s">
        <v>468</v>
      </c>
      <c r="AK131" s="499">
        <v>119</v>
      </c>
      <c r="AL131" s="467" t="str">
        <f t="shared" si="36"/>
        <v>○</v>
      </c>
      <c r="AM131" s="475" t="str">
        <f t="shared" si="37"/>
        <v>申請しない場合は入力不要です。</v>
      </c>
      <c r="AO131" s="475">
        <f t="shared" si="38"/>
        <v>0</v>
      </c>
      <c r="AX131" s="1848"/>
      <c r="AY131" s="500" t="s">
        <v>1262</v>
      </c>
      <c r="AZ131" s="502">
        <v>55</v>
      </c>
      <c r="BA131" s="510">
        <f t="shared" si="39"/>
        <v>9000</v>
      </c>
      <c r="BB131" s="1850"/>
      <c r="BC131" s="1853"/>
      <c r="BD131" s="1856"/>
      <c r="BE131" s="1858">
        <f xml:space="preserve">
IF(表紙!$X$2="交付申請兼実績報告",IFERROR(BB131/(《基礎情報》!$AU$52*《基礎情報》!$P$76),0),
IF(OR(表紙!$X$2="事前協議",表紙!$X$2="交付申請",表紙!$X$2="変更申請",表紙!$X$2="実績報告",表紙!$X$2="交付申請（２次以降）"),IFERROR(BB131/(基礎情報!$AK$71*基礎情報!$P$96),0)))</f>
        <v>0</v>
      </c>
    </row>
    <row r="132" spans="1:57" ht="20.100000000000001" customHeight="1">
      <c r="A132" s="494">
        <v>120</v>
      </c>
      <c r="B132" s="206"/>
      <c r="C132" s="207"/>
      <c r="D132" s="1859"/>
      <c r="E132" s="1860"/>
      <c r="F132" s="1861"/>
      <c r="G132" s="208"/>
      <c r="H132" s="208"/>
      <c r="I132" s="209"/>
      <c r="J132" s="495">
        <f t="shared" si="29"/>
        <v>0</v>
      </c>
      <c r="K132" s="496">
        <f t="shared" si="30"/>
        <v>0</v>
      </c>
      <c r="L132" s="496" t="str">
        <f t="shared" si="31"/>
        <v/>
      </c>
      <c r="M132" s="496" t="str">
        <f t="shared" si="32"/>
        <v/>
      </c>
      <c r="N132" s="805"/>
      <c r="O132" s="805"/>
      <c r="P132" s="805"/>
      <c r="Q132" s="497">
        <f t="shared" si="33"/>
        <v>0</v>
      </c>
      <c r="R132" s="498" t="str">
        <f xml:space="preserve">
IF(表紙!$X$2="事前協議","－",
IF(表紙!$X$2="交付申請（２次）","－",
IF(表紙!$X$2="変更申請","－",
IF(AND(表紙!$X$2="実績報告（１次）",AL132="◎"),COUNTIF($AL$13:AL132,"◎"),
IF(AND(表紙!$X$2="実績報告（１次）",OR(AL132="×",AL132="○")),"",
IF(表紙!$X$2="実績報告（２次）","－",
IF(表紙!$X$2="交付申請兼実績報告","－")))))))</f>
        <v>－</v>
      </c>
      <c r="S132" s="498" t="str">
        <f t="shared" si="34"/>
        <v/>
      </c>
      <c r="U132" s="610" t="str">
        <f t="shared" si="35"/>
        <v/>
      </c>
      <c r="V132" s="701" t="str">
        <f t="shared" si="21"/>
        <v/>
      </c>
      <c r="W132" s="701" t="str">
        <f t="shared" si="22"/>
        <v/>
      </c>
      <c r="X132" s="701" t="str">
        <f t="shared" si="23"/>
        <v/>
      </c>
      <c r="Y132" s="500" t="str">
        <f t="shared" si="24"/>
        <v/>
      </c>
      <c r="AJ132" s="468" t="s">
        <v>468</v>
      </c>
      <c r="AK132" s="499">
        <v>120</v>
      </c>
      <c r="AL132" s="467" t="str">
        <f t="shared" si="36"/>
        <v>○</v>
      </c>
      <c r="AM132" s="475" t="str">
        <f t="shared" si="37"/>
        <v>申請しない場合は入力不要です。</v>
      </c>
      <c r="AO132" s="475">
        <f t="shared" si="38"/>
        <v>0</v>
      </c>
      <c r="AX132" s="1837"/>
      <c r="AY132" s="500" t="s">
        <v>1263</v>
      </c>
      <c r="AZ132" s="502">
        <v>56</v>
      </c>
      <c r="BA132" s="510">
        <f t="shared" si="39"/>
        <v>8000</v>
      </c>
      <c r="BB132" s="1851"/>
      <c r="BC132" s="1854"/>
      <c r="BD132" s="1857"/>
      <c r="BE132" s="1844">
        <f xml:space="preserve">
IF(表紙!$X$2="交付申請兼実績報告",IFERROR(BB132/(《基礎情報》!$AU$52*《基礎情報》!$P$76),0),
IF(OR(表紙!$X$2="事前協議",表紙!$X$2="交付申請",表紙!$X$2="変更申請",表紙!$X$2="実績報告",表紙!$X$2="交付申請（２次以降）"),IFERROR(BB132/(基礎情報!$AK$71*基礎情報!$P$96),0)))</f>
        <v>0</v>
      </c>
    </row>
    <row r="133" spans="1:57" ht="20.100000000000001" customHeight="1">
      <c r="A133" s="494">
        <v>121</v>
      </c>
      <c r="B133" s="206"/>
      <c r="C133" s="207"/>
      <c r="D133" s="1859"/>
      <c r="E133" s="1860"/>
      <c r="F133" s="1861"/>
      <c r="G133" s="208"/>
      <c r="H133" s="208"/>
      <c r="I133" s="209"/>
      <c r="J133" s="495">
        <f t="shared" si="29"/>
        <v>0</v>
      </c>
      <c r="K133" s="496">
        <f t="shared" si="30"/>
        <v>0</v>
      </c>
      <c r="L133" s="496" t="str">
        <f t="shared" si="31"/>
        <v/>
      </c>
      <c r="M133" s="496" t="str">
        <f t="shared" si="32"/>
        <v/>
      </c>
      <c r="N133" s="805"/>
      <c r="O133" s="805"/>
      <c r="P133" s="805"/>
      <c r="Q133" s="497">
        <f t="shared" si="33"/>
        <v>0</v>
      </c>
      <c r="R133" s="498" t="str">
        <f xml:space="preserve">
IF(表紙!$X$2="事前協議","－",
IF(表紙!$X$2="交付申請（２次）","－",
IF(表紙!$X$2="変更申請","－",
IF(AND(表紙!$X$2="実績報告（１次）",AL133="◎"),COUNTIF($AL$13:AL133,"◎"),
IF(AND(表紙!$X$2="実績報告（１次）",OR(AL133="×",AL133="○")),"",
IF(表紙!$X$2="実績報告（２次）","－",
IF(表紙!$X$2="交付申請兼実績報告","－")))))))</f>
        <v>－</v>
      </c>
      <c r="S133" s="498" t="str">
        <f t="shared" si="34"/>
        <v/>
      </c>
      <c r="U133" s="610" t="str">
        <f t="shared" si="35"/>
        <v/>
      </c>
      <c r="V133" s="701" t="str">
        <f t="shared" si="21"/>
        <v/>
      </c>
      <c r="W133" s="701" t="str">
        <f t="shared" si="22"/>
        <v/>
      </c>
      <c r="X133" s="701" t="str">
        <f t="shared" si="23"/>
        <v/>
      </c>
      <c r="Y133" s="500" t="str">
        <f t="shared" si="24"/>
        <v/>
      </c>
      <c r="AJ133" s="468" t="s">
        <v>468</v>
      </c>
      <c r="AK133" s="499">
        <v>121</v>
      </c>
      <c r="AL133" s="467" t="str">
        <f t="shared" si="36"/>
        <v>○</v>
      </c>
      <c r="AM133" s="475" t="str">
        <f t="shared" si="37"/>
        <v>申請しない場合は入力不要です。</v>
      </c>
      <c r="AO133" s="475">
        <f t="shared" si="38"/>
        <v>0</v>
      </c>
      <c r="AX133" s="1836" t="s">
        <v>477</v>
      </c>
      <c r="AY133" s="505" t="s">
        <v>1264</v>
      </c>
      <c r="AZ133" s="502">
        <v>9</v>
      </c>
      <c r="BA133" s="503">
        <f t="shared" si="39"/>
        <v>7000</v>
      </c>
      <c r="BB133" s="1838">
        <f>SUM(BA133:BA134)</f>
        <v>13000</v>
      </c>
      <c r="BC133" s="1840">
        <f>PPE差引簿!E10</f>
        <v>0</v>
      </c>
      <c r="BD133" s="1842">
        <f>BC133-BB133</f>
        <v>-13000</v>
      </c>
      <c r="BE133" s="1840">
        <f>基礎情報!N128</f>
        <v>0</v>
      </c>
    </row>
    <row r="134" spans="1:57" ht="20.100000000000001" customHeight="1">
      <c r="A134" s="494">
        <v>122</v>
      </c>
      <c r="B134" s="206"/>
      <c r="C134" s="207"/>
      <c r="D134" s="1859"/>
      <c r="E134" s="1860"/>
      <c r="F134" s="1861"/>
      <c r="G134" s="208"/>
      <c r="H134" s="208"/>
      <c r="I134" s="209"/>
      <c r="J134" s="495">
        <f t="shared" si="29"/>
        <v>0</v>
      </c>
      <c r="K134" s="496">
        <f t="shared" si="30"/>
        <v>0</v>
      </c>
      <c r="L134" s="496" t="str">
        <f t="shared" si="31"/>
        <v/>
      </c>
      <c r="M134" s="496" t="str">
        <f t="shared" si="32"/>
        <v/>
      </c>
      <c r="N134" s="805"/>
      <c r="O134" s="805"/>
      <c r="P134" s="805"/>
      <c r="Q134" s="497">
        <f t="shared" si="33"/>
        <v>0</v>
      </c>
      <c r="R134" s="498" t="str">
        <f xml:space="preserve">
IF(表紙!$X$2="事前協議","－",
IF(表紙!$X$2="交付申請（２次）","－",
IF(表紙!$X$2="変更申請","－",
IF(AND(表紙!$X$2="実績報告（１次）",AL134="◎"),COUNTIF($AL$13:AL134,"◎"),
IF(AND(表紙!$X$2="実績報告（１次）",OR(AL134="×",AL134="○")),"",
IF(表紙!$X$2="実績報告（２次）","－",
IF(表紙!$X$2="交付申請兼実績報告","－")))))))</f>
        <v>－</v>
      </c>
      <c r="S134" s="498" t="str">
        <f t="shared" si="34"/>
        <v/>
      </c>
      <c r="U134" s="610" t="str">
        <f t="shared" si="35"/>
        <v/>
      </c>
      <c r="V134" s="701" t="str">
        <f t="shared" si="21"/>
        <v/>
      </c>
      <c r="W134" s="701" t="str">
        <f t="shared" si="22"/>
        <v/>
      </c>
      <c r="X134" s="701" t="str">
        <f t="shared" si="23"/>
        <v/>
      </c>
      <c r="Y134" s="500" t="str">
        <f t="shared" si="24"/>
        <v/>
      </c>
      <c r="AJ134" s="468" t="s">
        <v>468</v>
      </c>
      <c r="AK134" s="499">
        <v>122</v>
      </c>
      <c r="AL134" s="467" t="str">
        <f t="shared" si="36"/>
        <v>○</v>
      </c>
      <c r="AM134" s="475" t="str">
        <f t="shared" si="37"/>
        <v>申請しない場合は入力不要です。</v>
      </c>
      <c r="AO134" s="475">
        <f t="shared" si="38"/>
        <v>0</v>
      </c>
      <c r="AX134" s="1837"/>
      <c r="AY134" s="505" t="s">
        <v>1265</v>
      </c>
      <c r="AZ134" s="502">
        <v>4</v>
      </c>
      <c r="BA134" s="503">
        <f t="shared" si="39"/>
        <v>6000</v>
      </c>
      <c r="BB134" s="1839"/>
      <c r="BC134" s="1841"/>
      <c r="BD134" s="1843"/>
      <c r="BE134" s="1844">
        <f xml:space="preserve">
IF(表紙!$X$2="交付申請兼実績報告",IFERROR(BB134/(《基礎情報》!$AU$52*《基礎情報》!$P$76),0),
IF(OR(表紙!$X$2="事前協議",表紙!$X$2="交付申請",表紙!$X$2="変更申請",表紙!$X$2="実績報告",表紙!$X$2="交付申請（２次以降）"),IFERROR(BB134/(基礎情報!$AK$71*基礎情報!$P$96),0)))</f>
        <v>0</v>
      </c>
    </row>
    <row r="135" spans="1:57" ht="20.100000000000001" customHeight="1">
      <c r="A135" s="494">
        <v>123</v>
      </c>
      <c r="B135" s="206"/>
      <c r="C135" s="207"/>
      <c r="D135" s="1859"/>
      <c r="E135" s="1860"/>
      <c r="F135" s="1861"/>
      <c r="G135" s="208"/>
      <c r="H135" s="208"/>
      <c r="I135" s="209"/>
      <c r="J135" s="495">
        <f t="shared" si="29"/>
        <v>0</v>
      </c>
      <c r="K135" s="496">
        <f t="shared" si="30"/>
        <v>0</v>
      </c>
      <c r="L135" s="496" t="str">
        <f t="shared" si="31"/>
        <v/>
      </c>
      <c r="M135" s="496" t="str">
        <f t="shared" si="32"/>
        <v/>
      </c>
      <c r="N135" s="805"/>
      <c r="O135" s="805"/>
      <c r="P135" s="805"/>
      <c r="Q135" s="497">
        <f t="shared" si="33"/>
        <v>0</v>
      </c>
      <c r="R135" s="498" t="str">
        <f xml:space="preserve">
IF(表紙!$X$2="事前協議","－",
IF(表紙!$X$2="交付申請（２次）","－",
IF(表紙!$X$2="変更申請","－",
IF(AND(表紙!$X$2="実績報告（１次）",AL135="◎"),COUNTIF($AL$13:AL135,"◎"),
IF(AND(表紙!$X$2="実績報告（１次）",OR(AL135="×",AL135="○")),"",
IF(表紙!$X$2="実績報告（２次）","－",
IF(表紙!$X$2="交付申請兼実績報告","－")))))))</f>
        <v>－</v>
      </c>
      <c r="S135" s="498" t="str">
        <f t="shared" si="34"/>
        <v/>
      </c>
      <c r="U135" s="610" t="str">
        <f t="shared" si="35"/>
        <v/>
      </c>
      <c r="V135" s="701" t="str">
        <f t="shared" si="21"/>
        <v/>
      </c>
      <c r="W135" s="701" t="str">
        <f t="shared" si="22"/>
        <v/>
      </c>
      <c r="X135" s="701" t="str">
        <f t="shared" si="23"/>
        <v/>
      </c>
      <c r="Y135" s="500" t="str">
        <f t="shared" si="24"/>
        <v/>
      </c>
      <c r="AJ135" s="468" t="s">
        <v>468</v>
      </c>
      <c r="AK135" s="499">
        <v>123</v>
      </c>
      <c r="AL135" s="467" t="str">
        <f t="shared" si="36"/>
        <v>○</v>
      </c>
      <c r="AM135" s="475" t="str">
        <f t="shared" si="37"/>
        <v>申請しない場合は入力不要です。</v>
      </c>
      <c r="AO135" s="475">
        <f t="shared" si="38"/>
        <v>0</v>
      </c>
      <c r="AX135" s="467" t="s">
        <v>478</v>
      </c>
      <c r="AY135" s="505" t="s">
        <v>478</v>
      </c>
      <c r="AZ135" s="502">
        <v>11</v>
      </c>
      <c r="BA135" s="503">
        <f t="shared" si="39"/>
        <v>5000</v>
      </c>
      <c r="BB135" s="504">
        <f>BA135</f>
        <v>5000</v>
      </c>
      <c r="BC135" s="657">
        <f>PPE差引簿!E11</f>
        <v>0</v>
      </c>
      <c r="BD135" s="658">
        <f>BC135-BB135</f>
        <v>-5000</v>
      </c>
      <c r="BE135" s="657">
        <f>基礎情報!N140</f>
        <v>0</v>
      </c>
    </row>
    <row r="136" spans="1:57" ht="20.100000000000001" customHeight="1">
      <c r="A136" s="494">
        <v>124</v>
      </c>
      <c r="B136" s="206"/>
      <c r="C136" s="207"/>
      <c r="D136" s="1859"/>
      <c r="E136" s="1860"/>
      <c r="F136" s="1861"/>
      <c r="G136" s="208"/>
      <c r="H136" s="208"/>
      <c r="I136" s="209"/>
      <c r="J136" s="495">
        <f t="shared" si="29"/>
        <v>0</v>
      </c>
      <c r="K136" s="496">
        <f t="shared" si="30"/>
        <v>0</v>
      </c>
      <c r="L136" s="496" t="str">
        <f t="shared" si="31"/>
        <v/>
      </c>
      <c r="M136" s="496" t="str">
        <f t="shared" si="32"/>
        <v/>
      </c>
      <c r="N136" s="805"/>
      <c r="O136" s="805"/>
      <c r="P136" s="805"/>
      <c r="Q136" s="497">
        <f t="shared" si="33"/>
        <v>0</v>
      </c>
      <c r="R136" s="498" t="str">
        <f xml:space="preserve">
IF(表紙!$X$2="事前協議","－",
IF(表紙!$X$2="交付申請（２次）","－",
IF(表紙!$X$2="変更申請","－",
IF(AND(表紙!$X$2="実績報告（１次）",AL136="◎"),COUNTIF($AL$13:AL136,"◎"),
IF(AND(表紙!$X$2="実績報告（１次）",OR(AL136="×",AL136="○")),"",
IF(表紙!$X$2="実績報告（２次）","－",
IF(表紙!$X$2="交付申請兼実績報告","－")))))))</f>
        <v>－</v>
      </c>
      <c r="S136" s="498" t="str">
        <f t="shared" si="34"/>
        <v/>
      </c>
      <c r="U136" s="610" t="str">
        <f t="shared" si="35"/>
        <v/>
      </c>
      <c r="V136" s="701" t="str">
        <f t="shared" si="21"/>
        <v/>
      </c>
      <c r="W136" s="701" t="str">
        <f t="shared" si="22"/>
        <v/>
      </c>
      <c r="X136" s="701" t="str">
        <f t="shared" si="23"/>
        <v/>
      </c>
      <c r="Y136" s="500" t="str">
        <f t="shared" si="24"/>
        <v/>
      </c>
      <c r="AJ136" s="468" t="s">
        <v>468</v>
      </c>
      <c r="AK136" s="499">
        <v>124</v>
      </c>
      <c r="AL136" s="467" t="str">
        <f t="shared" si="36"/>
        <v>○</v>
      </c>
      <c r="AM136" s="475" t="str">
        <f t="shared" si="37"/>
        <v>申請しない場合は入力不要です。</v>
      </c>
      <c r="AO136" s="475">
        <f t="shared" si="38"/>
        <v>0</v>
      </c>
      <c r="AX136" s="1845" t="s">
        <v>1408</v>
      </c>
      <c r="AY136" s="505" t="s">
        <v>1266</v>
      </c>
      <c r="AZ136" s="502">
        <v>133</v>
      </c>
      <c r="BA136" s="503">
        <f t="shared" si="39"/>
        <v>4000</v>
      </c>
      <c r="BB136" s="504">
        <f>BA136</f>
        <v>4000</v>
      </c>
      <c r="BC136" s="657">
        <f>PPE差引簿!E12</f>
        <v>0</v>
      </c>
      <c r="BD136" s="658">
        <f>BC136-BB136</f>
        <v>-4000</v>
      </c>
      <c r="BE136" s="657">
        <f>基礎情報!N143</f>
        <v>0</v>
      </c>
    </row>
    <row r="137" spans="1:57" ht="20.100000000000001" customHeight="1">
      <c r="A137" s="494">
        <v>125</v>
      </c>
      <c r="B137" s="206"/>
      <c r="C137" s="207"/>
      <c r="D137" s="1859"/>
      <c r="E137" s="1860"/>
      <c r="F137" s="1861"/>
      <c r="G137" s="208"/>
      <c r="H137" s="208"/>
      <c r="I137" s="209"/>
      <c r="J137" s="495">
        <f t="shared" si="29"/>
        <v>0</v>
      </c>
      <c r="K137" s="496">
        <f t="shared" si="30"/>
        <v>0</v>
      </c>
      <c r="L137" s="496" t="str">
        <f t="shared" si="31"/>
        <v/>
      </c>
      <c r="M137" s="496" t="str">
        <f t="shared" si="32"/>
        <v/>
      </c>
      <c r="N137" s="805"/>
      <c r="O137" s="805"/>
      <c r="P137" s="805"/>
      <c r="Q137" s="497">
        <f t="shared" si="33"/>
        <v>0</v>
      </c>
      <c r="R137" s="498" t="str">
        <f xml:space="preserve">
IF(表紙!$X$2="事前協議","－",
IF(表紙!$X$2="交付申請（２次）","－",
IF(表紙!$X$2="変更申請","－",
IF(AND(表紙!$X$2="実績報告（１次）",AL137="◎"),COUNTIF($AL$13:AL137,"◎"),
IF(AND(表紙!$X$2="実績報告（１次）",OR(AL137="×",AL137="○")),"",
IF(表紙!$X$2="実績報告（２次）","－",
IF(表紙!$X$2="交付申請兼実績報告","－")))))))</f>
        <v>－</v>
      </c>
      <c r="S137" s="498" t="str">
        <f t="shared" si="34"/>
        <v/>
      </c>
      <c r="U137" s="610" t="str">
        <f t="shared" si="35"/>
        <v/>
      </c>
      <c r="V137" s="701" t="str">
        <f t="shared" si="21"/>
        <v/>
      </c>
      <c r="W137" s="701" t="str">
        <f t="shared" si="22"/>
        <v/>
      </c>
      <c r="X137" s="701" t="str">
        <f t="shared" si="23"/>
        <v/>
      </c>
      <c r="Y137" s="500" t="str">
        <f t="shared" si="24"/>
        <v/>
      </c>
      <c r="AJ137" s="468" t="s">
        <v>468</v>
      </c>
      <c r="AK137" s="499">
        <v>125</v>
      </c>
      <c r="AL137" s="467" t="str">
        <f t="shared" si="36"/>
        <v>○</v>
      </c>
      <c r="AM137" s="475" t="str">
        <f t="shared" si="37"/>
        <v>申請しない場合は入力不要です。</v>
      </c>
      <c r="AO137" s="475">
        <f t="shared" si="38"/>
        <v>0</v>
      </c>
      <c r="AX137" s="1846"/>
      <c r="AY137" s="505" t="s">
        <v>1267</v>
      </c>
      <c r="AZ137" s="502">
        <v>249</v>
      </c>
      <c r="BA137" s="503">
        <f t="shared" si="39"/>
        <v>3000</v>
      </c>
      <c r="BB137" s="504">
        <f>BA137</f>
        <v>3000</v>
      </c>
      <c r="BC137" s="657">
        <f>PPE差引簿!E13</f>
        <v>0</v>
      </c>
      <c r="BD137" s="658">
        <f>BC137-BB137</f>
        <v>-3000</v>
      </c>
      <c r="BE137" s="657">
        <f>基礎情報!N146</f>
        <v>0</v>
      </c>
    </row>
    <row r="138" spans="1:57" ht="20.100000000000001" customHeight="1">
      <c r="A138" s="494">
        <v>126</v>
      </c>
      <c r="B138" s="206"/>
      <c r="C138" s="207"/>
      <c r="D138" s="1859"/>
      <c r="E138" s="1860"/>
      <c r="F138" s="1861"/>
      <c r="G138" s="208"/>
      <c r="H138" s="208"/>
      <c r="I138" s="209"/>
      <c r="J138" s="495">
        <f t="shared" si="29"/>
        <v>0</v>
      </c>
      <c r="K138" s="496">
        <f t="shared" si="30"/>
        <v>0</v>
      </c>
      <c r="L138" s="496" t="str">
        <f t="shared" si="31"/>
        <v/>
      </c>
      <c r="M138" s="496" t="str">
        <f t="shared" si="32"/>
        <v/>
      </c>
      <c r="N138" s="805"/>
      <c r="O138" s="805"/>
      <c r="P138" s="805"/>
      <c r="Q138" s="497">
        <f t="shared" si="33"/>
        <v>0</v>
      </c>
      <c r="R138" s="498" t="str">
        <f xml:space="preserve">
IF(表紙!$X$2="事前協議","－",
IF(表紙!$X$2="交付申請（２次）","－",
IF(表紙!$X$2="変更申請","－",
IF(AND(表紙!$X$2="実績報告（１次）",AL138="◎"),COUNTIF($AL$13:AL138,"◎"),
IF(AND(表紙!$X$2="実績報告（１次）",OR(AL138="×",AL138="○")),"",
IF(表紙!$X$2="実績報告（２次）","－",
IF(表紙!$X$2="交付申請兼実績報告","－")))))))</f>
        <v>－</v>
      </c>
      <c r="S138" s="498" t="str">
        <f t="shared" si="34"/>
        <v/>
      </c>
      <c r="U138" s="610" t="str">
        <f t="shared" si="35"/>
        <v/>
      </c>
      <c r="V138" s="701" t="str">
        <f t="shared" si="21"/>
        <v/>
      </c>
      <c r="W138" s="701" t="str">
        <f t="shared" si="22"/>
        <v/>
      </c>
      <c r="X138" s="701" t="str">
        <f t="shared" si="23"/>
        <v/>
      </c>
      <c r="Y138" s="500" t="str">
        <f t="shared" si="24"/>
        <v/>
      </c>
      <c r="AJ138" s="468" t="s">
        <v>468</v>
      </c>
      <c r="AK138" s="499">
        <v>126</v>
      </c>
      <c r="AL138" s="467" t="str">
        <f t="shared" si="36"/>
        <v>○</v>
      </c>
      <c r="AM138" s="475" t="str">
        <f t="shared" si="37"/>
        <v>申請しない場合は入力不要です。</v>
      </c>
      <c r="AO138" s="475">
        <f t="shared" si="38"/>
        <v>0</v>
      </c>
      <c r="AX138" s="1846"/>
      <c r="AY138" s="505" t="s">
        <v>1101</v>
      </c>
      <c r="AZ138" s="502">
        <v>104</v>
      </c>
      <c r="BA138" s="503">
        <f t="shared" si="39"/>
        <v>2000</v>
      </c>
      <c r="BB138" s="504">
        <f>BA138</f>
        <v>2000</v>
      </c>
      <c r="BC138" s="657">
        <f>PPE差引簿!E14</f>
        <v>0</v>
      </c>
      <c r="BD138" s="658">
        <f>BC138-BB138</f>
        <v>-2000</v>
      </c>
      <c r="BE138" s="657">
        <f>基礎情報!N149</f>
        <v>0</v>
      </c>
    </row>
    <row r="139" spans="1:57" ht="20.100000000000001" customHeight="1">
      <c r="A139" s="494">
        <v>127</v>
      </c>
      <c r="B139" s="206"/>
      <c r="C139" s="207"/>
      <c r="D139" s="1859"/>
      <c r="E139" s="1860"/>
      <c r="F139" s="1861"/>
      <c r="G139" s="208"/>
      <c r="H139" s="208"/>
      <c r="I139" s="209"/>
      <c r="J139" s="495">
        <f t="shared" si="29"/>
        <v>0</v>
      </c>
      <c r="K139" s="496">
        <f t="shared" si="30"/>
        <v>0</v>
      </c>
      <c r="L139" s="496" t="str">
        <f t="shared" si="31"/>
        <v/>
      </c>
      <c r="M139" s="496" t="str">
        <f t="shared" si="32"/>
        <v/>
      </c>
      <c r="N139" s="805"/>
      <c r="O139" s="805"/>
      <c r="P139" s="805"/>
      <c r="Q139" s="497">
        <f t="shared" si="33"/>
        <v>0</v>
      </c>
      <c r="R139" s="498" t="str">
        <f xml:space="preserve">
IF(表紙!$X$2="事前協議","－",
IF(表紙!$X$2="交付申請（２次）","－",
IF(表紙!$X$2="変更申請","－",
IF(AND(表紙!$X$2="実績報告（１次）",AL139="◎"),COUNTIF($AL$13:AL139,"◎"),
IF(AND(表紙!$X$2="実績報告（１次）",OR(AL139="×",AL139="○")),"",
IF(表紙!$X$2="実績報告（２次）","－",
IF(表紙!$X$2="交付申請兼実績報告","－")))))))</f>
        <v>－</v>
      </c>
      <c r="S139" s="498" t="str">
        <f t="shared" si="34"/>
        <v/>
      </c>
      <c r="U139" s="610" t="str">
        <f t="shared" si="35"/>
        <v/>
      </c>
      <c r="V139" s="701" t="str">
        <f t="shared" si="21"/>
        <v/>
      </c>
      <c r="W139" s="701" t="str">
        <f t="shared" si="22"/>
        <v/>
      </c>
      <c r="X139" s="701" t="str">
        <f t="shared" si="23"/>
        <v/>
      </c>
      <c r="Y139" s="500" t="str">
        <f t="shared" si="24"/>
        <v/>
      </c>
      <c r="AJ139" s="468" t="s">
        <v>468</v>
      </c>
      <c r="AK139" s="499">
        <v>127</v>
      </c>
      <c r="AL139" s="467" t="str">
        <f t="shared" si="36"/>
        <v>○</v>
      </c>
      <c r="AM139" s="475" t="str">
        <f t="shared" si="37"/>
        <v>申請しない場合は入力不要です。</v>
      </c>
      <c r="AO139" s="475">
        <f t="shared" si="38"/>
        <v>0</v>
      </c>
      <c r="AX139" s="1847"/>
      <c r="AY139" s="505" t="s">
        <v>1334</v>
      </c>
      <c r="AZ139" s="502">
        <v>1614</v>
      </c>
      <c r="BA139" s="503">
        <f t="shared" si="39"/>
        <v>1000</v>
      </c>
      <c r="BB139" s="504">
        <f>BA139</f>
        <v>1000</v>
      </c>
      <c r="BC139" s="657">
        <f>PPE差引簿!E15</f>
        <v>0</v>
      </c>
      <c r="BD139" s="658">
        <f>BC139-BB139</f>
        <v>-1000</v>
      </c>
      <c r="BE139" s="657">
        <f>基礎情報!N152</f>
        <v>0</v>
      </c>
    </row>
    <row r="140" spans="1:57" ht="20.100000000000001" customHeight="1">
      <c r="A140" s="494">
        <v>128</v>
      </c>
      <c r="B140" s="206"/>
      <c r="C140" s="207"/>
      <c r="D140" s="1859"/>
      <c r="E140" s="1860"/>
      <c r="F140" s="1861"/>
      <c r="G140" s="208"/>
      <c r="H140" s="208"/>
      <c r="I140" s="209"/>
      <c r="J140" s="495">
        <f t="shared" si="29"/>
        <v>0</v>
      </c>
      <c r="K140" s="496">
        <f t="shared" si="30"/>
        <v>0</v>
      </c>
      <c r="L140" s="496" t="str">
        <f t="shared" si="31"/>
        <v/>
      </c>
      <c r="M140" s="496" t="str">
        <f t="shared" si="32"/>
        <v/>
      </c>
      <c r="N140" s="805"/>
      <c r="O140" s="805"/>
      <c r="P140" s="805"/>
      <c r="Q140" s="497">
        <f t="shared" si="33"/>
        <v>0</v>
      </c>
      <c r="R140" s="498" t="str">
        <f xml:space="preserve">
IF(表紙!$X$2="事前協議","－",
IF(表紙!$X$2="交付申請（２次）","－",
IF(表紙!$X$2="変更申請","－",
IF(AND(表紙!$X$2="実績報告（１次）",AL140="◎"),COUNTIF($AL$13:AL140,"◎"),
IF(AND(表紙!$X$2="実績報告（１次）",OR(AL140="×",AL140="○")),"",
IF(表紙!$X$2="実績報告（２次）","－",
IF(表紙!$X$2="交付申請兼実績報告","－")))))))</f>
        <v>－</v>
      </c>
      <c r="S140" s="498" t="str">
        <f t="shared" si="34"/>
        <v/>
      </c>
      <c r="U140" s="610" t="str">
        <f t="shared" si="35"/>
        <v/>
      </c>
      <c r="V140" s="701" t="str">
        <f t="shared" si="21"/>
        <v/>
      </c>
      <c r="W140" s="701" t="str">
        <f t="shared" si="22"/>
        <v/>
      </c>
      <c r="X140" s="701" t="str">
        <f t="shared" si="23"/>
        <v/>
      </c>
      <c r="Y140" s="500" t="str">
        <f t="shared" si="24"/>
        <v/>
      </c>
      <c r="AJ140" s="468" t="s">
        <v>468</v>
      </c>
      <c r="AK140" s="499">
        <v>128</v>
      </c>
      <c r="AL140" s="467" t="str">
        <f t="shared" si="36"/>
        <v>○</v>
      </c>
      <c r="AM140" s="475" t="str">
        <f t="shared" si="37"/>
        <v>申請しない場合は入力不要です。</v>
      </c>
      <c r="AO140" s="475">
        <f t="shared" si="38"/>
        <v>0</v>
      </c>
    </row>
    <row r="141" spans="1:57" ht="20.100000000000001" customHeight="1">
      <c r="A141" s="494">
        <v>129</v>
      </c>
      <c r="B141" s="206"/>
      <c r="C141" s="207"/>
      <c r="D141" s="1859"/>
      <c r="E141" s="1860"/>
      <c r="F141" s="1861"/>
      <c r="G141" s="208"/>
      <c r="H141" s="208"/>
      <c r="I141" s="209"/>
      <c r="J141" s="495">
        <f t="shared" si="29"/>
        <v>0</v>
      </c>
      <c r="K141" s="496">
        <f t="shared" si="30"/>
        <v>0</v>
      </c>
      <c r="L141" s="496" t="str">
        <f t="shared" si="31"/>
        <v/>
      </c>
      <c r="M141" s="496" t="str">
        <f t="shared" si="32"/>
        <v/>
      </c>
      <c r="N141" s="805"/>
      <c r="O141" s="805"/>
      <c r="P141" s="805"/>
      <c r="Q141" s="497">
        <f t="shared" si="33"/>
        <v>0</v>
      </c>
      <c r="R141" s="498" t="str">
        <f xml:space="preserve">
IF(表紙!$X$2="事前協議","－",
IF(表紙!$X$2="交付申請（２次）","－",
IF(表紙!$X$2="変更申請","－",
IF(AND(表紙!$X$2="実績報告（１次）",AL141="◎"),COUNTIF($AL$13:AL141,"◎"),
IF(AND(表紙!$X$2="実績報告（１次）",OR(AL141="×",AL141="○")),"",
IF(表紙!$X$2="実績報告（２次）","－",
IF(表紙!$X$2="交付申請兼実績報告","－")))))))</f>
        <v>－</v>
      </c>
      <c r="S141" s="498" t="str">
        <f t="shared" si="34"/>
        <v/>
      </c>
      <c r="U141" s="610" t="str">
        <f t="shared" si="35"/>
        <v/>
      </c>
      <c r="V141" s="701" t="str">
        <f t="shared" si="21"/>
        <v/>
      </c>
      <c r="W141" s="701" t="str">
        <f t="shared" si="22"/>
        <v/>
      </c>
      <c r="X141" s="701" t="str">
        <f t="shared" si="23"/>
        <v/>
      </c>
      <c r="Y141" s="500" t="str">
        <f t="shared" si="24"/>
        <v/>
      </c>
      <c r="AJ141" s="468" t="s">
        <v>468</v>
      </c>
      <c r="AK141" s="499">
        <v>129</v>
      </c>
      <c r="AL141" s="467" t="str">
        <f t="shared" si="36"/>
        <v>○</v>
      </c>
      <c r="AM141" s="475" t="str">
        <f t="shared" si="37"/>
        <v>申請しない場合は入力不要です。</v>
      </c>
      <c r="AO141" s="475">
        <f t="shared" si="38"/>
        <v>0</v>
      </c>
      <c r="AX141" s="461" t="s">
        <v>1214</v>
      </c>
    </row>
    <row r="142" spans="1:57" ht="20.100000000000001" customHeight="1">
      <c r="A142" s="494">
        <v>130</v>
      </c>
      <c r="B142" s="206"/>
      <c r="C142" s="207"/>
      <c r="D142" s="1859"/>
      <c r="E142" s="1860"/>
      <c r="F142" s="1861"/>
      <c r="G142" s="208"/>
      <c r="H142" s="208"/>
      <c r="I142" s="209"/>
      <c r="J142" s="495">
        <f t="shared" si="29"/>
        <v>0</v>
      </c>
      <c r="K142" s="496">
        <f t="shared" si="30"/>
        <v>0</v>
      </c>
      <c r="L142" s="496" t="str">
        <f t="shared" si="31"/>
        <v/>
      </c>
      <c r="M142" s="496" t="str">
        <f t="shared" si="32"/>
        <v/>
      </c>
      <c r="N142" s="805"/>
      <c r="O142" s="805"/>
      <c r="P142" s="805"/>
      <c r="Q142" s="497">
        <f t="shared" si="33"/>
        <v>0</v>
      </c>
      <c r="R142" s="498" t="str">
        <f xml:space="preserve">
IF(表紙!$X$2="事前協議","－",
IF(表紙!$X$2="交付申請（２次）","－",
IF(表紙!$X$2="変更申請","－",
IF(AND(表紙!$X$2="実績報告（１次）",AL142="◎"),COUNTIF($AL$13:AL142,"◎"),
IF(AND(表紙!$X$2="実績報告（１次）",OR(AL142="×",AL142="○")),"",
IF(表紙!$X$2="実績報告（２次）","－",
IF(表紙!$X$2="交付申請兼実績報告","－")))))))</f>
        <v>－</v>
      </c>
      <c r="S142" s="498" t="str">
        <f t="shared" si="34"/>
        <v/>
      </c>
      <c r="U142" s="610" t="str">
        <f t="shared" si="35"/>
        <v/>
      </c>
      <c r="V142" s="701" t="str">
        <f t="shared" ref="V142:V205" si="40">IF($U142=MAX($U$13:$U$212),N142,"")</f>
        <v/>
      </c>
      <c r="W142" s="701" t="str">
        <f t="shared" ref="W142:W205" si="41">IF($U142=MAX($U$13:$U$212),O142,"")</f>
        <v/>
      </c>
      <c r="X142" s="701" t="str">
        <f t="shared" ref="X142:X205" si="42">IF($U142=MAX($U$13:$U$212),P142,"")</f>
        <v/>
      </c>
      <c r="Y142" s="500" t="str">
        <f t="shared" ref="Y142:Y205" si="43">U142&amp;C142</f>
        <v/>
      </c>
      <c r="AJ142" s="468" t="s">
        <v>468</v>
      </c>
      <c r="AK142" s="499">
        <v>130</v>
      </c>
      <c r="AL142" s="467" t="str">
        <f t="shared" si="36"/>
        <v>○</v>
      </c>
      <c r="AM142" s="475" t="str">
        <f t="shared" si="37"/>
        <v>申請しない場合は入力不要です。</v>
      </c>
      <c r="AO142" s="475">
        <f t="shared" si="38"/>
        <v>0</v>
      </c>
      <c r="AX142" s="461" t="s">
        <v>1247</v>
      </c>
    </row>
    <row r="143" spans="1:57" ht="20.100000000000001" customHeight="1">
      <c r="A143" s="494">
        <v>131</v>
      </c>
      <c r="B143" s="206"/>
      <c r="C143" s="207"/>
      <c r="D143" s="1859"/>
      <c r="E143" s="1860"/>
      <c r="F143" s="1861"/>
      <c r="G143" s="208"/>
      <c r="H143" s="208"/>
      <c r="I143" s="209"/>
      <c r="J143" s="495">
        <f t="shared" si="29"/>
        <v>0</v>
      </c>
      <c r="K143" s="496">
        <f t="shared" si="30"/>
        <v>0</v>
      </c>
      <c r="L143" s="496" t="str">
        <f t="shared" si="31"/>
        <v/>
      </c>
      <c r="M143" s="496" t="str">
        <f t="shared" si="32"/>
        <v/>
      </c>
      <c r="N143" s="805"/>
      <c r="O143" s="805"/>
      <c r="P143" s="805"/>
      <c r="Q143" s="497">
        <f t="shared" si="33"/>
        <v>0</v>
      </c>
      <c r="R143" s="498" t="str">
        <f xml:space="preserve">
IF(表紙!$X$2="事前協議","－",
IF(表紙!$X$2="交付申請（２次）","－",
IF(表紙!$X$2="変更申請","－",
IF(AND(表紙!$X$2="実績報告（１次）",AL143="◎"),COUNTIF($AL$13:AL143,"◎"),
IF(AND(表紙!$X$2="実績報告（１次）",OR(AL143="×",AL143="○")),"",
IF(表紙!$X$2="実績報告（２次）","－",
IF(表紙!$X$2="交付申請兼実績報告","－")))))))</f>
        <v>－</v>
      </c>
      <c r="S143" s="498" t="str">
        <f t="shared" si="34"/>
        <v/>
      </c>
      <c r="U143" s="610" t="str">
        <f t="shared" si="35"/>
        <v/>
      </c>
      <c r="V143" s="701" t="str">
        <f t="shared" si="40"/>
        <v/>
      </c>
      <c r="W143" s="701" t="str">
        <f t="shared" si="41"/>
        <v/>
      </c>
      <c r="X143" s="701" t="str">
        <f t="shared" si="42"/>
        <v/>
      </c>
      <c r="Y143" s="500" t="str">
        <f t="shared" si="43"/>
        <v/>
      </c>
      <c r="AJ143" s="468" t="s">
        <v>468</v>
      </c>
      <c r="AK143" s="499">
        <v>131</v>
      </c>
      <c r="AL143" s="467" t="str">
        <f t="shared" si="36"/>
        <v>○</v>
      </c>
      <c r="AM143" s="475" t="str">
        <f t="shared" si="37"/>
        <v>申請しない場合は入力不要です。</v>
      </c>
      <c r="AO143" s="475">
        <f t="shared" si="38"/>
        <v>0</v>
      </c>
      <c r="AX143" s="461" t="s">
        <v>1330</v>
      </c>
    </row>
    <row r="144" spans="1:57" ht="20.100000000000001" customHeight="1">
      <c r="A144" s="494">
        <v>132</v>
      </c>
      <c r="B144" s="206"/>
      <c r="C144" s="207"/>
      <c r="D144" s="1859"/>
      <c r="E144" s="1860"/>
      <c r="F144" s="1861"/>
      <c r="G144" s="208"/>
      <c r="H144" s="208"/>
      <c r="I144" s="209"/>
      <c r="J144" s="495">
        <f t="shared" si="29"/>
        <v>0</v>
      </c>
      <c r="K144" s="496">
        <f t="shared" si="30"/>
        <v>0</v>
      </c>
      <c r="L144" s="496" t="str">
        <f t="shared" si="31"/>
        <v/>
      </c>
      <c r="M144" s="496" t="str">
        <f t="shared" si="32"/>
        <v/>
      </c>
      <c r="N144" s="805"/>
      <c r="O144" s="805"/>
      <c r="P144" s="805"/>
      <c r="Q144" s="497">
        <f t="shared" si="33"/>
        <v>0</v>
      </c>
      <c r="R144" s="498" t="str">
        <f xml:space="preserve">
IF(表紙!$X$2="事前協議","－",
IF(表紙!$X$2="交付申請（２次）","－",
IF(表紙!$X$2="変更申請","－",
IF(AND(表紙!$X$2="実績報告（１次）",AL144="◎"),COUNTIF($AL$13:AL144,"◎"),
IF(AND(表紙!$X$2="実績報告（１次）",OR(AL144="×",AL144="○")),"",
IF(表紙!$X$2="実績報告（２次）","－",
IF(表紙!$X$2="交付申請兼実績報告","－")))))))</f>
        <v>－</v>
      </c>
      <c r="S144" s="498" t="str">
        <f t="shared" si="34"/>
        <v/>
      </c>
      <c r="U144" s="610" t="str">
        <f t="shared" si="35"/>
        <v/>
      </c>
      <c r="V144" s="701" t="str">
        <f t="shared" si="40"/>
        <v/>
      </c>
      <c r="W144" s="701" t="str">
        <f t="shared" si="41"/>
        <v/>
      </c>
      <c r="X144" s="701" t="str">
        <f t="shared" si="42"/>
        <v/>
      </c>
      <c r="Y144" s="500" t="str">
        <f t="shared" si="43"/>
        <v/>
      </c>
      <c r="AJ144" s="468" t="s">
        <v>468</v>
      </c>
      <c r="AK144" s="499">
        <v>132</v>
      </c>
      <c r="AL144" s="467" t="str">
        <f t="shared" si="36"/>
        <v>○</v>
      </c>
      <c r="AM144" s="475" t="str">
        <f t="shared" si="37"/>
        <v>申請しない場合は入力不要です。</v>
      </c>
      <c r="AO144" s="475">
        <f t="shared" si="38"/>
        <v>0</v>
      </c>
      <c r="AX144" s="461" t="s">
        <v>1331</v>
      </c>
    </row>
    <row r="145" spans="1:50" ht="20.100000000000001" customHeight="1">
      <c r="A145" s="494">
        <v>133</v>
      </c>
      <c r="B145" s="206"/>
      <c r="C145" s="207"/>
      <c r="D145" s="1859"/>
      <c r="E145" s="1860"/>
      <c r="F145" s="1861"/>
      <c r="G145" s="208"/>
      <c r="H145" s="208"/>
      <c r="I145" s="209"/>
      <c r="J145" s="495">
        <f t="shared" ref="J145:J206" si="44">ROUNDDOWN(I145*1.1,0)</f>
        <v>0</v>
      </c>
      <c r="K145" s="496">
        <f t="shared" ref="K145:K206" si="45">ROUNDDOWN(H145*J145,0)</f>
        <v>0</v>
      </c>
      <c r="L145" s="496" t="str">
        <f t="shared" ref="L145:L206" si="46">IFERROR(G145*H145*VLOOKUP(C145,$AY$123:$AZ$139,2,FALSE),"")</f>
        <v/>
      </c>
      <c r="M145" s="496" t="str">
        <f t="shared" ref="M145:M206" si="47">IF(L145="","",MIN(K145,L145))</f>
        <v/>
      </c>
      <c r="N145" s="805"/>
      <c r="O145" s="805"/>
      <c r="P145" s="805"/>
      <c r="Q145" s="497">
        <f t="shared" ref="Q145:Q206" si="48" xml:space="preserve">
IF(AND(AL145="◎",M145&gt;=0),G145*H145,
IF(AND(AL145="◎",M145&lt;0),0,0))</f>
        <v>0</v>
      </c>
      <c r="R145" s="498" t="str">
        <f xml:space="preserve">
IF(表紙!$X$2="事前協議","－",
IF(表紙!$X$2="交付申請（２次）","－",
IF(表紙!$X$2="変更申請","－",
IF(AND(表紙!$X$2="実績報告（１次）",AL145="◎"),COUNTIF($AL$13:AL145,"◎"),
IF(AND(表紙!$X$2="実績報告（１次）",OR(AL145="×",AL145="○")),"",
IF(表紙!$X$2="実績報告（２次）","－",
IF(表紙!$X$2="交付申請兼実績報告","－")))))))</f>
        <v>－</v>
      </c>
      <c r="S145" s="498" t="str">
        <f t="shared" ref="S145:S206" si="49">IFERROR(
"@"&amp;TEXT(ROUNDUP(J145/G145,0),"#,###円")&amp;
IF(ROUNDUP(J145/G145,0)&lt;VLOOKUP(C145,$AY$123:$AZ$139,2,FALSE),"&lt;",
IF(ROUNDUP(J145/G145,0)=VLOOKUP(C145,$AY$123:$AZ$139,2,FALSE),"=",
IF(ROUNDUP(J145/G145,0)&gt;VLOOKUP(C145,$AY$123:$AZ$139,2,FALSE),"&gt;")))&amp;
"上限@"&amp;TEXT(VLOOKUP(C145,$AY$123:$AZ$139,2,FALSE),"#,###円"),"")</f>
        <v/>
      </c>
      <c r="U145" s="610" t="str">
        <f t="shared" ref="U145:U206" si="50">IF(AL145="◎",DATE(IF(N145=5,2023,IF(N145=6,2024)),O145,P145),"")</f>
        <v/>
      </c>
      <c r="V145" s="701" t="str">
        <f t="shared" si="40"/>
        <v/>
      </c>
      <c r="W145" s="701" t="str">
        <f t="shared" si="41"/>
        <v/>
      </c>
      <c r="X145" s="701" t="str">
        <f t="shared" si="42"/>
        <v/>
      </c>
      <c r="Y145" s="500" t="str">
        <f t="shared" si="43"/>
        <v/>
      </c>
      <c r="AJ145" s="468" t="s">
        <v>468</v>
      </c>
      <c r="AK145" s="499">
        <v>133</v>
      </c>
      <c r="AL145" s="467" t="str">
        <f t="shared" ref="AL145:AL206" si="51" xml:space="preserve">
IF(COUNTA(B145:I145,N145:P145)=0,"○",
IF(AND(COUNTA(B145:I145,N145:P145)&gt;=1,COUNTA(B145:I145,N145:P145)&lt;9),"×",
IF(COUNTA(B145:I145,N145:P145)=9,"◎")))</f>
        <v>○</v>
      </c>
      <c r="AM145" s="475" t="str">
        <f t="shared" ref="AM145:AM206" si="52" xml:space="preserve">
IF(COUNTA(B145:I145)=0,"申請しない場合は入力不要です。",
IF(AND(COUNTA(B145:I145)&gt;=1,COUNTA(B145:I145)&lt;6),"【要修正】種類、品名、内容量、数量、税抜単価の内、未入力の箇所があります。",
IF(COUNTA(B145:I145)=6,"適切に入力がされました。")))</f>
        <v>申請しない場合は入力不要です。</v>
      </c>
      <c r="AO145" s="475">
        <f t="shared" ref="AO145:AO206" si="53">G145*H145</f>
        <v>0</v>
      </c>
      <c r="AX145" s="461" t="s">
        <v>1332</v>
      </c>
    </row>
    <row r="146" spans="1:50" ht="20.100000000000001" customHeight="1">
      <c r="A146" s="494">
        <v>134</v>
      </c>
      <c r="B146" s="206"/>
      <c r="C146" s="207"/>
      <c r="D146" s="1859"/>
      <c r="E146" s="1860"/>
      <c r="F146" s="1861"/>
      <c r="G146" s="208"/>
      <c r="H146" s="208"/>
      <c r="I146" s="209"/>
      <c r="J146" s="495">
        <f t="shared" si="44"/>
        <v>0</v>
      </c>
      <c r="K146" s="496">
        <f t="shared" si="45"/>
        <v>0</v>
      </c>
      <c r="L146" s="496" t="str">
        <f t="shared" si="46"/>
        <v/>
      </c>
      <c r="M146" s="496" t="str">
        <f t="shared" si="47"/>
        <v/>
      </c>
      <c r="N146" s="805"/>
      <c r="O146" s="805"/>
      <c r="P146" s="805"/>
      <c r="Q146" s="497">
        <f t="shared" si="48"/>
        <v>0</v>
      </c>
      <c r="R146" s="498" t="str">
        <f xml:space="preserve">
IF(表紙!$X$2="事前協議","－",
IF(表紙!$X$2="交付申請（２次）","－",
IF(表紙!$X$2="変更申請","－",
IF(AND(表紙!$X$2="実績報告（１次）",AL146="◎"),COUNTIF($AL$13:AL146,"◎"),
IF(AND(表紙!$X$2="実績報告（１次）",OR(AL146="×",AL146="○")),"",
IF(表紙!$X$2="実績報告（２次）","－",
IF(表紙!$X$2="交付申請兼実績報告","－")))))))</f>
        <v>－</v>
      </c>
      <c r="S146" s="498" t="str">
        <f t="shared" si="49"/>
        <v/>
      </c>
      <c r="U146" s="610" t="str">
        <f t="shared" si="50"/>
        <v/>
      </c>
      <c r="V146" s="701" t="str">
        <f t="shared" si="40"/>
        <v/>
      </c>
      <c r="W146" s="701" t="str">
        <f t="shared" si="41"/>
        <v/>
      </c>
      <c r="X146" s="701" t="str">
        <f t="shared" si="42"/>
        <v/>
      </c>
      <c r="Y146" s="500" t="str">
        <f t="shared" si="43"/>
        <v/>
      </c>
      <c r="AJ146" s="468" t="s">
        <v>468</v>
      </c>
      <c r="AK146" s="499">
        <v>134</v>
      </c>
      <c r="AL146" s="467" t="str">
        <f t="shared" si="51"/>
        <v>○</v>
      </c>
      <c r="AM146" s="475" t="str">
        <f t="shared" si="52"/>
        <v>申請しない場合は入力不要です。</v>
      </c>
      <c r="AO146" s="475">
        <f t="shared" si="53"/>
        <v>0</v>
      </c>
      <c r="AX146" s="461" t="s">
        <v>1409</v>
      </c>
    </row>
    <row r="147" spans="1:50" ht="20.100000000000001" customHeight="1">
      <c r="A147" s="494">
        <v>135</v>
      </c>
      <c r="B147" s="206"/>
      <c r="C147" s="207"/>
      <c r="D147" s="1859"/>
      <c r="E147" s="1860"/>
      <c r="F147" s="1861"/>
      <c r="G147" s="208"/>
      <c r="H147" s="208"/>
      <c r="I147" s="209"/>
      <c r="J147" s="495">
        <f t="shared" si="44"/>
        <v>0</v>
      </c>
      <c r="K147" s="496">
        <f t="shared" si="45"/>
        <v>0</v>
      </c>
      <c r="L147" s="496" t="str">
        <f t="shared" si="46"/>
        <v/>
      </c>
      <c r="M147" s="496" t="str">
        <f t="shared" si="47"/>
        <v/>
      </c>
      <c r="N147" s="805"/>
      <c r="O147" s="805"/>
      <c r="P147" s="805"/>
      <c r="Q147" s="497">
        <f t="shared" si="48"/>
        <v>0</v>
      </c>
      <c r="R147" s="498" t="str">
        <f xml:space="preserve">
IF(表紙!$X$2="事前協議","－",
IF(表紙!$X$2="交付申請（２次）","－",
IF(表紙!$X$2="変更申請","－",
IF(AND(表紙!$X$2="実績報告（１次）",AL147="◎"),COUNTIF($AL$13:AL147,"◎"),
IF(AND(表紙!$X$2="実績報告（１次）",OR(AL147="×",AL147="○")),"",
IF(表紙!$X$2="実績報告（２次）","－",
IF(表紙!$X$2="交付申請兼実績報告","－")))))))</f>
        <v>－</v>
      </c>
      <c r="S147" s="498" t="str">
        <f t="shared" si="49"/>
        <v/>
      </c>
      <c r="U147" s="610" t="str">
        <f t="shared" si="50"/>
        <v/>
      </c>
      <c r="V147" s="701" t="str">
        <f t="shared" si="40"/>
        <v/>
      </c>
      <c r="W147" s="701" t="str">
        <f t="shared" si="41"/>
        <v/>
      </c>
      <c r="X147" s="701" t="str">
        <f t="shared" si="42"/>
        <v/>
      </c>
      <c r="Y147" s="500" t="str">
        <f t="shared" si="43"/>
        <v/>
      </c>
      <c r="AJ147" s="468" t="s">
        <v>468</v>
      </c>
      <c r="AK147" s="499">
        <v>135</v>
      </c>
      <c r="AL147" s="467" t="str">
        <f t="shared" si="51"/>
        <v>○</v>
      </c>
      <c r="AM147" s="475" t="str">
        <f t="shared" si="52"/>
        <v>申請しない場合は入力不要です。</v>
      </c>
      <c r="AO147" s="475">
        <f t="shared" si="53"/>
        <v>0</v>
      </c>
    </row>
    <row r="148" spans="1:50" ht="20.100000000000001" customHeight="1">
      <c r="A148" s="494">
        <v>136</v>
      </c>
      <c r="B148" s="206"/>
      <c r="C148" s="207"/>
      <c r="D148" s="1859"/>
      <c r="E148" s="1860"/>
      <c r="F148" s="1861"/>
      <c r="G148" s="208"/>
      <c r="H148" s="208"/>
      <c r="I148" s="209"/>
      <c r="J148" s="495">
        <f t="shared" si="44"/>
        <v>0</v>
      </c>
      <c r="K148" s="496">
        <f t="shared" si="45"/>
        <v>0</v>
      </c>
      <c r="L148" s="496" t="str">
        <f t="shared" si="46"/>
        <v/>
      </c>
      <c r="M148" s="496" t="str">
        <f t="shared" si="47"/>
        <v/>
      </c>
      <c r="N148" s="805"/>
      <c r="O148" s="805"/>
      <c r="P148" s="805"/>
      <c r="Q148" s="497">
        <f t="shared" si="48"/>
        <v>0</v>
      </c>
      <c r="R148" s="498" t="str">
        <f xml:space="preserve">
IF(表紙!$X$2="事前協議","－",
IF(表紙!$X$2="交付申請（２次）","－",
IF(表紙!$X$2="変更申請","－",
IF(AND(表紙!$X$2="実績報告（１次）",AL148="◎"),COUNTIF($AL$13:AL148,"◎"),
IF(AND(表紙!$X$2="実績報告（１次）",OR(AL148="×",AL148="○")),"",
IF(表紙!$X$2="実績報告（２次）","－",
IF(表紙!$X$2="交付申請兼実績報告","－")))))))</f>
        <v>－</v>
      </c>
      <c r="S148" s="498" t="str">
        <f t="shared" si="49"/>
        <v/>
      </c>
      <c r="U148" s="610" t="str">
        <f t="shared" si="50"/>
        <v/>
      </c>
      <c r="V148" s="701" t="str">
        <f t="shared" si="40"/>
        <v/>
      </c>
      <c r="W148" s="701" t="str">
        <f t="shared" si="41"/>
        <v/>
      </c>
      <c r="X148" s="701" t="str">
        <f t="shared" si="42"/>
        <v/>
      </c>
      <c r="Y148" s="500" t="str">
        <f t="shared" si="43"/>
        <v/>
      </c>
      <c r="AJ148" s="468" t="s">
        <v>468</v>
      </c>
      <c r="AK148" s="499">
        <v>136</v>
      </c>
      <c r="AL148" s="467" t="str">
        <f t="shared" si="51"/>
        <v>○</v>
      </c>
      <c r="AM148" s="475" t="str">
        <f t="shared" si="52"/>
        <v>申請しない場合は入力不要です。</v>
      </c>
      <c r="AO148" s="475">
        <f t="shared" si="53"/>
        <v>0</v>
      </c>
    </row>
    <row r="149" spans="1:50" ht="20.100000000000001" customHeight="1">
      <c r="A149" s="494">
        <v>137</v>
      </c>
      <c r="B149" s="206"/>
      <c r="C149" s="207"/>
      <c r="D149" s="1859"/>
      <c r="E149" s="1860"/>
      <c r="F149" s="1861"/>
      <c r="G149" s="208"/>
      <c r="H149" s="208"/>
      <c r="I149" s="209"/>
      <c r="J149" s="495">
        <f t="shared" si="44"/>
        <v>0</v>
      </c>
      <c r="K149" s="496">
        <f t="shared" si="45"/>
        <v>0</v>
      </c>
      <c r="L149" s="496" t="str">
        <f t="shared" si="46"/>
        <v/>
      </c>
      <c r="M149" s="496" t="str">
        <f t="shared" si="47"/>
        <v/>
      </c>
      <c r="N149" s="805"/>
      <c r="O149" s="805"/>
      <c r="P149" s="805"/>
      <c r="Q149" s="497">
        <f t="shared" si="48"/>
        <v>0</v>
      </c>
      <c r="R149" s="498" t="str">
        <f xml:space="preserve">
IF(表紙!$X$2="事前協議","－",
IF(表紙!$X$2="交付申請（２次）","－",
IF(表紙!$X$2="変更申請","－",
IF(AND(表紙!$X$2="実績報告（１次）",AL149="◎"),COUNTIF($AL$13:AL149,"◎"),
IF(AND(表紙!$X$2="実績報告（１次）",OR(AL149="×",AL149="○")),"",
IF(表紙!$X$2="実績報告（２次）","－",
IF(表紙!$X$2="交付申請兼実績報告","－")))))))</f>
        <v>－</v>
      </c>
      <c r="S149" s="498" t="str">
        <f t="shared" si="49"/>
        <v/>
      </c>
      <c r="U149" s="610" t="str">
        <f t="shared" si="50"/>
        <v/>
      </c>
      <c r="V149" s="701" t="str">
        <f t="shared" si="40"/>
        <v/>
      </c>
      <c r="W149" s="701" t="str">
        <f t="shared" si="41"/>
        <v/>
      </c>
      <c r="X149" s="701" t="str">
        <f t="shared" si="42"/>
        <v/>
      </c>
      <c r="Y149" s="500" t="str">
        <f t="shared" si="43"/>
        <v/>
      </c>
      <c r="AJ149" s="468" t="s">
        <v>468</v>
      </c>
      <c r="AK149" s="499">
        <v>137</v>
      </c>
      <c r="AL149" s="467" t="str">
        <f t="shared" si="51"/>
        <v>○</v>
      </c>
      <c r="AM149" s="475" t="str">
        <f t="shared" si="52"/>
        <v>申請しない場合は入力不要です。</v>
      </c>
      <c r="AO149" s="475">
        <f t="shared" si="53"/>
        <v>0</v>
      </c>
    </row>
    <row r="150" spans="1:50" ht="20.100000000000001" customHeight="1">
      <c r="A150" s="494">
        <v>138</v>
      </c>
      <c r="B150" s="206"/>
      <c r="C150" s="207"/>
      <c r="D150" s="1859"/>
      <c r="E150" s="1860"/>
      <c r="F150" s="1861"/>
      <c r="G150" s="208"/>
      <c r="H150" s="208"/>
      <c r="I150" s="209"/>
      <c r="J150" s="495">
        <f t="shared" si="44"/>
        <v>0</v>
      </c>
      <c r="K150" s="496">
        <f t="shared" si="45"/>
        <v>0</v>
      </c>
      <c r="L150" s="496" t="str">
        <f t="shared" si="46"/>
        <v/>
      </c>
      <c r="M150" s="496" t="str">
        <f t="shared" si="47"/>
        <v/>
      </c>
      <c r="N150" s="805"/>
      <c r="O150" s="805"/>
      <c r="P150" s="805"/>
      <c r="Q150" s="497">
        <f t="shared" si="48"/>
        <v>0</v>
      </c>
      <c r="R150" s="498" t="str">
        <f xml:space="preserve">
IF(表紙!$X$2="事前協議","－",
IF(表紙!$X$2="交付申請（２次）","－",
IF(表紙!$X$2="変更申請","－",
IF(AND(表紙!$X$2="実績報告（１次）",AL150="◎"),COUNTIF($AL$13:AL150,"◎"),
IF(AND(表紙!$X$2="実績報告（１次）",OR(AL150="×",AL150="○")),"",
IF(表紙!$X$2="実績報告（２次）","－",
IF(表紙!$X$2="交付申請兼実績報告","－")))))))</f>
        <v>－</v>
      </c>
      <c r="S150" s="498" t="str">
        <f t="shared" si="49"/>
        <v/>
      </c>
      <c r="U150" s="610" t="str">
        <f t="shared" si="50"/>
        <v/>
      </c>
      <c r="V150" s="701" t="str">
        <f t="shared" si="40"/>
        <v/>
      </c>
      <c r="W150" s="701" t="str">
        <f t="shared" si="41"/>
        <v/>
      </c>
      <c r="X150" s="701" t="str">
        <f t="shared" si="42"/>
        <v/>
      </c>
      <c r="Y150" s="500" t="str">
        <f t="shared" si="43"/>
        <v/>
      </c>
      <c r="AJ150" s="468" t="s">
        <v>468</v>
      </c>
      <c r="AK150" s="499">
        <v>138</v>
      </c>
      <c r="AL150" s="467" t="str">
        <f t="shared" si="51"/>
        <v>○</v>
      </c>
      <c r="AM150" s="475" t="str">
        <f t="shared" si="52"/>
        <v>申請しない場合は入力不要です。</v>
      </c>
      <c r="AO150" s="475">
        <f t="shared" si="53"/>
        <v>0</v>
      </c>
    </row>
    <row r="151" spans="1:50" ht="20.100000000000001" customHeight="1">
      <c r="A151" s="494">
        <v>139</v>
      </c>
      <c r="B151" s="206"/>
      <c r="C151" s="207"/>
      <c r="D151" s="1859"/>
      <c r="E151" s="1860"/>
      <c r="F151" s="1861"/>
      <c r="G151" s="208"/>
      <c r="H151" s="208"/>
      <c r="I151" s="209"/>
      <c r="J151" s="495">
        <f t="shared" si="44"/>
        <v>0</v>
      </c>
      <c r="K151" s="496">
        <f t="shared" si="45"/>
        <v>0</v>
      </c>
      <c r="L151" s="496" t="str">
        <f t="shared" si="46"/>
        <v/>
      </c>
      <c r="M151" s="496" t="str">
        <f t="shared" si="47"/>
        <v/>
      </c>
      <c r="N151" s="805"/>
      <c r="O151" s="805"/>
      <c r="P151" s="805"/>
      <c r="Q151" s="497">
        <f t="shared" si="48"/>
        <v>0</v>
      </c>
      <c r="R151" s="498" t="str">
        <f xml:space="preserve">
IF(表紙!$X$2="事前協議","－",
IF(表紙!$X$2="交付申請（２次）","－",
IF(表紙!$X$2="変更申請","－",
IF(AND(表紙!$X$2="実績報告（１次）",AL151="◎"),COUNTIF($AL$13:AL151,"◎"),
IF(AND(表紙!$X$2="実績報告（１次）",OR(AL151="×",AL151="○")),"",
IF(表紙!$X$2="実績報告（２次）","－",
IF(表紙!$X$2="交付申請兼実績報告","－")))))))</f>
        <v>－</v>
      </c>
      <c r="S151" s="498" t="str">
        <f t="shared" si="49"/>
        <v/>
      </c>
      <c r="U151" s="610" t="str">
        <f t="shared" si="50"/>
        <v/>
      </c>
      <c r="V151" s="701" t="str">
        <f t="shared" si="40"/>
        <v/>
      </c>
      <c r="W151" s="701" t="str">
        <f t="shared" si="41"/>
        <v/>
      </c>
      <c r="X151" s="701" t="str">
        <f t="shared" si="42"/>
        <v/>
      </c>
      <c r="Y151" s="500" t="str">
        <f t="shared" si="43"/>
        <v/>
      </c>
      <c r="AJ151" s="468" t="s">
        <v>468</v>
      </c>
      <c r="AK151" s="499">
        <v>139</v>
      </c>
      <c r="AL151" s="467" t="str">
        <f t="shared" si="51"/>
        <v>○</v>
      </c>
      <c r="AM151" s="475" t="str">
        <f t="shared" si="52"/>
        <v>申請しない場合は入力不要です。</v>
      </c>
      <c r="AO151" s="475">
        <f t="shared" si="53"/>
        <v>0</v>
      </c>
    </row>
    <row r="152" spans="1:50" ht="20.100000000000001" customHeight="1">
      <c r="A152" s="494">
        <v>140</v>
      </c>
      <c r="B152" s="206"/>
      <c r="C152" s="207"/>
      <c r="D152" s="1859"/>
      <c r="E152" s="1860"/>
      <c r="F152" s="1861"/>
      <c r="G152" s="208"/>
      <c r="H152" s="208"/>
      <c r="I152" s="209"/>
      <c r="J152" s="495">
        <f t="shared" si="44"/>
        <v>0</v>
      </c>
      <c r="K152" s="496">
        <f t="shared" si="45"/>
        <v>0</v>
      </c>
      <c r="L152" s="496" t="str">
        <f t="shared" si="46"/>
        <v/>
      </c>
      <c r="M152" s="496" t="str">
        <f t="shared" si="47"/>
        <v/>
      </c>
      <c r="N152" s="805"/>
      <c r="O152" s="805"/>
      <c r="P152" s="805"/>
      <c r="Q152" s="497">
        <f t="shared" si="48"/>
        <v>0</v>
      </c>
      <c r="R152" s="498" t="str">
        <f xml:space="preserve">
IF(表紙!$X$2="事前協議","－",
IF(表紙!$X$2="交付申請（２次）","－",
IF(表紙!$X$2="変更申請","－",
IF(AND(表紙!$X$2="実績報告（１次）",AL152="◎"),COUNTIF($AL$13:AL152,"◎"),
IF(AND(表紙!$X$2="実績報告（１次）",OR(AL152="×",AL152="○")),"",
IF(表紙!$X$2="実績報告（２次）","－",
IF(表紙!$X$2="交付申請兼実績報告","－")))))))</f>
        <v>－</v>
      </c>
      <c r="S152" s="498" t="str">
        <f t="shared" si="49"/>
        <v/>
      </c>
      <c r="U152" s="610" t="str">
        <f t="shared" si="50"/>
        <v/>
      </c>
      <c r="V152" s="701" t="str">
        <f t="shared" si="40"/>
        <v/>
      </c>
      <c r="W152" s="701" t="str">
        <f t="shared" si="41"/>
        <v/>
      </c>
      <c r="X152" s="701" t="str">
        <f t="shared" si="42"/>
        <v/>
      </c>
      <c r="Y152" s="500" t="str">
        <f t="shared" si="43"/>
        <v/>
      </c>
      <c r="AJ152" s="468" t="s">
        <v>468</v>
      </c>
      <c r="AK152" s="499">
        <v>140</v>
      </c>
      <c r="AL152" s="467" t="str">
        <f t="shared" si="51"/>
        <v>○</v>
      </c>
      <c r="AM152" s="475" t="str">
        <f t="shared" si="52"/>
        <v>申請しない場合は入力不要です。</v>
      </c>
      <c r="AO152" s="475">
        <f t="shared" si="53"/>
        <v>0</v>
      </c>
    </row>
    <row r="153" spans="1:50" ht="20.100000000000001" customHeight="1">
      <c r="A153" s="494">
        <v>141</v>
      </c>
      <c r="B153" s="206"/>
      <c r="C153" s="207"/>
      <c r="D153" s="1859"/>
      <c r="E153" s="1860"/>
      <c r="F153" s="1861"/>
      <c r="G153" s="208"/>
      <c r="H153" s="208"/>
      <c r="I153" s="209"/>
      <c r="J153" s="495">
        <f t="shared" si="44"/>
        <v>0</v>
      </c>
      <c r="K153" s="496">
        <f t="shared" si="45"/>
        <v>0</v>
      </c>
      <c r="L153" s="496" t="str">
        <f t="shared" si="46"/>
        <v/>
      </c>
      <c r="M153" s="496" t="str">
        <f t="shared" si="47"/>
        <v/>
      </c>
      <c r="N153" s="805"/>
      <c r="O153" s="805"/>
      <c r="P153" s="805"/>
      <c r="Q153" s="497">
        <f t="shared" si="48"/>
        <v>0</v>
      </c>
      <c r="R153" s="498" t="str">
        <f xml:space="preserve">
IF(表紙!$X$2="事前協議","－",
IF(表紙!$X$2="交付申請（２次）","－",
IF(表紙!$X$2="変更申請","－",
IF(AND(表紙!$X$2="実績報告（１次）",AL153="◎"),COUNTIF($AL$13:AL153,"◎"),
IF(AND(表紙!$X$2="実績報告（１次）",OR(AL153="×",AL153="○")),"",
IF(表紙!$X$2="実績報告（２次）","－",
IF(表紙!$X$2="交付申請兼実績報告","－")))))))</f>
        <v>－</v>
      </c>
      <c r="S153" s="498" t="str">
        <f t="shared" si="49"/>
        <v/>
      </c>
      <c r="U153" s="610" t="str">
        <f t="shared" si="50"/>
        <v/>
      </c>
      <c r="V153" s="701" t="str">
        <f t="shared" si="40"/>
        <v/>
      </c>
      <c r="W153" s="701" t="str">
        <f t="shared" si="41"/>
        <v/>
      </c>
      <c r="X153" s="701" t="str">
        <f t="shared" si="42"/>
        <v/>
      </c>
      <c r="Y153" s="500" t="str">
        <f t="shared" si="43"/>
        <v/>
      </c>
      <c r="AJ153" s="468" t="s">
        <v>468</v>
      </c>
      <c r="AK153" s="499">
        <v>141</v>
      </c>
      <c r="AL153" s="467" t="str">
        <f t="shared" si="51"/>
        <v>○</v>
      </c>
      <c r="AM153" s="475" t="str">
        <f t="shared" si="52"/>
        <v>申請しない場合は入力不要です。</v>
      </c>
      <c r="AO153" s="475">
        <f t="shared" si="53"/>
        <v>0</v>
      </c>
    </row>
    <row r="154" spans="1:50" ht="20.100000000000001" customHeight="1">
      <c r="A154" s="494">
        <v>142</v>
      </c>
      <c r="B154" s="206"/>
      <c r="C154" s="207"/>
      <c r="D154" s="1859"/>
      <c r="E154" s="1860"/>
      <c r="F154" s="1861"/>
      <c r="G154" s="208"/>
      <c r="H154" s="208"/>
      <c r="I154" s="209"/>
      <c r="J154" s="495">
        <f t="shared" si="44"/>
        <v>0</v>
      </c>
      <c r="K154" s="496">
        <f t="shared" si="45"/>
        <v>0</v>
      </c>
      <c r="L154" s="496" t="str">
        <f t="shared" si="46"/>
        <v/>
      </c>
      <c r="M154" s="496" t="str">
        <f t="shared" si="47"/>
        <v/>
      </c>
      <c r="N154" s="805"/>
      <c r="O154" s="805"/>
      <c r="P154" s="805"/>
      <c r="Q154" s="497">
        <f t="shared" si="48"/>
        <v>0</v>
      </c>
      <c r="R154" s="498" t="str">
        <f xml:space="preserve">
IF(表紙!$X$2="事前協議","－",
IF(表紙!$X$2="交付申請（２次）","－",
IF(表紙!$X$2="変更申請","－",
IF(AND(表紙!$X$2="実績報告（１次）",AL154="◎"),COUNTIF($AL$13:AL154,"◎"),
IF(AND(表紙!$X$2="実績報告（１次）",OR(AL154="×",AL154="○")),"",
IF(表紙!$X$2="実績報告（２次）","－",
IF(表紙!$X$2="交付申請兼実績報告","－")))))))</f>
        <v>－</v>
      </c>
      <c r="S154" s="498" t="str">
        <f t="shared" si="49"/>
        <v/>
      </c>
      <c r="U154" s="610" t="str">
        <f t="shared" si="50"/>
        <v/>
      </c>
      <c r="V154" s="701" t="str">
        <f t="shared" si="40"/>
        <v/>
      </c>
      <c r="W154" s="701" t="str">
        <f t="shared" si="41"/>
        <v/>
      </c>
      <c r="X154" s="701" t="str">
        <f t="shared" si="42"/>
        <v/>
      </c>
      <c r="Y154" s="500" t="str">
        <f t="shared" si="43"/>
        <v/>
      </c>
      <c r="AJ154" s="468" t="s">
        <v>468</v>
      </c>
      <c r="AK154" s="499">
        <v>142</v>
      </c>
      <c r="AL154" s="467" t="str">
        <f t="shared" si="51"/>
        <v>○</v>
      </c>
      <c r="AM154" s="475" t="str">
        <f t="shared" si="52"/>
        <v>申請しない場合は入力不要です。</v>
      </c>
      <c r="AO154" s="475">
        <f t="shared" si="53"/>
        <v>0</v>
      </c>
    </row>
    <row r="155" spans="1:50" ht="20.100000000000001" customHeight="1">
      <c r="A155" s="494">
        <v>143</v>
      </c>
      <c r="B155" s="206"/>
      <c r="C155" s="207"/>
      <c r="D155" s="1859"/>
      <c r="E155" s="1860"/>
      <c r="F155" s="1861"/>
      <c r="G155" s="208"/>
      <c r="H155" s="208"/>
      <c r="I155" s="209"/>
      <c r="J155" s="495">
        <f t="shared" si="44"/>
        <v>0</v>
      </c>
      <c r="K155" s="496">
        <f t="shared" si="45"/>
        <v>0</v>
      </c>
      <c r="L155" s="496" t="str">
        <f t="shared" si="46"/>
        <v/>
      </c>
      <c r="M155" s="496" t="str">
        <f t="shared" si="47"/>
        <v/>
      </c>
      <c r="N155" s="805"/>
      <c r="O155" s="805"/>
      <c r="P155" s="805"/>
      <c r="Q155" s="497">
        <f t="shared" si="48"/>
        <v>0</v>
      </c>
      <c r="R155" s="498" t="str">
        <f xml:space="preserve">
IF(表紙!$X$2="事前協議","－",
IF(表紙!$X$2="交付申請（２次）","－",
IF(表紙!$X$2="変更申請","－",
IF(AND(表紙!$X$2="実績報告（１次）",AL155="◎"),COUNTIF($AL$13:AL155,"◎"),
IF(AND(表紙!$X$2="実績報告（１次）",OR(AL155="×",AL155="○")),"",
IF(表紙!$X$2="実績報告（２次）","－",
IF(表紙!$X$2="交付申請兼実績報告","－")))))))</f>
        <v>－</v>
      </c>
      <c r="S155" s="498" t="str">
        <f t="shared" si="49"/>
        <v/>
      </c>
      <c r="U155" s="610" t="str">
        <f t="shared" si="50"/>
        <v/>
      </c>
      <c r="V155" s="701" t="str">
        <f t="shared" si="40"/>
        <v/>
      </c>
      <c r="W155" s="701" t="str">
        <f t="shared" si="41"/>
        <v/>
      </c>
      <c r="X155" s="701" t="str">
        <f t="shared" si="42"/>
        <v/>
      </c>
      <c r="Y155" s="500" t="str">
        <f t="shared" si="43"/>
        <v/>
      </c>
      <c r="AJ155" s="468" t="s">
        <v>468</v>
      </c>
      <c r="AK155" s="499">
        <v>143</v>
      </c>
      <c r="AL155" s="467" t="str">
        <f t="shared" si="51"/>
        <v>○</v>
      </c>
      <c r="AM155" s="475" t="str">
        <f t="shared" si="52"/>
        <v>申請しない場合は入力不要です。</v>
      </c>
      <c r="AO155" s="475">
        <f t="shared" si="53"/>
        <v>0</v>
      </c>
    </row>
    <row r="156" spans="1:50" ht="20.100000000000001" customHeight="1">
      <c r="A156" s="494">
        <v>144</v>
      </c>
      <c r="B156" s="206"/>
      <c r="C156" s="207"/>
      <c r="D156" s="1859"/>
      <c r="E156" s="1860"/>
      <c r="F156" s="1861"/>
      <c r="G156" s="208"/>
      <c r="H156" s="208"/>
      <c r="I156" s="209"/>
      <c r="J156" s="495">
        <f t="shared" si="44"/>
        <v>0</v>
      </c>
      <c r="K156" s="496">
        <f t="shared" si="45"/>
        <v>0</v>
      </c>
      <c r="L156" s="496" t="str">
        <f t="shared" si="46"/>
        <v/>
      </c>
      <c r="M156" s="496" t="str">
        <f t="shared" si="47"/>
        <v/>
      </c>
      <c r="N156" s="805"/>
      <c r="O156" s="805"/>
      <c r="P156" s="805"/>
      <c r="Q156" s="497">
        <f t="shared" si="48"/>
        <v>0</v>
      </c>
      <c r="R156" s="498" t="str">
        <f xml:space="preserve">
IF(表紙!$X$2="事前協議","－",
IF(表紙!$X$2="交付申請（２次）","－",
IF(表紙!$X$2="変更申請","－",
IF(AND(表紙!$X$2="実績報告（１次）",AL156="◎"),COUNTIF($AL$13:AL156,"◎"),
IF(AND(表紙!$X$2="実績報告（１次）",OR(AL156="×",AL156="○")),"",
IF(表紙!$X$2="実績報告（２次）","－",
IF(表紙!$X$2="交付申請兼実績報告","－")))))))</f>
        <v>－</v>
      </c>
      <c r="S156" s="498" t="str">
        <f t="shared" si="49"/>
        <v/>
      </c>
      <c r="U156" s="610" t="str">
        <f t="shared" si="50"/>
        <v/>
      </c>
      <c r="V156" s="701" t="str">
        <f t="shared" si="40"/>
        <v/>
      </c>
      <c r="W156" s="701" t="str">
        <f t="shared" si="41"/>
        <v/>
      </c>
      <c r="X156" s="701" t="str">
        <f t="shared" si="42"/>
        <v/>
      </c>
      <c r="Y156" s="500" t="str">
        <f t="shared" si="43"/>
        <v/>
      </c>
      <c r="AJ156" s="468" t="s">
        <v>468</v>
      </c>
      <c r="AK156" s="499">
        <v>144</v>
      </c>
      <c r="AL156" s="467" t="str">
        <f t="shared" si="51"/>
        <v>○</v>
      </c>
      <c r="AM156" s="475" t="str">
        <f t="shared" si="52"/>
        <v>申請しない場合は入力不要です。</v>
      </c>
      <c r="AO156" s="475">
        <f t="shared" si="53"/>
        <v>0</v>
      </c>
    </row>
    <row r="157" spans="1:50" ht="20.100000000000001" customHeight="1">
      <c r="A157" s="494">
        <v>145</v>
      </c>
      <c r="B157" s="206"/>
      <c r="C157" s="207"/>
      <c r="D157" s="1859"/>
      <c r="E157" s="1860"/>
      <c r="F157" s="1861"/>
      <c r="G157" s="208"/>
      <c r="H157" s="208"/>
      <c r="I157" s="209"/>
      <c r="J157" s="495">
        <f t="shared" si="44"/>
        <v>0</v>
      </c>
      <c r="K157" s="496">
        <f t="shared" si="45"/>
        <v>0</v>
      </c>
      <c r="L157" s="496" t="str">
        <f t="shared" si="46"/>
        <v/>
      </c>
      <c r="M157" s="496" t="str">
        <f t="shared" si="47"/>
        <v/>
      </c>
      <c r="N157" s="805"/>
      <c r="O157" s="805"/>
      <c r="P157" s="805"/>
      <c r="Q157" s="497">
        <f t="shared" si="48"/>
        <v>0</v>
      </c>
      <c r="R157" s="498" t="str">
        <f xml:space="preserve">
IF(表紙!$X$2="事前協議","－",
IF(表紙!$X$2="交付申請（２次）","－",
IF(表紙!$X$2="変更申請","－",
IF(AND(表紙!$X$2="実績報告（１次）",AL157="◎"),COUNTIF($AL$13:AL157,"◎"),
IF(AND(表紙!$X$2="実績報告（１次）",OR(AL157="×",AL157="○")),"",
IF(表紙!$X$2="実績報告（２次）","－",
IF(表紙!$X$2="交付申請兼実績報告","－")))))))</f>
        <v>－</v>
      </c>
      <c r="S157" s="498" t="str">
        <f t="shared" si="49"/>
        <v/>
      </c>
      <c r="U157" s="610" t="str">
        <f t="shared" si="50"/>
        <v/>
      </c>
      <c r="V157" s="701" t="str">
        <f t="shared" si="40"/>
        <v/>
      </c>
      <c r="W157" s="701" t="str">
        <f t="shared" si="41"/>
        <v/>
      </c>
      <c r="X157" s="701" t="str">
        <f t="shared" si="42"/>
        <v/>
      </c>
      <c r="Y157" s="500" t="str">
        <f t="shared" si="43"/>
        <v/>
      </c>
      <c r="AJ157" s="468" t="s">
        <v>468</v>
      </c>
      <c r="AK157" s="499">
        <v>145</v>
      </c>
      <c r="AL157" s="467" t="str">
        <f t="shared" si="51"/>
        <v>○</v>
      </c>
      <c r="AM157" s="475" t="str">
        <f t="shared" si="52"/>
        <v>申請しない場合は入力不要です。</v>
      </c>
      <c r="AO157" s="475">
        <f t="shared" si="53"/>
        <v>0</v>
      </c>
    </row>
    <row r="158" spans="1:50" ht="20.100000000000001" customHeight="1">
      <c r="A158" s="494">
        <v>146</v>
      </c>
      <c r="B158" s="206"/>
      <c r="C158" s="207"/>
      <c r="D158" s="1859"/>
      <c r="E158" s="1860"/>
      <c r="F158" s="1861"/>
      <c r="G158" s="208"/>
      <c r="H158" s="208"/>
      <c r="I158" s="209"/>
      <c r="J158" s="495">
        <f t="shared" si="44"/>
        <v>0</v>
      </c>
      <c r="K158" s="496">
        <f t="shared" si="45"/>
        <v>0</v>
      </c>
      <c r="L158" s="496" t="str">
        <f t="shared" si="46"/>
        <v/>
      </c>
      <c r="M158" s="496" t="str">
        <f t="shared" si="47"/>
        <v/>
      </c>
      <c r="N158" s="805"/>
      <c r="O158" s="805"/>
      <c r="P158" s="805"/>
      <c r="Q158" s="497">
        <f t="shared" si="48"/>
        <v>0</v>
      </c>
      <c r="R158" s="498" t="str">
        <f xml:space="preserve">
IF(表紙!$X$2="事前協議","－",
IF(表紙!$X$2="交付申請（２次）","－",
IF(表紙!$X$2="変更申請","－",
IF(AND(表紙!$X$2="実績報告（１次）",AL158="◎"),COUNTIF($AL$13:AL158,"◎"),
IF(AND(表紙!$X$2="実績報告（１次）",OR(AL158="×",AL158="○")),"",
IF(表紙!$X$2="実績報告（２次）","－",
IF(表紙!$X$2="交付申請兼実績報告","－")))))))</f>
        <v>－</v>
      </c>
      <c r="S158" s="498" t="str">
        <f t="shared" si="49"/>
        <v/>
      </c>
      <c r="U158" s="610" t="str">
        <f t="shared" si="50"/>
        <v/>
      </c>
      <c r="V158" s="701" t="str">
        <f t="shared" si="40"/>
        <v/>
      </c>
      <c r="W158" s="701" t="str">
        <f t="shared" si="41"/>
        <v/>
      </c>
      <c r="X158" s="701" t="str">
        <f t="shared" si="42"/>
        <v/>
      </c>
      <c r="Y158" s="500" t="str">
        <f t="shared" si="43"/>
        <v/>
      </c>
      <c r="AJ158" s="468" t="s">
        <v>468</v>
      </c>
      <c r="AK158" s="499">
        <v>146</v>
      </c>
      <c r="AL158" s="467" t="str">
        <f t="shared" si="51"/>
        <v>○</v>
      </c>
      <c r="AM158" s="475" t="str">
        <f t="shared" si="52"/>
        <v>申請しない場合は入力不要です。</v>
      </c>
      <c r="AO158" s="475">
        <f t="shared" si="53"/>
        <v>0</v>
      </c>
    </row>
    <row r="159" spans="1:50" ht="20.100000000000001" customHeight="1">
      <c r="A159" s="494">
        <v>147</v>
      </c>
      <c r="B159" s="206"/>
      <c r="C159" s="207"/>
      <c r="D159" s="1859"/>
      <c r="E159" s="1860"/>
      <c r="F159" s="1861"/>
      <c r="G159" s="208"/>
      <c r="H159" s="208"/>
      <c r="I159" s="209"/>
      <c r="J159" s="495">
        <f t="shared" si="44"/>
        <v>0</v>
      </c>
      <c r="K159" s="496">
        <f t="shared" si="45"/>
        <v>0</v>
      </c>
      <c r="L159" s="496" t="str">
        <f t="shared" si="46"/>
        <v/>
      </c>
      <c r="M159" s="496" t="str">
        <f t="shared" si="47"/>
        <v/>
      </c>
      <c r="N159" s="805"/>
      <c r="O159" s="805"/>
      <c r="P159" s="805"/>
      <c r="Q159" s="497">
        <f t="shared" si="48"/>
        <v>0</v>
      </c>
      <c r="R159" s="498" t="str">
        <f xml:space="preserve">
IF(表紙!$X$2="事前協議","－",
IF(表紙!$X$2="交付申請（２次）","－",
IF(表紙!$X$2="変更申請","－",
IF(AND(表紙!$X$2="実績報告（１次）",AL159="◎"),COUNTIF($AL$13:AL159,"◎"),
IF(AND(表紙!$X$2="実績報告（１次）",OR(AL159="×",AL159="○")),"",
IF(表紙!$X$2="実績報告（２次）","－",
IF(表紙!$X$2="交付申請兼実績報告","－")))))))</f>
        <v>－</v>
      </c>
      <c r="S159" s="498" t="str">
        <f t="shared" si="49"/>
        <v/>
      </c>
      <c r="U159" s="610" t="str">
        <f t="shared" si="50"/>
        <v/>
      </c>
      <c r="V159" s="701" t="str">
        <f t="shared" si="40"/>
        <v/>
      </c>
      <c r="W159" s="701" t="str">
        <f t="shared" si="41"/>
        <v/>
      </c>
      <c r="X159" s="701" t="str">
        <f t="shared" si="42"/>
        <v/>
      </c>
      <c r="Y159" s="500" t="str">
        <f t="shared" si="43"/>
        <v/>
      </c>
      <c r="AJ159" s="468" t="s">
        <v>468</v>
      </c>
      <c r="AK159" s="499">
        <v>147</v>
      </c>
      <c r="AL159" s="467" t="str">
        <f t="shared" si="51"/>
        <v>○</v>
      </c>
      <c r="AM159" s="475" t="str">
        <f t="shared" si="52"/>
        <v>申請しない場合は入力不要です。</v>
      </c>
      <c r="AO159" s="475">
        <f t="shared" si="53"/>
        <v>0</v>
      </c>
    </row>
    <row r="160" spans="1:50" ht="20.100000000000001" customHeight="1">
      <c r="A160" s="494">
        <v>148</v>
      </c>
      <c r="B160" s="206"/>
      <c r="C160" s="207"/>
      <c r="D160" s="1859"/>
      <c r="E160" s="1860"/>
      <c r="F160" s="1861"/>
      <c r="G160" s="208"/>
      <c r="H160" s="208"/>
      <c r="I160" s="209"/>
      <c r="J160" s="495">
        <f t="shared" si="44"/>
        <v>0</v>
      </c>
      <c r="K160" s="496">
        <f t="shared" si="45"/>
        <v>0</v>
      </c>
      <c r="L160" s="496" t="str">
        <f t="shared" si="46"/>
        <v/>
      </c>
      <c r="M160" s="496" t="str">
        <f t="shared" si="47"/>
        <v/>
      </c>
      <c r="N160" s="805"/>
      <c r="O160" s="805"/>
      <c r="P160" s="805"/>
      <c r="Q160" s="497">
        <f t="shared" si="48"/>
        <v>0</v>
      </c>
      <c r="R160" s="498" t="str">
        <f xml:space="preserve">
IF(表紙!$X$2="事前協議","－",
IF(表紙!$X$2="交付申請（２次）","－",
IF(表紙!$X$2="変更申請","－",
IF(AND(表紙!$X$2="実績報告（１次）",AL160="◎"),COUNTIF($AL$13:AL160,"◎"),
IF(AND(表紙!$X$2="実績報告（１次）",OR(AL160="×",AL160="○")),"",
IF(表紙!$X$2="実績報告（２次）","－",
IF(表紙!$X$2="交付申請兼実績報告","－")))))))</f>
        <v>－</v>
      </c>
      <c r="S160" s="498" t="str">
        <f t="shared" si="49"/>
        <v/>
      </c>
      <c r="U160" s="610" t="str">
        <f t="shared" si="50"/>
        <v/>
      </c>
      <c r="V160" s="701" t="str">
        <f t="shared" si="40"/>
        <v/>
      </c>
      <c r="W160" s="701" t="str">
        <f t="shared" si="41"/>
        <v/>
      </c>
      <c r="X160" s="701" t="str">
        <f t="shared" si="42"/>
        <v/>
      </c>
      <c r="Y160" s="500" t="str">
        <f t="shared" si="43"/>
        <v/>
      </c>
      <c r="AJ160" s="468" t="s">
        <v>468</v>
      </c>
      <c r="AK160" s="499">
        <v>148</v>
      </c>
      <c r="AL160" s="467" t="str">
        <f t="shared" si="51"/>
        <v>○</v>
      </c>
      <c r="AM160" s="475" t="str">
        <f t="shared" si="52"/>
        <v>申請しない場合は入力不要です。</v>
      </c>
      <c r="AO160" s="475">
        <f t="shared" si="53"/>
        <v>0</v>
      </c>
    </row>
    <row r="161" spans="1:41" ht="20.100000000000001" customHeight="1">
      <c r="A161" s="494">
        <v>149</v>
      </c>
      <c r="B161" s="206"/>
      <c r="C161" s="207"/>
      <c r="D161" s="1859"/>
      <c r="E161" s="1860"/>
      <c r="F161" s="1861"/>
      <c r="G161" s="208"/>
      <c r="H161" s="208"/>
      <c r="I161" s="209"/>
      <c r="J161" s="495">
        <f t="shared" si="44"/>
        <v>0</v>
      </c>
      <c r="K161" s="496">
        <f t="shared" si="45"/>
        <v>0</v>
      </c>
      <c r="L161" s="496" t="str">
        <f t="shared" si="46"/>
        <v/>
      </c>
      <c r="M161" s="496" t="str">
        <f t="shared" si="47"/>
        <v/>
      </c>
      <c r="N161" s="805"/>
      <c r="O161" s="805"/>
      <c r="P161" s="805"/>
      <c r="Q161" s="497">
        <f t="shared" si="48"/>
        <v>0</v>
      </c>
      <c r="R161" s="498" t="str">
        <f xml:space="preserve">
IF(表紙!$X$2="事前協議","－",
IF(表紙!$X$2="交付申請（２次）","－",
IF(表紙!$X$2="変更申請","－",
IF(AND(表紙!$X$2="実績報告（１次）",AL161="◎"),COUNTIF($AL$13:AL161,"◎"),
IF(AND(表紙!$X$2="実績報告（１次）",OR(AL161="×",AL161="○")),"",
IF(表紙!$X$2="実績報告（２次）","－",
IF(表紙!$X$2="交付申請兼実績報告","－")))))))</f>
        <v>－</v>
      </c>
      <c r="S161" s="498" t="str">
        <f t="shared" si="49"/>
        <v/>
      </c>
      <c r="U161" s="610" t="str">
        <f t="shared" si="50"/>
        <v/>
      </c>
      <c r="V161" s="701" t="str">
        <f t="shared" si="40"/>
        <v/>
      </c>
      <c r="W161" s="701" t="str">
        <f t="shared" si="41"/>
        <v/>
      </c>
      <c r="X161" s="701" t="str">
        <f t="shared" si="42"/>
        <v/>
      </c>
      <c r="Y161" s="500" t="str">
        <f t="shared" si="43"/>
        <v/>
      </c>
      <c r="AJ161" s="468" t="s">
        <v>468</v>
      </c>
      <c r="AK161" s="499">
        <v>149</v>
      </c>
      <c r="AL161" s="467" t="str">
        <f t="shared" si="51"/>
        <v>○</v>
      </c>
      <c r="AM161" s="475" t="str">
        <f t="shared" si="52"/>
        <v>申請しない場合は入力不要です。</v>
      </c>
      <c r="AO161" s="475">
        <f t="shared" si="53"/>
        <v>0</v>
      </c>
    </row>
    <row r="162" spans="1:41" ht="20.100000000000001" customHeight="1">
      <c r="A162" s="494">
        <v>150</v>
      </c>
      <c r="B162" s="206"/>
      <c r="C162" s="207"/>
      <c r="D162" s="1859"/>
      <c r="E162" s="1860"/>
      <c r="F162" s="1861"/>
      <c r="G162" s="208"/>
      <c r="H162" s="208"/>
      <c r="I162" s="209"/>
      <c r="J162" s="495">
        <f t="shared" si="44"/>
        <v>0</v>
      </c>
      <c r="K162" s="496">
        <f t="shared" si="45"/>
        <v>0</v>
      </c>
      <c r="L162" s="496" t="str">
        <f t="shared" si="46"/>
        <v/>
      </c>
      <c r="M162" s="496" t="str">
        <f t="shared" si="47"/>
        <v/>
      </c>
      <c r="N162" s="805"/>
      <c r="O162" s="805"/>
      <c r="P162" s="805"/>
      <c r="Q162" s="497">
        <f t="shared" si="48"/>
        <v>0</v>
      </c>
      <c r="R162" s="498" t="str">
        <f xml:space="preserve">
IF(表紙!$X$2="事前協議","－",
IF(表紙!$X$2="交付申請（２次）","－",
IF(表紙!$X$2="変更申請","－",
IF(AND(表紙!$X$2="実績報告（１次）",AL162="◎"),COUNTIF($AL$13:AL162,"◎"),
IF(AND(表紙!$X$2="実績報告（１次）",OR(AL162="×",AL162="○")),"",
IF(表紙!$X$2="実績報告（２次）","－",
IF(表紙!$X$2="交付申請兼実績報告","－")))))))</f>
        <v>－</v>
      </c>
      <c r="S162" s="498" t="str">
        <f t="shared" si="49"/>
        <v/>
      </c>
      <c r="U162" s="610" t="str">
        <f t="shared" si="50"/>
        <v/>
      </c>
      <c r="V162" s="701" t="str">
        <f t="shared" si="40"/>
        <v/>
      </c>
      <c r="W162" s="701" t="str">
        <f t="shared" si="41"/>
        <v/>
      </c>
      <c r="X162" s="701" t="str">
        <f t="shared" si="42"/>
        <v/>
      </c>
      <c r="Y162" s="500" t="str">
        <f t="shared" si="43"/>
        <v/>
      </c>
      <c r="AJ162" s="468" t="s">
        <v>468</v>
      </c>
      <c r="AK162" s="499">
        <v>150</v>
      </c>
      <c r="AL162" s="467" t="str">
        <f t="shared" si="51"/>
        <v>○</v>
      </c>
      <c r="AM162" s="475" t="str">
        <f t="shared" si="52"/>
        <v>申請しない場合は入力不要です。</v>
      </c>
      <c r="AO162" s="475">
        <f t="shared" si="53"/>
        <v>0</v>
      </c>
    </row>
    <row r="163" spans="1:41" ht="20.100000000000001" customHeight="1">
      <c r="A163" s="494">
        <v>151</v>
      </c>
      <c r="B163" s="206"/>
      <c r="C163" s="207"/>
      <c r="D163" s="1859"/>
      <c r="E163" s="1860"/>
      <c r="F163" s="1861"/>
      <c r="G163" s="208"/>
      <c r="H163" s="208"/>
      <c r="I163" s="209"/>
      <c r="J163" s="495">
        <f t="shared" si="44"/>
        <v>0</v>
      </c>
      <c r="K163" s="496">
        <f t="shared" si="45"/>
        <v>0</v>
      </c>
      <c r="L163" s="496" t="str">
        <f t="shared" si="46"/>
        <v/>
      </c>
      <c r="M163" s="496" t="str">
        <f t="shared" si="47"/>
        <v/>
      </c>
      <c r="N163" s="805"/>
      <c r="O163" s="805"/>
      <c r="P163" s="805"/>
      <c r="Q163" s="497">
        <f t="shared" si="48"/>
        <v>0</v>
      </c>
      <c r="R163" s="498" t="str">
        <f xml:space="preserve">
IF(表紙!$X$2="事前協議","－",
IF(表紙!$X$2="交付申請（２次）","－",
IF(表紙!$X$2="変更申請","－",
IF(AND(表紙!$X$2="実績報告（１次）",AL163="◎"),COUNTIF($AL$13:AL163,"◎"),
IF(AND(表紙!$X$2="実績報告（１次）",OR(AL163="×",AL163="○")),"",
IF(表紙!$X$2="実績報告（２次）","－",
IF(表紙!$X$2="交付申請兼実績報告","－")))))))</f>
        <v>－</v>
      </c>
      <c r="S163" s="498" t="str">
        <f t="shared" si="49"/>
        <v/>
      </c>
      <c r="U163" s="610" t="str">
        <f t="shared" si="50"/>
        <v/>
      </c>
      <c r="V163" s="701" t="str">
        <f t="shared" si="40"/>
        <v/>
      </c>
      <c r="W163" s="701" t="str">
        <f t="shared" si="41"/>
        <v/>
      </c>
      <c r="X163" s="701" t="str">
        <f t="shared" si="42"/>
        <v/>
      </c>
      <c r="Y163" s="500" t="str">
        <f t="shared" si="43"/>
        <v/>
      </c>
      <c r="AJ163" s="468" t="s">
        <v>468</v>
      </c>
      <c r="AK163" s="499">
        <v>151</v>
      </c>
      <c r="AL163" s="467" t="str">
        <f t="shared" si="51"/>
        <v>○</v>
      </c>
      <c r="AM163" s="475" t="str">
        <f t="shared" si="52"/>
        <v>申請しない場合は入力不要です。</v>
      </c>
      <c r="AO163" s="475">
        <f t="shared" si="53"/>
        <v>0</v>
      </c>
    </row>
    <row r="164" spans="1:41" ht="20.100000000000001" customHeight="1">
      <c r="A164" s="494">
        <v>152</v>
      </c>
      <c r="B164" s="206"/>
      <c r="C164" s="207"/>
      <c r="D164" s="1859"/>
      <c r="E164" s="1860"/>
      <c r="F164" s="1861"/>
      <c r="G164" s="208"/>
      <c r="H164" s="208"/>
      <c r="I164" s="209"/>
      <c r="J164" s="495">
        <f t="shared" si="44"/>
        <v>0</v>
      </c>
      <c r="K164" s="496">
        <f t="shared" si="45"/>
        <v>0</v>
      </c>
      <c r="L164" s="496" t="str">
        <f t="shared" si="46"/>
        <v/>
      </c>
      <c r="M164" s="496" t="str">
        <f t="shared" si="47"/>
        <v/>
      </c>
      <c r="N164" s="805"/>
      <c r="O164" s="805"/>
      <c r="P164" s="805"/>
      <c r="Q164" s="497">
        <f t="shared" si="48"/>
        <v>0</v>
      </c>
      <c r="R164" s="498" t="str">
        <f xml:space="preserve">
IF(表紙!$X$2="事前協議","－",
IF(表紙!$X$2="交付申請（２次）","－",
IF(表紙!$X$2="変更申請","－",
IF(AND(表紙!$X$2="実績報告（１次）",AL164="◎"),COUNTIF($AL$13:AL164,"◎"),
IF(AND(表紙!$X$2="実績報告（１次）",OR(AL164="×",AL164="○")),"",
IF(表紙!$X$2="実績報告（２次）","－",
IF(表紙!$X$2="交付申請兼実績報告","－")))))))</f>
        <v>－</v>
      </c>
      <c r="S164" s="498" t="str">
        <f t="shared" si="49"/>
        <v/>
      </c>
      <c r="U164" s="610" t="str">
        <f t="shared" si="50"/>
        <v/>
      </c>
      <c r="V164" s="701" t="str">
        <f t="shared" si="40"/>
        <v/>
      </c>
      <c r="W164" s="701" t="str">
        <f t="shared" si="41"/>
        <v/>
      </c>
      <c r="X164" s="701" t="str">
        <f t="shared" si="42"/>
        <v/>
      </c>
      <c r="Y164" s="500" t="str">
        <f t="shared" si="43"/>
        <v/>
      </c>
      <c r="AJ164" s="468" t="s">
        <v>468</v>
      </c>
      <c r="AK164" s="499">
        <v>152</v>
      </c>
      <c r="AL164" s="467" t="str">
        <f t="shared" si="51"/>
        <v>○</v>
      </c>
      <c r="AM164" s="475" t="str">
        <f t="shared" si="52"/>
        <v>申請しない場合は入力不要です。</v>
      </c>
      <c r="AO164" s="475">
        <f t="shared" si="53"/>
        <v>0</v>
      </c>
    </row>
    <row r="165" spans="1:41" ht="20.100000000000001" customHeight="1">
      <c r="A165" s="494">
        <v>153</v>
      </c>
      <c r="B165" s="206"/>
      <c r="C165" s="207"/>
      <c r="D165" s="1859"/>
      <c r="E165" s="1860"/>
      <c r="F165" s="1861"/>
      <c r="G165" s="208"/>
      <c r="H165" s="208"/>
      <c r="I165" s="209"/>
      <c r="J165" s="495">
        <f t="shared" si="44"/>
        <v>0</v>
      </c>
      <c r="K165" s="496">
        <f t="shared" si="45"/>
        <v>0</v>
      </c>
      <c r="L165" s="496" t="str">
        <f t="shared" si="46"/>
        <v/>
      </c>
      <c r="M165" s="496" t="str">
        <f t="shared" si="47"/>
        <v/>
      </c>
      <c r="N165" s="805"/>
      <c r="O165" s="805"/>
      <c r="P165" s="805"/>
      <c r="Q165" s="497">
        <f t="shared" si="48"/>
        <v>0</v>
      </c>
      <c r="R165" s="498" t="str">
        <f xml:space="preserve">
IF(表紙!$X$2="事前協議","－",
IF(表紙!$X$2="交付申請（２次）","－",
IF(表紙!$X$2="変更申請","－",
IF(AND(表紙!$X$2="実績報告（１次）",AL165="◎"),COUNTIF($AL$13:AL165,"◎"),
IF(AND(表紙!$X$2="実績報告（１次）",OR(AL165="×",AL165="○")),"",
IF(表紙!$X$2="実績報告（２次）","－",
IF(表紙!$X$2="交付申請兼実績報告","－")))))))</f>
        <v>－</v>
      </c>
      <c r="S165" s="498" t="str">
        <f t="shared" si="49"/>
        <v/>
      </c>
      <c r="U165" s="610" t="str">
        <f t="shared" si="50"/>
        <v/>
      </c>
      <c r="V165" s="701" t="str">
        <f t="shared" si="40"/>
        <v/>
      </c>
      <c r="W165" s="701" t="str">
        <f t="shared" si="41"/>
        <v/>
      </c>
      <c r="X165" s="701" t="str">
        <f t="shared" si="42"/>
        <v/>
      </c>
      <c r="Y165" s="500" t="str">
        <f t="shared" si="43"/>
        <v/>
      </c>
      <c r="AJ165" s="468" t="s">
        <v>468</v>
      </c>
      <c r="AK165" s="499">
        <v>153</v>
      </c>
      <c r="AL165" s="467" t="str">
        <f t="shared" si="51"/>
        <v>○</v>
      </c>
      <c r="AM165" s="475" t="str">
        <f t="shared" si="52"/>
        <v>申請しない場合は入力不要です。</v>
      </c>
      <c r="AO165" s="475">
        <f t="shared" si="53"/>
        <v>0</v>
      </c>
    </row>
    <row r="166" spans="1:41" ht="20.100000000000001" customHeight="1">
      <c r="A166" s="494">
        <v>154</v>
      </c>
      <c r="B166" s="206"/>
      <c r="C166" s="207"/>
      <c r="D166" s="1859"/>
      <c r="E166" s="1860"/>
      <c r="F166" s="1861"/>
      <c r="G166" s="208"/>
      <c r="H166" s="208"/>
      <c r="I166" s="209"/>
      <c r="J166" s="495">
        <f t="shared" si="44"/>
        <v>0</v>
      </c>
      <c r="K166" s="496">
        <f t="shared" si="45"/>
        <v>0</v>
      </c>
      <c r="L166" s="496" t="str">
        <f t="shared" si="46"/>
        <v/>
      </c>
      <c r="M166" s="496" t="str">
        <f t="shared" si="47"/>
        <v/>
      </c>
      <c r="N166" s="805"/>
      <c r="O166" s="805"/>
      <c r="P166" s="805"/>
      <c r="Q166" s="497">
        <f t="shared" si="48"/>
        <v>0</v>
      </c>
      <c r="R166" s="498" t="str">
        <f xml:space="preserve">
IF(表紙!$X$2="事前協議","－",
IF(表紙!$X$2="交付申請（２次）","－",
IF(表紙!$X$2="変更申請","－",
IF(AND(表紙!$X$2="実績報告（１次）",AL166="◎"),COUNTIF($AL$13:AL166,"◎"),
IF(AND(表紙!$X$2="実績報告（１次）",OR(AL166="×",AL166="○")),"",
IF(表紙!$X$2="実績報告（２次）","－",
IF(表紙!$X$2="交付申請兼実績報告","－")))))))</f>
        <v>－</v>
      </c>
      <c r="S166" s="498" t="str">
        <f t="shared" si="49"/>
        <v/>
      </c>
      <c r="U166" s="610" t="str">
        <f t="shared" si="50"/>
        <v/>
      </c>
      <c r="V166" s="701" t="str">
        <f t="shared" si="40"/>
        <v/>
      </c>
      <c r="W166" s="701" t="str">
        <f t="shared" si="41"/>
        <v/>
      </c>
      <c r="X166" s="701" t="str">
        <f t="shared" si="42"/>
        <v/>
      </c>
      <c r="Y166" s="500" t="str">
        <f t="shared" si="43"/>
        <v/>
      </c>
      <c r="AJ166" s="468" t="s">
        <v>468</v>
      </c>
      <c r="AK166" s="499">
        <v>154</v>
      </c>
      <c r="AL166" s="467" t="str">
        <f t="shared" si="51"/>
        <v>○</v>
      </c>
      <c r="AM166" s="475" t="str">
        <f t="shared" si="52"/>
        <v>申請しない場合は入力不要です。</v>
      </c>
      <c r="AO166" s="475">
        <f t="shared" si="53"/>
        <v>0</v>
      </c>
    </row>
    <row r="167" spans="1:41" ht="20.100000000000001" customHeight="1">
      <c r="A167" s="494">
        <v>155</v>
      </c>
      <c r="B167" s="206"/>
      <c r="C167" s="207"/>
      <c r="D167" s="1859"/>
      <c r="E167" s="1860"/>
      <c r="F167" s="1861"/>
      <c r="G167" s="208"/>
      <c r="H167" s="208"/>
      <c r="I167" s="209"/>
      <c r="J167" s="495">
        <f t="shared" si="44"/>
        <v>0</v>
      </c>
      <c r="K167" s="496">
        <f t="shared" si="45"/>
        <v>0</v>
      </c>
      <c r="L167" s="496" t="str">
        <f t="shared" si="46"/>
        <v/>
      </c>
      <c r="M167" s="496" t="str">
        <f t="shared" si="47"/>
        <v/>
      </c>
      <c r="N167" s="805"/>
      <c r="O167" s="805"/>
      <c r="P167" s="805"/>
      <c r="Q167" s="497">
        <f t="shared" si="48"/>
        <v>0</v>
      </c>
      <c r="R167" s="498" t="str">
        <f xml:space="preserve">
IF(表紙!$X$2="事前協議","－",
IF(表紙!$X$2="交付申請（２次）","－",
IF(表紙!$X$2="変更申請","－",
IF(AND(表紙!$X$2="実績報告（１次）",AL167="◎"),COUNTIF($AL$13:AL167,"◎"),
IF(AND(表紙!$X$2="実績報告（１次）",OR(AL167="×",AL167="○")),"",
IF(表紙!$X$2="実績報告（２次）","－",
IF(表紙!$X$2="交付申請兼実績報告","－")))))))</f>
        <v>－</v>
      </c>
      <c r="S167" s="498" t="str">
        <f t="shared" si="49"/>
        <v/>
      </c>
      <c r="U167" s="610" t="str">
        <f t="shared" si="50"/>
        <v/>
      </c>
      <c r="V167" s="701" t="str">
        <f t="shared" si="40"/>
        <v/>
      </c>
      <c r="W167" s="701" t="str">
        <f t="shared" si="41"/>
        <v/>
      </c>
      <c r="X167" s="701" t="str">
        <f t="shared" si="42"/>
        <v/>
      </c>
      <c r="Y167" s="500" t="str">
        <f t="shared" si="43"/>
        <v/>
      </c>
      <c r="AJ167" s="468" t="s">
        <v>468</v>
      </c>
      <c r="AK167" s="499">
        <v>155</v>
      </c>
      <c r="AL167" s="467" t="str">
        <f t="shared" si="51"/>
        <v>○</v>
      </c>
      <c r="AM167" s="475" t="str">
        <f t="shared" si="52"/>
        <v>申請しない場合は入力不要です。</v>
      </c>
      <c r="AO167" s="475">
        <f t="shared" si="53"/>
        <v>0</v>
      </c>
    </row>
    <row r="168" spans="1:41" ht="20.100000000000001" customHeight="1">
      <c r="A168" s="494">
        <v>156</v>
      </c>
      <c r="B168" s="206"/>
      <c r="C168" s="207"/>
      <c r="D168" s="1859"/>
      <c r="E168" s="1860"/>
      <c r="F168" s="1861"/>
      <c r="G168" s="208"/>
      <c r="H168" s="208"/>
      <c r="I168" s="209"/>
      <c r="J168" s="495">
        <f t="shared" si="44"/>
        <v>0</v>
      </c>
      <c r="K168" s="496">
        <f t="shared" si="45"/>
        <v>0</v>
      </c>
      <c r="L168" s="496" t="str">
        <f t="shared" si="46"/>
        <v/>
      </c>
      <c r="M168" s="496" t="str">
        <f t="shared" si="47"/>
        <v/>
      </c>
      <c r="N168" s="805"/>
      <c r="O168" s="805"/>
      <c r="P168" s="805"/>
      <c r="Q168" s="497">
        <f t="shared" si="48"/>
        <v>0</v>
      </c>
      <c r="R168" s="498" t="str">
        <f xml:space="preserve">
IF(表紙!$X$2="事前協議","－",
IF(表紙!$X$2="交付申請（２次）","－",
IF(表紙!$X$2="変更申請","－",
IF(AND(表紙!$X$2="実績報告（１次）",AL168="◎"),COUNTIF($AL$13:AL168,"◎"),
IF(AND(表紙!$X$2="実績報告（１次）",OR(AL168="×",AL168="○")),"",
IF(表紙!$X$2="実績報告（２次）","－",
IF(表紙!$X$2="交付申請兼実績報告","－")))))))</f>
        <v>－</v>
      </c>
      <c r="S168" s="498" t="str">
        <f t="shared" si="49"/>
        <v/>
      </c>
      <c r="U168" s="610" t="str">
        <f t="shared" si="50"/>
        <v/>
      </c>
      <c r="V168" s="701" t="str">
        <f t="shared" si="40"/>
        <v/>
      </c>
      <c r="W168" s="701" t="str">
        <f t="shared" si="41"/>
        <v/>
      </c>
      <c r="X168" s="701" t="str">
        <f t="shared" si="42"/>
        <v/>
      </c>
      <c r="Y168" s="500" t="str">
        <f t="shared" si="43"/>
        <v/>
      </c>
      <c r="AJ168" s="468" t="s">
        <v>468</v>
      </c>
      <c r="AK168" s="499">
        <v>156</v>
      </c>
      <c r="AL168" s="467" t="str">
        <f t="shared" si="51"/>
        <v>○</v>
      </c>
      <c r="AM168" s="475" t="str">
        <f t="shared" si="52"/>
        <v>申請しない場合は入力不要です。</v>
      </c>
      <c r="AO168" s="475">
        <f t="shared" si="53"/>
        <v>0</v>
      </c>
    </row>
    <row r="169" spans="1:41" ht="20.100000000000001" customHeight="1">
      <c r="A169" s="494">
        <v>157</v>
      </c>
      <c r="B169" s="206"/>
      <c r="C169" s="207"/>
      <c r="D169" s="1859"/>
      <c r="E169" s="1860"/>
      <c r="F169" s="1861"/>
      <c r="G169" s="208"/>
      <c r="H169" s="208"/>
      <c r="I169" s="209"/>
      <c r="J169" s="495">
        <f t="shared" si="44"/>
        <v>0</v>
      </c>
      <c r="K169" s="496">
        <f t="shared" si="45"/>
        <v>0</v>
      </c>
      <c r="L169" s="496" t="str">
        <f t="shared" si="46"/>
        <v/>
      </c>
      <c r="M169" s="496" t="str">
        <f t="shared" si="47"/>
        <v/>
      </c>
      <c r="N169" s="805"/>
      <c r="O169" s="805"/>
      <c r="P169" s="805"/>
      <c r="Q169" s="497">
        <f t="shared" si="48"/>
        <v>0</v>
      </c>
      <c r="R169" s="498" t="str">
        <f xml:space="preserve">
IF(表紙!$X$2="事前協議","－",
IF(表紙!$X$2="交付申請（２次）","－",
IF(表紙!$X$2="変更申請","－",
IF(AND(表紙!$X$2="実績報告（１次）",AL169="◎"),COUNTIF($AL$13:AL169,"◎"),
IF(AND(表紙!$X$2="実績報告（１次）",OR(AL169="×",AL169="○")),"",
IF(表紙!$X$2="実績報告（２次）","－",
IF(表紙!$X$2="交付申請兼実績報告","－")))))))</f>
        <v>－</v>
      </c>
      <c r="S169" s="498" t="str">
        <f t="shared" si="49"/>
        <v/>
      </c>
      <c r="U169" s="610" t="str">
        <f t="shared" si="50"/>
        <v/>
      </c>
      <c r="V169" s="701" t="str">
        <f t="shared" si="40"/>
        <v/>
      </c>
      <c r="W169" s="701" t="str">
        <f t="shared" si="41"/>
        <v/>
      </c>
      <c r="X169" s="701" t="str">
        <f t="shared" si="42"/>
        <v/>
      </c>
      <c r="Y169" s="500" t="str">
        <f t="shared" si="43"/>
        <v/>
      </c>
      <c r="AJ169" s="468" t="s">
        <v>468</v>
      </c>
      <c r="AK169" s="499">
        <v>157</v>
      </c>
      <c r="AL169" s="467" t="str">
        <f t="shared" si="51"/>
        <v>○</v>
      </c>
      <c r="AM169" s="475" t="str">
        <f t="shared" si="52"/>
        <v>申請しない場合は入力不要です。</v>
      </c>
      <c r="AO169" s="475">
        <f t="shared" si="53"/>
        <v>0</v>
      </c>
    </row>
    <row r="170" spans="1:41" ht="20.100000000000001" customHeight="1">
      <c r="A170" s="494">
        <v>158</v>
      </c>
      <c r="B170" s="206"/>
      <c r="C170" s="207"/>
      <c r="D170" s="1859"/>
      <c r="E170" s="1860"/>
      <c r="F170" s="1861"/>
      <c r="G170" s="208"/>
      <c r="H170" s="208"/>
      <c r="I170" s="209"/>
      <c r="J170" s="495">
        <f t="shared" si="44"/>
        <v>0</v>
      </c>
      <c r="K170" s="496">
        <f t="shared" si="45"/>
        <v>0</v>
      </c>
      <c r="L170" s="496" t="str">
        <f t="shared" si="46"/>
        <v/>
      </c>
      <c r="M170" s="496" t="str">
        <f t="shared" si="47"/>
        <v/>
      </c>
      <c r="N170" s="805"/>
      <c r="O170" s="805"/>
      <c r="P170" s="805"/>
      <c r="Q170" s="497">
        <f t="shared" si="48"/>
        <v>0</v>
      </c>
      <c r="R170" s="498" t="str">
        <f xml:space="preserve">
IF(表紙!$X$2="事前協議","－",
IF(表紙!$X$2="交付申請（２次）","－",
IF(表紙!$X$2="変更申請","－",
IF(AND(表紙!$X$2="実績報告（１次）",AL170="◎"),COUNTIF($AL$13:AL170,"◎"),
IF(AND(表紙!$X$2="実績報告（１次）",OR(AL170="×",AL170="○")),"",
IF(表紙!$X$2="実績報告（２次）","－",
IF(表紙!$X$2="交付申請兼実績報告","－")))))))</f>
        <v>－</v>
      </c>
      <c r="S170" s="498" t="str">
        <f t="shared" si="49"/>
        <v/>
      </c>
      <c r="U170" s="610" t="str">
        <f t="shared" si="50"/>
        <v/>
      </c>
      <c r="V170" s="701" t="str">
        <f t="shared" si="40"/>
        <v/>
      </c>
      <c r="W170" s="701" t="str">
        <f t="shared" si="41"/>
        <v/>
      </c>
      <c r="X170" s="701" t="str">
        <f t="shared" si="42"/>
        <v/>
      </c>
      <c r="Y170" s="500" t="str">
        <f t="shared" si="43"/>
        <v/>
      </c>
      <c r="AJ170" s="468" t="s">
        <v>468</v>
      </c>
      <c r="AK170" s="499">
        <v>158</v>
      </c>
      <c r="AL170" s="467" t="str">
        <f t="shared" si="51"/>
        <v>○</v>
      </c>
      <c r="AM170" s="475" t="str">
        <f t="shared" si="52"/>
        <v>申請しない場合は入力不要です。</v>
      </c>
      <c r="AO170" s="475">
        <f t="shared" si="53"/>
        <v>0</v>
      </c>
    </row>
    <row r="171" spans="1:41" ht="20.100000000000001" customHeight="1">
      <c r="A171" s="494">
        <v>159</v>
      </c>
      <c r="B171" s="206"/>
      <c r="C171" s="207"/>
      <c r="D171" s="1859"/>
      <c r="E171" s="1860"/>
      <c r="F171" s="1861"/>
      <c r="G171" s="208"/>
      <c r="H171" s="208"/>
      <c r="I171" s="209"/>
      <c r="J171" s="495">
        <f t="shared" si="44"/>
        <v>0</v>
      </c>
      <c r="K171" s="496">
        <f t="shared" si="45"/>
        <v>0</v>
      </c>
      <c r="L171" s="496" t="str">
        <f t="shared" si="46"/>
        <v/>
      </c>
      <c r="M171" s="496" t="str">
        <f t="shared" si="47"/>
        <v/>
      </c>
      <c r="N171" s="805"/>
      <c r="O171" s="805"/>
      <c r="P171" s="805"/>
      <c r="Q171" s="497">
        <f t="shared" si="48"/>
        <v>0</v>
      </c>
      <c r="R171" s="498" t="str">
        <f xml:space="preserve">
IF(表紙!$X$2="事前協議","－",
IF(表紙!$X$2="交付申請（２次）","－",
IF(表紙!$X$2="変更申請","－",
IF(AND(表紙!$X$2="実績報告（１次）",AL171="◎"),COUNTIF($AL$13:AL171,"◎"),
IF(AND(表紙!$X$2="実績報告（１次）",OR(AL171="×",AL171="○")),"",
IF(表紙!$X$2="実績報告（２次）","－",
IF(表紙!$X$2="交付申請兼実績報告","－")))))))</f>
        <v>－</v>
      </c>
      <c r="S171" s="498" t="str">
        <f t="shared" si="49"/>
        <v/>
      </c>
      <c r="U171" s="610" t="str">
        <f t="shared" si="50"/>
        <v/>
      </c>
      <c r="V171" s="701" t="str">
        <f t="shared" si="40"/>
        <v/>
      </c>
      <c r="W171" s="701" t="str">
        <f t="shared" si="41"/>
        <v/>
      </c>
      <c r="X171" s="701" t="str">
        <f t="shared" si="42"/>
        <v/>
      </c>
      <c r="Y171" s="500" t="str">
        <f t="shared" si="43"/>
        <v/>
      </c>
      <c r="AJ171" s="468" t="s">
        <v>468</v>
      </c>
      <c r="AK171" s="499">
        <v>159</v>
      </c>
      <c r="AL171" s="467" t="str">
        <f t="shared" si="51"/>
        <v>○</v>
      </c>
      <c r="AM171" s="475" t="str">
        <f t="shared" si="52"/>
        <v>申請しない場合は入力不要です。</v>
      </c>
      <c r="AO171" s="475">
        <f t="shared" si="53"/>
        <v>0</v>
      </c>
    </row>
    <row r="172" spans="1:41" ht="20.100000000000001" customHeight="1">
      <c r="A172" s="494">
        <v>160</v>
      </c>
      <c r="B172" s="206"/>
      <c r="C172" s="207"/>
      <c r="D172" s="1859"/>
      <c r="E172" s="1860"/>
      <c r="F172" s="1861"/>
      <c r="G172" s="208"/>
      <c r="H172" s="208"/>
      <c r="I172" s="209"/>
      <c r="J172" s="495">
        <f t="shared" si="44"/>
        <v>0</v>
      </c>
      <c r="K172" s="496">
        <f t="shared" si="45"/>
        <v>0</v>
      </c>
      <c r="L172" s="496" t="str">
        <f t="shared" si="46"/>
        <v/>
      </c>
      <c r="M172" s="496" t="str">
        <f t="shared" si="47"/>
        <v/>
      </c>
      <c r="N172" s="805"/>
      <c r="O172" s="805"/>
      <c r="P172" s="805"/>
      <c r="Q172" s="497">
        <f t="shared" si="48"/>
        <v>0</v>
      </c>
      <c r="R172" s="498" t="str">
        <f xml:space="preserve">
IF(表紙!$X$2="事前協議","－",
IF(表紙!$X$2="交付申請（２次）","－",
IF(表紙!$X$2="変更申請","－",
IF(AND(表紙!$X$2="実績報告（１次）",AL172="◎"),COUNTIF($AL$13:AL172,"◎"),
IF(AND(表紙!$X$2="実績報告（１次）",OR(AL172="×",AL172="○")),"",
IF(表紙!$X$2="実績報告（２次）","－",
IF(表紙!$X$2="交付申請兼実績報告","－")))))))</f>
        <v>－</v>
      </c>
      <c r="S172" s="498" t="str">
        <f t="shared" si="49"/>
        <v/>
      </c>
      <c r="U172" s="610" t="str">
        <f t="shared" si="50"/>
        <v/>
      </c>
      <c r="V172" s="701" t="str">
        <f t="shared" si="40"/>
        <v/>
      </c>
      <c r="W172" s="701" t="str">
        <f t="shared" si="41"/>
        <v/>
      </c>
      <c r="X172" s="701" t="str">
        <f t="shared" si="42"/>
        <v/>
      </c>
      <c r="Y172" s="500" t="str">
        <f t="shared" si="43"/>
        <v/>
      </c>
      <c r="AJ172" s="468" t="s">
        <v>468</v>
      </c>
      <c r="AK172" s="499">
        <v>160</v>
      </c>
      <c r="AL172" s="467" t="str">
        <f t="shared" si="51"/>
        <v>○</v>
      </c>
      <c r="AM172" s="475" t="str">
        <f t="shared" si="52"/>
        <v>申請しない場合は入力不要です。</v>
      </c>
      <c r="AO172" s="475">
        <f t="shared" si="53"/>
        <v>0</v>
      </c>
    </row>
    <row r="173" spans="1:41" ht="20.100000000000001" customHeight="1">
      <c r="A173" s="494">
        <v>161</v>
      </c>
      <c r="B173" s="206"/>
      <c r="C173" s="207"/>
      <c r="D173" s="1859"/>
      <c r="E173" s="1860"/>
      <c r="F173" s="1861"/>
      <c r="G173" s="208"/>
      <c r="H173" s="208"/>
      <c r="I173" s="209"/>
      <c r="J173" s="495">
        <f t="shared" si="44"/>
        <v>0</v>
      </c>
      <c r="K173" s="496">
        <f t="shared" si="45"/>
        <v>0</v>
      </c>
      <c r="L173" s="496" t="str">
        <f t="shared" si="46"/>
        <v/>
      </c>
      <c r="M173" s="496" t="str">
        <f t="shared" si="47"/>
        <v/>
      </c>
      <c r="N173" s="805"/>
      <c r="O173" s="805"/>
      <c r="P173" s="805"/>
      <c r="Q173" s="497">
        <f t="shared" si="48"/>
        <v>0</v>
      </c>
      <c r="R173" s="498" t="str">
        <f xml:space="preserve">
IF(表紙!$X$2="事前協議","－",
IF(表紙!$X$2="交付申請（２次）","－",
IF(表紙!$X$2="変更申請","－",
IF(AND(表紙!$X$2="実績報告（１次）",AL173="◎"),COUNTIF($AL$13:AL173,"◎"),
IF(AND(表紙!$X$2="実績報告（１次）",OR(AL173="×",AL173="○")),"",
IF(表紙!$X$2="実績報告（２次）","－",
IF(表紙!$X$2="交付申請兼実績報告","－")))))))</f>
        <v>－</v>
      </c>
      <c r="S173" s="498" t="str">
        <f t="shared" si="49"/>
        <v/>
      </c>
      <c r="U173" s="610" t="str">
        <f t="shared" si="50"/>
        <v/>
      </c>
      <c r="V173" s="701" t="str">
        <f t="shared" si="40"/>
        <v/>
      </c>
      <c r="W173" s="701" t="str">
        <f t="shared" si="41"/>
        <v/>
      </c>
      <c r="X173" s="701" t="str">
        <f t="shared" si="42"/>
        <v/>
      </c>
      <c r="Y173" s="500" t="str">
        <f t="shared" si="43"/>
        <v/>
      </c>
      <c r="AJ173" s="468" t="s">
        <v>468</v>
      </c>
      <c r="AK173" s="499">
        <v>161</v>
      </c>
      <c r="AL173" s="467" t="str">
        <f t="shared" si="51"/>
        <v>○</v>
      </c>
      <c r="AM173" s="475" t="str">
        <f t="shared" si="52"/>
        <v>申請しない場合は入力不要です。</v>
      </c>
      <c r="AO173" s="475">
        <f t="shared" si="53"/>
        <v>0</v>
      </c>
    </row>
    <row r="174" spans="1:41" ht="20.100000000000001" customHeight="1">
      <c r="A174" s="494">
        <v>162</v>
      </c>
      <c r="B174" s="206"/>
      <c r="C174" s="207"/>
      <c r="D174" s="1859"/>
      <c r="E174" s="1860"/>
      <c r="F174" s="1861"/>
      <c r="G174" s="208"/>
      <c r="H174" s="208"/>
      <c r="I174" s="209"/>
      <c r="J174" s="495">
        <f t="shared" si="44"/>
        <v>0</v>
      </c>
      <c r="K174" s="496">
        <f t="shared" si="45"/>
        <v>0</v>
      </c>
      <c r="L174" s="496" t="str">
        <f t="shared" si="46"/>
        <v/>
      </c>
      <c r="M174" s="496" t="str">
        <f t="shared" si="47"/>
        <v/>
      </c>
      <c r="N174" s="805"/>
      <c r="O174" s="805"/>
      <c r="P174" s="805"/>
      <c r="Q174" s="497">
        <f t="shared" si="48"/>
        <v>0</v>
      </c>
      <c r="R174" s="498" t="str">
        <f xml:space="preserve">
IF(表紙!$X$2="事前協議","－",
IF(表紙!$X$2="交付申請（２次）","－",
IF(表紙!$X$2="変更申請","－",
IF(AND(表紙!$X$2="実績報告（１次）",AL174="◎"),COUNTIF($AL$13:AL174,"◎"),
IF(AND(表紙!$X$2="実績報告（１次）",OR(AL174="×",AL174="○")),"",
IF(表紙!$X$2="実績報告（２次）","－",
IF(表紙!$X$2="交付申請兼実績報告","－")))))))</f>
        <v>－</v>
      </c>
      <c r="S174" s="498" t="str">
        <f t="shared" si="49"/>
        <v/>
      </c>
      <c r="U174" s="610" t="str">
        <f t="shared" si="50"/>
        <v/>
      </c>
      <c r="V174" s="701" t="str">
        <f t="shared" si="40"/>
        <v/>
      </c>
      <c r="W174" s="701" t="str">
        <f t="shared" si="41"/>
        <v/>
      </c>
      <c r="X174" s="701" t="str">
        <f t="shared" si="42"/>
        <v/>
      </c>
      <c r="Y174" s="500" t="str">
        <f t="shared" si="43"/>
        <v/>
      </c>
      <c r="AJ174" s="468" t="s">
        <v>468</v>
      </c>
      <c r="AK174" s="499">
        <v>162</v>
      </c>
      <c r="AL174" s="467" t="str">
        <f t="shared" si="51"/>
        <v>○</v>
      </c>
      <c r="AM174" s="475" t="str">
        <f t="shared" si="52"/>
        <v>申請しない場合は入力不要です。</v>
      </c>
      <c r="AO174" s="475">
        <f t="shared" si="53"/>
        <v>0</v>
      </c>
    </row>
    <row r="175" spans="1:41" ht="20.100000000000001" customHeight="1">
      <c r="A175" s="494">
        <v>163</v>
      </c>
      <c r="B175" s="206"/>
      <c r="C175" s="207"/>
      <c r="D175" s="1859"/>
      <c r="E175" s="1860"/>
      <c r="F175" s="1861"/>
      <c r="G175" s="208"/>
      <c r="H175" s="208"/>
      <c r="I175" s="209"/>
      <c r="J175" s="495">
        <f t="shared" si="44"/>
        <v>0</v>
      </c>
      <c r="K175" s="496">
        <f t="shared" si="45"/>
        <v>0</v>
      </c>
      <c r="L175" s="496" t="str">
        <f t="shared" si="46"/>
        <v/>
      </c>
      <c r="M175" s="496" t="str">
        <f t="shared" si="47"/>
        <v/>
      </c>
      <c r="N175" s="805"/>
      <c r="O175" s="805"/>
      <c r="P175" s="805"/>
      <c r="Q175" s="497">
        <f t="shared" si="48"/>
        <v>0</v>
      </c>
      <c r="R175" s="498" t="str">
        <f xml:space="preserve">
IF(表紙!$X$2="事前協議","－",
IF(表紙!$X$2="交付申請（２次）","－",
IF(表紙!$X$2="変更申請","－",
IF(AND(表紙!$X$2="実績報告（１次）",AL175="◎"),COUNTIF($AL$13:AL175,"◎"),
IF(AND(表紙!$X$2="実績報告（１次）",OR(AL175="×",AL175="○")),"",
IF(表紙!$X$2="実績報告（２次）","－",
IF(表紙!$X$2="交付申請兼実績報告","－")))))))</f>
        <v>－</v>
      </c>
      <c r="S175" s="498" t="str">
        <f t="shared" si="49"/>
        <v/>
      </c>
      <c r="U175" s="610" t="str">
        <f t="shared" si="50"/>
        <v/>
      </c>
      <c r="V175" s="701" t="str">
        <f t="shared" si="40"/>
        <v/>
      </c>
      <c r="W175" s="701" t="str">
        <f t="shared" si="41"/>
        <v/>
      </c>
      <c r="X175" s="701" t="str">
        <f t="shared" si="42"/>
        <v/>
      </c>
      <c r="Y175" s="500" t="str">
        <f t="shared" si="43"/>
        <v/>
      </c>
      <c r="AJ175" s="468" t="s">
        <v>468</v>
      </c>
      <c r="AK175" s="499">
        <v>163</v>
      </c>
      <c r="AL175" s="467" t="str">
        <f t="shared" si="51"/>
        <v>○</v>
      </c>
      <c r="AM175" s="475" t="str">
        <f t="shared" si="52"/>
        <v>申請しない場合は入力不要です。</v>
      </c>
      <c r="AO175" s="475">
        <f t="shared" si="53"/>
        <v>0</v>
      </c>
    </row>
    <row r="176" spans="1:41" ht="20.100000000000001" customHeight="1">
      <c r="A176" s="494">
        <v>164</v>
      </c>
      <c r="B176" s="206"/>
      <c r="C176" s="207"/>
      <c r="D176" s="1859"/>
      <c r="E176" s="1860"/>
      <c r="F176" s="1861"/>
      <c r="G176" s="208"/>
      <c r="H176" s="208"/>
      <c r="I176" s="209"/>
      <c r="J176" s="495">
        <f t="shared" si="44"/>
        <v>0</v>
      </c>
      <c r="K176" s="496">
        <f t="shared" si="45"/>
        <v>0</v>
      </c>
      <c r="L176" s="496" t="str">
        <f t="shared" si="46"/>
        <v/>
      </c>
      <c r="M176" s="496" t="str">
        <f t="shared" si="47"/>
        <v/>
      </c>
      <c r="N176" s="805"/>
      <c r="O176" s="805"/>
      <c r="P176" s="805"/>
      <c r="Q176" s="497">
        <f t="shared" si="48"/>
        <v>0</v>
      </c>
      <c r="R176" s="498" t="str">
        <f xml:space="preserve">
IF(表紙!$X$2="事前協議","－",
IF(表紙!$X$2="交付申請（２次）","－",
IF(表紙!$X$2="変更申請","－",
IF(AND(表紙!$X$2="実績報告（１次）",AL176="◎"),COUNTIF($AL$13:AL176,"◎"),
IF(AND(表紙!$X$2="実績報告（１次）",OR(AL176="×",AL176="○")),"",
IF(表紙!$X$2="実績報告（２次）","－",
IF(表紙!$X$2="交付申請兼実績報告","－")))))))</f>
        <v>－</v>
      </c>
      <c r="S176" s="498" t="str">
        <f t="shared" si="49"/>
        <v/>
      </c>
      <c r="U176" s="610" t="str">
        <f t="shared" si="50"/>
        <v/>
      </c>
      <c r="V176" s="701" t="str">
        <f t="shared" si="40"/>
        <v/>
      </c>
      <c r="W176" s="701" t="str">
        <f t="shared" si="41"/>
        <v/>
      </c>
      <c r="X176" s="701" t="str">
        <f t="shared" si="42"/>
        <v/>
      </c>
      <c r="Y176" s="500" t="str">
        <f t="shared" si="43"/>
        <v/>
      </c>
      <c r="AJ176" s="468" t="s">
        <v>468</v>
      </c>
      <c r="AK176" s="499">
        <v>164</v>
      </c>
      <c r="AL176" s="467" t="str">
        <f t="shared" si="51"/>
        <v>○</v>
      </c>
      <c r="AM176" s="475" t="str">
        <f t="shared" si="52"/>
        <v>申請しない場合は入力不要です。</v>
      </c>
      <c r="AO176" s="475">
        <f t="shared" si="53"/>
        <v>0</v>
      </c>
    </row>
    <row r="177" spans="1:41" ht="20.100000000000001" customHeight="1">
      <c r="A177" s="494">
        <v>165</v>
      </c>
      <c r="B177" s="206"/>
      <c r="C177" s="207"/>
      <c r="D177" s="1859"/>
      <c r="E177" s="1860"/>
      <c r="F177" s="1861"/>
      <c r="G177" s="208"/>
      <c r="H177" s="208"/>
      <c r="I177" s="209"/>
      <c r="J177" s="495">
        <f t="shared" si="44"/>
        <v>0</v>
      </c>
      <c r="K177" s="496">
        <f t="shared" si="45"/>
        <v>0</v>
      </c>
      <c r="L177" s="496" t="str">
        <f t="shared" si="46"/>
        <v/>
      </c>
      <c r="M177" s="496" t="str">
        <f t="shared" si="47"/>
        <v/>
      </c>
      <c r="N177" s="805"/>
      <c r="O177" s="805"/>
      <c r="P177" s="805"/>
      <c r="Q177" s="497">
        <f t="shared" si="48"/>
        <v>0</v>
      </c>
      <c r="R177" s="498" t="str">
        <f xml:space="preserve">
IF(表紙!$X$2="事前協議","－",
IF(表紙!$X$2="交付申請（２次）","－",
IF(表紙!$X$2="変更申請","－",
IF(AND(表紙!$X$2="実績報告（１次）",AL177="◎"),COUNTIF($AL$13:AL177,"◎"),
IF(AND(表紙!$X$2="実績報告（１次）",OR(AL177="×",AL177="○")),"",
IF(表紙!$X$2="実績報告（２次）","－",
IF(表紙!$X$2="交付申請兼実績報告","－")))))))</f>
        <v>－</v>
      </c>
      <c r="S177" s="498" t="str">
        <f t="shared" si="49"/>
        <v/>
      </c>
      <c r="U177" s="610" t="str">
        <f t="shared" si="50"/>
        <v/>
      </c>
      <c r="V177" s="701" t="str">
        <f t="shared" si="40"/>
        <v/>
      </c>
      <c r="W177" s="701" t="str">
        <f t="shared" si="41"/>
        <v/>
      </c>
      <c r="X177" s="701" t="str">
        <f t="shared" si="42"/>
        <v/>
      </c>
      <c r="Y177" s="500" t="str">
        <f t="shared" si="43"/>
        <v/>
      </c>
      <c r="AJ177" s="468" t="s">
        <v>468</v>
      </c>
      <c r="AK177" s="499">
        <v>165</v>
      </c>
      <c r="AL177" s="467" t="str">
        <f t="shared" si="51"/>
        <v>○</v>
      </c>
      <c r="AM177" s="475" t="str">
        <f t="shared" si="52"/>
        <v>申請しない場合は入力不要です。</v>
      </c>
      <c r="AO177" s="475">
        <f t="shared" si="53"/>
        <v>0</v>
      </c>
    </row>
    <row r="178" spans="1:41" ht="20.100000000000001" customHeight="1">
      <c r="A178" s="494">
        <v>166</v>
      </c>
      <c r="B178" s="206"/>
      <c r="C178" s="207"/>
      <c r="D178" s="1859"/>
      <c r="E178" s="1860"/>
      <c r="F178" s="1861"/>
      <c r="G178" s="208"/>
      <c r="H178" s="208"/>
      <c r="I178" s="209"/>
      <c r="J178" s="495">
        <f t="shared" si="44"/>
        <v>0</v>
      </c>
      <c r="K178" s="496">
        <f t="shared" si="45"/>
        <v>0</v>
      </c>
      <c r="L178" s="496" t="str">
        <f t="shared" si="46"/>
        <v/>
      </c>
      <c r="M178" s="496" t="str">
        <f t="shared" si="47"/>
        <v/>
      </c>
      <c r="N178" s="805"/>
      <c r="O178" s="805"/>
      <c r="P178" s="805"/>
      <c r="Q178" s="497">
        <f t="shared" si="48"/>
        <v>0</v>
      </c>
      <c r="R178" s="498" t="str">
        <f xml:space="preserve">
IF(表紙!$X$2="事前協議","－",
IF(表紙!$X$2="交付申請（２次）","－",
IF(表紙!$X$2="変更申請","－",
IF(AND(表紙!$X$2="実績報告（１次）",AL178="◎"),COUNTIF($AL$13:AL178,"◎"),
IF(AND(表紙!$X$2="実績報告（１次）",OR(AL178="×",AL178="○")),"",
IF(表紙!$X$2="実績報告（２次）","－",
IF(表紙!$X$2="交付申請兼実績報告","－")))))))</f>
        <v>－</v>
      </c>
      <c r="S178" s="498" t="str">
        <f t="shared" si="49"/>
        <v/>
      </c>
      <c r="U178" s="610" t="str">
        <f t="shared" si="50"/>
        <v/>
      </c>
      <c r="V178" s="701" t="str">
        <f t="shared" si="40"/>
        <v/>
      </c>
      <c r="W178" s="701" t="str">
        <f t="shared" si="41"/>
        <v/>
      </c>
      <c r="X178" s="701" t="str">
        <f t="shared" si="42"/>
        <v/>
      </c>
      <c r="Y178" s="500" t="str">
        <f t="shared" si="43"/>
        <v/>
      </c>
      <c r="AJ178" s="468" t="s">
        <v>468</v>
      </c>
      <c r="AK178" s="499">
        <v>166</v>
      </c>
      <c r="AL178" s="467" t="str">
        <f t="shared" si="51"/>
        <v>○</v>
      </c>
      <c r="AM178" s="475" t="str">
        <f t="shared" si="52"/>
        <v>申請しない場合は入力不要です。</v>
      </c>
      <c r="AO178" s="475">
        <f t="shared" si="53"/>
        <v>0</v>
      </c>
    </row>
    <row r="179" spans="1:41" ht="20.100000000000001" customHeight="1">
      <c r="A179" s="494">
        <v>167</v>
      </c>
      <c r="B179" s="206"/>
      <c r="C179" s="207"/>
      <c r="D179" s="1859"/>
      <c r="E179" s="1860"/>
      <c r="F179" s="1861"/>
      <c r="G179" s="208"/>
      <c r="H179" s="208"/>
      <c r="I179" s="209"/>
      <c r="J179" s="495">
        <f t="shared" si="44"/>
        <v>0</v>
      </c>
      <c r="K179" s="496">
        <f t="shared" si="45"/>
        <v>0</v>
      </c>
      <c r="L179" s="496" t="str">
        <f t="shared" si="46"/>
        <v/>
      </c>
      <c r="M179" s="496" t="str">
        <f t="shared" si="47"/>
        <v/>
      </c>
      <c r="N179" s="805"/>
      <c r="O179" s="805"/>
      <c r="P179" s="805"/>
      <c r="Q179" s="497">
        <f t="shared" si="48"/>
        <v>0</v>
      </c>
      <c r="R179" s="498" t="str">
        <f xml:space="preserve">
IF(表紙!$X$2="事前協議","－",
IF(表紙!$X$2="交付申請（２次）","－",
IF(表紙!$X$2="変更申請","－",
IF(AND(表紙!$X$2="実績報告（１次）",AL179="◎"),COUNTIF($AL$13:AL179,"◎"),
IF(AND(表紙!$X$2="実績報告（１次）",OR(AL179="×",AL179="○")),"",
IF(表紙!$X$2="実績報告（２次）","－",
IF(表紙!$X$2="交付申請兼実績報告","－")))))))</f>
        <v>－</v>
      </c>
      <c r="S179" s="498" t="str">
        <f t="shared" si="49"/>
        <v/>
      </c>
      <c r="U179" s="610" t="str">
        <f t="shared" si="50"/>
        <v/>
      </c>
      <c r="V179" s="701" t="str">
        <f t="shared" si="40"/>
        <v/>
      </c>
      <c r="W179" s="701" t="str">
        <f t="shared" si="41"/>
        <v/>
      </c>
      <c r="X179" s="701" t="str">
        <f t="shared" si="42"/>
        <v/>
      </c>
      <c r="Y179" s="500" t="str">
        <f t="shared" si="43"/>
        <v/>
      </c>
      <c r="AJ179" s="468" t="s">
        <v>468</v>
      </c>
      <c r="AK179" s="499">
        <v>167</v>
      </c>
      <c r="AL179" s="467" t="str">
        <f t="shared" si="51"/>
        <v>○</v>
      </c>
      <c r="AM179" s="475" t="str">
        <f t="shared" si="52"/>
        <v>申請しない場合は入力不要です。</v>
      </c>
      <c r="AO179" s="475">
        <f t="shared" si="53"/>
        <v>0</v>
      </c>
    </row>
    <row r="180" spans="1:41" ht="20.100000000000001" customHeight="1">
      <c r="A180" s="494">
        <v>168</v>
      </c>
      <c r="B180" s="206"/>
      <c r="C180" s="207"/>
      <c r="D180" s="1859"/>
      <c r="E180" s="1860"/>
      <c r="F180" s="1861"/>
      <c r="G180" s="208"/>
      <c r="H180" s="208"/>
      <c r="I180" s="209"/>
      <c r="J180" s="495">
        <f t="shared" si="44"/>
        <v>0</v>
      </c>
      <c r="K180" s="496">
        <f t="shared" si="45"/>
        <v>0</v>
      </c>
      <c r="L180" s="496" t="str">
        <f t="shared" si="46"/>
        <v/>
      </c>
      <c r="M180" s="496" t="str">
        <f t="shared" si="47"/>
        <v/>
      </c>
      <c r="N180" s="805"/>
      <c r="O180" s="805"/>
      <c r="P180" s="805"/>
      <c r="Q180" s="497">
        <f t="shared" si="48"/>
        <v>0</v>
      </c>
      <c r="R180" s="498" t="str">
        <f xml:space="preserve">
IF(表紙!$X$2="事前協議","－",
IF(表紙!$X$2="交付申請（２次）","－",
IF(表紙!$X$2="変更申請","－",
IF(AND(表紙!$X$2="実績報告（１次）",AL180="◎"),COUNTIF($AL$13:AL180,"◎"),
IF(AND(表紙!$X$2="実績報告（１次）",OR(AL180="×",AL180="○")),"",
IF(表紙!$X$2="実績報告（２次）","－",
IF(表紙!$X$2="交付申請兼実績報告","－")))))))</f>
        <v>－</v>
      </c>
      <c r="S180" s="498" t="str">
        <f t="shared" si="49"/>
        <v/>
      </c>
      <c r="U180" s="610" t="str">
        <f t="shared" si="50"/>
        <v/>
      </c>
      <c r="V180" s="701" t="str">
        <f t="shared" si="40"/>
        <v/>
      </c>
      <c r="W180" s="701" t="str">
        <f t="shared" si="41"/>
        <v/>
      </c>
      <c r="X180" s="701" t="str">
        <f t="shared" si="42"/>
        <v/>
      </c>
      <c r="Y180" s="500" t="str">
        <f t="shared" si="43"/>
        <v/>
      </c>
      <c r="AJ180" s="468" t="s">
        <v>468</v>
      </c>
      <c r="AK180" s="499">
        <v>168</v>
      </c>
      <c r="AL180" s="467" t="str">
        <f t="shared" si="51"/>
        <v>○</v>
      </c>
      <c r="AM180" s="475" t="str">
        <f t="shared" si="52"/>
        <v>申請しない場合は入力不要です。</v>
      </c>
      <c r="AO180" s="475">
        <f t="shared" si="53"/>
        <v>0</v>
      </c>
    </row>
    <row r="181" spans="1:41" ht="20.100000000000001" customHeight="1">
      <c r="A181" s="494">
        <v>169</v>
      </c>
      <c r="B181" s="206"/>
      <c r="C181" s="207"/>
      <c r="D181" s="1859"/>
      <c r="E181" s="1860"/>
      <c r="F181" s="1861"/>
      <c r="G181" s="208"/>
      <c r="H181" s="208"/>
      <c r="I181" s="209"/>
      <c r="J181" s="495">
        <f t="shared" si="44"/>
        <v>0</v>
      </c>
      <c r="K181" s="496">
        <f t="shared" si="45"/>
        <v>0</v>
      </c>
      <c r="L181" s="496" t="str">
        <f t="shared" si="46"/>
        <v/>
      </c>
      <c r="M181" s="496" t="str">
        <f t="shared" si="47"/>
        <v/>
      </c>
      <c r="N181" s="805"/>
      <c r="O181" s="805"/>
      <c r="P181" s="805"/>
      <c r="Q181" s="497">
        <f t="shared" si="48"/>
        <v>0</v>
      </c>
      <c r="R181" s="498" t="str">
        <f xml:space="preserve">
IF(表紙!$X$2="事前協議","－",
IF(表紙!$X$2="交付申請（２次）","－",
IF(表紙!$X$2="変更申請","－",
IF(AND(表紙!$X$2="実績報告（１次）",AL181="◎"),COUNTIF($AL$13:AL181,"◎"),
IF(AND(表紙!$X$2="実績報告（１次）",OR(AL181="×",AL181="○")),"",
IF(表紙!$X$2="実績報告（２次）","－",
IF(表紙!$X$2="交付申請兼実績報告","－")))))))</f>
        <v>－</v>
      </c>
      <c r="S181" s="498" t="str">
        <f t="shared" si="49"/>
        <v/>
      </c>
      <c r="U181" s="610" t="str">
        <f t="shared" si="50"/>
        <v/>
      </c>
      <c r="V181" s="701" t="str">
        <f t="shared" si="40"/>
        <v/>
      </c>
      <c r="W181" s="701" t="str">
        <f t="shared" si="41"/>
        <v/>
      </c>
      <c r="X181" s="701" t="str">
        <f t="shared" si="42"/>
        <v/>
      </c>
      <c r="Y181" s="500" t="str">
        <f t="shared" si="43"/>
        <v/>
      </c>
      <c r="AJ181" s="468" t="s">
        <v>468</v>
      </c>
      <c r="AK181" s="499">
        <v>169</v>
      </c>
      <c r="AL181" s="467" t="str">
        <f t="shared" si="51"/>
        <v>○</v>
      </c>
      <c r="AM181" s="475" t="str">
        <f t="shared" si="52"/>
        <v>申請しない場合は入力不要です。</v>
      </c>
      <c r="AO181" s="475">
        <f t="shared" si="53"/>
        <v>0</v>
      </c>
    </row>
    <row r="182" spans="1:41" ht="20.100000000000001" customHeight="1">
      <c r="A182" s="494">
        <v>170</v>
      </c>
      <c r="B182" s="206"/>
      <c r="C182" s="207"/>
      <c r="D182" s="1859"/>
      <c r="E182" s="1860"/>
      <c r="F182" s="1861"/>
      <c r="G182" s="208"/>
      <c r="H182" s="208"/>
      <c r="I182" s="209"/>
      <c r="J182" s="495">
        <f t="shared" si="44"/>
        <v>0</v>
      </c>
      <c r="K182" s="496">
        <f t="shared" si="45"/>
        <v>0</v>
      </c>
      <c r="L182" s="496" t="str">
        <f t="shared" si="46"/>
        <v/>
      </c>
      <c r="M182" s="496" t="str">
        <f t="shared" si="47"/>
        <v/>
      </c>
      <c r="N182" s="805"/>
      <c r="O182" s="805"/>
      <c r="P182" s="805"/>
      <c r="Q182" s="497">
        <f t="shared" si="48"/>
        <v>0</v>
      </c>
      <c r="R182" s="498" t="str">
        <f xml:space="preserve">
IF(表紙!$X$2="事前協議","－",
IF(表紙!$X$2="交付申請（２次）","－",
IF(表紙!$X$2="変更申請","－",
IF(AND(表紙!$X$2="実績報告（１次）",AL182="◎"),COUNTIF($AL$13:AL182,"◎"),
IF(AND(表紙!$X$2="実績報告（１次）",OR(AL182="×",AL182="○")),"",
IF(表紙!$X$2="実績報告（２次）","－",
IF(表紙!$X$2="交付申請兼実績報告","－")))))))</f>
        <v>－</v>
      </c>
      <c r="S182" s="498" t="str">
        <f t="shared" si="49"/>
        <v/>
      </c>
      <c r="U182" s="610" t="str">
        <f t="shared" si="50"/>
        <v/>
      </c>
      <c r="V182" s="701" t="str">
        <f t="shared" si="40"/>
        <v/>
      </c>
      <c r="W182" s="701" t="str">
        <f t="shared" si="41"/>
        <v/>
      </c>
      <c r="X182" s="701" t="str">
        <f t="shared" si="42"/>
        <v/>
      </c>
      <c r="Y182" s="500" t="str">
        <f t="shared" si="43"/>
        <v/>
      </c>
      <c r="AJ182" s="468" t="s">
        <v>468</v>
      </c>
      <c r="AK182" s="499">
        <v>170</v>
      </c>
      <c r="AL182" s="467" t="str">
        <f t="shared" si="51"/>
        <v>○</v>
      </c>
      <c r="AM182" s="475" t="str">
        <f t="shared" si="52"/>
        <v>申請しない場合は入力不要です。</v>
      </c>
      <c r="AO182" s="475">
        <f t="shared" si="53"/>
        <v>0</v>
      </c>
    </row>
    <row r="183" spans="1:41" ht="20.100000000000001" customHeight="1">
      <c r="A183" s="494">
        <v>171</v>
      </c>
      <c r="B183" s="206"/>
      <c r="C183" s="207"/>
      <c r="D183" s="1859"/>
      <c r="E183" s="1860"/>
      <c r="F183" s="1861"/>
      <c r="G183" s="208"/>
      <c r="H183" s="208"/>
      <c r="I183" s="209"/>
      <c r="J183" s="495">
        <f t="shared" si="44"/>
        <v>0</v>
      </c>
      <c r="K183" s="496">
        <f t="shared" si="45"/>
        <v>0</v>
      </c>
      <c r="L183" s="496" t="str">
        <f t="shared" si="46"/>
        <v/>
      </c>
      <c r="M183" s="496" t="str">
        <f t="shared" si="47"/>
        <v/>
      </c>
      <c r="N183" s="805"/>
      <c r="O183" s="805"/>
      <c r="P183" s="805"/>
      <c r="Q183" s="497">
        <f t="shared" si="48"/>
        <v>0</v>
      </c>
      <c r="R183" s="498" t="str">
        <f xml:space="preserve">
IF(表紙!$X$2="事前協議","－",
IF(表紙!$X$2="交付申請（２次）","－",
IF(表紙!$X$2="変更申請","－",
IF(AND(表紙!$X$2="実績報告（１次）",AL183="◎"),COUNTIF($AL$13:AL183,"◎"),
IF(AND(表紙!$X$2="実績報告（１次）",OR(AL183="×",AL183="○")),"",
IF(表紙!$X$2="実績報告（２次）","－",
IF(表紙!$X$2="交付申請兼実績報告","－")))))))</f>
        <v>－</v>
      </c>
      <c r="S183" s="498" t="str">
        <f t="shared" si="49"/>
        <v/>
      </c>
      <c r="U183" s="610" t="str">
        <f t="shared" si="50"/>
        <v/>
      </c>
      <c r="V183" s="701" t="str">
        <f t="shared" si="40"/>
        <v/>
      </c>
      <c r="W183" s="701" t="str">
        <f t="shared" si="41"/>
        <v/>
      </c>
      <c r="X183" s="701" t="str">
        <f t="shared" si="42"/>
        <v/>
      </c>
      <c r="Y183" s="500" t="str">
        <f t="shared" si="43"/>
        <v/>
      </c>
      <c r="AJ183" s="468" t="s">
        <v>468</v>
      </c>
      <c r="AK183" s="499">
        <v>171</v>
      </c>
      <c r="AL183" s="467" t="str">
        <f t="shared" si="51"/>
        <v>○</v>
      </c>
      <c r="AM183" s="475" t="str">
        <f t="shared" si="52"/>
        <v>申請しない場合は入力不要です。</v>
      </c>
      <c r="AO183" s="475">
        <f t="shared" si="53"/>
        <v>0</v>
      </c>
    </row>
    <row r="184" spans="1:41" ht="20.100000000000001" customHeight="1">
      <c r="A184" s="494">
        <v>172</v>
      </c>
      <c r="B184" s="206"/>
      <c r="C184" s="207"/>
      <c r="D184" s="1859"/>
      <c r="E184" s="1860"/>
      <c r="F184" s="1861"/>
      <c r="G184" s="208"/>
      <c r="H184" s="208"/>
      <c r="I184" s="209"/>
      <c r="J184" s="495">
        <f t="shared" si="44"/>
        <v>0</v>
      </c>
      <c r="K184" s="496">
        <f t="shared" si="45"/>
        <v>0</v>
      </c>
      <c r="L184" s="496" t="str">
        <f t="shared" si="46"/>
        <v/>
      </c>
      <c r="M184" s="496" t="str">
        <f t="shared" si="47"/>
        <v/>
      </c>
      <c r="N184" s="805"/>
      <c r="O184" s="805"/>
      <c r="P184" s="805"/>
      <c r="Q184" s="497">
        <f t="shared" si="48"/>
        <v>0</v>
      </c>
      <c r="R184" s="498" t="str">
        <f xml:space="preserve">
IF(表紙!$X$2="事前協議","－",
IF(表紙!$X$2="交付申請（２次）","－",
IF(表紙!$X$2="変更申請","－",
IF(AND(表紙!$X$2="実績報告（１次）",AL184="◎"),COUNTIF($AL$13:AL184,"◎"),
IF(AND(表紙!$X$2="実績報告（１次）",OR(AL184="×",AL184="○")),"",
IF(表紙!$X$2="実績報告（２次）","－",
IF(表紙!$X$2="交付申請兼実績報告","－")))))))</f>
        <v>－</v>
      </c>
      <c r="S184" s="498" t="str">
        <f t="shared" si="49"/>
        <v/>
      </c>
      <c r="U184" s="610" t="str">
        <f t="shared" si="50"/>
        <v/>
      </c>
      <c r="V184" s="701" t="str">
        <f t="shared" si="40"/>
        <v/>
      </c>
      <c r="W184" s="701" t="str">
        <f t="shared" si="41"/>
        <v/>
      </c>
      <c r="X184" s="701" t="str">
        <f t="shared" si="42"/>
        <v/>
      </c>
      <c r="Y184" s="500" t="str">
        <f t="shared" si="43"/>
        <v/>
      </c>
      <c r="AJ184" s="468" t="s">
        <v>468</v>
      </c>
      <c r="AK184" s="499">
        <v>172</v>
      </c>
      <c r="AL184" s="467" t="str">
        <f t="shared" si="51"/>
        <v>○</v>
      </c>
      <c r="AM184" s="475" t="str">
        <f t="shared" si="52"/>
        <v>申請しない場合は入力不要です。</v>
      </c>
      <c r="AO184" s="475">
        <f t="shared" si="53"/>
        <v>0</v>
      </c>
    </row>
    <row r="185" spans="1:41" ht="20.100000000000001" customHeight="1">
      <c r="A185" s="494">
        <v>173</v>
      </c>
      <c r="B185" s="206"/>
      <c r="C185" s="207"/>
      <c r="D185" s="1859"/>
      <c r="E185" s="1860"/>
      <c r="F185" s="1861"/>
      <c r="G185" s="208"/>
      <c r="H185" s="208"/>
      <c r="I185" s="209"/>
      <c r="J185" s="495">
        <f t="shared" si="44"/>
        <v>0</v>
      </c>
      <c r="K185" s="496">
        <f t="shared" si="45"/>
        <v>0</v>
      </c>
      <c r="L185" s="496" t="str">
        <f t="shared" si="46"/>
        <v/>
      </c>
      <c r="M185" s="496" t="str">
        <f t="shared" si="47"/>
        <v/>
      </c>
      <c r="N185" s="805"/>
      <c r="O185" s="805"/>
      <c r="P185" s="805"/>
      <c r="Q185" s="497">
        <f t="shared" si="48"/>
        <v>0</v>
      </c>
      <c r="R185" s="498" t="str">
        <f xml:space="preserve">
IF(表紙!$X$2="事前協議","－",
IF(表紙!$X$2="交付申請（２次）","－",
IF(表紙!$X$2="変更申請","－",
IF(AND(表紙!$X$2="実績報告（１次）",AL185="◎"),COUNTIF($AL$13:AL185,"◎"),
IF(AND(表紙!$X$2="実績報告（１次）",OR(AL185="×",AL185="○")),"",
IF(表紙!$X$2="実績報告（２次）","－",
IF(表紙!$X$2="交付申請兼実績報告","－")))))))</f>
        <v>－</v>
      </c>
      <c r="S185" s="498" t="str">
        <f t="shared" si="49"/>
        <v/>
      </c>
      <c r="U185" s="610" t="str">
        <f t="shared" si="50"/>
        <v/>
      </c>
      <c r="V185" s="701" t="str">
        <f t="shared" si="40"/>
        <v/>
      </c>
      <c r="W185" s="701" t="str">
        <f t="shared" si="41"/>
        <v/>
      </c>
      <c r="X185" s="701" t="str">
        <f t="shared" si="42"/>
        <v/>
      </c>
      <c r="Y185" s="500" t="str">
        <f t="shared" si="43"/>
        <v/>
      </c>
      <c r="AJ185" s="468" t="s">
        <v>468</v>
      </c>
      <c r="AK185" s="499">
        <v>173</v>
      </c>
      <c r="AL185" s="467" t="str">
        <f t="shared" si="51"/>
        <v>○</v>
      </c>
      <c r="AM185" s="475" t="str">
        <f t="shared" si="52"/>
        <v>申請しない場合は入力不要です。</v>
      </c>
      <c r="AO185" s="475">
        <f t="shared" si="53"/>
        <v>0</v>
      </c>
    </row>
    <row r="186" spans="1:41" ht="20.100000000000001" customHeight="1">
      <c r="A186" s="494">
        <v>174</v>
      </c>
      <c r="B186" s="206"/>
      <c r="C186" s="207"/>
      <c r="D186" s="1859"/>
      <c r="E186" s="1860"/>
      <c r="F186" s="1861"/>
      <c r="G186" s="208"/>
      <c r="H186" s="208"/>
      <c r="I186" s="209"/>
      <c r="J186" s="495">
        <f t="shared" si="44"/>
        <v>0</v>
      </c>
      <c r="K186" s="496">
        <f t="shared" si="45"/>
        <v>0</v>
      </c>
      <c r="L186" s="496" t="str">
        <f t="shared" si="46"/>
        <v/>
      </c>
      <c r="M186" s="496" t="str">
        <f t="shared" si="47"/>
        <v/>
      </c>
      <c r="N186" s="805"/>
      <c r="O186" s="805"/>
      <c r="P186" s="805"/>
      <c r="Q186" s="497">
        <f t="shared" si="48"/>
        <v>0</v>
      </c>
      <c r="R186" s="498" t="str">
        <f xml:space="preserve">
IF(表紙!$X$2="事前協議","－",
IF(表紙!$X$2="交付申請（２次）","－",
IF(表紙!$X$2="変更申請","－",
IF(AND(表紙!$X$2="実績報告（１次）",AL186="◎"),COUNTIF($AL$13:AL186,"◎"),
IF(AND(表紙!$X$2="実績報告（１次）",OR(AL186="×",AL186="○")),"",
IF(表紙!$X$2="実績報告（２次）","－",
IF(表紙!$X$2="交付申請兼実績報告","－")))))))</f>
        <v>－</v>
      </c>
      <c r="S186" s="498" t="str">
        <f t="shared" si="49"/>
        <v/>
      </c>
      <c r="U186" s="610" t="str">
        <f t="shared" si="50"/>
        <v/>
      </c>
      <c r="V186" s="701" t="str">
        <f t="shared" si="40"/>
        <v/>
      </c>
      <c r="W186" s="701" t="str">
        <f t="shared" si="41"/>
        <v/>
      </c>
      <c r="X186" s="701" t="str">
        <f t="shared" si="42"/>
        <v/>
      </c>
      <c r="Y186" s="500" t="str">
        <f t="shared" si="43"/>
        <v/>
      </c>
      <c r="AJ186" s="468" t="s">
        <v>468</v>
      </c>
      <c r="AK186" s="499">
        <v>174</v>
      </c>
      <c r="AL186" s="467" t="str">
        <f t="shared" si="51"/>
        <v>○</v>
      </c>
      <c r="AM186" s="475" t="str">
        <f t="shared" si="52"/>
        <v>申請しない場合は入力不要です。</v>
      </c>
      <c r="AO186" s="475">
        <f t="shared" si="53"/>
        <v>0</v>
      </c>
    </row>
    <row r="187" spans="1:41" ht="20.100000000000001" customHeight="1">
      <c r="A187" s="494">
        <v>175</v>
      </c>
      <c r="B187" s="206"/>
      <c r="C187" s="207"/>
      <c r="D187" s="1859"/>
      <c r="E187" s="1860"/>
      <c r="F187" s="1861"/>
      <c r="G187" s="208"/>
      <c r="H187" s="208"/>
      <c r="I187" s="209"/>
      <c r="J187" s="495">
        <f t="shared" si="44"/>
        <v>0</v>
      </c>
      <c r="K187" s="496">
        <f t="shared" si="45"/>
        <v>0</v>
      </c>
      <c r="L187" s="496" t="str">
        <f t="shared" si="46"/>
        <v/>
      </c>
      <c r="M187" s="496" t="str">
        <f t="shared" si="47"/>
        <v/>
      </c>
      <c r="N187" s="805"/>
      <c r="O187" s="805"/>
      <c r="P187" s="805"/>
      <c r="Q187" s="497">
        <f t="shared" si="48"/>
        <v>0</v>
      </c>
      <c r="R187" s="498" t="str">
        <f xml:space="preserve">
IF(表紙!$X$2="事前協議","－",
IF(表紙!$X$2="交付申請（２次）","－",
IF(表紙!$X$2="変更申請","－",
IF(AND(表紙!$X$2="実績報告（１次）",AL187="◎"),COUNTIF($AL$13:AL187,"◎"),
IF(AND(表紙!$X$2="実績報告（１次）",OR(AL187="×",AL187="○")),"",
IF(表紙!$X$2="実績報告（２次）","－",
IF(表紙!$X$2="交付申請兼実績報告","－")))))))</f>
        <v>－</v>
      </c>
      <c r="S187" s="498" t="str">
        <f t="shared" si="49"/>
        <v/>
      </c>
      <c r="U187" s="610" t="str">
        <f t="shared" si="50"/>
        <v/>
      </c>
      <c r="V187" s="701" t="str">
        <f t="shared" si="40"/>
        <v/>
      </c>
      <c r="W187" s="701" t="str">
        <f t="shared" si="41"/>
        <v/>
      </c>
      <c r="X187" s="701" t="str">
        <f t="shared" si="42"/>
        <v/>
      </c>
      <c r="Y187" s="500" t="str">
        <f t="shared" si="43"/>
        <v/>
      </c>
      <c r="AJ187" s="468" t="s">
        <v>468</v>
      </c>
      <c r="AK187" s="499">
        <v>175</v>
      </c>
      <c r="AL187" s="467" t="str">
        <f t="shared" si="51"/>
        <v>○</v>
      </c>
      <c r="AM187" s="475" t="str">
        <f t="shared" si="52"/>
        <v>申請しない場合は入力不要です。</v>
      </c>
      <c r="AO187" s="475">
        <f t="shared" si="53"/>
        <v>0</v>
      </c>
    </row>
    <row r="188" spans="1:41" ht="20.100000000000001" customHeight="1">
      <c r="A188" s="494">
        <v>176</v>
      </c>
      <c r="B188" s="206"/>
      <c r="C188" s="207"/>
      <c r="D188" s="1859"/>
      <c r="E188" s="1860"/>
      <c r="F188" s="1861"/>
      <c r="G188" s="208"/>
      <c r="H188" s="208"/>
      <c r="I188" s="209"/>
      <c r="J188" s="495">
        <f t="shared" si="44"/>
        <v>0</v>
      </c>
      <c r="K188" s="496">
        <f t="shared" si="45"/>
        <v>0</v>
      </c>
      <c r="L188" s="496" t="str">
        <f t="shared" si="46"/>
        <v/>
      </c>
      <c r="M188" s="496" t="str">
        <f t="shared" si="47"/>
        <v/>
      </c>
      <c r="N188" s="805"/>
      <c r="O188" s="805"/>
      <c r="P188" s="805"/>
      <c r="Q188" s="497">
        <f t="shared" si="48"/>
        <v>0</v>
      </c>
      <c r="R188" s="498" t="str">
        <f xml:space="preserve">
IF(表紙!$X$2="事前協議","－",
IF(表紙!$X$2="交付申請（２次）","－",
IF(表紙!$X$2="変更申請","－",
IF(AND(表紙!$X$2="実績報告（１次）",AL188="◎"),COUNTIF($AL$13:AL188,"◎"),
IF(AND(表紙!$X$2="実績報告（１次）",OR(AL188="×",AL188="○")),"",
IF(表紙!$X$2="実績報告（２次）","－",
IF(表紙!$X$2="交付申請兼実績報告","－")))))))</f>
        <v>－</v>
      </c>
      <c r="S188" s="498" t="str">
        <f t="shared" si="49"/>
        <v/>
      </c>
      <c r="U188" s="610" t="str">
        <f t="shared" si="50"/>
        <v/>
      </c>
      <c r="V188" s="701" t="str">
        <f t="shared" si="40"/>
        <v/>
      </c>
      <c r="W188" s="701" t="str">
        <f t="shared" si="41"/>
        <v/>
      </c>
      <c r="X188" s="701" t="str">
        <f t="shared" si="42"/>
        <v/>
      </c>
      <c r="Y188" s="500" t="str">
        <f t="shared" si="43"/>
        <v/>
      </c>
      <c r="AJ188" s="468" t="s">
        <v>468</v>
      </c>
      <c r="AK188" s="499">
        <v>176</v>
      </c>
      <c r="AL188" s="467" t="str">
        <f t="shared" si="51"/>
        <v>○</v>
      </c>
      <c r="AM188" s="475" t="str">
        <f t="shared" si="52"/>
        <v>申請しない場合は入力不要です。</v>
      </c>
      <c r="AO188" s="475">
        <f t="shared" si="53"/>
        <v>0</v>
      </c>
    </row>
    <row r="189" spans="1:41" ht="20.100000000000001" customHeight="1">
      <c r="A189" s="494">
        <v>177</v>
      </c>
      <c r="B189" s="206"/>
      <c r="C189" s="207"/>
      <c r="D189" s="1859"/>
      <c r="E189" s="1860"/>
      <c r="F189" s="1861"/>
      <c r="G189" s="208"/>
      <c r="H189" s="208"/>
      <c r="I189" s="209"/>
      <c r="J189" s="495">
        <f t="shared" si="44"/>
        <v>0</v>
      </c>
      <c r="K189" s="496">
        <f t="shared" si="45"/>
        <v>0</v>
      </c>
      <c r="L189" s="496" t="str">
        <f t="shared" si="46"/>
        <v/>
      </c>
      <c r="M189" s="496" t="str">
        <f t="shared" si="47"/>
        <v/>
      </c>
      <c r="N189" s="805"/>
      <c r="O189" s="805"/>
      <c r="P189" s="805"/>
      <c r="Q189" s="497">
        <f t="shared" si="48"/>
        <v>0</v>
      </c>
      <c r="R189" s="498" t="str">
        <f xml:space="preserve">
IF(表紙!$X$2="事前協議","－",
IF(表紙!$X$2="交付申請（２次）","－",
IF(表紙!$X$2="変更申請","－",
IF(AND(表紙!$X$2="実績報告（１次）",AL189="◎"),COUNTIF($AL$13:AL189,"◎"),
IF(AND(表紙!$X$2="実績報告（１次）",OR(AL189="×",AL189="○")),"",
IF(表紙!$X$2="実績報告（２次）","－",
IF(表紙!$X$2="交付申請兼実績報告","－")))))))</f>
        <v>－</v>
      </c>
      <c r="S189" s="498" t="str">
        <f t="shared" si="49"/>
        <v/>
      </c>
      <c r="U189" s="610" t="str">
        <f t="shared" si="50"/>
        <v/>
      </c>
      <c r="V189" s="701" t="str">
        <f t="shared" si="40"/>
        <v/>
      </c>
      <c r="W189" s="701" t="str">
        <f t="shared" si="41"/>
        <v/>
      </c>
      <c r="X189" s="701" t="str">
        <f t="shared" si="42"/>
        <v/>
      </c>
      <c r="Y189" s="500" t="str">
        <f t="shared" si="43"/>
        <v/>
      </c>
      <c r="AJ189" s="468" t="s">
        <v>468</v>
      </c>
      <c r="AK189" s="499">
        <v>177</v>
      </c>
      <c r="AL189" s="467" t="str">
        <f t="shared" si="51"/>
        <v>○</v>
      </c>
      <c r="AM189" s="475" t="str">
        <f t="shared" si="52"/>
        <v>申請しない場合は入力不要です。</v>
      </c>
      <c r="AO189" s="475">
        <f t="shared" si="53"/>
        <v>0</v>
      </c>
    </row>
    <row r="190" spans="1:41" ht="20.100000000000001" customHeight="1">
      <c r="A190" s="494">
        <v>178</v>
      </c>
      <c r="B190" s="206"/>
      <c r="C190" s="207"/>
      <c r="D190" s="1859"/>
      <c r="E190" s="1860"/>
      <c r="F190" s="1861"/>
      <c r="G190" s="208"/>
      <c r="H190" s="208"/>
      <c r="I190" s="209"/>
      <c r="J190" s="495">
        <f t="shared" si="44"/>
        <v>0</v>
      </c>
      <c r="K190" s="496">
        <f t="shared" si="45"/>
        <v>0</v>
      </c>
      <c r="L190" s="496" t="str">
        <f t="shared" si="46"/>
        <v/>
      </c>
      <c r="M190" s="496" t="str">
        <f t="shared" si="47"/>
        <v/>
      </c>
      <c r="N190" s="805"/>
      <c r="O190" s="805"/>
      <c r="P190" s="805"/>
      <c r="Q190" s="497">
        <f t="shared" si="48"/>
        <v>0</v>
      </c>
      <c r="R190" s="498" t="str">
        <f xml:space="preserve">
IF(表紙!$X$2="事前協議","－",
IF(表紙!$X$2="交付申請（２次）","－",
IF(表紙!$X$2="変更申請","－",
IF(AND(表紙!$X$2="実績報告（１次）",AL190="◎"),COUNTIF($AL$13:AL190,"◎"),
IF(AND(表紙!$X$2="実績報告（１次）",OR(AL190="×",AL190="○")),"",
IF(表紙!$X$2="実績報告（２次）","－",
IF(表紙!$X$2="交付申請兼実績報告","－")))))))</f>
        <v>－</v>
      </c>
      <c r="S190" s="498" t="str">
        <f t="shared" si="49"/>
        <v/>
      </c>
      <c r="U190" s="610" t="str">
        <f t="shared" si="50"/>
        <v/>
      </c>
      <c r="V190" s="701" t="str">
        <f t="shared" si="40"/>
        <v/>
      </c>
      <c r="W190" s="701" t="str">
        <f t="shared" si="41"/>
        <v/>
      </c>
      <c r="X190" s="701" t="str">
        <f t="shared" si="42"/>
        <v/>
      </c>
      <c r="Y190" s="500" t="str">
        <f t="shared" si="43"/>
        <v/>
      </c>
      <c r="AJ190" s="468" t="s">
        <v>468</v>
      </c>
      <c r="AK190" s="499">
        <v>178</v>
      </c>
      <c r="AL190" s="467" t="str">
        <f t="shared" si="51"/>
        <v>○</v>
      </c>
      <c r="AM190" s="475" t="str">
        <f t="shared" si="52"/>
        <v>申請しない場合は入力不要です。</v>
      </c>
      <c r="AO190" s="475">
        <f t="shared" si="53"/>
        <v>0</v>
      </c>
    </row>
    <row r="191" spans="1:41" ht="20.100000000000001" customHeight="1">
      <c r="A191" s="494">
        <v>179</v>
      </c>
      <c r="B191" s="206"/>
      <c r="C191" s="207"/>
      <c r="D191" s="1859"/>
      <c r="E191" s="1860"/>
      <c r="F191" s="1861"/>
      <c r="G191" s="208"/>
      <c r="H191" s="208"/>
      <c r="I191" s="209"/>
      <c r="J191" s="495">
        <f t="shared" si="44"/>
        <v>0</v>
      </c>
      <c r="K191" s="496">
        <f t="shared" si="45"/>
        <v>0</v>
      </c>
      <c r="L191" s="496" t="str">
        <f t="shared" si="46"/>
        <v/>
      </c>
      <c r="M191" s="496" t="str">
        <f t="shared" si="47"/>
        <v/>
      </c>
      <c r="N191" s="805"/>
      <c r="O191" s="805"/>
      <c r="P191" s="805"/>
      <c r="Q191" s="497">
        <f t="shared" si="48"/>
        <v>0</v>
      </c>
      <c r="R191" s="498" t="str">
        <f xml:space="preserve">
IF(表紙!$X$2="事前協議","－",
IF(表紙!$X$2="交付申請（２次）","－",
IF(表紙!$X$2="変更申請","－",
IF(AND(表紙!$X$2="実績報告（１次）",AL191="◎"),COUNTIF($AL$13:AL191,"◎"),
IF(AND(表紙!$X$2="実績報告（１次）",OR(AL191="×",AL191="○")),"",
IF(表紙!$X$2="実績報告（２次）","－",
IF(表紙!$X$2="交付申請兼実績報告","－")))))))</f>
        <v>－</v>
      </c>
      <c r="S191" s="498" t="str">
        <f t="shared" si="49"/>
        <v/>
      </c>
      <c r="U191" s="610" t="str">
        <f t="shared" si="50"/>
        <v/>
      </c>
      <c r="V191" s="701" t="str">
        <f t="shared" si="40"/>
        <v/>
      </c>
      <c r="W191" s="701" t="str">
        <f t="shared" si="41"/>
        <v/>
      </c>
      <c r="X191" s="701" t="str">
        <f t="shared" si="42"/>
        <v/>
      </c>
      <c r="Y191" s="500" t="str">
        <f t="shared" si="43"/>
        <v/>
      </c>
      <c r="AJ191" s="468" t="s">
        <v>468</v>
      </c>
      <c r="AK191" s="499">
        <v>179</v>
      </c>
      <c r="AL191" s="467" t="str">
        <f t="shared" si="51"/>
        <v>○</v>
      </c>
      <c r="AM191" s="475" t="str">
        <f t="shared" si="52"/>
        <v>申請しない場合は入力不要です。</v>
      </c>
      <c r="AO191" s="475">
        <f t="shared" si="53"/>
        <v>0</v>
      </c>
    </row>
    <row r="192" spans="1:41" ht="20.100000000000001" customHeight="1">
      <c r="A192" s="494">
        <v>180</v>
      </c>
      <c r="B192" s="206"/>
      <c r="C192" s="207"/>
      <c r="D192" s="1859"/>
      <c r="E192" s="1860"/>
      <c r="F192" s="1861"/>
      <c r="G192" s="208"/>
      <c r="H192" s="208"/>
      <c r="I192" s="209"/>
      <c r="J192" s="495">
        <f t="shared" si="44"/>
        <v>0</v>
      </c>
      <c r="K192" s="496">
        <f t="shared" si="45"/>
        <v>0</v>
      </c>
      <c r="L192" s="496" t="str">
        <f t="shared" si="46"/>
        <v/>
      </c>
      <c r="M192" s="496" t="str">
        <f t="shared" si="47"/>
        <v/>
      </c>
      <c r="N192" s="805"/>
      <c r="O192" s="805"/>
      <c r="P192" s="805"/>
      <c r="Q192" s="497">
        <f t="shared" si="48"/>
        <v>0</v>
      </c>
      <c r="R192" s="498" t="str">
        <f xml:space="preserve">
IF(表紙!$X$2="事前協議","－",
IF(表紙!$X$2="交付申請（２次）","－",
IF(表紙!$X$2="変更申請","－",
IF(AND(表紙!$X$2="実績報告（１次）",AL192="◎"),COUNTIF($AL$13:AL192,"◎"),
IF(AND(表紙!$X$2="実績報告（１次）",OR(AL192="×",AL192="○")),"",
IF(表紙!$X$2="実績報告（２次）","－",
IF(表紙!$X$2="交付申請兼実績報告","－")))))))</f>
        <v>－</v>
      </c>
      <c r="S192" s="498" t="str">
        <f t="shared" si="49"/>
        <v/>
      </c>
      <c r="U192" s="610" t="str">
        <f t="shared" si="50"/>
        <v/>
      </c>
      <c r="V192" s="701" t="str">
        <f t="shared" si="40"/>
        <v/>
      </c>
      <c r="W192" s="701" t="str">
        <f t="shared" si="41"/>
        <v/>
      </c>
      <c r="X192" s="701" t="str">
        <f t="shared" si="42"/>
        <v/>
      </c>
      <c r="Y192" s="500" t="str">
        <f t="shared" si="43"/>
        <v/>
      </c>
      <c r="AJ192" s="468" t="s">
        <v>468</v>
      </c>
      <c r="AK192" s="499">
        <v>180</v>
      </c>
      <c r="AL192" s="467" t="str">
        <f t="shared" si="51"/>
        <v>○</v>
      </c>
      <c r="AM192" s="475" t="str">
        <f t="shared" si="52"/>
        <v>申請しない場合は入力不要です。</v>
      </c>
      <c r="AO192" s="475">
        <f t="shared" si="53"/>
        <v>0</v>
      </c>
    </row>
    <row r="193" spans="1:41" ht="20.100000000000001" customHeight="1">
      <c r="A193" s="494">
        <v>181</v>
      </c>
      <c r="B193" s="206"/>
      <c r="C193" s="207"/>
      <c r="D193" s="1859"/>
      <c r="E193" s="1860"/>
      <c r="F193" s="1861"/>
      <c r="G193" s="208"/>
      <c r="H193" s="208"/>
      <c r="I193" s="209"/>
      <c r="J193" s="495">
        <f t="shared" si="44"/>
        <v>0</v>
      </c>
      <c r="K193" s="496">
        <f t="shared" si="45"/>
        <v>0</v>
      </c>
      <c r="L193" s="496" t="str">
        <f t="shared" si="46"/>
        <v/>
      </c>
      <c r="M193" s="496" t="str">
        <f t="shared" si="47"/>
        <v/>
      </c>
      <c r="N193" s="805"/>
      <c r="O193" s="805"/>
      <c r="P193" s="805"/>
      <c r="Q193" s="497">
        <f t="shared" si="48"/>
        <v>0</v>
      </c>
      <c r="R193" s="498" t="str">
        <f xml:space="preserve">
IF(表紙!$X$2="事前協議","－",
IF(表紙!$X$2="交付申請（２次）","－",
IF(表紙!$X$2="変更申請","－",
IF(AND(表紙!$X$2="実績報告（１次）",AL193="◎"),COUNTIF($AL$13:AL193,"◎"),
IF(AND(表紙!$X$2="実績報告（１次）",OR(AL193="×",AL193="○")),"",
IF(表紙!$X$2="実績報告（２次）","－",
IF(表紙!$X$2="交付申請兼実績報告","－")))))))</f>
        <v>－</v>
      </c>
      <c r="S193" s="498" t="str">
        <f t="shared" si="49"/>
        <v/>
      </c>
      <c r="U193" s="610" t="str">
        <f t="shared" si="50"/>
        <v/>
      </c>
      <c r="V193" s="701" t="str">
        <f t="shared" si="40"/>
        <v/>
      </c>
      <c r="W193" s="701" t="str">
        <f t="shared" si="41"/>
        <v/>
      </c>
      <c r="X193" s="701" t="str">
        <f t="shared" si="42"/>
        <v/>
      </c>
      <c r="Y193" s="500" t="str">
        <f t="shared" si="43"/>
        <v/>
      </c>
      <c r="AJ193" s="468" t="s">
        <v>468</v>
      </c>
      <c r="AK193" s="499">
        <v>181</v>
      </c>
      <c r="AL193" s="467" t="str">
        <f t="shared" si="51"/>
        <v>○</v>
      </c>
      <c r="AM193" s="475" t="str">
        <f t="shared" si="52"/>
        <v>申請しない場合は入力不要です。</v>
      </c>
      <c r="AO193" s="475">
        <f t="shared" si="53"/>
        <v>0</v>
      </c>
    </row>
    <row r="194" spans="1:41" ht="20.100000000000001" customHeight="1">
      <c r="A194" s="494">
        <v>182</v>
      </c>
      <c r="B194" s="206"/>
      <c r="C194" s="207"/>
      <c r="D194" s="1859"/>
      <c r="E194" s="1860"/>
      <c r="F194" s="1861"/>
      <c r="G194" s="208"/>
      <c r="H194" s="208"/>
      <c r="I194" s="209"/>
      <c r="J194" s="495">
        <f t="shared" si="44"/>
        <v>0</v>
      </c>
      <c r="K194" s="496">
        <f t="shared" si="45"/>
        <v>0</v>
      </c>
      <c r="L194" s="496" t="str">
        <f t="shared" si="46"/>
        <v/>
      </c>
      <c r="M194" s="496" t="str">
        <f t="shared" si="47"/>
        <v/>
      </c>
      <c r="N194" s="805"/>
      <c r="O194" s="805"/>
      <c r="P194" s="805"/>
      <c r="Q194" s="497">
        <f t="shared" si="48"/>
        <v>0</v>
      </c>
      <c r="R194" s="498" t="str">
        <f xml:space="preserve">
IF(表紙!$X$2="事前協議","－",
IF(表紙!$X$2="交付申請（２次）","－",
IF(表紙!$X$2="変更申請","－",
IF(AND(表紙!$X$2="実績報告（１次）",AL194="◎"),COUNTIF($AL$13:AL194,"◎"),
IF(AND(表紙!$X$2="実績報告（１次）",OR(AL194="×",AL194="○")),"",
IF(表紙!$X$2="実績報告（２次）","－",
IF(表紙!$X$2="交付申請兼実績報告","－")))))))</f>
        <v>－</v>
      </c>
      <c r="S194" s="498" t="str">
        <f t="shared" si="49"/>
        <v/>
      </c>
      <c r="U194" s="610" t="str">
        <f t="shared" si="50"/>
        <v/>
      </c>
      <c r="V194" s="701" t="str">
        <f t="shared" si="40"/>
        <v/>
      </c>
      <c r="W194" s="701" t="str">
        <f t="shared" si="41"/>
        <v/>
      </c>
      <c r="X194" s="701" t="str">
        <f t="shared" si="42"/>
        <v/>
      </c>
      <c r="Y194" s="500" t="str">
        <f t="shared" si="43"/>
        <v/>
      </c>
      <c r="AJ194" s="468" t="s">
        <v>468</v>
      </c>
      <c r="AK194" s="499">
        <v>182</v>
      </c>
      <c r="AL194" s="467" t="str">
        <f t="shared" si="51"/>
        <v>○</v>
      </c>
      <c r="AM194" s="475" t="str">
        <f t="shared" si="52"/>
        <v>申請しない場合は入力不要です。</v>
      </c>
      <c r="AO194" s="475">
        <f t="shared" si="53"/>
        <v>0</v>
      </c>
    </row>
    <row r="195" spans="1:41" ht="20.100000000000001" customHeight="1">
      <c r="A195" s="494">
        <v>183</v>
      </c>
      <c r="B195" s="206"/>
      <c r="C195" s="207"/>
      <c r="D195" s="1859"/>
      <c r="E195" s="1860"/>
      <c r="F195" s="1861"/>
      <c r="G195" s="208"/>
      <c r="H195" s="208"/>
      <c r="I195" s="209"/>
      <c r="J195" s="495">
        <f t="shared" si="44"/>
        <v>0</v>
      </c>
      <c r="K195" s="496">
        <f t="shared" si="45"/>
        <v>0</v>
      </c>
      <c r="L195" s="496" t="str">
        <f t="shared" si="46"/>
        <v/>
      </c>
      <c r="M195" s="496" t="str">
        <f t="shared" si="47"/>
        <v/>
      </c>
      <c r="N195" s="805"/>
      <c r="O195" s="805"/>
      <c r="P195" s="805"/>
      <c r="Q195" s="497">
        <f t="shared" si="48"/>
        <v>0</v>
      </c>
      <c r="R195" s="498" t="str">
        <f xml:space="preserve">
IF(表紙!$X$2="事前協議","－",
IF(表紙!$X$2="交付申請（２次）","－",
IF(表紙!$X$2="変更申請","－",
IF(AND(表紙!$X$2="実績報告（１次）",AL195="◎"),COUNTIF($AL$13:AL195,"◎"),
IF(AND(表紙!$X$2="実績報告（１次）",OR(AL195="×",AL195="○")),"",
IF(表紙!$X$2="実績報告（２次）","－",
IF(表紙!$X$2="交付申請兼実績報告","－")))))))</f>
        <v>－</v>
      </c>
      <c r="S195" s="498" t="str">
        <f t="shared" si="49"/>
        <v/>
      </c>
      <c r="U195" s="610" t="str">
        <f t="shared" si="50"/>
        <v/>
      </c>
      <c r="V195" s="701" t="str">
        <f t="shared" si="40"/>
        <v/>
      </c>
      <c r="W195" s="701" t="str">
        <f t="shared" si="41"/>
        <v/>
      </c>
      <c r="X195" s="701" t="str">
        <f t="shared" si="42"/>
        <v/>
      </c>
      <c r="Y195" s="500" t="str">
        <f t="shared" si="43"/>
        <v/>
      </c>
      <c r="AJ195" s="468" t="s">
        <v>468</v>
      </c>
      <c r="AK195" s="499">
        <v>183</v>
      </c>
      <c r="AL195" s="467" t="str">
        <f t="shared" si="51"/>
        <v>○</v>
      </c>
      <c r="AM195" s="475" t="str">
        <f t="shared" si="52"/>
        <v>申請しない場合は入力不要です。</v>
      </c>
      <c r="AO195" s="475">
        <f t="shared" si="53"/>
        <v>0</v>
      </c>
    </row>
    <row r="196" spans="1:41" ht="20.100000000000001" customHeight="1">
      <c r="A196" s="494">
        <v>184</v>
      </c>
      <c r="B196" s="206"/>
      <c r="C196" s="207"/>
      <c r="D196" s="1859"/>
      <c r="E196" s="1860"/>
      <c r="F196" s="1861"/>
      <c r="G196" s="208"/>
      <c r="H196" s="208"/>
      <c r="I196" s="209"/>
      <c r="J196" s="495">
        <f t="shared" si="44"/>
        <v>0</v>
      </c>
      <c r="K196" s="496">
        <f t="shared" si="45"/>
        <v>0</v>
      </c>
      <c r="L196" s="496" t="str">
        <f t="shared" si="46"/>
        <v/>
      </c>
      <c r="M196" s="496" t="str">
        <f t="shared" si="47"/>
        <v/>
      </c>
      <c r="N196" s="805"/>
      <c r="O196" s="805"/>
      <c r="P196" s="805"/>
      <c r="Q196" s="497">
        <f t="shared" si="48"/>
        <v>0</v>
      </c>
      <c r="R196" s="498" t="str">
        <f xml:space="preserve">
IF(表紙!$X$2="事前協議","－",
IF(表紙!$X$2="交付申請（２次）","－",
IF(表紙!$X$2="変更申請","－",
IF(AND(表紙!$X$2="実績報告（１次）",AL196="◎"),COUNTIF($AL$13:AL196,"◎"),
IF(AND(表紙!$X$2="実績報告（１次）",OR(AL196="×",AL196="○")),"",
IF(表紙!$X$2="実績報告（２次）","－",
IF(表紙!$X$2="交付申請兼実績報告","－")))))))</f>
        <v>－</v>
      </c>
      <c r="S196" s="498" t="str">
        <f t="shared" si="49"/>
        <v/>
      </c>
      <c r="U196" s="610" t="str">
        <f t="shared" si="50"/>
        <v/>
      </c>
      <c r="V196" s="701" t="str">
        <f t="shared" si="40"/>
        <v/>
      </c>
      <c r="W196" s="701" t="str">
        <f t="shared" si="41"/>
        <v/>
      </c>
      <c r="X196" s="701" t="str">
        <f t="shared" si="42"/>
        <v/>
      </c>
      <c r="Y196" s="500" t="str">
        <f t="shared" si="43"/>
        <v/>
      </c>
      <c r="AJ196" s="468" t="s">
        <v>468</v>
      </c>
      <c r="AK196" s="499">
        <v>184</v>
      </c>
      <c r="AL196" s="467" t="str">
        <f t="shared" si="51"/>
        <v>○</v>
      </c>
      <c r="AM196" s="475" t="str">
        <f t="shared" si="52"/>
        <v>申請しない場合は入力不要です。</v>
      </c>
      <c r="AO196" s="475">
        <f t="shared" si="53"/>
        <v>0</v>
      </c>
    </row>
    <row r="197" spans="1:41" ht="20.100000000000001" customHeight="1">
      <c r="A197" s="494">
        <v>185</v>
      </c>
      <c r="B197" s="206"/>
      <c r="C197" s="207"/>
      <c r="D197" s="1859"/>
      <c r="E197" s="1860"/>
      <c r="F197" s="1861"/>
      <c r="G197" s="208"/>
      <c r="H197" s="208"/>
      <c r="I197" s="209"/>
      <c r="J197" s="495">
        <f t="shared" si="44"/>
        <v>0</v>
      </c>
      <c r="K197" s="496">
        <f t="shared" si="45"/>
        <v>0</v>
      </c>
      <c r="L197" s="496" t="str">
        <f t="shared" si="46"/>
        <v/>
      </c>
      <c r="M197" s="496" t="str">
        <f t="shared" si="47"/>
        <v/>
      </c>
      <c r="N197" s="805"/>
      <c r="O197" s="805"/>
      <c r="P197" s="805"/>
      <c r="Q197" s="497">
        <f t="shared" si="48"/>
        <v>0</v>
      </c>
      <c r="R197" s="498" t="str">
        <f xml:space="preserve">
IF(表紙!$X$2="事前協議","－",
IF(表紙!$X$2="交付申請（２次）","－",
IF(表紙!$X$2="変更申請","－",
IF(AND(表紙!$X$2="実績報告（１次）",AL197="◎"),COUNTIF($AL$13:AL197,"◎"),
IF(AND(表紙!$X$2="実績報告（１次）",OR(AL197="×",AL197="○")),"",
IF(表紙!$X$2="実績報告（２次）","－",
IF(表紙!$X$2="交付申請兼実績報告","－")))))))</f>
        <v>－</v>
      </c>
      <c r="S197" s="498" t="str">
        <f t="shared" si="49"/>
        <v/>
      </c>
      <c r="U197" s="610" t="str">
        <f t="shared" si="50"/>
        <v/>
      </c>
      <c r="V197" s="701" t="str">
        <f t="shared" si="40"/>
        <v/>
      </c>
      <c r="W197" s="701" t="str">
        <f t="shared" si="41"/>
        <v/>
      </c>
      <c r="X197" s="701" t="str">
        <f t="shared" si="42"/>
        <v/>
      </c>
      <c r="Y197" s="500" t="str">
        <f t="shared" si="43"/>
        <v/>
      </c>
      <c r="AJ197" s="468" t="s">
        <v>468</v>
      </c>
      <c r="AK197" s="499">
        <v>185</v>
      </c>
      <c r="AL197" s="467" t="str">
        <f t="shared" si="51"/>
        <v>○</v>
      </c>
      <c r="AM197" s="475" t="str">
        <f t="shared" si="52"/>
        <v>申請しない場合は入力不要です。</v>
      </c>
      <c r="AO197" s="475">
        <f t="shared" si="53"/>
        <v>0</v>
      </c>
    </row>
    <row r="198" spans="1:41" ht="20.100000000000001" customHeight="1">
      <c r="A198" s="494">
        <v>186</v>
      </c>
      <c r="B198" s="206"/>
      <c r="C198" s="207"/>
      <c r="D198" s="1859"/>
      <c r="E198" s="1860"/>
      <c r="F198" s="1861"/>
      <c r="G198" s="208"/>
      <c r="H198" s="208"/>
      <c r="I198" s="209"/>
      <c r="J198" s="495">
        <f t="shared" si="44"/>
        <v>0</v>
      </c>
      <c r="K198" s="496">
        <f t="shared" si="45"/>
        <v>0</v>
      </c>
      <c r="L198" s="496" t="str">
        <f t="shared" si="46"/>
        <v/>
      </c>
      <c r="M198" s="496" t="str">
        <f t="shared" si="47"/>
        <v/>
      </c>
      <c r="N198" s="805"/>
      <c r="O198" s="805"/>
      <c r="P198" s="805"/>
      <c r="Q198" s="497">
        <f t="shared" si="48"/>
        <v>0</v>
      </c>
      <c r="R198" s="498" t="str">
        <f xml:space="preserve">
IF(表紙!$X$2="事前協議","－",
IF(表紙!$X$2="交付申請（２次）","－",
IF(表紙!$X$2="変更申請","－",
IF(AND(表紙!$X$2="実績報告（１次）",AL198="◎"),COUNTIF($AL$13:AL198,"◎"),
IF(AND(表紙!$X$2="実績報告（１次）",OR(AL198="×",AL198="○")),"",
IF(表紙!$X$2="実績報告（２次）","－",
IF(表紙!$X$2="交付申請兼実績報告","－")))))))</f>
        <v>－</v>
      </c>
      <c r="S198" s="498" t="str">
        <f t="shared" si="49"/>
        <v/>
      </c>
      <c r="U198" s="610" t="str">
        <f t="shared" si="50"/>
        <v/>
      </c>
      <c r="V198" s="701" t="str">
        <f t="shared" si="40"/>
        <v/>
      </c>
      <c r="W198" s="701" t="str">
        <f t="shared" si="41"/>
        <v/>
      </c>
      <c r="X198" s="701" t="str">
        <f t="shared" si="42"/>
        <v/>
      </c>
      <c r="Y198" s="500" t="str">
        <f t="shared" si="43"/>
        <v/>
      </c>
      <c r="AJ198" s="468" t="s">
        <v>468</v>
      </c>
      <c r="AK198" s="499">
        <v>186</v>
      </c>
      <c r="AL198" s="467" t="str">
        <f t="shared" si="51"/>
        <v>○</v>
      </c>
      <c r="AM198" s="475" t="str">
        <f t="shared" si="52"/>
        <v>申請しない場合は入力不要です。</v>
      </c>
      <c r="AO198" s="475">
        <f t="shared" si="53"/>
        <v>0</v>
      </c>
    </row>
    <row r="199" spans="1:41" ht="20.100000000000001" customHeight="1">
      <c r="A199" s="494">
        <v>187</v>
      </c>
      <c r="B199" s="206"/>
      <c r="C199" s="207"/>
      <c r="D199" s="1859"/>
      <c r="E199" s="1860"/>
      <c r="F199" s="1861"/>
      <c r="G199" s="208"/>
      <c r="H199" s="208"/>
      <c r="I199" s="209"/>
      <c r="J199" s="495">
        <f t="shared" si="44"/>
        <v>0</v>
      </c>
      <c r="K199" s="496">
        <f t="shared" si="45"/>
        <v>0</v>
      </c>
      <c r="L199" s="496" t="str">
        <f t="shared" si="46"/>
        <v/>
      </c>
      <c r="M199" s="496" t="str">
        <f t="shared" si="47"/>
        <v/>
      </c>
      <c r="N199" s="805"/>
      <c r="O199" s="805"/>
      <c r="P199" s="805"/>
      <c r="Q199" s="497">
        <f t="shared" si="48"/>
        <v>0</v>
      </c>
      <c r="R199" s="498" t="str">
        <f xml:space="preserve">
IF(表紙!$X$2="事前協議","－",
IF(表紙!$X$2="交付申請（２次）","－",
IF(表紙!$X$2="変更申請","－",
IF(AND(表紙!$X$2="実績報告（１次）",AL199="◎"),COUNTIF($AL$13:AL199,"◎"),
IF(AND(表紙!$X$2="実績報告（１次）",OR(AL199="×",AL199="○")),"",
IF(表紙!$X$2="実績報告（２次）","－",
IF(表紙!$X$2="交付申請兼実績報告","－")))))))</f>
        <v>－</v>
      </c>
      <c r="S199" s="498" t="str">
        <f t="shared" si="49"/>
        <v/>
      </c>
      <c r="U199" s="610" t="str">
        <f t="shared" si="50"/>
        <v/>
      </c>
      <c r="V199" s="701" t="str">
        <f t="shared" si="40"/>
        <v/>
      </c>
      <c r="W199" s="701" t="str">
        <f t="shared" si="41"/>
        <v/>
      </c>
      <c r="X199" s="701" t="str">
        <f t="shared" si="42"/>
        <v/>
      </c>
      <c r="Y199" s="500" t="str">
        <f t="shared" si="43"/>
        <v/>
      </c>
      <c r="AJ199" s="468" t="s">
        <v>468</v>
      </c>
      <c r="AK199" s="499">
        <v>187</v>
      </c>
      <c r="AL199" s="467" t="str">
        <f t="shared" si="51"/>
        <v>○</v>
      </c>
      <c r="AM199" s="475" t="str">
        <f t="shared" si="52"/>
        <v>申請しない場合は入力不要です。</v>
      </c>
      <c r="AO199" s="475">
        <f t="shared" si="53"/>
        <v>0</v>
      </c>
    </row>
    <row r="200" spans="1:41" ht="20.100000000000001" customHeight="1">
      <c r="A200" s="494">
        <v>188</v>
      </c>
      <c r="B200" s="206"/>
      <c r="C200" s="207"/>
      <c r="D200" s="1859"/>
      <c r="E200" s="1860"/>
      <c r="F200" s="1861"/>
      <c r="G200" s="208"/>
      <c r="H200" s="208"/>
      <c r="I200" s="209"/>
      <c r="J200" s="495">
        <f t="shared" si="44"/>
        <v>0</v>
      </c>
      <c r="K200" s="496">
        <f t="shared" si="45"/>
        <v>0</v>
      </c>
      <c r="L200" s="496" t="str">
        <f t="shared" si="46"/>
        <v/>
      </c>
      <c r="M200" s="496" t="str">
        <f t="shared" si="47"/>
        <v/>
      </c>
      <c r="N200" s="805"/>
      <c r="O200" s="805"/>
      <c r="P200" s="805"/>
      <c r="Q200" s="497">
        <f t="shared" si="48"/>
        <v>0</v>
      </c>
      <c r="R200" s="498" t="str">
        <f xml:space="preserve">
IF(表紙!$X$2="事前協議","－",
IF(表紙!$X$2="交付申請（２次）","－",
IF(表紙!$X$2="変更申請","－",
IF(AND(表紙!$X$2="実績報告（１次）",AL200="◎"),COUNTIF($AL$13:AL200,"◎"),
IF(AND(表紙!$X$2="実績報告（１次）",OR(AL200="×",AL200="○")),"",
IF(表紙!$X$2="実績報告（２次）","－",
IF(表紙!$X$2="交付申請兼実績報告","－")))))))</f>
        <v>－</v>
      </c>
      <c r="S200" s="498" t="str">
        <f t="shared" si="49"/>
        <v/>
      </c>
      <c r="U200" s="610" t="str">
        <f t="shared" si="50"/>
        <v/>
      </c>
      <c r="V200" s="701" t="str">
        <f t="shared" si="40"/>
        <v/>
      </c>
      <c r="W200" s="701" t="str">
        <f t="shared" si="41"/>
        <v/>
      </c>
      <c r="X200" s="701" t="str">
        <f t="shared" si="42"/>
        <v/>
      </c>
      <c r="Y200" s="500" t="str">
        <f t="shared" si="43"/>
        <v/>
      </c>
      <c r="AJ200" s="468" t="s">
        <v>468</v>
      </c>
      <c r="AK200" s="499">
        <v>188</v>
      </c>
      <c r="AL200" s="467" t="str">
        <f t="shared" si="51"/>
        <v>○</v>
      </c>
      <c r="AM200" s="475" t="str">
        <f t="shared" si="52"/>
        <v>申請しない場合は入力不要です。</v>
      </c>
      <c r="AO200" s="475">
        <f t="shared" si="53"/>
        <v>0</v>
      </c>
    </row>
    <row r="201" spans="1:41" ht="20.100000000000001" customHeight="1">
      <c r="A201" s="494">
        <v>189</v>
      </c>
      <c r="B201" s="206"/>
      <c r="C201" s="207"/>
      <c r="D201" s="1859"/>
      <c r="E201" s="1860"/>
      <c r="F201" s="1861"/>
      <c r="G201" s="208"/>
      <c r="H201" s="208"/>
      <c r="I201" s="209"/>
      <c r="J201" s="495">
        <f t="shared" si="44"/>
        <v>0</v>
      </c>
      <c r="K201" s="496">
        <f t="shared" si="45"/>
        <v>0</v>
      </c>
      <c r="L201" s="496" t="str">
        <f t="shared" si="46"/>
        <v/>
      </c>
      <c r="M201" s="496" t="str">
        <f t="shared" si="47"/>
        <v/>
      </c>
      <c r="N201" s="805"/>
      <c r="O201" s="805"/>
      <c r="P201" s="805"/>
      <c r="Q201" s="497">
        <f t="shared" si="48"/>
        <v>0</v>
      </c>
      <c r="R201" s="498" t="str">
        <f xml:space="preserve">
IF(表紙!$X$2="事前協議","－",
IF(表紙!$X$2="交付申請（２次）","－",
IF(表紙!$X$2="変更申請","－",
IF(AND(表紙!$X$2="実績報告（１次）",AL201="◎"),COUNTIF($AL$13:AL201,"◎"),
IF(AND(表紙!$X$2="実績報告（１次）",OR(AL201="×",AL201="○")),"",
IF(表紙!$X$2="実績報告（２次）","－",
IF(表紙!$X$2="交付申請兼実績報告","－")))))))</f>
        <v>－</v>
      </c>
      <c r="S201" s="498" t="str">
        <f t="shared" si="49"/>
        <v/>
      </c>
      <c r="U201" s="610" t="str">
        <f t="shared" si="50"/>
        <v/>
      </c>
      <c r="V201" s="701" t="str">
        <f t="shared" si="40"/>
        <v/>
      </c>
      <c r="W201" s="701" t="str">
        <f t="shared" si="41"/>
        <v/>
      </c>
      <c r="X201" s="701" t="str">
        <f t="shared" si="42"/>
        <v/>
      </c>
      <c r="Y201" s="500" t="str">
        <f t="shared" si="43"/>
        <v/>
      </c>
      <c r="AJ201" s="468" t="s">
        <v>468</v>
      </c>
      <c r="AK201" s="499">
        <v>189</v>
      </c>
      <c r="AL201" s="467" t="str">
        <f t="shared" si="51"/>
        <v>○</v>
      </c>
      <c r="AM201" s="475" t="str">
        <f t="shared" si="52"/>
        <v>申請しない場合は入力不要です。</v>
      </c>
      <c r="AO201" s="475">
        <f t="shared" si="53"/>
        <v>0</v>
      </c>
    </row>
    <row r="202" spans="1:41" ht="20.100000000000001" customHeight="1">
      <c r="A202" s="494">
        <v>190</v>
      </c>
      <c r="B202" s="206"/>
      <c r="C202" s="207"/>
      <c r="D202" s="1859"/>
      <c r="E202" s="1860"/>
      <c r="F202" s="1861"/>
      <c r="G202" s="208"/>
      <c r="H202" s="208"/>
      <c r="I202" s="209"/>
      <c r="J202" s="495">
        <f t="shared" si="44"/>
        <v>0</v>
      </c>
      <c r="K202" s="496">
        <f t="shared" si="45"/>
        <v>0</v>
      </c>
      <c r="L202" s="496" t="str">
        <f t="shared" si="46"/>
        <v/>
      </c>
      <c r="M202" s="496" t="str">
        <f t="shared" si="47"/>
        <v/>
      </c>
      <c r="N202" s="805"/>
      <c r="O202" s="805"/>
      <c r="P202" s="805"/>
      <c r="Q202" s="497">
        <f t="shared" si="48"/>
        <v>0</v>
      </c>
      <c r="R202" s="498" t="str">
        <f xml:space="preserve">
IF(表紙!$X$2="事前協議","－",
IF(表紙!$X$2="交付申請（２次）","－",
IF(表紙!$X$2="変更申請","－",
IF(AND(表紙!$X$2="実績報告（１次）",AL202="◎"),COUNTIF($AL$13:AL202,"◎"),
IF(AND(表紙!$X$2="実績報告（１次）",OR(AL202="×",AL202="○")),"",
IF(表紙!$X$2="実績報告（２次）","－",
IF(表紙!$X$2="交付申請兼実績報告","－")))))))</f>
        <v>－</v>
      </c>
      <c r="S202" s="498" t="str">
        <f t="shared" si="49"/>
        <v/>
      </c>
      <c r="U202" s="610" t="str">
        <f t="shared" si="50"/>
        <v/>
      </c>
      <c r="V202" s="701" t="str">
        <f t="shared" si="40"/>
        <v/>
      </c>
      <c r="W202" s="701" t="str">
        <f t="shared" si="41"/>
        <v/>
      </c>
      <c r="X202" s="701" t="str">
        <f t="shared" si="42"/>
        <v/>
      </c>
      <c r="Y202" s="500" t="str">
        <f t="shared" si="43"/>
        <v/>
      </c>
      <c r="AJ202" s="468" t="s">
        <v>468</v>
      </c>
      <c r="AK202" s="499">
        <v>190</v>
      </c>
      <c r="AL202" s="467" t="str">
        <f t="shared" si="51"/>
        <v>○</v>
      </c>
      <c r="AM202" s="475" t="str">
        <f t="shared" si="52"/>
        <v>申請しない場合は入力不要です。</v>
      </c>
      <c r="AO202" s="475">
        <f t="shared" si="53"/>
        <v>0</v>
      </c>
    </row>
    <row r="203" spans="1:41" ht="20.100000000000001" customHeight="1">
      <c r="A203" s="494">
        <v>191</v>
      </c>
      <c r="B203" s="206"/>
      <c r="C203" s="207"/>
      <c r="D203" s="1859"/>
      <c r="E203" s="1860"/>
      <c r="F203" s="1861"/>
      <c r="G203" s="208"/>
      <c r="H203" s="208"/>
      <c r="I203" s="209"/>
      <c r="J203" s="495">
        <f t="shared" si="44"/>
        <v>0</v>
      </c>
      <c r="K203" s="496">
        <f t="shared" si="45"/>
        <v>0</v>
      </c>
      <c r="L203" s="496" t="str">
        <f t="shared" si="46"/>
        <v/>
      </c>
      <c r="M203" s="496" t="str">
        <f t="shared" si="47"/>
        <v/>
      </c>
      <c r="N203" s="805"/>
      <c r="O203" s="805"/>
      <c r="P203" s="805"/>
      <c r="Q203" s="497">
        <f t="shared" si="48"/>
        <v>0</v>
      </c>
      <c r="R203" s="498" t="str">
        <f xml:space="preserve">
IF(表紙!$X$2="事前協議","－",
IF(表紙!$X$2="交付申請（２次）","－",
IF(表紙!$X$2="変更申請","－",
IF(AND(表紙!$X$2="実績報告（１次）",AL203="◎"),COUNTIF($AL$13:AL203,"◎"),
IF(AND(表紙!$X$2="実績報告（１次）",OR(AL203="×",AL203="○")),"",
IF(表紙!$X$2="実績報告（２次）","－",
IF(表紙!$X$2="交付申請兼実績報告","－")))))))</f>
        <v>－</v>
      </c>
      <c r="S203" s="498" t="str">
        <f t="shared" si="49"/>
        <v/>
      </c>
      <c r="U203" s="610" t="str">
        <f t="shared" si="50"/>
        <v/>
      </c>
      <c r="V203" s="701" t="str">
        <f t="shared" si="40"/>
        <v/>
      </c>
      <c r="W203" s="701" t="str">
        <f t="shared" si="41"/>
        <v/>
      </c>
      <c r="X203" s="701" t="str">
        <f t="shared" si="42"/>
        <v/>
      </c>
      <c r="Y203" s="500" t="str">
        <f t="shared" si="43"/>
        <v/>
      </c>
      <c r="AJ203" s="468" t="s">
        <v>468</v>
      </c>
      <c r="AK203" s="499">
        <v>191</v>
      </c>
      <c r="AL203" s="467" t="str">
        <f t="shared" si="51"/>
        <v>○</v>
      </c>
      <c r="AM203" s="475" t="str">
        <f t="shared" si="52"/>
        <v>申請しない場合は入力不要です。</v>
      </c>
      <c r="AO203" s="475">
        <f t="shared" si="53"/>
        <v>0</v>
      </c>
    </row>
    <row r="204" spans="1:41" ht="20.100000000000001" customHeight="1">
      <c r="A204" s="494">
        <v>192</v>
      </c>
      <c r="B204" s="206"/>
      <c r="C204" s="207"/>
      <c r="D204" s="1859"/>
      <c r="E204" s="1860"/>
      <c r="F204" s="1861"/>
      <c r="G204" s="208"/>
      <c r="H204" s="208"/>
      <c r="I204" s="209"/>
      <c r="J204" s="495">
        <f t="shared" si="44"/>
        <v>0</v>
      </c>
      <c r="K204" s="496">
        <f t="shared" si="45"/>
        <v>0</v>
      </c>
      <c r="L204" s="496" t="str">
        <f t="shared" si="46"/>
        <v/>
      </c>
      <c r="M204" s="496" t="str">
        <f t="shared" si="47"/>
        <v/>
      </c>
      <c r="N204" s="805"/>
      <c r="O204" s="805"/>
      <c r="P204" s="805"/>
      <c r="Q204" s="497">
        <f t="shared" si="48"/>
        <v>0</v>
      </c>
      <c r="R204" s="498" t="str">
        <f xml:space="preserve">
IF(表紙!$X$2="事前協議","－",
IF(表紙!$X$2="交付申請（２次）","－",
IF(表紙!$X$2="変更申請","－",
IF(AND(表紙!$X$2="実績報告（１次）",AL204="◎"),COUNTIF($AL$13:AL204,"◎"),
IF(AND(表紙!$X$2="実績報告（１次）",OR(AL204="×",AL204="○")),"",
IF(表紙!$X$2="実績報告（２次）","－",
IF(表紙!$X$2="交付申請兼実績報告","－")))))))</f>
        <v>－</v>
      </c>
      <c r="S204" s="498" t="str">
        <f t="shared" si="49"/>
        <v/>
      </c>
      <c r="U204" s="610" t="str">
        <f t="shared" si="50"/>
        <v/>
      </c>
      <c r="V204" s="701" t="str">
        <f t="shared" si="40"/>
        <v/>
      </c>
      <c r="W204" s="701" t="str">
        <f t="shared" si="41"/>
        <v/>
      </c>
      <c r="X204" s="701" t="str">
        <f t="shared" si="42"/>
        <v/>
      </c>
      <c r="Y204" s="500" t="str">
        <f t="shared" si="43"/>
        <v/>
      </c>
      <c r="AJ204" s="468" t="s">
        <v>468</v>
      </c>
      <c r="AK204" s="499">
        <v>192</v>
      </c>
      <c r="AL204" s="467" t="str">
        <f t="shared" si="51"/>
        <v>○</v>
      </c>
      <c r="AM204" s="475" t="str">
        <f t="shared" si="52"/>
        <v>申請しない場合は入力不要です。</v>
      </c>
      <c r="AO204" s="475">
        <f t="shared" si="53"/>
        <v>0</v>
      </c>
    </row>
    <row r="205" spans="1:41" ht="20.100000000000001" customHeight="1">
      <c r="A205" s="494">
        <v>193</v>
      </c>
      <c r="B205" s="206"/>
      <c r="C205" s="207"/>
      <c r="D205" s="1859"/>
      <c r="E205" s="1860"/>
      <c r="F205" s="1861"/>
      <c r="G205" s="208"/>
      <c r="H205" s="208"/>
      <c r="I205" s="209"/>
      <c r="J205" s="495">
        <f t="shared" si="44"/>
        <v>0</v>
      </c>
      <c r="K205" s="496">
        <f t="shared" si="45"/>
        <v>0</v>
      </c>
      <c r="L205" s="496" t="str">
        <f t="shared" si="46"/>
        <v/>
      </c>
      <c r="M205" s="496" t="str">
        <f t="shared" si="47"/>
        <v/>
      </c>
      <c r="N205" s="805"/>
      <c r="O205" s="805"/>
      <c r="P205" s="805"/>
      <c r="Q205" s="497">
        <f t="shared" si="48"/>
        <v>0</v>
      </c>
      <c r="R205" s="498" t="str">
        <f xml:space="preserve">
IF(表紙!$X$2="事前協議","－",
IF(表紙!$X$2="交付申請（２次）","－",
IF(表紙!$X$2="変更申請","－",
IF(AND(表紙!$X$2="実績報告（１次）",AL205="◎"),COUNTIF($AL$13:AL205,"◎"),
IF(AND(表紙!$X$2="実績報告（１次）",OR(AL205="×",AL205="○")),"",
IF(表紙!$X$2="実績報告（２次）","－",
IF(表紙!$X$2="交付申請兼実績報告","－")))))))</f>
        <v>－</v>
      </c>
      <c r="S205" s="498" t="str">
        <f t="shared" si="49"/>
        <v/>
      </c>
      <c r="U205" s="610" t="str">
        <f t="shared" si="50"/>
        <v/>
      </c>
      <c r="V205" s="701" t="str">
        <f t="shared" si="40"/>
        <v/>
      </c>
      <c r="W205" s="701" t="str">
        <f t="shared" si="41"/>
        <v/>
      </c>
      <c r="X205" s="701" t="str">
        <f t="shared" si="42"/>
        <v/>
      </c>
      <c r="Y205" s="500" t="str">
        <f t="shared" si="43"/>
        <v/>
      </c>
      <c r="AJ205" s="468" t="s">
        <v>468</v>
      </c>
      <c r="AK205" s="499">
        <v>193</v>
      </c>
      <c r="AL205" s="467" t="str">
        <f t="shared" si="51"/>
        <v>○</v>
      </c>
      <c r="AM205" s="475" t="str">
        <f t="shared" si="52"/>
        <v>申請しない場合は入力不要です。</v>
      </c>
      <c r="AO205" s="475">
        <f t="shared" si="53"/>
        <v>0</v>
      </c>
    </row>
    <row r="206" spans="1:41" ht="20.100000000000001" customHeight="1">
      <c r="A206" s="494">
        <v>194</v>
      </c>
      <c r="B206" s="206"/>
      <c r="C206" s="207"/>
      <c r="D206" s="1859"/>
      <c r="E206" s="1860"/>
      <c r="F206" s="1861"/>
      <c r="G206" s="208"/>
      <c r="H206" s="208"/>
      <c r="I206" s="209"/>
      <c r="J206" s="495">
        <f t="shared" si="44"/>
        <v>0</v>
      </c>
      <c r="K206" s="496">
        <f t="shared" si="45"/>
        <v>0</v>
      </c>
      <c r="L206" s="496" t="str">
        <f t="shared" si="46"/>
        <v/>
      </c>
      <c r="M206" s="496" t="str">
        <f t="shared" si="47"/>
        <v/>
      </c>
      <c r="N206" s="805"/>
      <c r="O206" s="805"/>
      <c r="P206" s="805"/>
      <c r="Q206" s="497">
        <f t="shared" si="48"/>
        <v>0</v>
      </c>
      <c r="R206" s="498" t="str">
        <f xml:space="preserve">
IF(表紙!$X$2="事前協議","－",
IF(表紙!$X$2="交付申請（２次）","－",
IF(表紙!$X$2="変更申請","－",
IF(AND(表紙!$X$2="実績報告（１次）",AL206="◎"),COUNTIF($AL$13:AL206,"◎"),
IF(AND(表紙!$X$2="実績報告（１次）",OR(AL206="×",AL206="○")),"",
IF(表紙!$X$2="実績報告（２次）","－",
IF(表紙!$X$2="交付申請兼実績報告","－")))))))</f>
        <v>－</v>
      </c>
      <c r="S206" s="498" t="str">
        <f t="shared" si="49"/>
        <v/>
      </c>
      <c r="U206" s="610" t="str">
        <f t="shared" si="50"/>
        <v/>
      </c>
      <c r="V206" s="701" t="str">
        <f t="shared" ref="V206:V211" si="54">IF($U206=MAX($U$13:$U$212),N206,"")</f>
        <v/>
      </c>
      <c r="W206" s="701" t="str">
        <f t="shared" ref="W206:W211" si="55">IF($U206=MAX($U$13:$U$212),O206,"")</f>
        <v/>
      </c>
      <c r="X206" s="701" t="str">
        <f t="shared" ref="X206:X211" si="56">IF($U206=MAX($U$13:$U$212),P206,"")</f>
        <v/>
      </c>
      <c r="Y206" s="500" t="str">
        <f t="shared" ref="Y206:Y212" si="57">U206&amp;C206</f>
        <v/>
      </c>
      <c r="AJ206" s="468" t="s">
        <v>468</v>
      </c>
      <c r="AK206" s="499">
        <v>194</v>
      </c>
      <c r="AL206" s="467" t="str">
        <f t="shared" si="51"/>
        <v>○</v>
      </c>
      <c r="AM206" s="475" t="str">
        <f t="shared" si="52"/>
        <v>申請しない場合は入力不要です。</v>
      </c>
      <c r="AO206" s="475">
        <f t="shared" si="53"/>
        <v>0</v>
      </c>
    </row>
    <row r="207" spans="1:41" ht="20.100000000000001" customHeight="1">
      <c r="A207" s="494">
        <v>195</v>
      </c>
      <c r="B207" s="206"/>
      <c r="C207" s="207"/>
      <c r="D207" s="1859"/>
      <c r="E207" s="1860"/>
      <c r="F207" s="1861"/>
      <c r="G207" s="208"/>
      <c r="H207" s="208"/>
      <c r="I207" s="209"/>
      <c r="J207" s="495">
        <f t="shared" ref="J207:J212" si="58">ROUNDDOWN(I207*1.1,0)</f>
        <v>0</v>
      </c>
      <c r="K207" s="496">
        <f t="shared" ref="K207:K212" si="59">ROUNDDOWN(H207*J207,0)</f>
        <v>0</v>
      </c>
      <c r="L207" s="496" t="str">
        <f t="shared" ref="L207:L212" si="60">IFERROR(G207*H207*VLOOKUP(C207,$AY$123:$AZ$139,2,FALSE),"")</f>
        <v/>
      </c>
      <c r="M207" s="496" t="str">
        <f t="shared" ref="M207:M212" si="61">IF(L207="","",MIN(K207,L207))</f>
        <v/>
      </c>
      <c r="N207" s="805"/>
      <c r="O207" s="805"/>
      <c r="P207" s="805"/>
      <c r="Q207" s="497">
        <f t="shared" ref="Q207:Q212" si="62" xml:space="preserve">
IF(AND(AL207="◎",M207&gt;=0),G207*H207,
IF(AND(AL207="◎",M207&lt;0),0,0))</f>
        <v>0</v>
      </c>
      <c r="R207" s="498" t="str">
        <f xml:space="preserve">
IF(表紙!$X$2="事前協議","－",
IF(表紙!$X$2="交付申請（２次）","－",
IF(表紙!$X$2="変更申請","－",
IF(AND(表紙!$X$2="実績報告（１次）",AL207="◎"),COUNTIF($AL$13:AL207,"◎"),
IF(AND(表紙!$X$2="実績報告（１次）",OR(AL207="×",AL207="○")),"",
IF(表紙!$X$2="実績報告（２次）","－",
IF(表紙!$X$2="交付申請兼実績報告","－")))))))</f>
        <v>－</v>
      </c>
      <c r="S207" s="498" t="str">
        <f t="shared" ref="S207:S212" si="63">IFERROR(
"@"&amp;TEXT(ROUNDUP(J207/G207,0),"#,###円")&amp;
IF(ROUNDUP(J207/G207,0)&lt;VLOOKUP(C207,$AY$123:$AZ$139,2,FALSE),"&lt;",
IF(ROUNDUP(J207/G207,0)=VLOOKUP(C207,$AY$123:$AZ$139,2,FALSE),"=",
IF(ROUNDUP(J207/G207,0)&gt;VLOOKUP(C207,$AY$123:$AZ$139,2,FALSE),"&gt;")))&amp;
"上限@"&amp;TEXT(VLOOKUP(C207,$AY$123:$AZ$139,2,FALSE),"#,###円"),"")</f>
        <v/>
      </c>
      <c r="U207" s="610" t="str">
        <f t="shared" ref="U207:U212" si="64">IF(AL207="◎",DATE(IF(N207=5,2023,IF(N207=6,2024)),O207,P207),"")</f>
        <v/>
      </c>
      <c r="V207" s="701" t="str">
        <f t="shared" si="54"/>
        <v/>
      </c>
      <c r="W207" s="701" t="str">
        <f t="shared" si="55"/>
        <v/>
      </c>
      <c r="X207" s="701" t="str">
        <f t="shared" si="56"/>
        <v/>
      </c>
      <c r="Y207" s="500" t="str">
        <f t="shared" si="57"/>
        <v/>
      </c>
      <c r="AJ207" s="468" t="s">
        <v>468</v>
      </c>
      <c r="AK207" s="499">
        <v>195</v>
      </c>
      <c r="AL207" s="467" t="str">
        <f t="shared" ref="AL207:AL212" si="65" xml:space="preserve">
IF(COUNTA(B207:I207,N207:P207)=0,"○",
IF(AND(COUNTA(B207:I207,N207:P207)&gt;=1,COUNTA(B207:I207,N207:P207)&lt;9),"×",
IF(COUNTA(B207:I207,N207:P207)=9,"◎")))</f>
        <v>○</v>
      </c>
      <c r="AM207" s="475" t="str">
        <f t="shared" ref="AM207:AM212" si="66" xml:space="preserve">
IF(COUNTA(B207:I207)=0,"申請しない場合は入力不要です。",
IF(AND(COUNTA(B207:I207)&gt;=1,COUNTA(B207:I207)&lt;6),"【要修正】種類、品名、内容量、数量、税抜単価の内、未入力の箇所があります。",
IF(COUNTA(B207:I207)=6,"適切に入力がされました。")))</f>
        <v>申請しない場合は入力不要です。</v>
      </c>
      <c r="AO207" s="475">
        <f t="shared" ref="AO207:AO212" si="67">G207*H207</f>
        <v>0</v>
      </c>
    </row>
    <row r="208" spans="1:41" ht="20.100000000000001" customHeight="1">
      <c r="A208" s="494">
        <v>196</v>
      </c>
      <c r="B208" s="206"/>
      <c r="C208" s="207"/>
      <c r="D208" s="1859"/>
      <c r="E208" s="1860"/>
      <c r="F208" s="1861"/>
      <c r="G208" s="208"/>
      <c r="H208" s="208"/>
      <c r="I208" s="209"/>
      <c r="J208" s="495">
        <f t="shared" si="58"/>
        <v>0</v>
      </c>
      <c r="K208" s="496">
        <f t="shared" si="59"/>
        <v>0</v>
      </c>
      <c r="L208" s="496" t="str">
        <f t="shared" si="60"/>
        <v/>
      </c>
      <c r="M208" s="496" t="str">
        <f t="shared" si="61"/>
        <v/>
      </c>
      <c r="N208" s="805"/>
      <c r="O208" s="805"/>
      <c r="P208" s="805"/>
      <c r="Q208" s="497">
        <f t="shared" si="62"/>
        <v>0</v>
      </c>
      <c r="R208" s="498" t="str">
        <f xml:space="preserve">
IF(表紙!$X$2="事前協議","－",
IF(表紙!$X$2="交付申請（２次）","－",
IF(表紙!$X$2="変更申請","－",
IF(AND(表紙!$X$2="実績報告（１次）",AL208="◎"),COUNTIF($AL$13:AL208,"◎"),
IF(AND(表紙!$X$2="実績報告（１次）",OR(AL208="×",AL208="○")),"",
IF(表紙!$X$2="実績報告（２次）","－",
IF(表紙!$X$2="交付申請兼実績報告","－")))))))</f>
        <v>－</v>
      </c>
      <c r="S208" s="498" t="str">
        <f t="shared" si="63"/>
        <v/>
      </c>
      <c r="U208" s="610" t="str">
        <f t="shared" si="64"/>
        <v/>
      </c>
      <c r="V208" s="701" t="str">
        <f t="shared" si="54"/>
        <v/>
      </c>
      <c r="W208" s="701" t="str">
        <f t="shared" si="55"/>
        <v/>
      </c>
      <c r="X208" s="701" t="str">
        <f t="shared" si="56"/>
        <v/>
      </c>
      <c r="Y208" s="500" t="str">
        <f t="shared" si="57"/>
        <v/>
      </c>
      <c r="AJ208" s="468" t="s">
        <v>468</v>
      </c>
      <c r="AK208" s="499">
        <v>196</v>
      </c>
      <c r="AL208" s="467" t="str">
        <f t="shared" si="65"/>
        <v>○</v>
      </c>
      <c r="AM208" s="475" t="str">
        <f t="shared" si="66"/>
        <v>申請しない場合は入力不要です。</v>
      </c>
      <c r="AO208" s="475">
        <f t="shared" si="67"/>
        <v>0</v>
      </c>
    </row>
    <row r="209" spans="1:41" ht="20.100000000000001" customHeight="1">
      <c r="A209" s="494">
        <v>197</v>
      </c>
      <c r="B209" s="206"/>
      <c r="C209" s="207"/>
      <c r="D209" s="1859"/>
      <c r="E209" s="1860"/>
      <c r="F209" s="1861"/>
      <c r="G209" s="208"/>
      <c r="H209" s="208"/>
      <c r="I209" s="209"/>
      <c r="J209" s="495">
        <f t="shared" si="58"/>
        <v>0</v>
      </c>
      <c r="K209" s="496">
        <f t="shared" si="59"/>
        <v>0</v>
      </c>
      <c r="L209" s="496" t="str">
        <f t="shared" si="60"/>
        <v/>
      </c>
      <c r="M209" s="496" t="str">
        <f t="shared" si="61"/>
        <v/>
      </c>
      <c r="N209" s="805"/>
      <c r="O209" s="805"/>
      <c r="P209" s="805"/>
      <c r="Q209" s="497">
        <f t="shared" si="62"/>
        <v>0</v>
      </c>
      <c r="R209" s="498" t="str">
        <f xml:space="preserve">
IF(表紙!$X$2="事前協議","－",
IF(表紙!$X$2="交付申請（２次）","－",
IF(表紙!$X$2="変更申請","－",
IF(AND(表紙!$X$2="実績報告（１次）",AL209="◎"),COUNTIF($AL$13:AL209,"◎"),
IF(AND(表紙!$X$2="実績報告（１次）",OR(AL209="×",AL209="○")),"",
IF(表紙!$X$2="実績報告（２次）","－",
IF(表紙!$X$2="交付申請兼実績報告","－")))))))</f>
        <v>－</v>
      </c>
      <c r="S209" s="498" t="str">
        <f t="shared" si="63"/>
        <v/>
      </c>
      <c r="U209" s="610" t="str">
        <f t="shared" si="64"/>
        <v/>
      </c>
      <c r="V209" s="701" t="str">
        <f t="shared" si="54"/>
        <v/>
      </c>
      <c r="W209" s="701" t="str">
        <f t="shared" si="55"/>
        <v/>
      </c>
      <c r="X209" s="701" t="str">
        <f t="shared" si="56"/>
        <v/>
      </c>
      <c r="Y209" s="500" t="str">
        <f t="shared" si="57"/>
        <v/>
      </c>
      <c r="AJ209" s="468" t="s">
        <v>468</v>
      </c>
      <c r="AK209" s="499">
        <v>197</v>
      </c>
      <c r="AL209" s="467" t="str">
        <f t="shared" si="65"/>
        <v>○</v>
      </c>
      <c r="AM209" s="475" t="str">
        <f t="shared" si="66"/>
        <v>申請しない場合は入力不要です。</v>
      </c>
      <c r="AO209" s="475">
        <f t="shared" si="67"/>
        <v>0</v>
      </c>
    </row>
    <row r="210" spans="1:41" ht="20.100000000000001" customHeight="1">
      <c r="A210" s="494">
        <v>198</v>
      </c>
      <c r="B210" s="206"/>
      <c r="C210" s="207"/>
      <c r="D210" s="1859"/>
      <c r="E210" s="1860"/>
      <c r="F210" s="1861"/>
      <c r="G210" s="208"/>
      <c r="H210" s="208"/>
      <c r="I210" s="209"/>
      <c r="J210" s="495">
        <f t="shared" si="58"/>
        <v>0</v>
      </c>
      <c r="K210" s="496">
        <f t="shared" si="59"/>
        <v>0</v>
      </c>
      <c r="L210" s="496" t="str">
        <f t="shared" si="60"/>
        <v/>
      </c>
      <c r="M210" s="496" t="str">
        <f t="shared" si="61"/>
        <v/>
      </c>
      <c r="N210" s="805"/>
      <c r="O210" s="805"/>
      <c r="P210" s="805"/>
      <c r="Q210" s="497">
        <f t="shared" si="62"/>
        <v>0</v>
      </c>
      <c r="R210" s="498" t="str">
        <f xml:space="preserve">
IF(表紙!$X$2="事前協議","－",
IF(表紙!$X$2="交付申請（２次）","－",
IF(表紙!$X$2="変更申請","－",
IF(AND(表紙!$X$2="実績報告（１次）",AL210="◎"),COUNTIF($AL$13:AL210,"◎"),
IF(AND(表紙!$X$2="実績報告（１次）",OR(AL210="×",AL210="○")),"",
IF(表紙!$X$2="実績報告（２次）","－",
IF(表紙!$X$2="交付申請兼実績報告","－")))))))</f>
        <v>－</v>
      </c>
      <c r="S210" s="498" t="str">
        <f t="shared" si="63"/>
        <v/>
      </c>
      <c r="U210" s="610" t="str">
        <f t="shared" si="64"/>
        <v/>
      </c>
      <c r="V210" s="701" t="str">
        <f t="shared" si="54"/>
        <v/>
      </c>
      <c r="W210" s="701" t="str">
        <f t="shared" si="55"/>
        <v/>
      </c>
      <c r="X210" s="701" t="str">
        <f t="shared" si="56"/>
        <v/>
      </c>
      <c r="Y210" s="500" t="str">
        <f t="shared" si="57"/>
        <v/>
      </c>
      <c r="AJ210" s="468" t="s">
        <v>468</v>
      </c>
      <c r="AK210" s="499">
        <v>198</v>
      </c>
      <c r="AL210" s="467" t="str">
        <f t="shared" si="65"/>
        <v>○</v>
      </c>
      <c r="AM210" s="475" t="str">
        <f t="shared" si="66"/>
        <v>申請しない場合は入力不要です。</v>
      </c>
      <c r="AO210" s="475">
        <f t="shared" si="67"/>
        <v>0</v>
      </c>
    </row>
    <row r="211" spans="1:41" ht="20.100000000000001" customHeight="1">
      <c r="A211" s="494">
        <v>199</v>
      </c>
      <c r="B211" s="206"/>
      <c r="C211" s="207"/>
      <c r="D211" s="1859"/>
      <c r="E211" s="1860"/>
      <c r="F211" s="1861"/>
      <c r="G211" s="208"/>
      <c r="H211" s="208"/>
      <c r="I211" s="209"/>
      <c r="J211" s="495">
        <f t="shared" si="58"/>
        <v>0</v>
      </c>
      <c r="K211" s="496">
        <f t="shared" si="59"/>
        <v>0</v>
      </c>
      <c r="L211" s="496" t="str">
        <f t="shared" si="60"/>
        <v/>
      </c>
      <c r="M211" s="496" t="str">
        <f t="shared" si="61"/>
        <v/>
      </c>
      <c r="N211" s="805"/>
      <c r="O211" s="805"/>
      <c r="P211" s="805"/>
      <c r="Q211" s="497">
        <f t="shared" si="62"/>
        <v>0</v>
      </c>
      <c r="R211" s="498" t="str">
        <f xml:space="preserve">
IF(表紙!$X$2="事前協議","－",
IF(表紙!$X$2="交付申請（２次）","－",
IF(表紙!$X$2="変更申請","－",
IF(AND(表紙!$X$2="実績報告（１次）",AL211="◎"),COUNTIF($AL$13:AL211,"◎"),
IF(AND(表紙!$X$2="実績報告（１次）",OR(AL211="×",AL211="○")),"",
IF(表紙!$X$2="実績報告（２次）","－",
IF(表紙!$X$2="交付申請兼実績報告","－")))))))</f>
        <v>－</v>
      </c>
      <c r="S211" s="498" t="str">
        <f t="shared" si="63"/>
        <v/>
      </c>
      <c r="U211" s="610" t="str">
        <f t="shared" si="64"/>
        <v/>
      </c>
      <c r="V211" s="701" t="str">
        <f t="shared" si="54"/>
        <v/>
      </c>
      <c r="W211" s="701" t="str">
        <f t="shared" si="55"/>
        <v/>
      </c>
      <c r="X211" s="701" t="str">
        <f t="shared" si="56"/>
        <v/>
      </c>
      <c r="Y211" s="500" t="str">
        <f t="shared" si="57"/>
        <v/>
      </c>
      <c r="AJ211" s="468" t="s">
        <v>468</v>
      </c>
      <c r="AK211" s="499">
        <v>199</v>
      </c>
      <c r="AL211" s="467" t="str">
        <f t="shared" si="65"/>
        <v>○</v>
      </c>
      <c r="AM211" s="475" t="str">
        <f t="shared" si="66"/>
        <v>申請しない場合は入力不要です。</v>
      </c>
      <c r="AO211" s="475">
        <f t="shared" si="67"/>
        <v>0</v>
      </c>
    </row>
    <row r="212" spans="1:41" ht="20.100000000000001" customHeight="1">
      <c r="A212" s="494">
        <v>200</v>
      </c>
      <c r="B212" s="206"/>
      <c r="C212" s="207"/>
      <c r="D212" s="1859"/>
      <c r="E212" s="1860"/>
      <c r="F212" s="1861"/>
      <c r="G212" s="208"/>
      <c r="H212" s="208"/>
      <c r="I212" s="209"/>
      <c r="J212" s="495">
        <f t="shared" si="58"/>
        <v>0</v>
      </c>
      <c r="K212" s="496">
        <f t="shared" si="59"/>
        <v>0</v>
      </c>
      <c r="L212" s="496" t="str">
        <f t="shared" si="60"/>
        <v/>
      </c>
      <c r="M212" s="496" t="str">
        <f t="shared" si="61"/>
        <v/>
      </c>
      <c r="N212" s="805"/>
      <c r="O212" s="805"/>
      <c r="P212" s="805"/>
      <c r="Q212" s="497">
        <f t="shared" si="62"/>
        <v>0</v>
      </c>
      <c r="R212" s="498" t="str">
        <f xml:space="preserve">
IF(表紙!$X$2="事前協議","－",
IF(表紙!$X$2="交付申請（２次）","－",
IF(表紙!$X$2="変更申請","－",
IF(AND(表紙!$X$2="実績報告（１次）",AL212="◎"),COUNTIF($AL$13:AL212,"◎"),
IF(AND(表紙!$X$2="実績報告（１次）",OR(AL212="×",AL212="○")),"",
IF(表紙!$X$2="実績報告（２次）","－",
IF(表紙!$X$2="交付申請兼実績報告","－")))))))</f>
        <v>－</v>
      </c>
      <c r="S212" s="498" t="str">
        <f t="shared" si="63"/>
        <v/>
      </c>
      <c r="U212" s="610" t="str">
        <f t="shared" si="64"/>
        <v/>
      </c>
      <c r="V212" s="701" t="str">
        <f>IF($U212=MAX($U$13:$U$212),N212,"")</f>
        <v/>
      </c>
      <c r="W212" s="701" t="str">
        <f>IF($U212=MAX($U$13:$U$212),O212,"")</f>
        <v/>
      </c>
      <c r="X212" s="701" t="str">
        <f>IF($U212=MAX($U$13:$U$212),P212,"")</f>
        <v/>
      </c>
      <c r="Y212" s="500" t="str">
        <f t="shared" si="57"/>
        <v/>
      </c>
      <c r="AJ212" s="468" t="s">
        <v>468</v>
      </c>
      <c r="AK212" s="499">
        <v>200</v>
      </c>
      <c r="AL212" s="467" t="str">
        <f t="shared" si="65"/>
        <v>○</v>
      </c>
      <c r="AM212" s="475" t="str">
        <f t="shared" si="66"/>
        <v>申請しない場合は入力不要です。</v>
      </c>
      <c r="AO212" s="475">
        <f t="shared" si="67"/>
        <v>0</v>
      </c>
    </row>
  </sheetData>
  <sheetProtection algorithmName="SHA-512" hashValue="7S3wjrFknw76knsfdIJ4e6IQkpR0K+0F/1ylP1kbdOsAPQlbSgYiZ0j/RO/5RifeB/TpVSEFkdhZTDdDGIZNVA==" saltValue="GNNy8yAkunSdH8prKqs7dg==" spinCount="100000" sheet="1" insertRows="0"/>
  <mergeCells count="232">
    <mergeCell ref="BA122:BB122"/>
    <mergeCell ref="D208:F208"/>
    <mergeCell ref="D209:F209"/>
    <mergeCell ref="D210:F210"/>
    <mergeCell ref="D211:F211"/>
    <mergeCell ref="D212:F212"/>
    <mergeCell ref="D199:F199"/>
    <mergeCell ref="D200:F200"/>
    <mergeCell ref="D201:F201"/>
    <mergeCell ref="D202:F202"/>
    <mergeCell ref="D203:F203"/>
    <mergeCell ref="D204:F204"/>
    <mergeCell ref="D205:F205"/>
    <mergeCell ref="D206:F206"/>
    <mergeCell ref="D207:F207"/>
    <mergeCell ref="D190:F190"/>
    <mergeCell ref="D191:F191"/>
    <mergeCell ref="D192:F192"/>
    <mergeCell ref="D193:F193"/>
    <mergeCell ref="D194:F194"/>
    <mergeCell ref="D195:F195"/>
    <mergeCell ref="D196:F196"/>
    <mergeCell ref="D197:F197"/>
    <mergeCell ref="D198:F198"/>
    <mergeCell ref="D181:F181"/>
    <mergeCell ref="D182:F182"/>
    <mergeCell ref="D183:F183"/>
    <mergeCell ref="D184:F184"/>
    <mergeCell ref="D185:F185"/>
    <mergeCell ref="D186:F186"/>
    <mergeCell ref="D187:F187"/>
    <mergeCell ref="D188:F188"/>
    <mergeCell ref="D189:F189"/>
    <mergeCell ref="D172:F172"/>
    <mergeCell ref="D173:F173"/>
    <mergeCell ref="D174:F174"/>
    <mergeCell ref="D175:F175"/>
    <mergeCell ref="D176:F176"/>
    <mergeCell ref="D177:F177"/>
    <mergeCell ref="D178:F178"/>
    <mergeCell ref="D179:F179"/>
    <mergeCell ref="D180:F180"/>
    <mergeCell ref="D163:F163"/>
    <mergeCell ref="D164:F164"/>
    <mergeCell ref="D165:F165"/>
    <mergeCell ref="D166:F166"/>
    <mergeCell ref="D167:F167"/>
    <mergeCell ref="D168:F168"/>
    <mergeCell ref="D169:F169"/>
    <mergeCell ref="D170:F170"/>
    <mergeCell ref="D171:F171"/>
    <mergeCell ref="D154:F154"/>
    <mergeCell ref="D155:F155"/>
    <mergeCell ref="D156:F156"/>
    <mergeCell ref="D157:F157"/>
    <mergeCell ref="D158:F158"/>
    <mergeCell ref="D159:F159"/>
    <mergeCell ref="D160:F160"/>
    <mergeCell ref="D161:F161"/>
    <mergeCell ref="D162:F162"/>
    <mergeCell ref="D145:F145"/>
    <mergeCell ref="D146:F146"/>
    <mergeCell ref="D147:F147"/>
    <mergeCell ref="D148:F148"/>
    <mergeCell ref="D149:F149"/>
    <mergeCell ref="D150:F150"/>
    <mergeCell ref="D151:F151"/>
    <mergeCell ref="D152:F152"/>
    <mergeCell ref="D153:F153"/>
    <mergeCell ref="D136:F136"/>
    <mergeCell ref="D137:F137"/>
    <mergeCell ref="D138:F138"/>
    <mergeCell ref="D139:F139"/>
    <mergeCell ref="D140:F140"/>
    <mergeCell ref="D141:F141"/>
    <mergeCell ref="D142:F142"/>
    <mergeCell ref="D143:F143"/>
    <mergeCell ref="D144:F144"/>
    <mergeCell ref="D127:F127"/>
    <mergeCell ref="D128:F128"/>
    <mergeCell ref="D129:F129"/>
    <mergeCell ref="D130:F130"/>
    <mergeCell ref="D131:F131"/>
    <mergeCell ref="D132:F132"/>
    <mergeCell ref="D133:F133"/>
    <mergeCell ref="D134:F134"/>
    <mergeCell ref="D135:F135"/>
    <mergeCell ref="D118:F118"/>
    <mergeCell ref="D119:F119"/>
    <mergeCell ref="D120:F120"/>
    <mergeCell ref="R1:T1"/>
    <mergeCell ref="R2:S2"/>
    <mergeCell ref="A5:S5"/>
    <mergeCell ref="E6:G6"/>
    <mergeCell ref="F7:G7"/>
    <mergeCell ref="H7:K8"/>
    <mergeCell ref="F8:G8"/>
    <mergeCell ref="D16:F16"/>
    <mergeCell ref="D17:F17"/>
    <mergeCell ref="N12:P12"/>
    <mergeCell ref="D18:F18"/>
    <mergeCell ref="D19:F19"/>
    <mergeCell ref="D20:F20"/>
    <mergeCell ref="D21:F21"/>
    <mergeCell ref="A10:B10"/>
    <mergeCell ref="A11:R11"/>
    <mergeCell ref="D12:F12"/>
    <mergeCell ref="D13:F13"/>
    <mergeCell ref="D14:F14"/>
    <mergeCell ref="D15:F15"/>
    <mergeCell ref="D28:F28"/>
    <mergeCell ref="D29:F29"/>
    <mergeCell ref="D30:F30"/>
    <mergeCell ref="D31:F31"/>
    <mergeCell ref="D32:F32"/>
    <mergeCell ref="D33:F33"/>
    <mergeCell ref="D22:F22"/>
    <mergeCell ref="D23:F23"/>
    <mergeCell ref="D24:F24"/>
    <mergeCell ref="D25:F25"/>
    <mergeCell ref="D26:F26"/>
    <mergeCell ref="D27:F27"/>
    <mergeCell ref="D40:F40"/>
    <mergeCell ref="D41:F41"/>
    <mergeCell ref="D42:F42"/>
    <mergeCell ref="D43:F43"/>
    <mergeCell ref="D44:F44"/>
    <mergeCell ref="D45:F45"/>
    <mergeCell ref="D34:F34"/>
    <mergeCell ref="D35:F35"/>
    <mergeCell ref="D36:F36"/>
    <mergeCell ref="D37:F37"/>
    <mergeCell ref="D38:F38"/>
    <mergeCell ref="D39:F39"/>
    <mergeCell ref="D52:F52"/>
    <mergeCell ref="D53:F53"/>
    <mergeCell ref="D54:F54"/>
    <mergeCell ref="D55:F55"/>
    <mergeCell ref="D56:F56"/>
    <mergeCell ref="D57:F57"/>
    <mergeCell ref="D46:F46"/>
    <mergeCell ref="D47:F47"/>
    <mergeCell ref="D48:F48"/>
    <mergeCell ref="D49:F49"/>
    <mergeCell ref="D50:F50"/>
    <mergeCell ref="D51:F51"/>
    <mergeCell ref="D64:F64"/>
    <mergeCell ref="D65:F65"/>
    <mergeCell ref="D66:F66"/>
    <mergeCell ref="D67:F67"/>
    <mergeCell ref="D68:F68"/>
    <mergeCell ref="D69:F69"/>
    <mergeCell ref="D58:F58"/>
    <mergeCell ref="D59:F59"/>
    <mergeCell ref="D60:F60"/>
    <mergeCell ref="D61:F61"/>
    <mergeCell ref="D62:F62"/>
    <mergeCell ref="D63:F63"/>
    <mergeCell ref="D76:F76"/>
    <mergeCell ref="D77:F77"/>
    <mergeCell ref="D78:F78"/>
    <mergeCell ref="D79:F79"/>
    <mergeCell ref="D80:F80"/>
    <mergeCell ref="D81:F81"/>
    <mergeCell ref="D70:F70"/>
    <mergeCell ref="D71:F71"/>
    <mergeCell ref="D72:F72"/>
    <mergeCell ref="D73:F73"/>
    <mergeCell ref="D74:F74"/>
    <mergeCell ref="D75:F75"/>
    <mergeCell ref="D88:F88"/>
    <mergeCell ref="D89:F89"/>
    <mergeCell ref="D90:F90"/>
    <mergeCell ref="D91:F91"/>
    <mergeCell ref="D92:F92"/>
    <mergeCell ref="D93:F93"/>
    <mergeCell ref="D82:F82"/>
    <mergeCell ref="D83:F83"/>
    <mergeCell ref="D84:F84"/>
    <mergeCell ref="D85:F85"/>
    <mergeCell ref="D86:F86"/>
    <mergeCell ref="D87:F87"/>
    <mergeCell ref="D100:F100"/>
    <mergeCell ref="D101:F101"/>
    <mergeCell ref="D102:F102"/>
    <mergeCell ref="D103:F103"/>
    <mergeCell ref="D104:F104"/>
    <mergeCell ref="D105:F105"/>
    <mergeCell ref="D94:F94"/>
    <mergeCell ref="D95:F95"/>
    <mergeCell ref="D96:F96"/>
    <mergeCell ref="D97:F97"/>
    <mergeCell ref="D98:F98"/>
    <mergeCell ref="D99:F99"/>
    <mergeCell ref="D112:F112"/>
    <mergeCell ref="AW117:BC119"/>
    <mergeCell ref="AU118:AU119"/>
    <mergeCell ref="AV118:AV119"/>
    <mergeCell ref="AX123:AX126"/>
    <mergeCell ref="BB125:BB126"/>
    <mergeCell ref="BC125:BC126"/>
    <mergeCell ref="D106:F106"/>
    <mergeCell ref="D107:F107"/>
    <mergeCell ref="D108:F108"/>
    <mergeCell ref="D109:F109"/>
    <mergeCell ref="D110:F110"/>
    <mergeCell ref="D111:F111"/>
    <mergeCell ref="D121:F121"/>
    <mergeCell ref="D122:F122"/>
    <mergeCell ref="D123:F123"/>
    <mergeCell ref="D124:F124"/>
    <mergeCell ref="D125:F125"/>
    <mergeCell ref="D126:F126"/>
    <mergeCell ref="D113:F113"/>
    <mergeCell ref="D114:F114"/>
    <mergeCell ref="D115:F115"/>
    <mergeCell ref="D116:F116"/>
    <mergeCell ref="D117:F117"/>
    <mergeCell ref="AX133:AX134"/>
    <mergeCell ref="BB133:BB134"/>
    <mergeCell ref="BC133:BC134"/>
    <mergeCell ref="BD133:BD134"/>
    <mergeCell ref="BE133:BE134"/>
    <mergeCell ref="AX136:AX139"/>
    <mergeCell ref="BD125:BD126"/>
    <mergeCell ref="BE125:BE126"/>
    <mergeCell ref="AX127:AX129"/>
    <mergeCell ref="AX130:AX132"/>
    <mergeCell ref="BB130:BB132"/>
    <mergeCell ref="BC130:BC132"/>
    <mergeCell ref="BD130:BD132"/>
    <mergeCell ref="BE130:BE132"/>
  </mergeCells>
  <phoneticPr fontId="9"/>
  <conditionalFormatting sqref="AN7">
    <cfRule type="containsText" dxfId="132" priority="13" operator="containsText" text="（補助対象員数）">
      <formula>NOT(ISERROR(SEARCH("（補助対象員数）",AN7)))</formula>
    </cfRule>
  </conditionalFormatting>
  <conditionalFormatting sqref="AM13:AM212">
    <cfRule type="containsText" dxfId="131" priority="12" operator="containsText" text="【不備の点】">
      <formula>NOT(ISERROR(SEARCH("【不備の点】",AM13)))</formula>
    </cfRule>
  </conditionalFormatting>
  <conditionalFormatting sqref="AL13:AL212">
    <cfRule type="containsText" dxfId="130" priority="11" operator="containsText" text="×">
      <formula>NOT(ISERROR(SEARCH("×",AL13)))</formula>
    </cfRule>
  </conditionalFormatting>
  <conditionalFormatting sqref="AN7:AQ12">
    <cfRule type="containsText" dxfId="129" priority="10" operator="containsText" text="【未入力有】">
      <formula>NOT(ISERROR(SEARCH("【未入力有】",AN7)))</formula>
    </cfRule>
  </conditionalFormatting>
  <conditionalFormatting sqref="AT118:AU119">
    <cfRule type="containsText" dxfId="128" priority="9" operator="containsText" text="×">
      <formula>NOT(ISERROR(SEARCH("×",AT118)))</formula>
    </cfRule>
  </conditionalFormatting>
  <conditionalFormatting sqref="AV118:AV119 I4:P4">
    <cfRule type="containsText" dxfId="127" priority="8" operator="containsText" text="要修正">
      <formula>NOT(ISERROR(SEARCH("要修正",I4)))</formula>
    </cfRule>
  </conditionalFormatting>
  <conditionalFormatting sqref="R2:S4">
    <cfRule type="containsText" dxfId="126" priority="7" operator="containsText" text="要修正">
      <formula>NOT(ISERROR(SEARCH("要修正",R2)))</formula>
    </cfRule>
  </conditionalFormatting>
  <conditionalFormatting sqref="Q4">
    <cfRule type="containsText" dxfId="125" priority="6" operator="containsText" text="要修正">
      <formula>NOT(ISERROR(SEARCH("要修正",Q4)))</formula>
    </cfRule>
  </conditionalFormatting>
  <conditionalFormatting sqref="C8">
    <cfRule type="containsText" dxfId="124" priority="5" operator="containsText" text="表示不可">
      <formula>NOT(ISERROR(SEARCH("表示不可",C8)))</formula>
    </cfRule>
  </conditionalFormatting>
  <conditionalFormatting sqref="C7">
    <cfRule type="containsText" dxfId="123" priority="4" operator="containsText" text="要修正">
      <formula>NOT(ISERROR(SEARCH("要修正",C7)))</formula>
    </cfRule>
  </conditionalFormatting>
  <conditionalFormatting sqref="C6">
    <cfRule type="containsText" dxfId="122" priority="3" operator="containsText" text="表示不可">
      <formula>NOT(ISERROR(SEARCH("表示不可",C6)))</formula>
    </cfRule>
  </conditionalFormatting>
  <conditionalFormatting sqref="S13:S212">
    <cfRule type="containsText" dxfId="121" priority="2" operator="containsText" text="&gt;">
      <formula>NOT(ISERROR(SEARCH("&gt;",S13)))</formula>
    </cfRule>
  </conditionalFormatting>
  <conditionalFormatting sqref="BD123:BD139">
    <cfRule type="cellIs" dxfId="120" priority="1" operator="lessThan">
      <formula>0</formula>
    </cfRule>
  </conditionalFormatting>
  <dataValidations xWindow="1062" yWindow="619" count="10">
    <dataValidation type="list" allowBlank="1" showInputMessage="1" showErrorMessage="1" promptTitle="①「種類」欄はプルダウンリストから選択してください。" prompt="申請できる個人防護具の種類は、_x000a_マスク、ゴーグル、ガウン、グローブ、キャップ、フェイスシールド_x000a_です。" sqref="C13:C212" xr:uid="{767D9A1D-8A8F-455A-B44B-1C4B88F05950}">
      <formula1>INDIRECT(B13)</formula1>
    </dataValidation>
    <dataValidation type="decimal" operator="greaterThanOrEqual" allowBlank="1" showInputMessage="1" showErrorMessage="1" errorTitle="入力内容に誤りあり" error="数値のみを入力し、単位「円」は入力しないようにしてください。" promptTitle="税抜単価の入力" prompt="購入単価の税抜額を入力してください。_x000a_見積書の記載が税込額だけで、税抜額がわからない場合は上の算出欄をご利用ください。_x000a_入力しない方は「0」は入力せず、空欄としてください。" sqref="I13:I212" xr:uid="{0C2BDCEE-7B50-4BB0-B1EF-DF31A669FDFB}">
      <formula1>-1000000</formula1>
    </dataValidation>
    <dataValidation type="whole" operator="greaterThanOrEqual" allowBlank="1" showInputMessage="1" showErrorMessage="1" errorTitle="整数値を入力" error="単価に基づく箱数の購入量を入力してください。_x000a_数値のみ入力し、「箱」等の単位は入力しないでください。" promptTitle="購入数量の入力" prompt="購入するセット数を入力してください。（１箱50枚入りのマスクを10箱買う場合は、「10」を入力）_x000a_数値のみ入力し、「箱」等の単位は入力しないでください。" sqref="H13:H212" xr:uid="{AAAA2010-DBBA-4621-B305-B425F0E243DB}">
      <formula1>0</formula1>
    </dataValidation>
    <dataValidation type="whole" operator="greaterThanOrEqual" allowBlank="1" showInputMessage="1" showErrorMessage="1" errorTitle="整数値を入力" error="単価に基づく箱単位に梱包の個数を入力してください。_x000a_数値のみ入力し、「枚」等の単位は入力しないでください。" promptTitle="購入単位あたりの内容量を入力" prompt="購入単位あたりの内容量（１箱50枚のマスクならば、「50」）を入力してください。" sqref="G13:G212" xr:uid="{95AA9141-8102-49D5-AFA1-2F7073F08238}">
      <formula1>0</formula1>
    </dataValidation>
    <dataValidation allowBlank="1" showInputMessage="1" showErrorMessage="1" promptTitle="品名の入力" prompt="購入予定である個人防護具の品名を入力してください。（型番のみの入力の場合、購入内容が不明のため修正を依頼させていただきますのでご注意ください。）" sqref="D13:F212" xr:uid="{34B94D25-4B0F-4A0B-86A8-5D97C5C99626}"/>
    <dataValidation type="custom" allowBlank="1" showInputMessage="1" showErrorMessage="1" errorTitle="入力数値に誤りがあります。" error="令和４年10月１日から翌年３月31日までの日数の範囲内で入力してください。" sqref="C6" xr:uid="{24F9FB13-EC09-49C2-B1F7-DC16627780E6}">
      <formula1>C6&lt;=182</formula1>
    </dataValidation>
    <dataValidation allowBlank="1" showInputMessage="1" showErrorMessage="1" promptTitle="単価の入力" prompt="税抜額または税込額のいずれかを入力してください。_x000a_入力しない方は「0」は入力せず、空欄としてください。" sqref="J13:J212" xr:uid="{ABC91664-6777-47B9-A5AB-45EF49BA27AE}"/>
    <dataValidation allowBlank="1" showInputMessage="1" showErrorMessage="1" promptTitle="添付書類番号" prompt="種類、規格、数量、単価が全て適切に入力され、右の「判定」が「◎」と表示されると自動で番号が表示されます。" sqref="R13:S212" xr:uid="{67217B9E-51A6-4DB6-A8D0-4DC2DFE3867D}"/>
    <dataValidation allowBlank="1" showInputMessage="1" showErrorMessage="1" promptTitle="金額の表示" prompt="数式が入力されているため、自動計算されます。" sqref="K13:M212" xr:uid="{803C4A54-CF67-402D-9A0D-8742D806757C}"/>
    <dataValidation type="list" allowBlank="1" showInputMessage="1" showErrorMessage="1" promptTitle="①「種類」欄はプルダウンリストから選択してください。" prompt="申請できる個人防護具の種類は、_x000a_マスク、ゴーグル、ガウン、グローブ、キャップ、フェイスシールド_x000a_です。" sqref="B13:B212" xr:uid="{1BB68453-DAE1-46AE-8886-C2BAC1D81F67}">
      <formula1>$AX$141:$AX$146</formula1>
    </dataValidation>
  </dataValidations>
  <printOptions horizontalCentered="1"/>
  <pageMargins left="0.59055118110236227" right="0.39370078740157483" top="0.39370078740157483" bottom="0.39370078740157483" header="0.31496062992125984" footer="0.31496062992125984"/>
  <pageSetup paperSize="9" scale="43" fitToWidth="0" orientation="portrait" r:id="rId1"/>
  <drawing r:id="rId2"/>
  <legacyDrawing r:id="rId3"/>
  <extLst>
    <ext xmlns:x14="http://schemas.microsoft.com/office/spreadsheetml/2009/9/main" uri="{CCE6A557-97BC-4b89-ADB6-D9C93CAAB3DF}">
      <x14:dataValidations xmlns:xm="http://schemas.microsoft.com/office/excel/2006/main" xWindow="1062" yWindow="619" count="3">
        <x14:dataValidation type="list" allowBlank="1" showInputMessage="1" showErrorMessage="1" promptTitle="金額の表示" prompt="数式が入力されているため、自動計算されます。" xr:uid="{D4C3CFF5-C2E1-46E7-A9EE-61B9D4CFAC76}">
          <x14:formula1>
            <xm:f>テーブル!$I$2:$I$3</xm:f>
          </x14:formula1>
          <xm:sqref>N13:N212</xm:sqref>
        </x14:dataValidation>
        <x14:dataValidation type="list" allowBlank="1" showInputMessage="1" showErrorMessage="1" promptTitle="金額の表示" prompt="数式が入力されているため、自動計算されます。" xr:uid="{62342D0D-FE98-4E1C-89DB-ACC542FC2C3A}">
          <x14:formula1>
            <xm:f>テーブル!$J$2:$J$7</xm:f>
          </x14:formula1>
          <xm:sqref>O13:O212</xm:sqref>
        </x14:dataValidation>
        <x14:dataValidation type="list" allowBlank="1" showInputMessage="1" showErrorMessage="1" promptTitle="金額の表示" prompt="数式が入力されているため、自動計算されます。" xr:uid="{B7B3C57F-E8F1-47F5-8558-31C58E7973EA}">
          <x14:formula1>
            <xm:f>テーブル!$K$2:$K$32</xm:f>
          </x14:formula1>
          <xm:sqref>P13:P212</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7801FE-AB8F-4BF0-B52F-D9E83ABED116}">
  <dimension ref="A1:GJ72"/>
  <sheetViews>
    <sheetView topLeftCell="C1" zoomScale="90" zoomScaleNormal="90" workbookViewId="0">
      <pane xSplit="4" ySplit="22" topLeftCell="G23" activePane="bottomRight" state="frozen"/>
      <selection activeCell="C1" sqref="C1"/>
      <selection pane="topRight" activeCell="G1" sqref="G1"/>
      <selection pane="bottomLeft" activeCell="C23" sqref="C23"/>
      <selection pane="bottomRight" activeCell="G23" sqref="G23"/>
    </sheetView>
  </sheetViews>
  <sheetFormatPr defaultRowHeight="9.75"/>
  <cols>
    <col min="1" max="2" width="3.625" style="633" hidden="1" customWidth="1"/>
    <col min="3" max="3" width="20.625" style="633" customWidth="1"/>
    <col min="4" max="193" width="4.625" style="633" customWidth="1"/>
    <col min="194" max="16384" width="9" style="633"/>
  </cols>
  <sheetData>
    <row r="1" spans="2:192">
      <c r="B1" s="634"/>
      <c r="C1" s="634" t="s">
        <v>1423</v>
      </c>
      <c r="D1" s="634"/>
      <c r="E1" s="634"/>
      <c r="F1" s="634"/>
      <c r="G1" s="634"/>
      <c r="H1" s="634"/>
      <c r="I1" s="634"/>
      <c r="J1" s="634"/>
      <c r="K1" s="634"/>
    </row>
    <row r="2" spans="2:192" ht="18.75">
      <c r="B2" s="634"/>
      <c r="C2" s="650" t="s">
        <v>473</v>
      </c>
      <c r="D2" s="733" t="s">
        <v>1424</v>
      </c>
      <c r="E2" s="1914" t="s">
        <v>1452</v>
      </c>
      <c r="F2" s="1915"/>
      <c r="G2" s="735">
        <f>G19</f>
        <v>0</v>
      </c>
      <c r="H2" s="735">
        <f t="shared" ref="H2:BS2" si="0">H19</f>
        <v>0</v>
      </c>
      <c r="I2" s="735">
        <f t="shared" si="0"/>
        <v>0</v>
      </c>
      <c r="J2" s="735">
        <f t="shared" si="0"/>
        <v>0</v>
      </c>
      <c r="K2" s="735">
        <f t="shared" si="0"/>
        <v>0</v>
      </c>
      <c r="L2" s="735">
        <f t="shared" si="0"/>
        <v>0</v>
      </c>
      <c r="M2" s="735">
        <f t="shared" si="0"/>
        <v>0</v>
      </c>
      <c r="N2" s="735">
        <f t="shared" si="0"/>
        <v>0</v>
      </c>
      <c r="O2" s="735">
        <f t="shared" si="0"/>
        <v>0</v>
      </c>
      <c r="P2" s="735">
        <f t="shared" si="0"/>
        <v>0</v>
      </c>
      <c r="Q2" s="735">
        <f t="shared" si="0"/>
        <v>0</v>
      </c>
      <c r="R2" s="735">
        <f t="shared" si="0"/>
        <v>0</v>
      </c>
      <c r="S2" s="735">
        <f t="shared" si="0"/>
        <v>0</v>
      </c>
      <c r="T2" s="735">
        <f t="shared" si="0"/>
        <v>0</v>
      </c>
      <c r="U2" s="735">
        <f t="shared" si="0"/>
        <v>0</v>
      </c>
      <c r="V2" s="735">
        <f t="shared" si="0"/>
        <v>0</v>
      </c>
      <c r="W2" s="735">
        <f t="shared" si="0"/>
        <v>0</v>
      </c>
      <c r="X2" s="735">
        <f t="shared" si="0"/>
        <v>0</v>
      </c>
      <c r="Y2" s="735">
        <f t="shared" si="0"/>
        <v>0</v>
      </c>
      <c r="Z2" s="735">
        <f t="shared" si="0"/>
        <v>0</v>
      </c>
      <c r="AA2" s="735">
        <f t="shared" si="0"/>
        <v>0</v>
      </c>
      <c r="AB2" s="735">
        <f t="shared" si="0"/>
        <v>0</v>
      </c>
      <c r="AC2" s="735">
        <f t="shared" si="0"/>
        <v>0</v>
      </c>
      <c r="AD2" s="735">
        <f t="shared" si="0"/>
        <v>0</v>
      </c>
      <c r="AE2" s="735">
        <f t="shared" si="0"/>
        <v>0</v>
      </c>
      <c r="AF2" s="735">
        <f t="shared" si="0"/>
        <v>0</v>
      </c>
      <c r="AG2" s="735">
        <f t="shared" si="0"/>
        <v>0</v>
      </c>
      <c r="AH2" s="735">
        <f t="shared" si="0"/>
        <v>0</v>
      </c>
      <c r="AI2" s="735">
        <f t="shared" si="0"/>
        <v>0</v>
      </c>
      <c r="AJ2" s="735">
        <f t="shared" si="0"/>
        <v>0</v>
      </c>
      <c r="AK2" s="735">
        <f t="shared" si="0"/>
        <v>0</v>
      </c>
      <c r="AL2" s="735">
        <f t="shared" si="0"/>
        <v>0</v>
      </c>
      <c r="AM2" s="735">
        <f t="shared" si="0"/>
        <v>0</v>
      </c>
      <c r="AN2" s="735">
        <f t="shared" si="0"/>
        <v>0</v>
      </c>
      <c r="AO2" s="735">
        <f t="shared" si="0"/>
        <v>0</v>
      </c>
      <c r="AP2" s="735">
        <f t="shared" si="0"/>
        <v>0</v>
      </c>
      <c r="AQ2" s="735">
        <f t="shared" si="0"/>
        <v>0</v>
      </c>
      <c r="AR2" s="735">
        <f t="shared" si="0"/>
        <v>0</v>
      </c>
      <c r="AS2" s="735">
        <f t="shared" si="0"/>
        <v>0</v>
      </c>
      <c r="AT2" s="735">
        <f t="shared" si="0"/>
        <v>0</v>
      </c>
      <c r="AU2" s="735">
        <f t="shared" si="0"/>
        <v>0</v>
      </c>
      <c r="AV2" s="735">
        <f t="shared" si="0"/>
        <v>0</v>
      </c>
      <c r="AW2" s="735">
        <f t="shared" si="0"/>
        <v>0</v>
      </c>
      <c r="AX2" s="735">
        <f t="shared" si="0"/>
        <v>0</v>
      </c>
      <c r="AY2" s="735">
        <f t="shared" si="0"/>
        <v>0</v>
      </c>
      <c r="AZ2" s="735">
        <f t="shared" si="0"/>
        <v>0</v>
      </c>
      <c r="BA2" s="735">
        <f t="shared" si="0"/>
        <v>0</v>
      </c>
      <c r="BB2" s="735">
        <f t="shared" si="0"/>
        <v>0</v>
      </c>
      <c r="BC2" s="735">
        <f t="shared" si="0"/>
        <v>0</v>
      </c>
      <c r="BD2" s="735">
        <f t="shared" si="0"/>
        <v>0</v>
      </c>
      <c r="BE2" s="735">
        <f t="shared" si="0"/>
        <v>0</v>
      </c>
      <c r="BF2" s="735">
        <f t="shared" si="0"/>
        <v>0</v>
      </c>
      <c r="BG2" s="735">
        <f t="shared" si="0"/>
        <v>0</v>
      </c>
      <c r="BH2" s="735">
        <f t="shared" si="0"/>
        <v>0</v>
      </c>
      <c r="BI2" s="735">
        <f t="shared" si="0"/>
        <v>0</v>
      </c>
      <c r="BJ2" s="735">
        <f t="shared" si="0"/>
        <v>0</v>
      </c>
      <c r="BK2" s="735">
        <f t="shared" si="0"/>
        <v>0</v>
      </c>
      <c r="BL2" s="735">
        <f t="shared" si="0"/>
        <v>0</v>
      </c>
      <c r="BM2" s="735">
        <f t="shared" si="0"/>
        <v>0</v>
      </c>
      <c r="BN2" s="735">
        <f t="shared" si="0"/>
        <v>0</v>
      </c>
      <c r="BO2" s="735">
        <f t="shared" si="0"/>
        <v>0</v>
      </c>
      <c r="BP2" s="735">
        <f t="shared" si="0"/>
        <v>0</v>
      </c>
      <c r="BQ2" s="735">
        <f t="shared" si="0"/>
        <v>0</v>
      </c>
      <c r="BR2" s="735">
        <f t="shared" si="0"/>
        <v>0</v>
      </c>
      <c r="BS2" s="735">
        <f t="shared" si="0"/>
        <v>0</v>
      </c>
      <c r="BT2" s="735">
        <f t="shared" ref="BT2:EE2" si="1">BT19</f>
        <v>0</v>
      </c>
      <c r="BU2" s="735">
        <f t="shared" si="1"/>
        <v>0</v>
      </c>
      <c r="BV2" s="735">
        <f t="shared" si="1"/>
        <v>0</v>
      </c>
      <c r="BW2" s="735">
        <f t="shared" si="1"/>
        <v>0</v>
      </c>
      <c r="BX2" s="735">
        <f t="shared" si="1"/>
        <v>0</v>
      </c>
      <c r="BY2" s="735">
        <f t="shared" si="1"/>
        <v>0</v>
      </c>
      <c r="BZ2" s="735">
        <f t="shared" si="1"/>
        <v>0</v>
      </c>
      <c r="CA2" s="735">
        <f t="shared" si="1"/>
        <v>0</v>
      </c>
      <c r="CB2" s="735">
        <f t="shared" si="1"/>
        <v>0</v>
      </c>
      <c r="CC2" s="735">
        <f t="shared" si="1"/>
        <v>0</v>
      </c>
      <c r="CD2" s="735">
        <f t="shared" si="1"/>
        <v>0</v>
      </c>
      <c r="CE2" s="735">
        <f t="shared" si="1"/>
        <v>0</v>
      </c>
      <c r="CF2" s="735">
        <f t="shared" si="1"/>
        <v>0</v>
      </c>
      <c r="CG2" s="735">
        <f t="shared" si="1"/>
        <v>0</v>
      </c>
      <c r="CH2" s="735">
        <f t="shared" si="1"/>
        <v>0</v>
      </c>
      <c r="CI2" s="735">
        <f t="shared" si="1"/>
        <v>0</v>
      </c>
      <c r="CJ2" s="735">
        <f t="shared" si="1"/>
        <v>0</v>
      </c>
      <c r="CK2" s="735">
        <f t="shared" si="1"/>
        <v>0</v>
      </c>
      <c r="CL2" s="735">
        <f t="shared" si="1"/>
        <v>0</v>
      </c>
      <c r="CM2" s="735">
        <f t="shared" si="1"/>
        <v>0</v>
      </c>
      <c r="CN2" s="735">
        <f t="shared" si="1"/>
        <v>0</v>
      </c>
      <c r="CO2" s="735">
        <f t="shared" si="1"/>
        <v>0</v>
      </c>
      <c r="CP2" s="735">
        <f t="shared" si="1"/>
        <v>0</v>
      </c>
      <c r="CQ2" s="735">
        <f t="shared" si="1"/>
        <v>0</v>
      </c>
      <c r="CR2" s="735">
        <f t="shared" si="1"/>
        <v>0</v>
      </c>
      <c r="CS2" s="735">
        <f t="shared" si="1"/>
        <v>0</v>
      </c>
      <c r="CT2" s="735">
        <f t="shared" si="1"/>
        <v>0</v>
      </c>
      <c r="CU2" s="735">
        <f t="shared" si="1"/>
        <v>0</v>
      </c>
      <c r="CV2" s="735">
        <f t="shared" si="1"/>
        <v>0</v>
      </c>
      <c r="CW2" s="735">
        <f t="shared" si="1"/>
        <v>0</v>
      </c>
      <c r="CX2" s="735">
        <f t="shared" si="1"/>
        <v>0</v>
      </c>
      <c r="CY2" s="735">
        <f t="shared" si="1"/>
        <v>0</v>
      </c>
      <c r="CZ2" s="735">
        <f t="shared" si="1"/>
        <v>0</v>
      </c>
      <c r="DA2" s="735">
        <f t="shared" si="1"/>
        <v>0</v>
      </c>
      <c r="DB2" s="735">
        <f t="shared" si="1"/>
        <v>0</v>
      </c>
      <c r="DC2" s="735">
        <f t="shared" si="1"/>
        <v>0</v>
      </c>
      <c r="DD2" s="735">
        <f t="shared" si="1"/>
        <v>0</v>
      </c>
      <c r="DE2" s="735">
        <f t="shared" si="1"/>
        <v>0</v>
      </c>
      <c r="DF2" s="735">
        <f t="shared" si="1"/>
        <v>0</v>
      </c>
      <c r="DG2" s="735">
        <f t="shared" si="1"/>
        <v>0</v>
      </c>
      <c r="DH2" s="735">
        <f t="shared" si="1"/>
        <v>0</v>
      </c>
      <c r="DI2" s="735">
        <f t="shared" si="1"/>
        <v>0</v>
      </c>
      <c r="DJ2" s="735">
        <f t="shared" si="1"/>
        <v>0</v>
      </c>
      <c r="DK2" s="735">
        <f t="shared" si="1"/>
        <v>0</v>
      </c>
      <c r="DL2" s="735">
        <f t="shared" si="1"/>
        <v>0</v>
      </c>
      <c r="DM2" s="735">
        <f t="shared" si="1"/>
        <v>0</v>
      </c>
      <c r="DN2" s="735">
        <f t="shared" si="1"/>
        <v>0</v>
      </c>
      <c r="DO2" s="735">
        <f t="shared" si="1"/>
        <v>0</v>
      </c>
      <c r="DP2" s="735">
        <f t="shared" si="1"/>
        <v>0</v>
      </c>
      <c r="DQ2" s="735">
        <f t="shared" si="1"/>
        <v>0</v>
      </c>
      <c r="DR2" s="735">
        <f t="shared" si="1"/>
        <v>0</v>
      </c>
      <c r="DS2" s="735">
        <f t="shared" si="1"/>
        <v>1</v>
      </c>
      <c r="DT2" s="735">
        <f t="shared" si="1"/>
        <v>1</v>
      </c>
      <c r="DU2" s="735">
        <f t="shared" si="1"/>
        <v>1</v>
      </c>
      <c r="DV2" s="735">
        <f t="shared" si="1"/>
        <v>1</v>
      </c>
      <c r="DW2" s="735">
        <f t="shared" si="1"/>
        <v>1</v>
      </c>
      <c r="DX2" s="735">
        <f t="shared" si="1"/>
        <v>1</v>
      </c>
      <c r="DY2" s="735">
        <f t="shared" si="1"/>
        <v>1</v>
      </c>
      <c r="DZ2" s="735">
        <f t="shared" si="1"/>
        <v>1</v>
      </c>
      <c r="EA2" s="735">
        <f t="shared" si="1"/>
        <v>1</v>
      </c>
      <c r="EB2" s="735">
        <f t="shared" si="1"/>
        <v>1</v>
      </c>
      <c r="EC2" s="735">
        <f t="shared" si="1"/>
        <v>1</v>
      </c>
      <c r="ED2" s="735">
        <f t="shared" si="1"/>
        <v>1</v>
      </c>
      <c r="EE2" s="735">
        <f t="shared" si="1"/>
        <v>1</v>
      </c>
      <c r="EF2" s="735">
        <f t="shared" ref="EF2:GJ2" si="2">EF19</f>
        <v>1</v>
      </c>
      <c r="EG2" s="735">
        <f t="shared" si="2"/>
        <v>1</v>
      </c>
      <c r="EH2" s="735">
        <f t="shared" si="2"/>
        <v>1</v>
      </c>
      <c r="EI2" s="735">
        <f t="shared" si="2"/>
        <v>1</v>
      </c>
      <c r="EJ2" s="735">
        <f t="shared" si="2"/>
        <v>1</v>
      </c>
      <c r="EK2" s="735">
        <f t="shared" si="2"/>
        <v>1</v>
      </c>
      <c r="EL2" s="735">
        <f t="shared" si="2"/>
        <v>1</v>
      </c>
      <c r="EM2" s="735">
        <f t="shared" si="2"/>
        <v>1</v>
      </c>
      <c r="EN2" s="735">
        <f t="shared" si="2"/>
        <v>1</v>
      </c>
      <c r="EO2" s="735">
        <f t="shared" si="2"/>
        <v>1</v>
      </c>
      <c r="EP2" s="735">
        <f t="shared" si="2"/>
        <v>1</v>
      </c>
      <c r="EQ2" s="735">
        <f t="shared" si="2"/>
        <v>1</v>
      </c>
      <c r="ER2" s="735">
        <f t="shared" si="2"/>
        <v>1</v>
      </c>
      <c r="ES2" s="735">
        <f t="shared" si="2"/>
        <v>1</v>
      </c>
      <c r="ET2" s="735">
        <f t="shared" si="2"/>
        <v>1</v>
      </c>
      <c r="EU2" s="735">
        <f t="shared" si="2"/>
        <v>1</v>
      </c>
      <c r="EV2" s="735">
        <f t="shared" si="2"/>
        <v>1</v>
      </c>
      <c r="EW2" s="735">
        <f t="shared" si="2"/>
        <v>1</v>
      </c>
      <c r="EX2" s="735">
        <f t="shared" si="2"/>
        <v>1</v>
      </c>
      <c r="EY2" s="735">
        <f t="shared" si="2"/>
        <v>1</v>
      </c>
      <c r="EZ2" s="735">
        <f t="shared" si="2"/>
        <v>1</v>
      </c>
      <c r="FA2" s="735">
        <f t="shared" si="2"/>
        <v>1</v>
      </c>
      <c r="FB2" s="735">
        <f t="shared" si="2"/>
        <v>1</v>
      </c>
      <c r="FC2" s="735">
        <f t="shared" si="2"/>
        <v>1</v>
      </c>
      <c r="FD2" s="735">
        <f t="shared" si="2"/>
        <v>1</v>
      </c>
      <c r="FE2" s="735">
        <f t="shared" si="2"/>
        <v>1</v>
      </c>
      <c r="FF2" s="735">
        <f t="shared" si="2"/>
        <v>1</v>
      </c>
      <c r="FG2" s="735">
        <f t="shared" si="2"/>
        <v>1</v>
      </c>
      <c r="FH2" s="735">
        <f t="shared" si="2"/>
        <v>1</v>
      </c>
      <c r="FI2" s="735">
        <f t="shared" si="2"/>
        <v>1</v>
      </c>
      <c r="FJ2" s="735">
        <f t="shared" si="2"/>
        <v>1</v>
      </c>
      <c r="FK2" s="735">
        <f t="shared" si="2"/>
        <v>1</v>
      </c>
      <c r="FL2" s="735">
        <f t="shared" si="2"/>
        <v>1</v>
      </c>
      <c r="FM2" s="735">
        <f t="shared" si="2"/>
        <v>1</v>
      </c>
      <c r="FN2" s="735">
        <f t="shared" si="2"/>
        <v>1</v>
      </c>
      <c r="FO2" s="735">
        <f t="shared" si="2"/>
        <v>1</v>
      </c>
      <c r="FP2" s="735">
        <f t="shared" si="2"/>
        <v>1</v>
      </c>
      <c r="FQ2" s="735">
        <f t="shared" si="2"/>
        <v>1</v>
      </c>
      <c r="FR2" s="735">
        <f t="shared" si="2"/>
        <v>1</v>
      </c>
      <c r="FS2" s="735">
        <f t="shared" si="2"/>
        <v>1</v>
      </c>
      <c r="FT2" s="735">
        <f t="shared" si="2"/>
        <v>1</v>
      </c>
      <c r="FU2" s="735">
        <f t="shared" si="2"/>
        <v>1</v>
      </c>
      <c r="FV2" s="735">
        <f t="shared" si="2"/>
        <v>1</v>
      </c>
      <c r="FW2" s="735">
        <f t="shared" si="2"/>
        <v>1</v>
      </c>
      <c r="FX2" s="735">
        <f t="shared" si="2"/>
        <v>1</v>
      </c>
      <c r="FY2" s="735">
        <f t="shared" si="2"/>
        <v>1</v>
      </c>
      <c r="FZ2" s="735">
        <f t="shared" si="2"/>
        <v>1</v>
      </c>
      <c r="GA2" s="735">
        <f t="shared" si="2"/>
        <v>1</v>
      </c>
      <c r="GB2" s="735">
        <f t="shared" si="2"/>
        <v>1</v>
      </c>
      <c r="GC2" s="735">
        <f t="shared" si="2"/>
        <v>1</v>
      </c>
      <c r="GD2" s="735">
        <f t="shared" si="2"/>
        <v>1</v>
      </c>
      <c r="GE2" s="735">
        <f t="shared" si="2"/>
        <v>1</v>
      </c>
      <c r="GF2" s="735">
        <f t="shared" si="2"/>
        <v>1</v>
      </c>
      <c r="GG2" s="735">
        <f t="shared" si="2"/>
        <v>1</v>
      </c>
      <c r="GH2" s="735">
        <f t="shared" si="2"/>
        <v>1</v>
      </c>
      <c r="GI2" s="735">
        <f t="shared" si="2"/>
        <v>1</v>
      </c>
      <c r="GJ2" s="735">
        <f t="shared" si="2"/>
        <v>1</v>
      </c>
    </row>
    <row r="3" spans="2:192" ht="9.75" customHeight="1">
      <c r="B3" s="634"/>
      <c r="C3" s="651" t="s">
        <v>1246</v>
      </c>
      <c r="D3" s="734">
        <f>基礎情報!V116</f>
        <v>0</v>
      </c>
      <c r="E3" s="1912">
        <f>SUM(G3:GJ3)</f>
        <v>0</v>
      </c>
      <c r="F3" s="1913"/>
      <c r="G3" s="736">
        <f>IF(G$19&gt;=1,G23,0)</f>
        <v>0</v>
      </c>
      <c r="H3" s="736">
        <f t="shared" ref="H3:BS3" si="3">IF(H$19&gt;=1,H23,0)</f>
        <v>0</v>
      </c>
      <c r="I3" s="736">
        <f t="shared" si="3"/>
        <v>0</v>
      </c>
      <c r="J3" s="736">
        <f t="shared" si="3"/>
        <v>0</v>
      </c>
      <c r="K3" s="736">
        <f t="shared" si="3"/>
        <v>0</v>
      </c>
      <c r="L3" s="736">
        <f t="shared" si="3"/>
        <v>0</v>
      </c>
      <c r="M3" s="736">
        <f t="shared" si="3"/>
        <v>0</v>
      </c>
      <c r="N3" s="736">
        <f t="shared" si="3"/>
        <v>0</v>
      </c>
      <c r="O3" s="736">
        <f t="shared" si="3"/>
        <v>0</v>
      </c>
      <c r="P3" s="736">
        <f t="shared" si="3"/>
        <v>0</v>
      </c>
      <c r="Q3" s="736">
        <f t="shared" si="3"/>
        <v>0</v>
      </c>
      <c r="R3" s="736">
        <f t="shared" si="3"/>
        <v>0</v>
      </c>
      <c r="S3" s="736">
        <f t="shared" si="3"/>
        <v>0</v>
      </c>
      <c r="T3" s="736">
        <f t="shared" si="3"/>
        <v>0</v>
      </c>
      <c r="U3" s="736">
        <f t="shared" si="3"/>
        <v>0</v>
      </c>
      <c r="V3" s="736">
        <f t="shared" si="3"/>
        <v>0</v>
      </c>
      <c r="W3" s="736">
        <f t="shared" si="3"/>
        <v>0</v>
      </c>
      <c r="X3" s="736">
        <f t="shared" si="3"/>
        <v>0</v>
      </c>
      <c r="Y3" s="736">
        <f t="shared" si="3"/>
        <v>0</v>
      </c>
      <c r="Z3" s="736">
        <f t="shared" si="3"/>
        <v>0</v>
      </c>
      <c r="AA3" s="736">
        <f t="shared" si="3"/>
        <v>0</v>
      </c>
      <c r="AB3" s="736">
        <f t="shared" si="3"/>
        <v>0</v>
      </c>
      <c r="AC3" s="736">
        <f t="shared" si="3"/>
        <v>0</v>
      </c>
      <c r="AD3" s="736">
        <f t="shared" si="3"/>
        <v>0</v>
      </c>
      <c r="AE3" s="736">
        <f t="shared" si="3"/>
        <v>0</v>
      </c>
      <c r="AF3" s="736">
        <f t="shared" si="3"/>
        <v>0</v>
      </c>
      <c r="AG3" s="736">
        <f t="shared" si="3"/>
        <v>0</v>
      </c>
      <c r="AH3" s="736">
        <f t="shared" si="3"/>
        <v>0</v>
      </c>
      <c r="AI3" s="736">
        <f t="shared" si="3"/>
        <v>0</v>
      </c>
      <c r="AJ3" s="736">
        <f t="shared" si="3"/>
        <v>0</v>
      </c>
      <c r="AK3" s="736">
        <f t="shared" si="3"/>
        <v>0</v>
      </c>
      <c r="AL3" s="736">
        <f t="shared" si="3"/>
        <v>0</v>
      </c>
      <c r="AM3" s="736">
        <f t="shared" si="3"/>
        <v>0</v>
      </c>
      <c r="AN3" s="736">
        <f t="shared" si="3"/>
        <v>0</v>
      </c>
      <c r="AO3" s="736">
        <f t="shared" si="3"/>
        <v>0</v>
      </c>
      <c r="AP3" s="736">
        <f t="shared" si="3"/>
        <v>0</v>
      </c>
      <c r="AQ3" s="736">
        <f t="shared" si="3"/>
        <v>0</v>
      </c>
      <c r="AR3" s="736">
        <f t="shared" si="3"/>
        <v>0</v>
      </c>
      <c r="AS3" s="736">
        <f t="shared" si="3"/>
        <v>0</v>
      </c>
      <c r="AT3" s="736">
        <f t="shared" si="3"/>
        <v>0</v>
      </c>
      <c r="AU3" s="736">
        <f t="shared" si="3"/>
        <v>0</v>
      </c>
      <c r="AV3" s="736">
        <f t="shared" si="3"/>
        <v>0</v>
      </c>
      <c r="AW3" s="736">
        <f t="shared" si="3"/>
        <v>0</v>
      </c>
      <c r="AX3" s="736">
        <f t="shared" si="3"/>
        <v>0</v>
      </c>
      <c r="AY3" s="736">
        <f t="shared" si="3"/>
        <v>0</v>
      </c>
      <c r="AZ3" s="736">
        <f t="shared" si="3"/>
        <v>0</v>
      </c>
      <c r="BA3" s="736">
        <f t="shared" si="3"/>
        <v>0</v>
      </c>
      <c r="BB3" s="736">
        <f t="shared" si="3"/>
        <v>0</v>
      </c>
      <c r="BC3" s="736">
        <f t="shared" si="3"/>
        <v>0</v>
      </c>
      <c r="BD3" s="736">
        <f t="shared" si="3"/>
        <v>0</v>
      </c>
      <c r="BE3" s="736">
        <f t="shared" si="3"/>
        <v>0</v>
      </c>
      <c r="BF3" s="736">
        <f t="shared" si="3"/>
        <v>0</v>
      </c>
      <c r="BG3" s="736">
        <f t="shared" si="3"/>
        <v>0</v>
      </c>
      <c r="BH3" s="736">
        <f t="shared" si="3"/>
        <v>0</v>
      </c>
      <c r="BI3" s="736">
        <f t="shared" si="3"/>
        <v>0</v>
      </c>
      <c r="BJ3" s="736">
        <f t="shared" si="3"/>
        <v>0</v>
      </c>
      <c r="BK3" s="736">
        <f t="shared" si="3"/>
        <v>0</v>
      </c>
      <c r="BL3" s="736">
        <f t="shared" si="3"/>
        <v>0</v>
      </c>
      <c r="BM3" s="736">
        <f t="shared" si="3"/>
        <v>0</v>
      </c>
      <c r="BN3" s="736">
        <f t="shared" si="3"/>
        <v>0</v>
      </c>
      <c r="BO3" s="736">
        <f t="shared" si="3"/>
        <v>0</v>
      </c>
      <c r="BP3" s="736">
        <f t="shared" si="3"/>
        <v>0</v>
      </c>
      <c r="BQ3" s="736">
        <f t="shared" si="3"/>
        <v>0</v>
      </c>
      <c r="BR3" s="736">
        <f t="shared" si="3"/>
        <v>0</v>
      </c>
      <c r="BS3" s="736">
        <f t="shared" si="3"/>
        <v>0</v>
      </c>
      <c r="BT3" s="736">
        <f t="shared" ref="BT3:EE3" si="4">IF(BT$19&gt;=1,BT23,0)</f>
        <v>0</v>
      </c>
      <c r="BU3" s="736">
        <f t="shared" si="4"/>
        <v>0</v>
      </c>
      <c r="BV3" s="736">
        <f t="shared" si="4"/>
        <v>0</v>
      </c>
      <c r="BW3" s="736">
        <f t="shared" si="4"/>
        <v>0</v>
      </c>
      <c r="BX3" s="736">
        <f t="shared" si="4"/>
        <v>0</v>
      </c>
      <c r="BY3" s="736">
        <f t="shared" si="4"/>
        <v>0</v>
      </c>
      <c r="BZ3" s="736">
        <f t="shared" si="4"/>
        <v>0</v>
      </c>
      <c r="CA3" s="736">
        <f t="shared" si="4"/>
        <v>0</v>
      </c>
      <c r="CB3" s="736">
        <f t="shared" si="4"/>
        <v>0</v>
      </c>
      <c r="CC3" s="736">
        <f t="shared" si="4"/>
        <v>0</v>
      </c>
      <c r="CD3" s="736">
        <f t="shared" si="4"/>
        <v>0</v>
      </c>
      <c r="CE3" s="736">
        <f t="shared" si="4"/>
        <v>0</v>
      </c>
      <c r="CF3" s="736">
        <f t="shared" si="4"/>
        <v>0</v>
      </c>
      <c r="CG3" s="736">
        <f t="shared" si="4"/>
        <v>0</v>
      </c>
      <c r="CH3" s="736">
        <f t="shared" si="4"/>
        <v>0</v>
      </c>
      <c r="CI3" s="736">
        <f t="shared" si="4"/>
        <v>0</v>
      </c>
      <c r="CJ3" s="736">
        <f t="shared" si="4"/>
        <v>0</v>
      </c>
      <c r="CK3" s="736">
        <f t="shared" si="4"/>
        <v>0</v>
      </c>
      <c r="CL3" s="736">
        <f t="shared" si="4"/>
        <v>0</v>
      </c>
      <c r="CM3" s="736">
        <f t="shared" si="4"/>
        <v>0</v>
      </c>
      <c r="CN3" s="736">
        <f t="shared" si="4"/>
        <v>0</v>
      </c>
      <c r="CO3" s="736">
        <f t="shared" si="4"/>
        <v>0</v>
      </c>
      <c r="CP3" s="736">
        <f t="shared" si="4"/>
        <v>0</v>
      </c>
      <c r="CQ3" s="736">
        <f t="shared" si="4"/>
        <v>0</v>
      </c>
      <c r="CR3" s="736">
        <f t="shared" si="4"/>
        <v>0</v>
      </c>
      <c r="CS3" s="736">
        <f t="shared" si="4"/>
        <v>0</v>
      </c>
      <c r="CT3" s="736">
        <f t="shared" si="4"/>
        <v>0</v>
      </c>
      <c r="CU3" s="736">
        <f t="shared" si="4"/>
        <v>0</v>
      </c>
      <c r="CV3" s="736">
        <f t="shared" si="4"/>
        <v>0</v>
      </c>
      <c r="CW3" s="736">
        <f t="shared" si="4"/>
        <v>0</v>
      </c>
      <c r="CX3" s="736">
        <f t="shared" si="4"/>
        <v>0</v>
      </c>
      <c r="CY3" s="736">
        <f t="shared" si="4"/>
        <v>0</v>
      </c>
      <c r="CZ3" s="736">
        <f t="shared" si="4"/>
        <v>0</v>
      </c>
      <c r="DA3" s="736">
        <f t="shared" si="4"/>
        <v>0</v>
      </c>
      <c r="DB3" s="736">
        <f t="shared" si="4"/>
        <v>0</v>
      </c>
      <c r="DC3" s="736">
        <f t="shared" si="4"/>
        <v>0</v>
      </c>
      <c r="DD3" s="736">
        <f t="shared" si="4"/>
        <v>0</v>
      </c>
      <c r="DE3" s="736">
        <f t="shared" si="4"/>
        <v>0</v>
      </c>
      <c r="DF3" s="736">
        <f t="shared" si="4"/>
        <v>0</v>
      </c>
      <c r="DG3" s="736">
        <f t="shared" si="4"/>
        <v>0</v>
      </c>
      <c r="DH3" s="736">
        <f t="shared" si="4"/>
        <v>0</v>
      </c>
      <c r="DI3" s="736">
        <f t="shared" si="4"/>
        <v>0</v>
      </c>
      <c r="DJ3" s="736">
        <f t="shared" si="4"/>
        <v>0</v>
      </c>
      <c r="DK3" s="736">
        <f t="shared" si="4"/>
        <v>0</v>
      </c>
      <c r="DL3" s="736">
        <f t="shared" si="4"/>
        <v>0</v>
      </c>
      <c r="DM3" s="736">
        <f t="shared" si="4"/>
        <v>0</v>
      </c>
      <c r="DN3" s="736">
        <f t="shared" si="4"/>
        <v>0</v>
      </c>
      <c r="DO3" s="736">
        <f t="shared" si="4"/>
        <v>0</v>
      </c>
      <c r="DP3" s="736">
        <f t="shared" si="4"/>
        <v>0</v>
      </c>
      <c r="DQ3" s="736">
        <f t="shared" si="4"/>
        <v>0</v>
      </c>
      <c r="DR3" s="736">
        <f t="shared" si="4"/>
        <v>0</v>
      </c>
      <c r="DS3" s="736">
        <f t="shared" si="4"/>
        <v>0</v>
      </c>
      <c r="DT3" s="736">
        <f t="shared" si="4"/>
        <v>0</v>
      </c>
      <c r="DU3" s="736">
        <f t="shared" si="4"/>
        <v>0</v>
      </c>
      <c r="DV3" s="736">
        <f t="shared" si="4"/>
        <v>0</v>
      </c>
      <c r="DW3" s="736">
        <f t="shared" si="4"/>
        <v>0</v>
      </c>
      <c r="DX3" s="736">
        <f t="shared" si="4"/>
        <v>0</v>
      </c>
      <c r="DY3" s="736">
        <f t="shared" si="4"/>
        <v>0</v>
      </c>
      <c r="DZ3" s="736">
        <f t="shared" si="4"/>
        <v>0</v>
      </c>
      <c r="EA3" s="736">
        <f t="shared" si="4"/>
        <v>0</v>
      </c>
      <c r="EB3" s="736">
        <f t="shared" si="4"/>
        <v>0</v>
      </c>
      <c r="EC3" s="736">
        <f t="shared" si="4"/>
        <v>0</v>
      </c>
      <c r="ED3" s="736">
        <f t="shared" si="4"/>
        <v>0</v>
      </c>
      <c r="EE3" s="736">
        <f t="shared" si="4"/>
        <v>0</v>
      </c>
      <c r="EF3" s="736">
        <f t="shared" ref="EF3:GJ3" si="5">IF(EF$19&gt;=1,EF23,0)</f>
        <v>0</v>
      </c>
      <c r="EG3" s="736">
        <f t="shared" si="5"/>
        <v>0</v>
      </c>
      <c r="EH3" s="736">
        <f t="shared" si="5"/>
        <v>0</v>
      </c>
      <c r="EI3" s="736">
        <f t="shared" si="5"/>
        <v>0</v>
      </c>
      <c r="EJ3" s="736">
        <f t="shared" si="5"/>
        <v>0</v>
      </c>
      <c r="EK3" s="736">
        <f t="shared" si="5"/>
        <v>0</v>
      </c>
      <c r="EL3" s="736">
        <f t="shared" si="5"/>
        <v>0</v>
      </c>
      <c r="EM3" s="736">
        <f t="shared" si="5"/>
        <v>0</v>
      </c>
      <c r="EN3" s="736">
        <f t="shared" si="5"/>
        <v>0</v>
      </c>
      <c r="EO3" s="736">
        <f t="shared" si="5"/>
        <v>0</v>
      </c>
      <c r="EP3" s="736">
        <f t="shared" si="5"/>
        <v>0</v>
      </c>
      <c r="EQ3" s="736">
        <f t="shared" si="5"/>
        <v>0</v>
      </c>
      <c r="ER3" s="736">
        <f t="shared" si="5"/>
        <v>0</v>
      </c>
      <c r="ES3" s="736">
        <f t="shared" si="5"/>
        <v>0</v>
      </c>
      <c r="ET3" s="736">
        <f t="shared" si="5"/>
        <v>0</v>
      </c>
      <c r="EU3" s="736">
        <f t="shared" si="5"/>
        <v>0</v>
      </c>
      <c r="EV3" s="736">
        <f t="shared" si="5"/>
        <v>0</v>
      </c>
      <c r="EW3" s="736">
        <f t="shared" si="5"/>
        <v>0</v>
      </c>
      <c r="EX3" s="736">
        <f t="shared" si="5"/>
        <v>0</v>
      </c>
      <c r="EY3" s="736">
        <f t="shared" si="5"/>
        <v>0</v>
      </c>
      <c r="EZ3" s="736">
        <f t="shared" si="5"/>
        <v>0</v>
      </c>
      <c r="FA3" s="736">
        <f t="shared" si="5"/>
        <v>0</v>
      </c>
      <c r="FB3" s="736">
        <f t="shared" si="5"/>
        <v>0</v>
      </c>
      <c r="FC3" s="736">
        <f t="shared" si="5"/>
        <v>0</v>
      </c>
      <c r="FD3" s="736">
        <f t="shared" si="5"/>
        <v>0</v>
      </c>
      <c r="FE3" s="736">
        <f t="shared" si="5"/>
        <v>0</v>
      </c>
      <c r="FF3" s="736">
        <f t="shared" si="5"/>
        <v>0</v>
      </c>
      <c r="FG3" s="736">
        <f t="shared" si="5"/>
        <v>0</v>
      </c>
      <c r="FH3" s="736">
        <f t="shared" si="5"/>
        <v>0</v>
      </c>
      <c r="FI3" s="736">
        <f t="shared" si="5"/>
        <v>0</v>
      </c>
      <c r="FJ3" s="736">
        <f t="shared" si="5"/>
        <v>0</v>
      </c>
      <c r="FK3" s="736">
        <f t="shared" si="5"/>
        <v>0</v>
      </c>
      <c r="FL3" s="736">
        <f t="shared" si="5"/>
        <v>0</v>
      </c>
      <c r="FM3" s="736">
        <f t="shared" si="5"/>
        <v>0</v>
      </c>
      <c r="FN3" s="736">
        <f t="shared" si="5"/>
        <v>0</v>
      </c>
      <c r="FO3" s="736">
        <f t="shared" si="5"/>
        <v>0</v>
      </c>
      <c r="FP3" s="736">
        <f t="shared" si="5"/>
        <v>0</v>
      </c>
      <c r="FQ3" s="736">
        <f t="shared" si="5"/>
        <v>0</v>
      </c>
      <c r="FR3" s="736">
        <f t="shared" si="5"/>
        <v>0</v>
      </c>
      <c r="FS3" s="736">
        <f t="shared" si="5"/>
        <v>0</v>
      </c>
      <c r="FT3" s="736">
        <f t="shared" si="5"/>
        <v>0</v>
      </c>
      <c r="FU3" s="736">
        <f t="shared" si="5"/>
        <v>0</v>
      </c>
      <c r="FV3" s="736">
        <f t="shared" si="5"/>
        <v>0</v>
      </c>
      <c r="FW3" s="736">
        <f t="shared" si="5"/>
        <v>0</v>
      </c>
      <c r="FX3" s="736">
        <f t="shared" si="5"/>
        <v>0</v>
      </c>
      <c r="FY3" s="736">
        <f t="shared" si="5"/>
        <v>0</v>
      </c>
      <c r="FZ3" s="736">
        <f t="shared" si="5"/>
        <v>0</v>
      </c>
      <c r="GA3" s="736">
        <f t="shared" si="5"/>
        <v>0</v>
      </c>
      <c r="GB3" s="736">
        <f t="shared" si="5"/>
        <v>0</v>
      </c>
      <c r="GC3" s="736">
        <f t="shared" si="5"/>
        <v>0</v>
      </c>
      <c r="GD3" s="736">
        <f t="shared" si="5"/>
        <v>0</v>
      </c>
      <c r="GE3" s="736">
        <f t="shared" si="5"/>
        <v>0</v>
      </c>
      <c r="GF3" s="736">
        <f t="shared" si="5"/>
        <v>0</v>
      </c>
      <c r="GG3" s="736">
        <f t="shared" si="5"/>
        <v>0</v>
      </c>
      <c r="GH3" s="736">
        <f t="shared" si="5"/>
        <v>0</v>
      </c>
      <c r="GI3" s="736">
        <f t="shared" si="5"/>
        <v>0</v>
      </c>
      <c r="GJ3" s="736">
        <f t="shared" si="5"/>
        <v>0</v>
      </c>
    </row>
    <row r="4" spans="2:192" ht="9.75" customHeight="1">
      <c r="B4" s="634"/>
      <c r="C4" s="652" t="s">
        <v>1256</v>
      </c>
      <c r="D4" s="734">
        <f>基礎情報!V119</f>
        <v>0</v>
      </c>
      <c r="E4" s="1912">
        <f t="shared" ref="E4:E15" si="6">SUM(G4:GJ4)</f>
        <v>0</v>
      </c>
      <c r="F4" s="1913"/>
      <c r="G4" s="736">
        <f>IF(G$19&gt;=1,G26,0)</f>
        <v>0</v>
      </c>
      <c r="H4" s="736">
        <f t="shared" ref="H4:BS4" si="7">IF(H$19&gt;=1,H26,0)</f>
        <v>0</v>
      </c>
      <c r="I4" s="736">
        <f t="shared" si="7"/>
        <v>0</v>
      </c>
      <c r="J4" s="736">
        <f t="shared" si="7"/>
        <v>0</v>
      </c>
      <c r="K4" s="736">
        <f t="shared" si="7"/>
        <v>0</v>
      </c>
      <c r="L4" s="736">
        <f t="shared" si="7"/>
        <v>0</v>
      </c>
      <c r="M4" s="736">
        <f t="shared" si="7"/>
        <v>0</v>
      </c>
      <c r="N4" s="736">
        <f t="shared" si="7"/>
        <v>0</v>
      </c>
      <c r="O4" s="736">
        <f t="shared" si="7"/>
        <v>0</v>
      </c>
      <c r="P4" s="736">
        <f t="shared" si="7"/>
        <v>0</v>
      </c>
      <c r="Q4" s="736">
        <f t="shared" si="7"/>
        <v>0</v>
      </c>
      <c r="R4" s="736">
        <f t="shared" si="7"/>
        <v>0</v>
      </c>
      <c r="S4" s="736">
        <f t="shared" si="7"/>
        <v>0</v>
      </c>
      <c r="T4" s="736">
        <f t="shared" si="7"/>
        <v>0</v>
      </c>
      <c r="U4" s="736">
        <f t="shared" si="7"/>
        <v>0</v>
      </c>
      <c r="V4" s="736">
        <f t="shared" si="7"/>
        <v>0</v>
      </c>
      <c r="W4" s="736">
        <f t="shared" si="7"/>
        <v>0</v>
      </c>
      <c r="X4" s="736">
        <f t="shared" si="7"/>
        <v>0</v>
      </c>
      <c r="Y4" s="736">
        <f t="shared" si="7"/>
        <v>0</v>
      </c>
      <c r="Z4" s="736">
        <f t="shared" si="7"/>
        <v>0</v>
      </c>
      <c r="AA4" s="736">
        <f t="shared" si="7"/>
        <v>0</v>
      </c>
      <c r="AB4" s="736">
        <f t="shared" si="7"/>
        <v>0</v>
      </c>
      <c r="AC4" s="736">
        <f t="shared" si="7"/>
        <v>0</v>
      </c>
      <c r="AD4" s="736">
        <f t="shared" si="7"/>
        <v>0</v>
      </c>
      <c r="AE4" s="736">
        <f t="shared" si="7"/>
        <v>0</v>
      </c>
      <c r="AF4" s="736">
        <f t="shared" si="7"/>
        <v>0</v>
      </c>
      <c r="AG4" s="736">
        <f t="shared" si="7"/>
        <v>0</v>
      </c>
      <c r="AH4" s="736">
        <f t="shared" si="7"/>
        <v>0</v>
      </c>
      <c r="AI4" s="736">
        <f t="shared" si="7"/>
        <v>0</v>
      </c>
      <c r="AJ4" s="736">
        <f t="shared" si="7"/>
        <v>0</v>
      </c>
      <c r="AK4" s="736">
        <f t="shared" si="7"/>
        <v>0</v>
      </c>
      <c r="AL4" s="736">
        <f t="shared" si="7"/>
        <v>0</v>
      </c>
      <c r="AM4" s="736">
        <f t="shared" si="7"/>
        <v>0</v>
      </c>
      <c r="AN4" s="736">
        <f t="shared" si="7"/>
        <v>0</v>
      </c>
      <c r="AO4" s="736">
        <f t="shared" si="7"/>
        <v>0</v>
      </c>
      <c r="AP4" s="736">
        <f t="shared" si="7"/>
        <v>0</v>
      </c>
      <c r="AQ4" s="736">
        <f t="shared" si="7"/>
        <v>0</v>
      </c>
      <c r="AR4" s="736">
        <f t="shared" si="7"/>
        <v>0</v>
      </c>
      <c r="AS4" s="736">
        <f t="shared" si="7"/>
        <v>0</v>
      </c>
      <c r="AT4" s="736">
        <f t="shared" si="7"/>
        <v>0</v>
      </c>
      <c r="AU4" s="736">
        <f t="shared" si="7"/>
        <v>0</v>
      </c>
      <c r="AV4" s="736">
        <f t="shared" si="7"/>
        <v>0</v>
      </c>
      <c r="AW4" s="736">
        <f t="shared" si="7"/>
        <v>0</v>
      </c>
      <c r="AX4" s="736">
        <f t="shared" si="7"/>
        <v>0</v>
      </c>
      <c r="AY4" s="736">
        <f t="shared" si="7"/>
        <v>0</v>
      </c>
      <c r="AZ4" s="736">
        <f t="shared" si="7"/>
        <v>0</v>
      </c>
      <c r="BA4" s="736">
        <f t="shared" si="7"/>
        <v>0</v>
      </c>
      <c r="BB4" s="736">
        <f t="shared" si="7"/>
        <v>0</v>
      </c>
      <c r="BC4" s="736">
        <f t="shared" si="7"/>
        <v>0</v>
      </c>
      <c r="BD4" s="736">
        <f t="shared" si="7"/>
        <v>0</v>
      </c>
      <c r="BE4" s="736">
        <f t="shared" si="7"/>
        <v>0</v>
      </c>
      <c r="BF4" s="736">
        <f t="shared" si="7"/>
        <v>0</v>
      </c>
      <c r="BG4" s="736">
        <f t="shared" si="7"/>
        <v>0</v>
      </c>
      <c r="BH4" s="736">
        <f t="shared" si="7"/>
        <v>0</v>
      </c>
      <c r="BI4" s="736">
        <f t="shared" si="7"/>
        <v>0</v>
      </c>
      <c r="BJ4" s="736">
        <f t="shared" si="7"/>
        <v>0</v>
      </c>
      <c r="BK4" s="736">
        <f t="shared" si="7"/>
        <v>0</v>
      </c>
      <c r="BL4" s="736">
        <f t="shared" si="7"/>
        <v>0</v>
      </c>
      <c r="BM4" s="736">
        <f t="shared" si="7"/>
        <v>0</v>
      </c>
      <c r="BN4" s="736">
        <f t="shared" si="7"/>
        <v>0</v>
      </c>
      <c r="BO4" s="736">
        <f t="shared" si="7"/>
        <v>0</v>
      </c>
      <c r="BP4" s="736">
        <f t="shared" si="7"/>
        <v>0</v>
      </c>
      <c r="BQ4" s="736">
        <f t="shared" si="7"/>
        <v>0</v>
      </c>
      <c r="BR4" s="736">
        <f t="shared" si="7"/>
        <v>0</v>
      </c>
      <c r="BS4" s="736">
        <f t="shared" si="7"/>
        <v>0</v>
      </c>
      <c r="BT4" s="736">
        <f t="shared" ref="BT4:EE4" si="8">IF(BT$19&gt;=1,BT26,0)</f>
        <v>0</v>
      </c>
      <c r="BU4" s="736">
        <f t="shared" si="8"/>
        <v>0</v>
      </c>
      <c r="BV4" s="736">
        <f t="shared" si="8"/>
        <v>0</v>
      </c>
      <c r="BW4" s="736">
        <f t="shared" si="8"/>
        <v>0</v>
      </c>
      <c r="BX4" s="736">
        <f t="shared" si="8"/>
        <v>0</v>
      </c>
      <c r="BY4" s="736">
        <f t="shared" si="8"/>
        <v>0</v>
      </c>
      <c r="BZ4" s="736">
        <f t="shared" si="8"/>
        <v>0</v>
      </c>
      <c r="CA4" s="736">
        <f t="shared" si="8"/>
        <v>0</v>
      </c>
      <c r="CB4" s="736">
        <f t="shared" si="8"/>
        <v>0</v>
      </c>
      <c r="CC4" s="736">
        <f t="shared" si="8"/>
        <v>0</v>
      </c>
      <c r="CD4" s="736">
        <f t="shared" si="8"/>
        <v>0</v>
      </c>
      <c r="CE4" s="736">
        <f t="shared" si="8"/>
        <v>0</v>
      </c>
      <c r="CF4" s="736">
        <f t="shared" si="8"/>
        <v>0</v>
      </c>
      <c r="CG4" s="736">
        <f t="shared" si="8"/>
        <v>0</v>
      </c>
      <c r="CH4" s="736">
        <f t="shared" si="8"/>
        <v>0</v>
      </c>
      <c r="CI4" s="736">
        <f t="shared" si="8"/>
        <v>0</v>
      </c>
      <c r="CJ4" s="736">
        <f t="shared" si="8"/>
        <v>0</v>
      </c>
      <c r="CK4" s="736">
        <f t="shared" si="8"/>
        <v>0</v>
      </c>
      <c r="CL4" s="736">
        <f t="shared" si="8"/>
        <v>0</v>
      </c>
      <c r="CM4" s="736">
        <f t="shared" si="8"/>
        <v>0</v>
      </c>
      <c r="CN4" s="736">
        <f t="shared" si="8"/>
        <v>0</v>
      </c>
      <c r="CO4" s="736">
        <f t="shared" si="8"/>
        <v>0</v>
      </c>
      <c r="CP4" s="736">
        <f t="shared" si="8"/>
        <v>0</v>
      </c>
      <c r="CQ4" s="736">
        <f t="shared" si="8"/>
        <v>0</v>
      </c>
      <c r="CR4" s="736">
        <f t="shared" si="8"/>
        <v>0</v>
      </c>
      <c r="CS4" s="736">
        <f t="shared" si="8"/>
        <v>0</v>
      </c>
      <c r="CT4" s="736">
        <f t="shared" si="8"/>
        <v>0</v>
      </c>
      <c r="CU4" s="736">
        <f t="shared" si="8"/>
        <v>0</v>
      </c>
      <c r="CV4" s="736">
        <f t="shared" si="8"/>
        <v>0</v>
      </c>
      <c r="CW4" s="736">
        <f t="shared" si="8"/>
        <v>0</v>
      </c>
      <c r="CX4" s="736">
        <f t="shared" si="8"/>
        <v>0</v>
      </c>
      <c r="CY4" s="736">
        <f t="shared" si="8"/>
        <v>0</v>
      </c>
      <c r="CZ4" s="736">
        <f t="shared" si="8"/>
        <v>0</v>
      </c>
      <c r="DA4" s="736">
        <f t="shared" si="8"/>
        <v>0</v>
      </c>
      <c r="DB4" s="736">
        <f t="shared" si="8"/>
        <v>0</v>
      </c>
      <c r="DC4" s="736">
        <f t="shared" si="8"/>
        <v>0</v>
      </c>
      <c r="DD4" s="736">
        <f t="shared" si="8"/>
        <v>0</v>
      </c>
      <c r="DE4" s="736">
        <f t="shared" si="8"/>
        <v>0</v>
      </c>
      <c r="DF4" s="736">
        <f t="shared" si="8"/>
        <v>0</v>
      </c>
      <c r="DG4" s="736">
        <f t="shared" si="8"/>
        <v>0</v>
      </c>
      <c r="DH4" s="736">
        <f t="shared" si="8"/>
        <v>0</v>
      </c>
      <c r="DI4" s="736">
        <f t="shared" si="8"/>
        <v>0</v>
      </c>
      <c r="DJ4" s="736">
        <f t="shared" si="8"/>
        <v>0</v>
      </c>
      <c r="DK4" s="736">
        <f t="shared" si="8"/>
        <v>0</v>
      </c>
      <c r="DL4" s="736">
        <f t="shared" si="8"/>
        <v>0</v>
      </c>
      <c r="DM4" s="736">
        <f t="shared" si="8"/>
        <v>0</v>
      </c>
      <c r="DN4" s="736">
        <f t="shared" si="8"/>
        <v>0</v>
      </c>
      <c r="DO4" s="736">
        <f t="shared" si="8"/>
        <v>0</v>
      </c>
      <c r="DP4" s="736">
        <f t="shared" si="8"/>
        <v>0</v>
      </c>
      <c r="DQ4" s="736">
        <f t="shared" si="8"/>
        <v>0</v>
      </c>
      <c r="DR4" s="736">
        <f t="shared" si="8"/>
        <v>0</v>
      </c>
      <c r="DS4" s="736">
        <f t="shared" si="8"/>
        <v>0</v>
      </c>
      <c r="DT4" s="736">
        <f t="shared" si="8"/>
        <v>0</v>
      </c>
      <c r="DU4" s="736">
        <f t="shared" si="8"/>
        <v>0</v>
      </c>
      <c r="DV4" s="736">
        <f t="shared" si="8"/>
        <v>0</v>
      </c>
      <c r="DW4" s="736">
        <f t="shared" si="8"/>
        <v>0</v>
      </c>
      <c r="DX4" s="736">
        <f t="shared" si="8"/>
        <v>0</v>
      </c>
      <c r="DY4" s="736">
        <f t="shared" si="8"/>
        <v>0</v>
      </c>
      <c r="DZ4" s="736">
        <f t="shared" si="8"/>
        <v>0</v>
      </c>
      <c r="EA4" s="736">
        <f t="shared" si="8"/>
        <v>0</v>
      </c>
      <c r="EB4" s="736">
        <f t="shared" si="8"/>
        <v>0</v>
      </c>
      <c r="EC4" s="736">
        <f t="shared" si="8"/>
        <v>0</v>
      </c>
      <c r="ED4" s="736">
        <f t="shared" si="8"/>
        <v>0</v>
      </c>
      <c r="EE4" s="736">
        <f t="shared" si="8"/>
        <v>0</v>
      </c>
      <c r="EF4" s="736">
        <f t="shared" ref="EF4:GJ4" si="9">IF(EF$19&gt;=1,EF26,0)</f>
        <v>0</v>
      </c>
      <c r="EG4" s="736">
        <f t="shared" si="9"/>
        <v>0</v>
      </c>
      <c r="EH4" s="736">
        <f t="shared" si="9"/>
        <v>0</v>
      </c>
      <c r="EI4" s="736">
        <f t="shared" si="9"/>
        <v>0</v>
      </c>
      <c r="EJ4" s="736">
        <f t="shared" si="9"/>
        <v>0</v>
      </c>
      <c r="EK4" s="736">
        <f t="shared" si="9"/>
        <v>0</v>
      </c>
      <c r="EL4" s="736">
        <f t="shared" si="9"/>
        <v>0</v>
      </c>
      <c r="EM4" s="736">
        <f t="shared" si="9"/>
        <v>0</v>
      </c>
      <c r="EN4" s="736">
        <f t="shared" si="9"/>
        <v>0</v>
      </c>
      <c r="EO4" s="736">
        <f t="shared" si="9"/>
        <v>0</v>
      </c>
      <c r="EP4" s="736">
        <f t="shared" si="9"/>
        <v>0</v>
      </c>
      <c r="EQ4" s="736">
        <f t="shared" si="9"/>
        <v>0</v>
      </c>
      <c r="ER4" s="736">
        <f t="shared" si="9"/>
        <v>0</v>
      </c>
      <c r="ES4" s="736">
        <f t="shared" si="9"/>
        <v>0</v>
      </c>
      <c r="ET4" s="736">
        <f t="shared" si="9"/>
        <v>0</v>
      </c>
      <c r="EU4" s="736">
        <f t="shared" si="9"/>
        <v>0</v>
      </c>
      <c r="EV4" s="736">
        <f t="shared" si="9"/>
        <v>0</v>
      </c>
      <c r="EW4" s="736">
        <f t="shared" si="9"/>
        <v>0</v>
      </c>
      <c r="EX4" s="736">
        <f t="shared" si="9"/>
        <v>0</v>
      </c>
      <c r="EY4" s="736">
        <f t="shared" si="9"/>
        <v>0</v>
      </c>
      <c r="EZ4" s="736">
        <f t="shared" si="9"/>
        <v>0</v>
      </c>
      <c r="FA4" s="736">
        <f t="shared" si="9"/>
        <v>0</v>
      </c>
      <c r="FB4" s="736">
        <f t="shared" si="9"/>
        <v>0</v>
      </c>
      <c r="FC4" s="736">
        <f t="shared" si="9"/>
        <v>0</v>
      </c>
      <c r="FD4" s="736">
        <f t="shared" si="9"/>
        <v>0</v>
      </c>
      <c r="FE4" s="736">
        <f t="shared" si="9"/>
        <v>0</v>
      </c>
      <c r="FF4" s="736">
        <f t="shared" si="9"/>
        <v>0</v>
      </c>
      <c r="FG4" s="736">
        <f t="shared" si="9"/>
        <v>0</v>
      </c>
      <c r="FH4" s="736">
        <f t="shared" si="9"/>
        <v>0</v>
      </c>
      <c r="FI4" s="736">
        <f t="shared" si="9"/>
        <v>0</v>
      </c>
      <c r="FJ4" s="736">
        <f t="shared" si="9"/>
        <v>0</v>
      </c>
      <c r="FK4" s="736">
        <f t="shared" si="9"/>
        <v>0</v>
      </c>
      <c r="FL4" s="736">
        <f t="shared" si="9"/>
        <v>0</v>
      </c>
      <c r="FM4" s="736">
        <f t="shared" si="9"/>
        <v>0</v>
      </c>
      <c r="FN4" s="736">
        <f t="shared" si="9"/>
        <v>0</v>
      </c>
      <c r="FO4" s="736">
        <f t="shared" si="9"/>
        <v>0</v>
      </c>
      <c r="FP4" s="736">
        <f t="shared" si="9"/>
        <v>0</v>
      </c>
      <c r="FQ4" s="736">
        <f t="shared" si="9"/>
        <v>0</v>
      </c>
      <c r="FR4" s="736">
        <f t="shared" si="9"/>
        <v>0</v>
      </c>
      <c r="FS4" s="736">
        <f t="shared" si="9"/>
        <v>0</v>
      </c>
      <c r="FT4" s="736">
        <f t="shared" si="9"/>
        <v>0</v>
      </c>
      <c r="FU4" s="736">
        <f t="shared" si="9"/>
        <v>0</v>
      </c>
      <c r="FV4" s="736">
        <f t="shared" si="9"/>
        <v>0</v>
      </c>
      <c r="FW4" s="736">
        <f t="shared" si="9"/>
        <v>0</v>
      </c>
      <c r="FX4" s="736">
        <f t="shared" si="9"/>
        <v>0</v>
      </c>
      <c r="FY4" s="736">
        <f t="shared" si="9"/>
        <v>0</v>
      </c>
      <c r="FZ4" s="736">
        <f t="shared" si="9"/>
        <v>0</v>
      </c>
      <c r="GA4" s="736">
        <f t="shared" si="9"/>
        <v>0</v>
      </c>
      <c r="GB4" s="736">
        <f t="shared" si="9"/>
        <v>0</v>
      </c>
      <c r="GC4" s="736">
        <f t="shared" si="9"/>
        <v>0</v>
      </c>
      <c r="GD4" s="736">
        <f t="shared" si="9"/>
        <v>0</v>
      </c>
      <c r="GE4" s="736">
        <f t="shared" si="9"/>
        <v>0</v>
      </c>
      <c r="GF4" s="736">
        <f t="shared" si="9"/>
        <v>0</v>
      </c>
      <c r="GG4" s="736">
        <f t="shared" si="9"/>
        <v>0</v>
      </c>
      <c r="GH4" s="736">
        <f t="shared" si="9"/>
        <v>0</v>
      </c>
      <c r="GI4" s="736">
        <f t="shared" si="9"/>
        <v>0</v>
      </c>
      <c r="GJ4" s="736">
        <f t="shared" si="9"/>
        <v>0</v>
      </c>
    </row>
    <row r="5" spans="2:192" ht="9.75" customHeight="1">
      <c r="B5" s="634"/>
      <c r="C5" s="652" t="s">
        <v>1418</v>
      </c>
      <c r="D5" s="734">
        <f>基礎情報!V122</f>
        <v>0</v>
      </c>
      <c r="E5" s="1912">
        <f t="shared" si="6"/>
        <v>0</v>
      </c>
      <c r="F5" s="1913"/>
      <c r="G5" s="736">
        <f>IF(G$19&gt;=1,G29,0)</f>
        <v>0</v>
      </c>
      <c r="H5" s="736">
        <f t="shared" ref="H5:BS5" si="10">IF(H$19&gt;=1,H29,0)</f>
        <v>0</v>
      </c>
      <c r="I5" s="736">
        <f t="shared" si="10"/>
        <v>0</v>
      </c>
      <c r="J5" s="736">
        <f t="shared" si="10"/>
        <v>0</v>
      </c>
      <c r="K5" s="736">
        <f t="shared" si="10"/>
        <v>0</v>
      </c>
      <c r="L5" s="736">
        <f t="shared" si="10"/>
        <v>0</v>
      </c>
      <c r="M5" s="736">
        <f t="shared" si="10"/>
        <v>0</v>
      </c>
      <c r="N5" s="736">
        <f t="shared" si="10"/>
        <v>0</v>
      </c>
      <c r="O5" s="736">
        <f t="shared" si="10"/>
        <v>0</v>
      </c>
      <c r="P5" s="736">
        <f t="shared" si="10"/>
        <v>0</v>
      </c>
      <c r="Q5" s="736">
        <f t="shared" si="10"/>
        <v>0</v>
      </c>
      <c r="R5" s="736">
        <f t="shared" si="10"/>
        <v>0</v>
      </c>
      <c r="S5" s="736">
        <f t="shared" si="10"/>
        <v>0</v>
      </c>
      <c r="T5" s="736">
        <f t="shared" si="10"/>
        <v>0</v>
      </c>
      <c r="U5" s="736">
        <f t="shared" si="10"/>
        <v>0</v>
      </c>
      <c r="V5" s="736">
        <f t="shared" si="10"/>
        <v>0</v>
      </c>
      <c r="W5" s="736">
        <f t="shared" si="10"/>
        <v>0</v>
      </c>
      <c r="X5" s="736">
        <f t="shared" si="10"/>
        <v>0</v>
      </c>
      <c r="Y5" s="736">
        <f t="shared" si="10"/>
        <v>0</v>
      </c>
      <c r="Z5" s="736">
        <f t="shared" si="10"/>
        <v>0</v>
      </c>
      <c r="AA5" s="736">
        <f t="shared" si="10"/>
        <v>0</v>
      </c>
      <c r="AB5" s="736">
        <f t="shared" si="10"/>
        <v>0</v>
      </c>
      <c r="AC5" s="736">
        <f t="shared" si="10"/>
        <v>0</v>
      </c>
      <c r="AD5" s="736">
        <f t="shared" si="10"/>
        <v>0</v>
      </c>
      <c r="AE5" s="736">
        <f t="shared" si="10"/>
        <v>0</v>
      </c>
      <c r="AF5" s="736">
        <f t="shared" si="10"/>
        <v>0</v>
      </c>
      <c r="AG5" s="736">
        <f t="shared" si="10"/>
        <v>0</v>
      </c>
      <c r="AH5" s="736">
        <f t="shared" si="10"/>
        <v>0</v>
      </c>
      <c r="AI5" s="736">
        <f t="shared" si="10"/>
        <v>0</v>
      </c>
      <c r="AJ5" s="736">
        <f t="shared" si="10"/>
        <v>0</v>
      </c>
      <c r="AK5" s="736">
        <f t="shared" si="10"/>
        <v>0</v>
      </c>
      <c r="AL5" s="736">
        <f t="shared" si="10"/>
        <v>0</v>
      </c>
      <c r="AM5" s="736">
        <f t="shared" si="10"/>
        <v>0</v>
      </c>
      <c r="AN5" s="736">
        <f t="shared" si="10"/>
        <v>0</v>
      </c>
      <c r="AO5" s="736">
        <f t="shared" si="10"/>
        <v>0</v>
      </c>
      <c r="AP5" s="736">
        <f t="shared" si="10"/>
        <v>0</v>
      </c>
      <c r="AQ5" s="736">
        <f t="shared" si="10"/>
        <v>0</v>
      </c>
      <c r="AR5" s="736">
        <f t="shared" si="10"/>
        <v>0</v>
      </c>
      <c r="AS5" s="736">
        <f t="shared" si="10"/>
        <v>0</v>
      </c>
      <c r="AT5" s="736">
        <f t="shared" si="10"/>
        <v>0</v>
      </c>
      <c r="AU5" s="736">
        <f t="shared" si="10"/>
        <v>0</v>
      </c>
      <c r="AV5" s="736">
        <f t="shared" si="10"/>
        <v>0</v>
      </c>
      <c r="AW5" s="736">
        <f t="shared" si="10"/>
        <v>0</v>
      </c>
      <c r="AX5" s="736">
        <f t="shared" si="10"/>
        <v>0</v>
      </c>
      <c r="AY5" s="736">
        <f t="shared" si="10"/>
        <v>0</v>
      </c>
      <c r="AZ5" s="736">
        <f t="shared" si="10"/>
        <v>0</v>
      </c>
      <c r="BA5" s="736">
        <f t="shared" si="10"/>
        <v>0</v>
      </c>
      <c r="BB5" s="736">
        <f t="shared" si="10"/>
        <v>0</v>
      </c>
      <c r="BC5" s="736">
        <f t="shared" si="10"/>
        <v>0</v>
      </c>
      <c r="BD5" s="736">
        <f t="shared" si="10"/>
        <v>0</v>
      </c>
      <c r="BE5" s="736">
        <f t="shared" si="10"/>
        <v>0</v>
      </c>
      <c r="BF5" s="736">
        <f t="shared" si="10"/>
        <v>0</v>
      </c>
      <c r="BG5" s="736">
        <f t="shared" si="10"/>
        <v>0</v>
      </c>
      <c r="BH5" s="736">
        <f t="shared" si="10"/>
        <v>0</v>
      </c>
      <c r="BI5" s="736">
        <f t="shared" si="10"/>
        <v>0</v>
      </c>
      <c r="BJ5" s="736">
        <f t="shared" si="10"/>
        <v>0</v>
      </c>
      <c r="BK5" s="736">
        <f t="shared" si="10"/>
        <v>0</v>
      </c>
      <c r="BL5" s="736">
        <f t="shared" si="10"/>
        <v>0</v>
      </c>
      <c r="BM5" s="736">
        <f t="shared" si="10"/>
        <v>0</v>
      </c>
      <c r="BN5" s="736">
        <f t="shared" si="10"/>
        <v>0</v>
      </c>
      <c r="BO5" s="736">
        <f t="shared" si="10"/>
        <v>0</v>
      </c>
      <c r="BP5" s="736">
        <f t="shared" si="10"/>
        <v>0</v>
      </c>
      <c r="BQ5" s="736">
        <f t="shared" si="10"/>
        <v>0</v>
      </c>
      <c r="BR5" s="736">
        <f t="shared" si="10"/>
        <v>0</v>
      </c>
      <c r="BS5" s="736">
        <f t="shared" si="10"/>
        <v>0</v>
      </c>
      <c r="BT5" s="736">
        <f t="shared" ref="BT5:EE5" si="11">IF(BT$19&gt;=1,BT29,0)</f>
        <v>0</v>
      </c>
      <c r="BU5" s="736">
        <f t="shared" si="11"/>
        <v>0</v>
      </c>
      <c r="BV5" s="736">
        <f t="shared" si="11"/>
        <v>0</v>
      </c>
      <c r="BW5" s="736">
        <f t="shared" si="11"/>
        <v>0</v>
      </c>
      <c r="BX5" s="736">
        <f t="shared" si="11"/>
        <v>0</v>
      </c>
      <c r="BY5" s="736">
        <f t="shared" si="11"/>
        <v>0</v>
      </c>
      <c r="BZ5" s="736">
        <f t="shared" si="11"/>
        <v>0</v>
      </c>
      <c r="CA5" s="736">
        <f t="shared" si="11"/>
        <v>0</v>
      </c>
      <c r="CB5" s="736">
        <f t="shared" si="11"/>
        <v>0</v>
      </c>
      <c r="CC5" s="736">
        <f t="shared" si="11"/>
        <v>0</v>
      </c>
      <c r="CD5" s="736">
        <f t="shared" si="11"/>
        <v>0</v>
      </c>
      <c r="CE5" s="736">
        <f t="shared" si="11"/>
        <v>0</v>
      </c>
      <c r="CF5" s="736">
        <f t="shared" si="11"/>
        <v>0</v>
      </c>
      <c r="CG5" s="736">
        <f t="shared" si="11"/>
        <v>0</v>
      </c>
      <c r="CH5" s="736">
        <f t="shared" si="11"/>
        <v>0</v>
      </c>
      <c r="CI5" s="736">
        <f t="shared" si="11"/>
        <v>0</v>
      </c>
      <c r="CJ5" s="736">
        <f t="shared" si="11"/>
        <v>0</v>
      </c>
      <c r="CK5" s="736">
        <f t="shared" si="11"/>
        <v>0</v>
      </c>
      <c r="CL5" s="736">
        <f t="shared" si="11"/>
        <v>0</v>
      </c>
      <c r="CM5" s="736">
        <f t="shared" si="11"/>
        <v>0</v>
      </c>
      <c r="CN5" s="736">
        <f t="shared" si="11"/>
        <v>0</v>
      </c>
      <c r="CO5" s="736">
        <f t="shared" si="11"/>
        <v>0</v>
      </c>
      <c r="CP5" s="736">
        <f t="shared" si="11"/>
        <v>0</v>
      </c>
      <c r="CQ5" s="736">
        <f t="shared" si="11"/>
        <v>0</v>
      </c>
      <c r="CR5" s="736">
        <f t="shared" si="11"/>
        <v>0</v>
      </c>
      <c r="CS5" s="736">
        <f t="shared" si="11"/>
        <v>0</v>
      </c>
      <c r="CT5" s="736">
        <f t="shared" si="11"/>
        <v>0</v>
      </c>
      <c r="CU5" s="736">
        <f t="shared" si="11"/>
        <v>0</v>
      </c>
      <c r="CV5" s="736">
        <f t="shared" si="11"/>
        <v>0</v>
      </c>
      <c r="CW5" s="736">
        <f t="shared" si="11"/>
        <v>0</v>
      </c>
      <c r="CX5" s="736">
        <f t="shared" si="11"/>
        <v>0</v>
      </c>
      <c r="CY5" s="736">
        <f t="shared" si="11"/>
        <v>0</v>
      </c>
      <c r="CZ5" s="736">
        <f t="shared" si="11"/>
        <v>0</v>
      </c>
      <c r="DA5" s="736">
        <f t="shared" si="11"/>
        <v>0</v>
      </c>
      <c r="DB5" s="736">
        <f t="shared" si="11"/>
        <v>0</v>
      </c>
      <c r="DC5" s="736">
        <f t="shared" si="11"/>
        <v>0</v>
      </c>
      <c r="DD5" s="736">
        <f t="shared" si="11"/>
        <v>0</v>
      </c>
      <c r="DE5" s="736">
        <f t="shared" si="11"/>
        <v>0</v>
      </c>
      <c r="DF5" s="736">
        <f t="shared" si="11"/>
        <v>0</v>
      </c>
      <c r="DG5" s="736">
        <f t="shared" si="11"/>
        <v>0</v>
      </c>
      <c r="DH5" s="736">
        <f t="shared" si="11"/>
        <v>0</v>
      </c>
      <c r="DI5" s="736">
        <f t="shared" si="11"/>
        <v>0</v>
      </c>
      <c r="DJ5" s="736">
        <f t="shared" si="11"/>
        <v>0</v>
      </c>
      <c r="DK5" s="736">
        <f t="shared" si="11"/>
        <v>0</v>
      </c>
      <c r="DL5" s="736">
        <f t="shared" si="11"/>
        <v>0</v>
      </c>
      <c r="DM5" s="736">
        <f t="shared" si="11"/>
        <v>0</v>
      </c>
      <c r="DN5" s="736">
        <f t="shared" si="11"/>
        <v>0</v>
      </c>
      <c r="DO5" s="736">
        <f t="shared" si="11"/>
        <v>0</v>
      </c>
      <c r="DP5" s="736">
        <f t="shared" si="11"/>
        <v>0</v>
      </c>
      <c r="DQ5" s="736">
        <f t="shared" si="11"/>
        <v>0</v>
      </c>
      <c r="DR5" s="736">
        <f t="shared" si="11"/>
        <v>0</v>
      </c>
      <c r="DS5" s="736">
        <f t="shared" si="11"/>
        <v>0</v>
      </c>
      <c r="DT5" s="736">
        <f t="shared" si="11"/>
        <v>0</v>
      </c>
      <c r="DU5" s="736">
        <f t="shared" si="11"/>
        <v>0</v>
      </c>
      <c r="DV5" s="736">
        <f t="shared" si="11"/>
        <v>0</v>
      </c>
      <c r="DW5" s="736">
        <f t="shared" si="11"/>
        <v>0</v>
      </c>
      <c r="DX5" s="736">
        <f t="shared" si="11"/>
        <v>0</v>
      </c>
      <c r="DY5" s="736">
        <f t="shared" si="11"/>
        <v>0</v>
      </c>
      <c r="DZ5" s="736">
        <f t="shared" si="11"/>
        <v>0</v>
      </c>
      <c r="EA5" s="736">
        <f t="shared" si="11"/>
        <v>0</v>
      </c>
      <c r="EB5" s="736">
        <f t="shared" si="11"/>
        <v>0</v>
      </c>
      <c r="EC5" s="736">
        <f t="shared" si="11"/>
        <v>0</v>
      </c>
      <c r="ED5" s="736">
        <f t="shared" si="11"/>
        <v>0</v>
      </c>
      <c r="EE5" s="736">
        <f t="shared" si="11"/>
        <v>0</v>
      </c>
      <c r="EF5" s="736">
        <f t="shared" ref="EF5:GJ5" si="12">IF(EF$19&gt;=1,EF29,0)</f>
        <v>0</v>
      </c>
      <c r="EG5" s="736">
        <f t="shared" si="12"/>
        <v>0</v>
      </c>
      <c r="EH5" s="736">
        <f t="shared" si="12"/>
        <v>0</v>
      </c>
      <c r="EI5" s="736">
        <f t="shared" si="12"/>
        <v>0</v>
      </c>
      <c r="EJ5" s="736">
        <f t="shared" si="12"/>
        <v>0</v>
      </c>
      <c r="EK5" s="736">
        <f t="shared" si="12"/>
        <v>0</v>
      </c>
      <c r="EL5" s="736">
        <f t="shared" si="12"/>
        <v>0</v>
      </c>
      <c r="EM5" s="736">
        <f t="shared" si="12"/>
        <v>0</v>
      </c>
      <c r="EN5" s="736">
        <f t="shared" si="12"/>
        <v>0</v>
      </c>
      <c r="EO5" s="736">
        <f t="shared" si="12"/>
        <v>0</v>
      </c>
      <c r="EP5" s="736">
        <f t="shared" si="12"/>
        <v>0</v>
      </c>
      <c r="EQ5" s="736">
        <f t="shared" si="12"/>
        <v>0</v>
      </c>
      <c r="ER5" s="736">
        <f t="shared" si="12"/>
        <v>0</v>
      </c>
      <c r="ES5" s="736">
        <f t="shared" si="12"/>
        <v>0</v>
      </c>
      <c r="ET5" s="736">
        <f t="shared" si="12"/>
        <v>0</v>
      </c>
      <c r="EU5" s="736">
        <f t="shared" si="12"/>
        <v>0</v>
      </c>
      <c r="EV5" s="736">
        <f t="shared" si="12"/>
        <v>0</v>
      </c>
      <c r="EW5" s="736">
        <f t="shared" si="12"/>
        <v>0</v>
      </c>
      <c r="EX5" s="736">
        <f t="shared" si="12"/>
        <v>0</v>
      </c>
      <c r="EY5" s="736">
        <f t="shared" si="12"/>
        <v>0</v>
      </c>
      <c r="EZ5" s="736">
        <f t="shared" si="12"/>
        <v>0</v>
      </c>
      <c r="FA5" s="736">
        <f t="shared" si="12"/>
        <v>0</v>
      </c>
      <c r="FB5" s="736">
        <f t="shared" si="12"/>
        <v>0</v>
      </c>
      <c r="FC5" s="736">
        <f t="shared" si="12"/>
        <v>0</v>
      </c>
      <c r="FD5" s="736">
        <f t="shared" si="12"/>
        <v>0</v>
      </c>
      <c r="FE5" s="736">
        <f t="shared" si="12"/>
        <v>0</v>
      </c>
      <c r="FF5" s="736">
        <f t="shared" si="12"/>
        <v>0</v>
      </c>
      <c r="FG5" s="736">
        <f t="shared" si="12"/>
        <v>0</v>
      </c>
      <c r="FH5" s="736">
        <f t="shared" si="12"/>
        <v>0</v>
      </c>
      <c r="FI5" s="736">
        <f t="shared" si="12"/>
        <v>0</v>
      </c>
      <c r="FJ5" s="736">
        <f t="shared" si="12"/>
        <v>0</v>
      </c>
      <c r="FK5" s="736">
        <f t="shared" si="12"/>
        <v>0</v>
      </c>
      <c r="FL5" s="736">
        <f t="shared" si="12"/>
        <v>0</v>
      </c>
      <c r="FM5" s="736">
        <f t="shared" si="12"/>
        <v>0</v>
      </c>
      <c r="FN5" s="736">
        <f t="shared" si="12"/>
        <v>0</v>
      </c>
      <c r="FO5" s="736">
        <f t="shared" si="12"/>
        <v>0</v>
      </c>
      <c r="FP5" s="736">
        <f t="shared" si="12"/>
        <v>0</v>
      </c>
      <c r="FQ5" s="736">
        <f t="shared" si="12"/>
        <v>0</v>
      </c>
      <c r="FR5" s="736">
        <f t="shared" si="12"/>
        <v>0</v>
      </c>
      <c r="FS5" s="736">
        <f t="shared" si="12"/>
        <v>0</v>
      </c>
      <c r="FT5" s="736">
        <f t="shared" si="12"/>
        <v>0</v>
      </c>
      <c r="FU5" s="736">
        <f t="shared" si="12"/>
        <v>0</v>
      </c>
      <c r="FV5" s="736">
        <f t="shared" si="12"/>
        <v>0</v>
      </c>
      <c r="FW5" s="736">
        <f t="shared" si="12"/>
        <v>0</v>
      </c>
      <c r="FX5" s="736">
        <f t="shared" si="12"/>
        <v>0</v>
      </c>
      <c r="FY5" s="736">
        <f t="shared" si="12"/>
        <v>0</v>
      </c>
      <c r="FZ5" s="736">
        <f t="shared" si="12"/>
        <v>0</v>
      </c>
      <c r="GA5" s="736">
        <f t="shared" si="12"/>
        <v>0</v>
      </c>
      <c r="GB5" s="736">
        <f t="shared" si="12"/>
        <v>0</v>
      </c>
      <c r="GC5" s="736">
        <f t="shared" si="12"/>
        <v>0</v>
      </c>
      <c r="GD5" s="736">
        <f t="shared" si="12"/>
        <v>0</v>
      </c>
      <c r="GE5" s="736">
        <f t="shared" si="12"/>
        <v>0</v>
      </c>
      <c r="GF5" s="736">
        <f t="shared" si="12"/>
        <v>0</v>
      </c>
      <c r="GG5" s="736">
        <f t="shared" si="12"/>
        <v>0</v>
      </c>
      <c r="GH5" s="736">
        <f t="shared" si="12"/>
        <v>0</v>
      </c>
      <c r="GI5" s="736">
        <f t="shared" si="12"/>
        <v>0</v>
      </c>
      <c r="GJ5" s="736">
        <f t="shared" si="12"/>
        <v>0</v>
      </c>
    </row>
    <row r="6" spans="2:192" ht="9.75" customHeight="1">
      <c r="B6" s="634"/>
      <c r="C6" s="652" t="s">
        <v>1419</v>
      </c>
      <c r="D6" s="734">
        <f>基礎情報!V131</f>
        <v>0</v>
      </c>
      <c r="E6" s="1912">
        <f t="shared" si="6"/>
        <v>0</v>
      </c>
      <c r="F6" s="1913"/>
      <c r="G6" s="736">
        <f>IF(G$19&gt;=1,G32,0)</f>
        <v>0</v>
      </c>
      <c r="H6" s="736">
        <f t="shared" ref="H6:BS6" si="13">IF(H$19&gt;=1,H32,0)</f>
        <v>0</v>
      </c>
      <c r="I6" s="736">
        <f t="shared" si="13"/>
        <v>0</v>
      </c>
      <c r="J6" s="736">
        <f t="shared" si="13"/>
        <v>0</v>
      </c>
      <c r="K6" s="736">
        <f t="shared" si="13"/>
        <v>0</v>
      </c>
      <c r="L6" s="736">
        <f t="shared" si="13"/>
        <v>0</v>
      </c>
      <c r="M6" s="736">
        <f t="shared" si="13"/>
        <v>0</v>
      </c>
      <c r="N6" s="736">
        <f t="shared" si="13"/>
        <v>0</v>
      </c>
      <c r="O6" s="736">
        <f t="shared" si="13"/>
        <v>0</v>
      </c>
      <c r="P6" s="736">
        <f t="shared" si="13"/>
        <v>0</v>
      </c>
      <c r="Q6" s="736">
        <f t="shared" si="13"/>
        <v>0</v>
      </c>
      <c r="R6" s="736">
        <f t="shared" si="13"/>
        <v>0</v>
      </c>
      <c r="S6" s="736">
        <f t="shared" si="13"/>
        <v>0</v>
      </c>
      <c r="T6" s="736">
        <f t="shared" si="13"/>
        <v>0</v>
      </c>
      <c r="U6" s="736">
        <f t="shared" si="13"/>
        <v>0</v>
      </c>
      <c r="V6" s="736">
        <f t="shared" si="13"/>
        <v>0</v>
      </c>
      <c r="W6" s="736">
        <f t="shared" si="13"/>
        <v>0</v>
      </c>
      <c r="X6" s="736">
        <f t="shared" si="13"/>
        <v>0</v>
      </c>
      <c r="Y6" s="736">
        <f t="shared" si="13"/>
        <v>0</v>
      </c>
      <c r="Z6" s="736">
        <f t="shared" si="13"/>
        <v>0</v>
      </c>
      <c r="AA6" s="736">
        <f t="shared" si="13"/>
        <v>0</v>
      </c>
      <c r="AB6" s="736">
        <f t="shared" si="13"/>
        <v>0</v>
      </c>
      <c r="AC6" s="736">
        <f t="shared" si="13"/>
        <v>0</v>
      </c>
      <c r="AD6" s="736">
        <f t="shared" si="13"/>
        <v>0</v>
      </c>
      <c r="AE6" s="736">
        <f t="shared" si="13"/>
        <v>0</v>
      </c>
      <c r="AF6" s="736">
        <f t="shared" si="13"/>
        <v>0</v>
      </c>
      <c r="AG6" s="736">
        <f t="shared" si="13"/>
        <v>0</v>
      </c>
      <c r="AH6" s="736">
        <f t="shared" si="13"/>
        <v>0</v>
      </c>
      <c r="AI6" s="736">
        <f t="shared" si="13"/>
        <v>0</v>
      </c>
      <c r="AJ6" s="736">
        <f t="shared" si="13"/>
        <v>0</v>
      </c>
      <c r="AK6" s="736">
        <f t="shared" si="13"/>
        <v>0</v>
      </c>
      <c r="AL6" s="736">
        <f t="shared" si="13"/>
        <v>0</v>
      </c>
      <c r="AM6" s="736">
        <f t="shared" si="13"/>
        <v>0</v>
      </c>
      <c r="AN6" s="736">
        <f t="shared" si="13"/>
        <v>0</v>
      </c>
      <c r="AO6" s="736">
        <f t="shared" si="13"/>
        <v>0</v>
      </c>
      <c r="AP6" s="736">
        <f t="shared" si="13"/>
        <v>0</v>
      </c>
      <c r="AQ6" s="736">
        <f t="shared" si="13"/>
        <v>0</v>
      </c>
      <c r="AR6" s="736">
        <f t="shared" si="13"/>
        <v>0</v>
      </c>
      <c r="AS6" s="736">
        <f t="shared" si="13"/>
        <v>0</v>
      </c>
      <c r="AT6" s="736">
        <f t="shared" si="13"/>
        <v>0</v>
      </c>
      <c r="AU6" s="736">
        <f t="shared" si="13"/>
        <v>0</v>
      </c>
      <c r="AV6" s="736">
        <f t="shared" si="13"/>
        <v>0</v>
      </c>
      <c r="AW6" s="736">
        <f t="shared" si="13"/>
        <v>0</v>
      </c>
      <c r="AX6" s="736">
        <f t="shared" si="13"/>
        <v>0</v>
      </c>
      <c r="AY6" s="736">
        <f t="shared" si="13"/>
        <v>0</v>
      </c>
      <c r="AZ6" s="736">
        <f t="shared" si="13"/>
        <v>0</v>
      </c>
      <c r="BA6" s="736">
        <f t="shared" si="13"/>
        <v>0</v>
      </c>
      <c r="BB6" s="736">
        <f t="shared" si="13"/>
        <v>0</v>
      </c>
      <c r="BC6" s="736">
        <f t="shared" si="13"/>
        <v>0</v>
      </c>
      <c r="BD6" s="736">
        <f t="shared" si="13"/>
        <v>0</v>
      </c>
      <c r="BE6" s="736">
        <f t="shared" si="13"/>
        <v>0</v>
      </c>
      <c r="BF6" s="736">
        <f t="shared" si="13"/>
        <v>0</v>
      </c>
      <c r="BG6" s="736">
        <f t="shared" si="13"/>
        <v>0</v>
      </c>
      <c r="BH6" s="736">
        <f t="shared" si="13"/>
        <v>0</v>
      </c>
      <c r="BI6" s="736">
        <f t="shared" si="13"/>
        <v>0</v>
      </c>
      <c r="BJ6" s="736">
        <f t="shared" si="13"/>
        <v>0</v>
      </c>
      <c r="BK6" s="736">
        <f t="shared" si="13"/>
        <v>0</v>
      </c>
      <c r="BL6" s="736">
        <f t="shared" si="13"/>
        <v>0</v>
      </c>
      <c r="BM6" s="736">
        <f t="shared" si="13"/>
        <v>0</v>
      </c>
      <c r="BN6" s="736">
        <f t="shared" si="13"/>
        <v>0</v>
      </c>
      <c r="BO6" s="736">
        <f t="shared" si="13"/>
        <v>0</v>
      </c>
      <c r="BP6" s="736">
        <f t="shared" si="13"/>
        <v>0</v>
      </c>
      <c r="BQ6" s="736">
        <f t="shared" si="13"/>
        <v>0</v>
      </c>
      <c r="BR6" s="736">
        <f t="shared" si="13"/>
        <v>0</v>
      </c>
      <c r="BS6" s="736">
        <f t="shared" si="13"/>
        <v>0</v>
      </c>
      <c r="BT6" s="736">
        <f t="shared" ref="BT6:EE6" si="14">IF(BT$19&gt;=1,BT32,0)</f>
        <v>0</v>
      </c>
      <c r="BU6" s="736">
        <f t="shared" si="14"/>
        <v>0</v>
      </c>
      <c r="BV6" s="736">
        <f t="shared" si="14"/>
        <v>0</v>
      </c>
      <c r="BW6" s="736">
        <f t="shared" si="14"/>
        <v>0</v>
      </c>
      <c r="BX6" s="736">
        <f t="shared" si="14"/>
        <v>0</v>
      </c>
      <c r="BY6" s="736">
        <f t="shared" si="14"/>
        <v>0</v>
      </c>
      <c r="BZ6" s="736">
        <f t="shared" si="14"/>
        <v>0</v>
      </c>
      <c r="CA6" s="736">
        <f t="shared" si="14"/>
        <v>0</v>
      </c>
      <c r="CB6" s="736">
        <f t="shared" si="14"/>
        <v>0</v>
      </c>
      <c r="CC6" s="736">
        <f t="shared" si="14"/>
        <v>0</v>
      </c>
      <c r="CD6" s="736">
        <f t="shared" si="14"/>
        <v>0</v>
      </c>
      <c r="CE6" s="736">
        <f t="shared" si="14"/>
        <v>0</v>
      </c>
      <c r="CF6" s="736">
        <f t="shared" si="14"/>
        <v>0</v>
      </c>
      <c r="CG6" s="736">
        <f t="shared" si="14"/>
        <v>0</v>
      </c>
      <c r="CH6" s="736">
        <f t="shared" si="14"/>
        <v>0</v>
      </c>
      <c r="CI6" s="736">
        <f t="shared" si="14"/>
        <v>0</v>
      </c>
      <c r="CJ6" s="736">
        <f t="shared" si="14"/>
        <v>0</v>
      </c>
      <c r="CK6" s="736">
        <f t="shared" si="14"/>
        <v>0</v>
      </c>
      <c r="CL6" s="736">
        <f t="shared" si="14"/>
        <v>0</v>
      </c>
      <c r="CM6" s="736">
        <f t="shared" si="14"/>
        <v>0</v>
      </c>
      <c r="CN6" s="736">
        <f t="shared" si="14"/>
        <v>0</v>
      </c>
      <c r="CO6" s="736">
        <f t="shared" si="14"/>
        <v>0</v>
      </c>
      <c r="CP6" s="736">
        <f t="shared" si="14"/>
        <v>0</v>
      </c>
      <c r="CQ6" s="736">
        <f t="shared" si="14"/>
        <v>0</v>
      </c>
      <c r="CR6" s="736">
        <f t="shared" si="14"/>
        <v>0</v>
      </c>
      <c r="CS6" s="736">
        <f t="shared" si="14"/>
        <v>0</v>
      </c>
      <c r="CT6" s="736">
        <f t="shared" si="14"/>
        <v>0</v>
      </c>
      <c r="CU6" s="736">
        <f t="shared" si="14"/>
        <v>0</v>
      </c>
      <c r="CV6" s="736">
        <f t="shared" si="14"/>
        <v>0</v>
      </c>
      <c r="CW6" s="736">
        <f t="shared" si="14"/>
        <v>0</v>
      </c>
      <c r="CX6" s="736">
        <f t="shared" si="14"/>
        <v>0</v>
      </c>
      <c r="CY6" s="736">
        <f t="shared" si="14"/>
        <v>0</v>
      </c>
      <c r="CZ6" s="736">
        <f t="shared" si="14"/>
        <v>0</v>
      </c>
      <c r="DA6" s="736">
        <f t="shared" si="14"/>
        <v>0</v>
      </c>
      <c r="DB6" s="736">
        <f t="shared" si="14"/>
        <v>0</v>
      </c>
      <c r="DC6" s="736">
        <f t="shared" si="14"/>
        <v>0</v>
      </c>
      <c r="DD6" s="736">
        <f t="shared" si="14"/>
        <v>0</v>
      </c>
      <c r="DE6" s="736">
        <f t="shared" si="14"/>
        <v>0</v>
      </c>
      <c r="DF6" s="736">
        <f t="shared" si="14"/>
        <v>0</v>
      </c>
      <c r="DG6" s="736">
        <f t="shared" si="14"/>
        <v>0</v>
      </c>
      <c r="DH6" s="736">
        <f t="shared" si="14"/>
        <v>0</v>
      </c>
      <c r="DI6" s="736">
        <f t="shared" si="14"/>
        <v>0</v>
      </c>
      <c r="DJ6" s="736">
        <f t="shared" si="14"/>
        <v>0</v>
      </c>
      <c r="DK6" s="736">
        <f t="shared" si="14"/>
        <v>0</v>
      </c>
      <c r="DL6" s="736">
        <f t="shared" si="14"/>
        <v>0</v>
      </c>
      <c r="DM6" s="736">
        <f t="shared" si="14"/>
        <v>0</v>
      </c>
      <c r="DN6" s="736">
        <f t="shared" si="14"/>
        <v>0</v>
      </c>
      <c r="DO6" s="736">
        <f t="shared" si="14"/>
        <v>0</v>
      </c>
      <c r="DP6" s="736">
        <f t="shared" si="14"/>
        <v>0</v>
      </c>
      <c r="DQ6" s="736">
        <f t="shared" si="14"/>
        <v>0</v>
      </c>
      <c r="DR6" s="736">
        <f t="shared" si="14"/>
        <v>0</v>
      </c>
      <c r="DS6" s="736">
        <f t="shared" si="14"/>
        <v>0</v>
      </c>
      <c r="DT6" s="736">
        <f t="shared" si="14"/>
        <v>0</v>
      </c>
      <c r="DU6" s="736">
        <f t="shared" si="14"/>
        <v>0</v>
      </c>
      <c r="DV6" s="736">
        <f t="shared" si="14"/>
        <v>0</v>
      </c>
      <c r="DW6" s="736">
        <f t="shared" si="14"/>
        <v>0</v>
      </c>
      <c r="DX6" s="736">
        <f t="shared" si="14"/>
        <v>0</v>
      </c>
      <c r="DY6" s="736">
        <f t="shared" si="14"/>
        <v>0</v>
      </c>
      <c r="DZ6" s="736">
        <f t="shared" si="14"/>
        <v>0</v>
      </c>
      <c r="EA6" s="736">
        <f t="shared" si="14"/>
        <v>0</v>
      </c>
      <c r="EB6" s="736">
        <f t="shared" si="14"/>
        <v>0</v>
      </c>
      <c r="EC6" s="736">
        <f t="shared" si="14"/>
        <v>0</v>
      </c>
      <c r="ED6" s="736">
        <f t="shared" si="14"/>
        <v>0</v>
      </c>
      <c r="EE6" s="736">
        <f t="shared" si="14"/>
        <v>0</v>
      </c>
      <c r="EF6" s="736">
        <f t="shared" ref="EF6:GJ6" si="15">IF(EF$19&gt;=1,EF32,0)</f>
        <v>0</v>
      </c>
      <c r="EG6" s="736">
        <f t="shared" si="15"/>
        <v>0</v>
      </c>
      <c r="EH6" s="736">
        <f t="shared" si="15"/>
        <v>0</v>
      </c>
      <c r="EI6" s="736">
        <f t="shared" si="15"/>
        <v>0</v>
      </c>
      <c r="EJ6" s="736">
        <f t="shared" si="15"/>
        <v>0</v>
      </c>
      <c r="EK6" s="736">
        <f t="shared" si="15"/>
        <v>0</v>
      </c>
      <c r="EL6" s="736">
        <f t="shared" si="15"/>
        <v>0</v>
      </c>
      <c r="EM6" s="736">
        <f t="shared" si="15"/>
        <v>0</v>
      </c>
      <c r="EN6" s="736">
        <f t="shared" si="15"/>
        <v>0</v>
      </c>
      <c r="EO6" s="736">
        <f t="shared" si="15"/>
        <v>0</v>
      </c>
      <c r="EP6" s="736">
        <f t="shared" si="15"/>
        <v>0</v>
      </c>
      <c r="EQ6" s="736">
        <f t="shared" si="15"/>
        <v>0</v>
      </c>
      <c r="ER6" s="736">
        <f t="shared" si="15"/>
        <v>0</v>
      </c>
      <c r="ES6" s="736">
        <f t="shared" si="15"/>
        <v>0</v>
      </c>
      <c r="ET6" s="736">
        <f t="shared" si="15"/>
        <v>0</v>
      </c>
      <c r="EU6" s="736">
        <f t="shared" si="15"/>
        <v>0</v>
      </c>
      <c r="EV6" s="736">
        <f t="shared" si="15"/>
        <v>0</v>
      </c>
      <c r="EW6" s="736">
        <f t="shared" si="15"/>
        <v>0</v>
      </c>
      <c r="EX6" s="736">
        <f t="shared" si="15"/>
        <v>0</v>
      </c>
      <c r="EY6" s="736">
        <f t="shared" si="15"/>
        <v>0</v>
      </c>
      <c r="EZ6" s="736">
        <f t="shared" si="15"/>
        <v>0</v>
      </c>
      <c r="FA6" s="736">
        <f t="shared" si="15"/>
        <v>0</v>
      </c>
      <c r="FB6" s="736">
        <f t="shared" si="15"/>
        <v>0</v>
      </c>
      <c r="FC6" s="736">
        <f t="shared" si="15"/>
        <v>0</v>
      </c>
      <c r="FD6" s="736">
        <f t="shared" si="15"/>
        <v>0</v>
      </c>
      <c r="FE6" s="736">
        <f t="shared" si="15"/>
        <v>0</v>
      </c>
      <c r="FF6" s="736">
        <f t="shared" si="15"/>
        <v>0</v>
      </c>
      <c r="FG6" s="736">
        <f t="shared" si="15"/>
        <v>0</v>
      </c>
      <c r="FH6" s="736">
        <f t="shared" si="15"/>
        <v>0</v>
      </c>
      <c r="FI6" s="736">
        <f t="shared" si="15"/>
        <v>0</v>
      </c>
      <c r="FJ6" s="736">
        <f t="shared" si="15"/>
        <v>0</v>
      </c>
      <c r="FK6" s="736">
        <f t="shared" si="15"/>
        <v>0</v>
      </c>
      <c r="FL6" s="736">
        <f t="shared" si="15"/>
        <v>0</v>
      </c>
      <c r="FM6" s="736">
        <f t="shared" si="15"/>
        <v>0</v>
      </c>
      <c r="FN6" s="736">
        <f t="shared" si="15"/>
        <v>0</v>
      </c>
      <c r="FO6" s="736">
        <f t="shared" si="15"/>
        <v>0</v>
      </c>
      <c r="FP6" s="736">
        <f t="shared" si="15"/>
        <v>0</v>
      </c>
      <c r="FQ6" s="736">
        <f t="shared" si="15"/>
        <v>0</v>
      </c>
      <c r="FR6" s="736">
        <f t="shared" si="15"/>
        <v>0</v>
      </c>
      <c r="FS6" s="736">
        <f t="shared" si="15"/>
        <v>0</v>
      </c>
      <c r="FT6" s="736">
        <f t="shared" si="15"/>
        <v>0</v>
      </c>
      <c r="FU6" s="736">
        <f t="shared" si="15"/>
        <v>0</v>
      </c>
      <c r="FV6" s="736">
        <f t="shared" si="15"/>
        <v>0</v>
      </c>
      <c r="FW6" s="736">
        <f t="shared" si="15"/>
        <v>0</v>
      </c>
      <c r="FX6" s="736">
        <f t="shared" si="15"/>
        <v>0</v>
      </c>
      <c r="FY6" s="736">
        <f t="shared" si="15"/>
        <v>0</v>
      </c>
      <c r="FZ6" s="736">
        <f t="shared" si="15"/>
        <v>0</v>
      </c>
      <c r="GA6" s="736">
        <f t="shared" si="15"/>
        <v>0</v>
      </c>
      <c r="GB6" s="736">
        <f t="shared" si="15"/>
        <v>0</v>
      </c>
      <c r="GC6" s="736">
        <f t="shared" si="15"/>
        <v>0</v>
      </c>
      <c r="GD6" s="736">
        <f t="shared" si="15"/>
        <v>0</v>
      </c>
      <c r="GE6" s="736">
        <f t="shared" si="15"/>
        <v>0</v>
      </c>
      <c r="GF6" s="736">
        <f t="shared" si="15"/>
        <v>0</v>
      </c>
      <c r="GG6" s="736">
        <f t="shared" si="15"/>
        <v>0</v>
      </c>
      <c r="GH6" s="736">
        <f t="shared" si="15"/>
        <v>0</v>
      </c>
      <c r="GI6" s="736">
        <f t="shared" si="15"/>
        <v>0</v>
      </c>
      <c r="GJ6" s="736">
        <f t="shared" si="15"/>
        <v>0</v>
      </c>
    </row>
    <row r="7" spans="2:192" ht="9.75" customHeight="1">
      <c r="B7" s="634"/>
      <c r="C7" s="652" t="s">
        <v>1259</v>
      </c>
      <c r="D7" s="734">
        <f>基礎情報!V134</f>
        <v>0</v>
      </c>
      <c r="E7" s="1912">
        <f t="shared" si="6"/>
        <v>0</v>
      </c>
      <c r="F7" s="1913"/>
      <c r="G7" s="736">
        <f>IF(G$19&gt;=1,G35,0)</f>
        <v>0</v>
      </c>
      <c r="H7" s="736">
        <f t="shared" ref="H7:BS7" si="16">IF(H$19&gt;=1,H35,0)</f>
        <v>0</v>
      </c>
      <c r="I7" s="736">
        <f t="shared" si="16"/>
        <v>0</v>
      </c>
      <c r="J7" s="736">
        <f t="shared" si="16"/>
        <v>0</v>
      </c>
      <c r="K7" s="736">
        <f t="shared" si="16"/>
        <v>0</v>
      </c>
      <c r="L7" s="736">
        <f t="shared" si="16"/>
        <v>0</v>
      </c>
      <c r="M7" s="736">
        <f t="shared" si="16"/>
        <v>0</v>
      </c>
      <c r="N7" s="736">
        <f t="shared" si="16"/>
        <v>0</v>
      </c>
      <c r="O7" s="736">
        <f t="shared" si="16"/>
        <v>0</v>
      </c>
      <c r="P7" s="736">
        <f t="shared" si="16"/>
        <v>0</v>
      </c>
      <c r="Q7" s="736">
        <f t="shared" si="16"/>
        <v>0</v>
      </c>
      <c r="R7" s="736">
        <f t="shared" si="16"/>
        <v>0</v>
      </c>
      <c r="S7" s="736">
        <f t="shared" si="16"/>
        <v>0</v>
      </c>
      <c r="T7" s="736">
        <f t="shared" si="16"/>
        <v>0</v>
      </c>
      <c r="U7" s="736">
        <f t="shared" si="16"/>
        <v>0</v>
      </c>
      <c r="V7" s="736">
        <f t="shared" si="16"/>
        <v>0</v>
      </c>
      <c r="W7" s="736">
        <f t="shared" si="16"/>
        <v>0</v>
      </c>
      <c r="X7" s="736">
        <f t="shared" si="16"/>
        <v>0</v>
      </c>
      <c r="Y7" s="736">
        <f t="shared" si="16"/>
        <v>0</v>
      </c>
      <c r="Z7" s="736">
        <f t="shared" si="16"/>
        <v>0</v>
      </c>
      <c r="AA7" s="736">
        <f t="shared" si="16"/>
        <v>0</v>
      </c>
      <c r="AB7" s="736">
        <f t="shared" si="16"/>
        <v>0</v>
      </c>
      <c r="AC7" s="736">
        <f t="shared" si="16"/>
        <v>0</v>
      </c>
      <c r="AD7" s="736">
        <f t="shared" si="16"/>
        <v>0</v>
      </c>
      <c r="AE7" s="736">
        <f t="shared" si="16"/>
        <v>0</v>
      </c>
      <c r="AF7" s="736">
        <f t="shared" si="16"/>
        <v>0</v>
      </c>
      <c r="AG7" s="736">
        <f t="shared" si="16"/>
        <v>0</v>
      </c>
      <c r="AH7" s="736">
        <f t="shared" si="16"/>
        <v>0</v>
      </c>
      <c r="AI7" s="736">
        <f t="shared" si="16"/>
        <v>0</v>
      </c>
      <c r="AJ7" s="736">
        <f t="shared" si="16"/>
        <v>0</v>
      </c>
      <c r="AK7" s="736">
        <f t="shared" si="16"/>
        <v>0</v>
      </c>
      <c r="AL7" s="736">
        <f t="shared" si="16"/>
        <v>0</v>
      </c>
      <c r="AM7" s="736">
        <f t="shared" si="16"/>
        <v>0</v>
      </c>
      <c r="AN7" s="736">
        <f t="shared" si="16"/>
        <v>0</v>
      </c>
      <c r="AO7" s="736">
        <f t="shared" si="16"/>
        <v>0</v>
      </c>
      <c r="AP7" s="736">
        <f t="shared" si="16"/>
        <v>0</v>
      </c>
      <c r="AQ7" s="736">
        <f t="shared" si="16"/>
        <v>0</v>
      </c>
      <c r="AR7" s="736">
        <f t="shared" si="16"/>
        <v>0</v>
      </c>
      <c r="AS7" s="736">
        <f t="shared" si="16"/>
        <v>0</v>
      </c>
      <c r="AT7" s="736">
        <f t="shared" si="16"/>
        <v>0</v>
      </c>
      <c r="AU7" s="736">
        <f t="shared" si="16"/>
        <v>0</v>
      </c>
      <c r="AV7" s="736">
        <f t="shared" si="16"/>
        <v>0</v>
      </c>
      <c r="AW7" s="736">
        <f t="shared" si="16"/>
        <v>0</v>
      </c>
      <c r="AX7" s="736">
        <f t="shared" si="16"/>
        <v>0</v>
      </c>
      <c r="AY7" s="736">
        <f t="shared" si="16"/>
        <v>0</v>
      </c>
      <c r="AZ7" s="736">
        <f t="shared" si="16"/>
        <v>0</v>
      </c>
      <c r="BA7" s="736">
        <f t="shared" si="16"/>
        <v>0</v>
      </c>
      <c r="BB7" s="736">
        <f t="shared" si="16"/>
        <v>0</v>
      </c>
      <c r="BC7" s="736">
        <f t="shared" si="16"/>
        <v>0</v>
      </c>
      <c r="BD7" s="736">
        <f t="shared" si="16"/>
        <v>0</v>
      </c>
      <c r="BE7" s="736">
        <f t="shared" si="16"/>
        <v>0</v>
      </c>
      <c r="BF7" s="736">
        <f t="shared" si="16"/>
        <v>0</v>
      </c>
      <c r="BG7" s="736">
        <f t="shared" si="16"/>
        <v>0</v>
      </c>
      <c r="BH7" s="736">
        <f t="shared" si="16"/>
        <v>0</v>
      </c>
      <c r="BI7" s="736">
        <f t="shared" si="16"/>
        <v>0</v>
      </c>
      <c r="BJ7" s="736">
        <f t="shared" si="16"/>
        <v>0</v>
      </c>
      <c r="BK7" s="736">
        <f t="shared" si="16"/>
        <v>0</v>
      </c>
      <c r="BL7" s="736">
        <f t="shared" si="16"/>
        <v>0</v>
      </c>
      <c r="BM7" s="736">
        <f t="shared" si="16"/>
        <v>0</v>
      </c>
      <c r="BN7" s="736">
        <f t="shared" si="16"/>
        <v>0</v>
      </c>
      <c r="BO7" s="736">
        <f t="shared" si="16"/>
        <v>0</v>
      </c>
      <c r="BP7" s="736">
        <f t="shared" si="16"/>
        <v>0</v>
      </c>
      <c r="BQ7" s="736">
        <f t="shared" si="16"/>
        <v>0</v>
      </c>
      <c r="BR7" s="736">
        <f t="shared" si="16"/>
        <v>0</v>
      </c>
      <c r="BS7" s="736">
        <f t="shared" si="16"/>
        <v>0</v>
      </c>
      <c r="BT7" s="736">
        <f t="shared" ref="BT7:EE7" si="17">IF(BT$19&gt;=1,BT35,0)</f>
        <v>0</v>
      </c>
      <c r="BU7" s="736">
        <f t="shared" si="17"/>
        <v>0</v>
      </c>
      <c r="BV7" s="736">
        <f t="shared" si="17"/>
        <v>0</v>
      </c>
      <c r="BW7" s="736">
        <f t="shared" si="17"/>
        <v>0</v>
      </c>
      <c r="BX7" s="736">
        <f t="shared" si="17"/>
        <v>0</v>
      </c>
      <c r="BY7" s="736">
        <f t="shared" si="17"/>
        <v>0</v>
      </c>
      <c r="BZ7" s="736">
        <f t="shared" si="17"/>
        <v>0</v>
      </c>
      <c r="CA7" s="736">
        <f t="shared" si="17"/>
        <v>0</v>
      </c>
      <c r="CB7" s="736">
        <f t="shared" si="17"/>
        <v>0</v>
      </c>
      <c r="CC7" s="736">
        <f t="shared" si="17"/>
        <v>0</v>
      </c>
      <c r="CD7" s="736">
        <f t="shared" si="17"/>
        <v>0</v>
      </c>
      <c r="CE7" s="736">
        <f t="shared" si="17"/>
        <v>0</v>
      </c>
      <c r="CF7" s="736">
        <f t="shared" si="17"/>
        <v>0</v>
      </c>
      <c r="CG7" s="736">
        <f t="shared" si="17"/>
        <v>0</v>
      </c>
      <c r="CH7" s="736">
        <f t="shared" si="17"/>
        <v>0</v>
      </c>
      <c r="CI7" s="736">
        <f t="shared" si="17"/>
        <v>0</v>
      </c>
      <c r="CJ7" s="736">
        <f t="shared" si="17"/>
        <v>0</v>
      </c>
      <c r="CK7" s="736">
        <f t="shared" si="17"/>
        <v>0</v>
      </c>
      <c r="CL7" s="736">
        <f t="shared" si="17"/>
        <v>0</v>
      </c>
      <c r="CM7" s="736">
        <f t="shared" si="17"/>
        <v>0</v>
      </c>
      <c r="CN7" s="736">
        <f t="shared" si="17"/>
        <v>0</v>
      </c>
      <c r="CO7" s="736">
        <f t="shared" si="17"/>
        <v>0</v>
      </c>
      <c r="CP7" s="736">
        <f t="shared" si="17"/>
        <v>0</v>
      </c>
      <c r="CQ7" s="736">
        <f t="shared" si="17"/>
        <v>0</v>
      </c>
      <c r="CR7" s="736">
        <f t="shared" si="17"/>
        <v>0</v>
      </c>
      <c r="CS7" s="736">
        <f t="shared" si="17"/>
        <v>0</v>
      </c>
      <c r="CT7" s="736">
        <f t="shared" si="17"/>
        <v>0</v>
      </c>
      <c r="CU7" s="736">
        <f t="shared" si="17"/>
        <v>0</v>
      </c>
      <c r="CV7" s="736">
        <f t="shared" si="17"/>
        <v>0</v>
      </c>
      <c r="CW7" s="736">
        <f t="shared" si="17"/>
        <v>0</v>
      </c>
      <c r="CX7" s="736">
        <f t="shared" si="17"/>
        <v>0</v>
      </c>
      <c r="CY7" s="736">
        <f t="shared" si="17"/>
        <v>0</v>
      </c>
      <c r="CZ7" s="736">
        <f t="shared" si="17"/>
        <v>0</v>
      </c>
      <c r="DA7" s="736">
        <f t="shared" si="17"/>
        <v>0</v>
      </c>
      <c r="DB7" s="736">
        <f t="shared" si="17"/>
        <v>0</v>
      </c>
      <c r="DC7" s="736">
        <f t="shared" si="17"/>
        <v>0</v>
      </c>
      <c r="DD7" s="736">
        <f t="shared" si="17"/>
        <v>0</v>
      </c>
      <c r="DE7" s="736">
        <f t="shared" si="17"/>
        <v>0</v>
      </c>
      <c r="DF7" s="736">
        <f t="shared" si="17"/>
        <v>0</v>
      </c>
      <c r="DG7" s="736">
        <f t="shared" si="17"/>
        <v>0</v>
      </c>
      <c r="DH7" s="736">
        <f t="shared" si="17"/>
        <v>0</v>
      </c>
      <c r="DI7" s="736">
        <f t="shared" si="17"/>
        <v>0</v>
      </c>
      <c r="DJ7" s="736">
        <f t="shared" si="17"/>
        <v>0</v>
      </c>
      <c r="DK7" s="736">
        <f t="shared" si="17"/>
        <v>0</v>
      </c>
      <c r="DL7" s="736">
        <f t="shared" si="17"/>
        <v>0</v>
      </c>
      <c r="DM7" s="736">
        <f t="shared" si="17"/>
        <v>0</v>
      </c>
      <c r="DN7" s="736">
        <f t="shared" si="17"/>
        <v>0</v>
      </c>
      <c r="DO7" s="736">
        <f t="shared" si="17"/>
        <v>0</v>
      </c>
      <c r="DP7" s="736">
        <f t="shared" si="17"/>
        <v>0</v>
      </c>
      <c r="DQ7" s="736">
        <f t="shared" si="17"/>
        <v>0</v>
      </c>
      <c r="DR7" s="736">
        <f t="shared" si="17"/>
        <v>0</v>
      </c>
      <c r="DS7" s="736">
        <f t="shared" si="17"/>
        <v>0</v>
      </c>
      <c r="DT7" s="736">
        <f t="shared" si="17"/>
        <v>0</v>
      </c>
      <c r="DU7" s="736">
        <f t="shared" si="17"/>
        <v>0</v>
      </c>
      <c r="DV7" s="736">
        <f t="shared" si="17"/>
        <v>0</v>
      </c>
      <c r="DW7" s="736">
        <f t="shared" si="17"/>
        <v>0</v>
      </c>
      <c r="DX7" s="736">
        <f t="shared" si="17"/>
        <v>0</v>
      </c>
      <c r="DY7" s="736">
        <f t="shared" si="17"/>
        <v>0</v>
      </c>
      <c r="DZ7" s="736">
        <f t="shared" si="17"/>
        <v>0</v>
      </c>
      <c r="EA7" s="736">
        <f t="shared" si="17"/>
        <v>0</v>
      </c>
      <c r="EB7" s="736">
        <f t="shared" si="17"/>
        <v>0</v>
      </c>
      <c r="EC7" s="736">
        <f t="shared" si="17"/>
        <v>0</v>
      </c>
      <c r="ED7" s="736">
        <f t="shared" si="17"/>
        <v>0</v>
      </c>
      <c r="EE7" s="736">
        <f t="shared" si="17"/>
        <v>0</v>
      </c>
      <c r="EF7" s="736">
        <f t="shared" ref="EF7:GJ7" si="18">IF(EF$19&gt;=1,EF35,0)</f>
        <v>0</v>
      </c>
      <c r="EG7" s="736">
        <f t="shared" si="18"/>
        <v>0</v>
      </c>
      <c r="EH7" s="736">
        <f t="shared" si="18"/>
        <v>0</v>
      </c>
      <c r="EI7" s="736">
        <f t="shared" si="18"/>
        <v>0</v>
      </c>
      <c r="EJ7" s="736">
        <f t="shared" si="18"/>
        <v>0</v>
      </c>
      <c r="EK7" s="736">
        <f t="shared" si="18"/>
        <v>0</v>
      </c>
      <c r="EL7" s="736">
        <f t="shared" si="18"/>
        <v>0</v>
      </c>
      <c r="EM7" s="736">
        <f t="shared" si="18"/>
        <v>0</v>
      </c>
      <c r="EN7" s="736">
        <f t="shared" si="18"/>
        <v>0</v>
      </c>
      <c r="EO7" s="736">
        <f t="shared" si="18"/>
        <v>0</v>
      </c>
      <c r="EP7" s="736">
        <f t="shared" si="18"/>
        <v>0</v>
      </c>
      <c r="EQ7" s="736">
        <f t="shared" si="18"/>
        <v>0</v>
      </c>
      <c r="ER7" s="736">
        <f t="shared" si="18"/>
        <v>0</v>
      </c>
      <c r="ES7" s="736">
        <f t="shared" si="18"/>
        <v>0</v>
      </c>
      <c r="ET7" s="736">
        <f t="shared" si="18"/>
        <v>0</v>
      </c>
      <c r="EU7" s="736">
        <f t="shared" si="18"/>
        <v>0</v>
      </c>
      <c r="EV7" s="736">
        <f t="shared" si="18"/>
        <v>0</v>
      </c>
      <c r="EW7" s="736">
        <f t="shared" si="18"/>
        <v>0</v>
      </c>
      <c r="EX7" s="736">
        <f t="shared" si="18"/>
        <v>0</v>
      </c>
      <c r="EY7" s="736">
        <f t="shared" si="18"/>
        <v>0</v>
      </c>
      <c r="EZ7" s="736">
        <f t="shared" si="18"/>
        <v>0</v>
      </c>
      <c r="FA7" s="736">
        <f t="shared" si="18"/>
        <v>0</v>
      </c>
      <c r="FB7" s="736">
        <f t="shared" si="18"/>
        <v>0</v>
      </c>
      <c r="FC7" s="736">
        <f t="shared" si="18"/>
        <v>0</v>
      </c>
      <c r="FD7" s="736">
        <f t="shared" si="18"/>
        <v>0</v>
      </c>
      <c r="FE7" s="736">
        <f t="shared" si="18"/>
        <v>0</v>
      </c>
      <c r="FF7" s="736">
        <f t="shared" si="18"/>
        <v>0</v>
      </c>
      <c r="FG7" s="736">
        <f t="shared" si="18"/>
        <v>0</v>
      </c>
      <c r="FH7" s="736">
        <f t="shared" si="18"/>
        <v>0</v>
      </c>
      <c r="FI7" s="736">
        <f t="shared" si="18"/>
        <v>0</v>
      </c>
      <c r="FJ7" s="736">
        <f t="shared" si="18"/>
        <v>0</v>
      </c>
      <c r="FK7" s="736">
        <f t="shared" si="18"/>
        <v>0</v>
      </c>
      <c r="FL7" s="736">
        <f t="shared" si="18"/>
        <v>0</v>
      </c>
      <c r="FM7" s="736">
        <f t="shared" si="18"/>
        <v>0</v>
      </c>
      <c r="FN7" s="736">
        <f t="shared" si="18"/>
        <v>0</v>
      </c>
      <c r="FO7" s="736">
        <f t="shared" si="18"/>
        <v>0</v>
      </c>
      <c r="FP7" s="736">
        <f t="shared" si="18"/>
        <v>0</v>
      </c>
      <c r="FQ7" s="736">
        <f t="shared" si="18"/>
        <v>0</v>
      </c>
      <c r="FR7" s="736">
        <f t="shared" si="18"/>
        <v>0</v>
      </c>
      <c r="FS7" s="736">
        <f t="shared" si="18"/>
        <v>0</v>
      </c>
      <c r="FT7" s="736">
        <f t="shared" si="18"/>
        <v>0</v>
      </c>
      <c r="FU7" s="736">
        <f t="shared" si="18"/>
        <v>0</v>
      </c>
      <c r="FV7" s="736">
        <f t="shared" si="18"/>
        <v>0</v>
      </c>
      <c r="FW7" s="736">
        <f t="shared" si="18"/>
        <v>0</v>
      </c>
      <c r="FX7" s="736">
        <f t="shared" si="18"/>
        <v>0</v>
      </c>
      <c r="FY7" s="736">
        <f t="shared" si="18"/>
        <v>0</v>
      </c>
      <c r="FZ7" s="736">
        <f t="shared" si="18"/>
        <v>0</v>
      </c>
      <c r="GA7" s="736">
        <f t="shared" si="18"/>
        <v>0</v>
      </c>
      <c r="GB7" s="736">
        <f t="shared" si="18"/>
        <v>0</v>
      </c>
      <c r="GC7" s="736">
        <f t="shared" si="18"/>
        <v>0</v>
      </c>
      <c r="GD7" s="736">
        <f t="shared" si="18"/>
        <v>0</v>
      </c>
      <c r="GE7" s="736">
        <f t="shared" si="18"/>
        <v>0</v>
      </c>
      <c r="GF7" s="736">
        <f t="shared" si="18"/>
        <v>0</v>
      </c>
      <c r="GG7" s="736">
        <f t="shared" si="18"/>
        <v>0</v>
      </c>
      <c r="GH7" s="736">
        <f t="shared" si="18"/>
        <v>0</v>
      </c>
      <c r="GI7" s="736">
        <f t="shared" si="18"/>
        <v>0</v>
      </c>
      <c r="GJ7" s="736">
        <f t="shared" si="18"/>
        <v>0</v>
      </c>
    </row>
    <row r="8" spans="2:192" ht="9.75" customHeight="1">
      <c r="B8" s="634"/>
      <c r="C8" s="652" t="s">
        <v>1260</v>
      </c>
      <c r="D8" s="734">
        <f>基礎情報!V137</f>
        <v>0</v>
      </c>
      <c r="E8" s="1912">
        <f t="shared" si="6"/>
        <v>0</v>
      </c>
      <c r="F8" s="1913"/>
      <c r="G8" s="736">
        <f>IF(G$19&gt;=1,G38,0)</f>
        <v>0</v>
      </c>
      <c r="H8" s="736">
        <f t="shared" ref="H8:BS8" si="19">IF(H$19&gt;=1,H38,0)</f>
        <v>0</v>
      </c>
      <c r="I8" s="736">
        <f t="shared" si="19"/>
        <v>0</v>
      </c>
      <c r="J8" s="736">
        <f t="shared" si="19"/>
        <v>0</v>
      </c>
      <c r="K8" s="736">
        <f t="shared" si="19"/>
        <v>0</v>
      </c>
      <c r="L8" s="736">
        <f t="shared" si="19"/>
        <v>0</v>
      </c>
      <c r="M8" s="736">
        <f t="shared" si="19"/>
        <v>0</v>
      </c>
      <c r="N8" s="736">
        <f t="shared" si="19"/>
        <v>0</v>
      </c>
      <c r="O8" s="736">
        <f t="shared" si="19"/>
        <v>0</v>
      </c>
      <c r="P8" s="736">
        <f t="shared" si="19"/>
        <v>0</v>
      </c>
      <c r="Q8" s="736">
        <f t="shared" si="19"/>
        <v>0</v>
      </c>
      <c r="R8" s="736">
        <f t="shared" si="19"/>
        <v>0</v>
      </c>
      <c r="S8" s="736">
        <f t="shared" si="19"/>
        <v>0</v>
      </c>
      <c r="T8" s="736">
        <f t="shared" si="19"/>
        <v>0</v>
      </c>
      <c r="U8" s="736">
        <f t="shared" si="19"/>
        <v>0</v>
      </c>
      <c r="V8" s="736">
        <f t="shared" si="19"/>
        <v>0</v>
      </c>
      <c r="W8" s="736">
        <f t="shared" si="19"/>
        <v>0</v>
      </c>
      <c r="X8" s="736">
        <f t="shared" si="19"/>
        <v>0</v>
      </c>
      <c r="Y8" s="736">
        <f t="shared" si="19"/>
        <v>0</v>
      </c>
      <c r="Z8" s="736">
        <f t="shared" si="19"/>
        <v>0</v>
      </c>
      <c r="AA8" s="736">
        <f t="shared" si="19"/>
        <v>0</v>
      </c>
      <c r="AB8" s="736">
        <f t="shared" si="19"/>
        <v>0</v>
      </c>
      <c r="AC8" s="736">
        <f t="shared" si="19"/>
        <v>0</v>
      </c>
      <c r="AD8" s="736">
        <f t="shared" si="19"/>
        <v>0</v>
      </c>
      <c r="AE8" s="736">
        <f t="shared" si="19"/>
        <v>0</v>
      </c>
      <c r="AF8" s="736">
        <f t="shared" si="19"/>
        <v>0</v>
      </c>
      <c r="AG8" s="736">
        <f t="shared" si="19"/>
        <v>0</v>
      </c>
      <c r="AH8" s="736">
        <f t="shared" si="19"/>
        <v>0</v>
      </c>
      <c r="AI8" s="736">
        <f t="shared" si="19"/>
        <v>0</v>
      </c>
      <c r="AJ8" s="736">
        <f t="shared" si="19"/>
        <v>0</v>
      </c>
      <c r="AK8" s="736">
        <f t="shared" si="19"/>
        <v>0</v>
      </c>
      <c r="AL8" s="736">
        <f t="shared" si="19"/>
        <v>0</v>
      </c>
      <c r="AM8" s="736">
        <f t="shared" si="19"/>
        <v>0</v>
      </c>
      <c r="AN8" s="736">
        <f t="shared" si="19"/>
        <v>0</v>
      </c>
      <c r="AO8" s="736">
        <f t="shared" si="19"/>
        <v>0</v>
      </c>
      <c r="AP8" s="736">
        <f t="shared" si="19"/>
        <v>0</v>
      </c>
      <c r="AQ8" s="736">
        <f t="shared" si="19"/>
        <v>0</v>
      </c>
      <c r="AR8" s="736">
        <f t="shared" si="19"/>
        <v>0</v>
      </c>
      <c r="AS8" s="736">
        <f t="shared" si="19"/>
        <v>0</v>
      </c>
      <c r="AT8" s="736">
        <f t="shared" si="19"/>
        <v>0</v>
      </c>
      <c r="AU8" s="736">
        <f t="shared" si="19"/>
        <v>0</v>
      </c>
      <c r="AV8" s="736">
        <f t="shared" si="19"/>
        <v>0</v>
      </c>
      <c r="AW8" s="736">
        <f t="shared" si="19"/>
        <v>0</v>
      </c>
      <c r="AX8" s="736">
        <f t="shared" si="19"/>
        <v>0</v>
      </c>
      <c r="AY8" s="736">
        <f t="shared" si="19"/>
        <v>0</v>
      </c>
      <c r="AZ8" s="736">
        <f t="shared" si="19"/>
        <v>0</v>
      </c>
      <c r="BA8" s="736">
        <f t="shared" si="19"/>
        <v>0</v>
      </c>
      <c r="BB8" s="736">
        <f t="shared" si="19"/>
        <v>0</v>
      </c>
      <c r="BC8" s="736">
        <f t="shared" si="19"/>
        <v>0</v>
      </c>
      <c r="BD8" s="736">
        <f t="shared" si="19"/>
        <v>0</v>
      </c>
      <c r="BE8" s="736">
        <f t="shared" si="19"/>
        <v>0</v>
      </c>
      <c r="BF8" s="736">
        <f t="shared" si="19"/>
        <v>0</v>
      </c>
      <c r="BG8" s="736">
        <f t="shared" si="19"/>
        <v>0</v>
      </c>
      <c r="BH8" s="736">
        <f t="shared" si="19"/>
        <v>0</v>
      </c>
      <c r="BI8" s="736">
        <f t="shared" si="19"/>
        <v>0</v>
      </c>
      <c r="BJ8" s="736">
        <f t="shared" si="19"/>
        <v>0</v>
      </c>
      <c r="BK8" s="736">
        <f t="shared" si="19"/>
        <v>0</v>
      </c>
      <c r="BL8" s="736">
        <f t="shared" si="19"/>
        <v>0</v>
      </c>
      <c r="BM8" s="736">
        <f t="shared" si="19"/>
        <v>0</v>
      </c>
      <c r="BN8" s="736">
        <f t="shared" si="19"/>
        <v>0</v>
      </c>
      <c r="BO8" s="736">
        <f t="shared" si="19"/>
        <v>0</v>
      </c>
      <c r="BP8" s="736">
        <f t="shared" si="19"/>
        <v>0</v>
      </c>
      <c r="BQ8" s="736">
        <f t="shared" si="19"/>
        <v>0</v>
      </c>
      <c r="BR8" s="736">
        <f t="shared" si="19"/>
        <v>0</v>
      </c>
      <c r="BS8" s="736">
        <f t="shared" si="19"/>
        <v>0</v>
      </c>
      <c r="BT8" s="736">
        <f t="shared" ref="BT8:EE8" si="20">IF(BT$19&gt;=1,BT38,0)</f>
        <v>0</v>
      </c>
      <c r="BU8" s="736">
        <f t="shared" si="20"/>
        <v>0</v>
      </c>
      <c r="BV8" s="736">
        <f t="shared" si="20"/>
        <v>0</v>
      </c>
      <c r="BW8" s="736">
        <f t="shared" si="20"/>
        <v>0</v>
      </c>
      <c r="BX8" s="736">
        <f t="shared" si="20"/>
        <v>0</v>
      </c>
      <c r="BY8" s="736">
        <f t="shared" si="20"/>
        <v>0</v>
      </c>
      <c r="BZ8" s="736">
        <f t="shared" si="20"/>
        <v>0</v>
      </c>
      <c r="CA8" s="736">
        <f t="shared" si="20"/>
        <v>0</v>
      </c>
      <c r="CB8" s="736">
        <f t="shared" si="20"/>
        <v>0</v>
      </c>
      <c r="CC8" s="736">
        <f t="shared" si="20"/>
        <v>0</v>
      </c>
      <c r="CD8" s="736">
        <f t="shared" si="20"/>
        <v>0</v>
      </c>
      <c r="CE8" s="736">
        <f t="shared" si="20"/>
        <v>0</v>
      </c>
      <c r="CF8" s="736">
        <f t="shared" si="20"/>
        <v>0</v>
      </c>
      <c r="CG8" s="736">
        <f t="shared" si="20"/>
        <v>0</v>
      </c>
      <c r="CH8" s="736">
        <f t="shared" si="20"/>
        <v>0</v>
      </c>
      <c r="CI8" s="736">
        <f t="shared" si="20"/>
        <v>0</v>
      </c>
      <c r="CJ8" s="736">
        <f t="shared" si="20"/>
        <v>0</v>
      </c>
      <c r="CK8" s="736">
        <f t="shared" si="20"/>
        <v>0</v>
      </c>
      <c r="CL8" s="736">
        <f t="shared" si="20"/>
        <v>0</v>
      </c>
      <c r="CM8" s="736">
        <f t="shared" si="20"/>
        <v>0</v>
      </c>
      <c r="CN8" s="736">
        <f t="shared" si="20"/>
        <v>0</v>
      </c>
      <c r="CO8" s="736">
        <f t="shared" si="20"/>
        <v>0</v>
      </c>
      <c r="CP8" s="736">
        <f t="shared" si="20"/>
        <v>0</v>
      </c>
      <c r="CQ8" s="736">
        <f t="shared" si="20"/>
        <v>0</v>
      </c>
      <c r="CR8" s="736">
        <f t="shared" si="20"/>
        <v>0</v>
      </c>
      <c r="CS8" s="736">
        <f t="shared" si="20"/>
        <v>0</v>
      </c>
      <c r="CT8" s="736">
        <f t="shared" si="20"/>
        <v>0</v>
      </c>
      <c r="CU8" s="736">
        <f t="shared" si="20"/>
        <v>0</v>
      </c>
      <c r="CV8" s="736">
        <f t="shared" si="20"/>
        <v>0</v>
      </c>
      <c r="CW8" s="736">
        <f t="shared" si="20"/>
        <v>0</v>
      </c>
      <c r="CX8" s="736">
        <f t="shared" si="20"/>
        <v>0</v>
      </c>
      <c r="CY8" s="736">
        <f t="shared" si="20"/>
        <v>0</v>
      </c>
      <c r="CZ8" s="736">
        <f t="shared" si="20"/>
        <v>0</v>
      </c>
      <c r="DA8" s="736">
        <f t="shared" si="20"/>
        <v>0</v>
      </c>
      <c r="DB8" s="736">
        <f t="shared" si="20"/>
        <v>0</v>
      </c>
      <c r="DC8" s="736">
        <f t="shared" si="20"/>
        <v>0</v>
      </c>
      <c r="DD8" s="736">
        <f t="shared" si="20"/>
        <v>0</v>
      </c>
      <c r="DE8" s="736">
        <f t="shared" si="20"/>
        <v>0</v>
      </c>
      <c r="DF8" s="736">
        <f t="shared" si="20"/>
        <v>0</v>
      </c>
      <c r="DG8" s="736">
        <f t="shared" si="20"/>
        <v>0</v>
      </c>
      <c r="DH8" s="736">
        <f t="shared" si="20"/>
        <v>0</v>
      </c>
      <c r="DI8" s="736">
        <f t="shared" si="20"/>
        <v>0</v>
      </c>
      <c r="DJ8" s="736">
        <f t="shared" si="20"/>
        <v>0</v>
      </c>
      <c r="DK8" s="736">
        <f t="shared" si="20"/>
        <v>0</v>
      </c>
      <c r="DL8" s="736">
        <f t="shared" si="20"/>
        <v>0</v>
      </c>
      <c r="DM8" s="736">
        <f t="shared" si="20"/>
        <v>0</v>
      </c>
      <c r="DN8" s="736">
        <f t="shared" si="20"/>
        <v>0</v>
      </c>
      <c r="DO8" s="736">
        <f t="shared" si="20"/>
        <v>0</v>
      </c>
      <c r="DP8" s="736">
        <f t="shared" si="20"/>
        <v>0</v>
      </c>
      <c r="DQ8" s="736">
        <f t="shared" si="20"/>
        <v>0</v>
      </c>
      <c r="DR8" s="736">
        <f t="shared" si="20"/>
        <v>0</v>
      </c>
      <c r="DS8" s="736">
        <f t="shared" si="20"/>
        <v>0</v>
      </c>
      <c r="DT8" s="736">
        <f t="shared" si="20"/>
        <v>0</v>
      </c>
      <c r="DU8" s="736">
        <f t="shared" si="20"/>
        <v>0</v>
      </c>
      <c r="DV8" s="736">
        <f t="shared" si="20"/>
        <v>0</v>
      </c>
      <c r="DW8" s="736">
        <f t="shared" si="20"/>
        <v>0</v>
      </c>
      <c r="DX8" s="736">
        <f t="shared" si="20"/>
        <v>0</v>
      </c>
      <c r="DY8" s="736">
        <f t="shared" si="20"/>
        <v>0</v>
      </c>
      <c r="DZ8" s="736">
        <f t="shared" si="20"/>
        <v>0</v>
      </c>
      <c r="EA8" s="736">
        <f t="shared" si="20"/>
        <v>0</v>
      </c>
      <c r="EB8" s="736">
        <f t="shared" si="20"/>
        <v>0</v>
      </c>
      <c r="EC8" s="736">
        <f t="shared" si="20"/>
        <v>0</v>
      </c>
      <c r="ED8" s="736">
        <f t="shared" si="20"/>
        <v>0</v>
      </c>
      <c r="EE8" s="736">
        <f t="shared" si="20"/>
        <v>0</v>
      </c>
      <c r="EF8" s="736">
        <f t="shared" ref="EF8:GJ8" si="21">IF(EF$19&gt;=1,EF38,0)</f>
        <v>0</v>
      </c>
      <c r="EG8" s="736">
        <f t="shared" si="21"/>
        <v>0</v>
      </c>
      <c r="EH8" s="736">
        <f t="shared" si="21"/>
        <v>0</v>
      </c>
      <c r="EI8" s="736">
        <f t="shared" si="21"/>
        <v>0</v>
      </c>
      <c r="EJ8" s="736">
        <f t="shared" si="21"/>
        <v>0</v>
      </c>
      <c r="EK8" s="736">
        <f t="shared" si="21"/>
        <v>0</v>
      </c>
      <c r="EL8" s="736">
        <f t="shared" si="21"/>
        <v>0</v>
      </c>
      <c r="EM8" s="736">
        <f t="shared" si="21"/>
        <v>0</v>
      </c>
      <c r="EN8" s="736">
        <f t="shared" si="21"/>
        <v>0</v>
      </c>
      <c r="EO8" s="736">
        <f t="shared" si="21"/>
        <v>0</v>
      </c>
      <c r="EP8" s="736">
        <f t="shared" si="21"/>
        <v>0</v>
      </c>
      <c r="EQ8" s="736">
        <f t="shared" si="21"/>
        <v>0</v>
      </c>
      <c r="ER8" s="736">
        <f t="shared" si="21"/>
        <v>0</v>
      </c>
      <c r="ES8" s="736">
        <f t="shared" si="21"/>
        <v>0</v>
      </c>
      <c r="ET8" s="736">
        <f t="shared" si="21"/>
        <v>0</v>
      </c>
      <c r="EU8" s="736">
        <f t="shared" si="21"/>
        <v>0</v>
      </c>
      <c r="EV8" s="736">
        <f t="shared" si="21"/>
        <v>0</v>
      </c>
      <c r="EW8" s="736">
        <f t="shared" si="21"/>
        <v>0</v>
      </c>
      <c r="EX8" s="736">
        <f t="shared" si="21"/>
        <v>0</v>
      </c>
      <c r="EY8" s="736">
        <f t="shared" si="21"/>
        <v>0</v>
      </c>
      <c r="EZ8" s="736">
        <f t="shared" si="21"/>
        <v>0</v>
      </c>
      <c r="FA8" s="736">
        <f t="shared" si="21"/>
        <v>0</v>
      </c>
      <c r="FB8" s="736">
        <f t="shared" si="21"/>
        <v>0</v>
      </c>
      <c r="FC8" s="736">
        <f t="shared" si="21"/>
        <v>0</v>
      </c>
      <c r="FD8" s="736">
        <f t="shared" si="21"/>
        <v>0</v>
      </c>
      <c r="FE8" s="736">
        <f t="shared" si="21"/>
        <v>0</v>
      </c>
      <c r="FF8" s="736">
        <f t="shared" si="21"/>
        <v>0</v>
      </c>
      <c r="FG8" s="736">
        <f t="shared" si="21"/>
        <v>0</v>
      </c>
      <c r="FH8" s="736">
        <f t="shared" si="21"/>
        <v>0</v>
      </c>
      <c r="FI8" s="736">
        <f t="shared" si="21"/>
        <v>0</v>
      </c>
      <c r="FJ8" s="736">
        <f t="shared" si="21"/>
        <v>0</v>
      </c>
      <c r="FK8" s="736">
        <f t="shared" si="21"/>
        <v>0</v>
      </c>
      <c r="FL8" s="736">
        <f t="shared" si="21"/>
        <v>0</v>
      </c>
      <c r="FM8" s="736">
        <f t="shared" si="21"/>
        <v>0</v>
      </c>
      <c r="FN8" s="736">
        <f t="shared" si="21"/>
        <v>0</v>
      </c>
      <c r="FO8" s="736">
        <f t="shared" si="21"/>
        <v>0</v>
      </c>
      <c r="FP8" s="736">
        <f t="shared" si="21"/>
        <v>0</v>
      </c>
      <c r="FQ8" s="736">
        <f t="shared" si="21"/>
        <v>0</v>
      </c>
      <c r="FR8" s="736">
        <f t="shared" si="21"/>
        <v>0</v>
      </c>
      <c r="FS8" s="736">
        <f t="shared" si="21"/>
        <v>0</v>
      </c>
      <c r="FT8" s="736">
        <f t="shared" si="21"/>
        <v>0</v>
      </c>
      <c r="FU8" s="736">
        <f t="shared" si="21"/>
        <v>0</v>
      </c>
      <c r="FV8" s="736">
        <f t="shared" si="21"/>
        <v>0</v>
      </c>
      <c r="FW8" s="736">
        <f t="shared" si="21"/>
        <v>0</v>
      </c>
      <c r="FX8" s="736">
        <f t="shared" si="21"/>
        <v>0</v>
      </c>
      <c r="FY8" s="736">
        <f t="shared" si="21"/>
        <v>0</v>
      </c>
      <c r="FZ8" s="736">
        <f t="shared" si="21"/>
        <v>0</v>
      </c>
      <c r="GA8" s="736">
        <f t="shared" si="21"/>
        <v>0</v>
      </c>
      <c r="GB8" s="736">
        <f t="shared" si="21"/>
        <v>0</v>
      </c>
      <c r="GC8" s="736">
        <f t="shared" si="21"/>
        <v>0</v>
      </c>
      <c r="GD8" s="736">
        <f t="shared" si="21"/>
        <v>0</v>
      </c>
      <c r="GE8" s="736">
        <f t="shared" si="21"/>
        <v>0</v>
      </c>
      <c r="GF8" s="736">
        <f t="shared" si="21"/>
        <v>0</v>
      </c>
      <c r="GG8" s="736">
        <f t="shared" si="21"/>
        <v>0</v>
      </c>
      <c r="GH8" s="736">
        <f t="shared" si="21"/>
        <v>0</v>
      </c>
      <c r="GI8" s="736">
        <f t="shared" si="21"/>
        <v>0</v>
      </c>
      <c r="GJ8" s="736">
        <f t="shared" si="21"/>
        <v>0</v>
      </c>
    </row>
    <row r="9" spans="2:192" ht="9.75" customHeight="1">
      <c r="B9" s="634"/>
      <c r="C9" s="652" t="s">
        <v>476</v>
      </c>
      <c r="D9" s="734">
        <f>基礎情報!V125</f>
        <v>0</v>
      </c>
      <c r="E9" s="1912">
        <f t="shared" si="6"/>
        <v>0</v>
      </c>
      <c r="F9" s="1913"/>
      <c r="G9" s="736">
        <f>IF(G$19&gt;=1,G41,0)</f>
        <v>0</v>
      </c>
      <c r="H9" s="736">
        <f t="shared" ref="H9:BS9" si="22">IF(H$19&gt;=1,H41,0)</f>
        <v>0</v>
      </c>
      <c r="I9" s="736">
        <f t="shared" si="22"/>
        <v>0</v>
      </c>
      <c r="J9" s="736">
        <f t="shared" si="22"/>
        <v>0</v>
      </c>
      <c r="K9" s="736">
        <f t="shared" si="22"/>
        <v>0</v>
      </c>
      <c r="L9" s="736">
        <f t="shared" si="22"/>
        <v>0</v>
      </c>
      <c r="M9" s="736">
        <f t="shared" si="22"/>
        <v>0</v>
      </c>
      <c r="N9" s="736">
        <f t="shared" si="22"/>
        <v>0</v>
      </c>
      <c r="O9" s="736">
        <f t="shared" si="22"/>
        <v>0</v>
      </c>
      <c r="P9" s="736">
        <f t="shared" si="22"/>
        <v>0</v>
      </c>
      <c r="Q9" s="736">
        <f t="shared" si="22"/>
        <v>0</v>
      </c>
      <c r="R9" s="736">
        <f t="shared" si="22"/>
        <v>0</v>
      </c>
      <c r="S9" s="736">
        <f t="shared" si="22"/>
        <v>0</v>
      </c>
      <c r="T9" s="736">
        <f t="shared" si="22"/>
        <v>0</v>
      </c>
      <c r="U9" s="736">
        <f t="shared" si="22"/>
        <v>0</v>
      </c>
      <c r="V9" s="736">
        <f t="shared" si="22"/>
        <v>0</v>
      </c>
      <c r="W9" s="736">
        <f t="shared" si="22"/>
        <v>0</v>
      </c>
      <c r="X9" s="736">
        <f t="shared" si="22"/>
        <v>0</v>
      </c>
      <c r="Y9" s="736">
        <f t="shared" si="22"/>
        <v>0</v>
      </c>
      <c r="Z9" s="736">
        <f t="shared" si="22"/>
        <v>0</v>
      </c>
      <c r="AA9" s="736">
        <f t="shared" si="22"/>
        <v>0</v>
      </c>
      <c r="AB9" s="736">
        <f t="shared" si="22"/>
        <v>0</v>
      </c>
      <c r="AC9" s="736">
        <f t="shared" si="22"/>
        <v>0</v>
      </c>
      <c r="AD9" s="736">
        <f t="shared" si="22"/>
        <v>0</v>
      </c>
      <c r="AE9" s="736">
        <f t="shared" si="22"/>
        <v>0</v>
      </c>
      <c r="AF9" s="736">
        <f t="shared" si="22"/>
        <v>0</v>
      </c>
      <c r="AG9" s="736">
        <f t="shared" si="22"/>
        <v>0</v>
      </c>
      <c r="AH9" s="736">
        <f t="shared" si="22"/>
        <v>0</v>
      </c>
      <c r="AI9" s="736">
        <f t="shared" si="22"/>
        <v>0</v>
      </c>
      <c r="AJ9" s="736">
        <f t="shared" si="22"/>
        <v>0</v>
      </c>
      <c r="AK9" s="736">
        <f t="shared" si="22"/>
        <v>0</v>
      </c>
      <c r="AL9" s="736">
        <f t="shared" si="22"/>
        <v>0</v>
      </c>
      <c r="AM9" s="736">
        <f t="shared" si="22"/>
        <v>0</v>
      </c>
      <c r="AN9" s="736">
        <f t="shared" si="22"/>
        <v>0</v>
      </c>
      <c r="AO9" s="736">
        <f t="shared" si="22"/>
        <v>0</v>
      </c>
      <c r="AP9" s="736">
        <f t="shared" si="22"/>
        <v>0</v>
      </c>
      <c r="AQ9" s="736">
        <f t="shared" si="22"/>
        <v>0</v>
      </c>
      <c r="AR9" s="736">
        <f t="shared" si="22"/>
        <v>0</v>
      </c>
      <c r="AS9" s="736">
        <f t="shared" si="22"/>
        <v>0</v>
      </c>
      <c r="AT9" s="736">
        <f t="shared" si="22"/>
        <v>0</v>
      </c>
      <c r="AU9" s="736">
        <f t="shared" si="22"/>
        <v>0</v>
      </c>
      <c r="AV9" s="736">
        <f t="shared" si="22"/>
        <v>0</v>
      </c>
      <c r="AW9" s="736">
        <f t="shared" si="22"/>
        <v>0</v>
      </c>
      <c r="AX9" s="736">
        <f t="shared" si="22"/>
        <v>0</v>
      </c>
      <c r="AY9" s="736">
        <f t="shared" si="22"/>
        <v>0</v>
      </c>
      <c r="AZ9" s="736">
        <f t="shared" si="22"/>
        <v>0</v>
      </c>
      <c r="BA9" s="736">
        <f t="shared" si="22"/>
        <v>0</v>
      </c>
      <c r="BB9" s="736">
        <f t="shared" si="22"/>
        <v>0</v>
      </c>
      <c r="BC9" s="736">
        <f t="shared" si="22"/>
        <v>0</v>
      </c>
      <c r="BD9" s="736">
        <f t="shared" si="22"/>
        <v>0</v>
      </c>
      <c r="BE9" s="736">
        <f t="shared" si="22"/>
        <v>0</v>
      </c>
      <c r="BF9" s="736">
        <f t="shared" si="22"/>
        <v>0</v>
      </c>
      <c r="BG9" s="736">
        <f t="shared" si="22"/>
        <v>0</v>
      </c>
      <c r="BH9" s="736">
        <f t="shared" si="22"/>
        <v>0</v>
      </c>
      <c r="BI9" s="736">
        <f t="shared" si="22"/>
        <v>0</v>
      </c>
      <c r="BJ9" s="736">
        <f t="shared" si="22"/>
        <v>0</v>
      </c>
      <c r="BK9" s="736">
        <f t="shared" si="22"/>
        <v>0</v>
      </c>
      <c r="BL9" s="736">
        <f t="shared" si="22"/>
        <v>0</v>
      </c>
      <c r="BM9" s="736">
        <f t="shared" si="22"/>
        <v>0</v>
      </c>
      <c r="BN9" s="736">
        <f t="shared" si="22"/>
        <v>0</v>
      </c>
      <c r="BO9" s="736">
        <f t="shared" si="22"/>
        <v>0</v>
      </c>
      <c r="BP9" s="736">
        <f t="shared" si="22"/>
        <v>0</v>
      </c>
      <c r="BQ9" s="736">
        <f t="shared" si="22"/>
        <v>0</v>
      </c>
      <c r="BR9" s="736">
        <f t="shared" si="22"/>
        <v>0</v>
      </c>
      <c r="BS9" s="736">
        <f t="shared" si="22"/>
        <v>0</v>
      </c>
      <c r="BT9" s="736">
        <f t="shared" ref="BT9:EE9" si="23">IF(BT$19&gt;=1,BT41,0)</f>
        <v>0</v>
      </c>
      <c r="BU9" s="736">
        <f t="shared" si="23"/>
        <v>0</v>
      </c>
      <c r="BV9" s="736">
        <f t="shared" si="23"/>
        <v>0</v>
      </c>
      <c r="BW9" s="736">
        <f t="shared" si="23"/>
        <v>0</v>
      </c>
      <c r="BX9" s="736">
        <f t="shared" si="23"/>
        <v>0</v>
      </c>
      <c r="BY9" s="736">
        <f t="shared" si="23"/>
        <v>0</v>
      </c>
      <c r="BZ9" s="736">
        <f t="shared" si="23"/>
        <v>0</v>
      </c>
      <c r="CA9" s="736">
        <f t="shared" si="23"/>
        <v>0</v>
      </c>
      <c r="CB9" s="736">
        <f t="shared" si="23"/>
        <v>0</v>
      </c>
      <c r="CC9" s="736">
        <f t="shared" si="23"/>
        <v>0</v>
      </c>
      <c r="CD9" s="736">
        <f t="shared" si="23"/>
        <v>0</v>
      </c>
      <c r="CE9" s="736">
        <f t="shared" si="23"/>
        <v>0</v>
      </c>
      <c r="CF9" s="736">
        <f t="shared" si="23"/>
        <v>0</v>
      </c>
      <c r="CG9" s="736">
        <f t="shared" si="23"/>
        <v>0</v>
      </c>
      <c r="CH9" s="736">
        <f t="shared" si="23"/>
        <v>0</v>
      </c>
      <c r="CI9" s="736">
        <f t="shared" si="23"/>
        <v>0</v>
      </c>
      <c r="CJ9" s="736">
        <f t="shared" si="23"/>
        <v>0</v>
      </c>
      <c r="CK9" s="736">
        <f t="shared" si="23"/>
        <v>0</v>
      </c>
      <c r="CL9" s="736">
        <f t="shared" si="23"/>
        <v>0</v>
      </c>
      <c r="CM9" s="736">
        <f t="shared" si="23"/>
        <v>0</v>
      </c>
      <c r="CN9" s="736">
        <f t="shared" si="23"/>
        <v>0</v>
      </c>
      <c r="CO9" s="736">
        <f t="shared" si="23"/>
        <v>0</v>
      </c>
      <c r="CP9" s="736">
        <f t="shared" si="23"/>
        <v>0</v>
      </c>
      <c r="CQ9" s="736">
        <f t="shared" si="23"/>
        <v>0</v>
      </c>
      <c r="CR9" s="736">
        <f t="shared" si="23"/>
        <v>0</v>
      </c>
      <c r="CS9" s="736">
        <f t="shared" si="23"/>
        <v>0</v>
      </c>
      <c r="CT9" s="736">
        <f t="shared" si="23"/>
        <v>0</v>
      </c>
      <c r="CU9" s="736">
        <f t="shared" si="23"/>
        <v>0</v>
      </c>
      <c r="CV9" s="736">
        <f t="shared" si="23"/>
        <v>0</v>
      </c>
      <c r="CW9" s="736">
        <f t="shared" si="23"/>
        <v>0</v>
      </c>
      <c r="CX9" s="736">
        <f t="shared" si="23"/>
        <v>0</v>
      </c>
      <c r="CY9" s="736">
        <f t="shared" si="23"/>
        <v>0</v>
      </c>
      <c r="CZ9" s="736">
        <f t="shared" si="23"/>
        <v>0</v>
      </c>
      <c r="DA9" s="736">
        <f t="shared" si="23"/>
        <v>0</v>
      </c>
      <c r="DB9" s="736">
        <f t="shared" si="23"/>
        <v>0</v>
      </c>
      <c r="DC9" s="736">
        <f t="shared" si="23"/>
        <v>0</v>
      </c>
      <c r="DD9" s="736">
        <f t="shared" si="23"/>
        <v>0</v>
      </c>
      <c r="DE9" s="736">
        <f t="shared" si="23"/>
        <v>0</v>
      </c>
      <c r="DF9" s="736">
        <f t="shared" si="23"/>
        <v>0</v>
      </c>
      <c r="DG9" s="736">
        <f t="shared" si="23"/>
        <v>0</v>
      </c>
      <c r="DH9" s="736">
        <f t="shared" si="23"/>
        <v>0</v>
      </c>
      <c r="DI9" s="736">
        <f t="shared" si="23"/>
        <v>0</v>
      </c>
      <c r="DJ9" s="736">
        <f t="shared" si="23"/>
        <v>0</v>
      </c>
      <c r="DK9" s="736">
        <f t="shared" si="23"/>
        <v>0</v>
      </c>
      <c r="DL9" s="736">
        <f t="shared" si="23"/>
        <v>0</v>
      </c>
      <c r="DM9" s="736">
        <f t="shared" si="23"/>
        <v>0</v>
      </c>
      <c r="DN9" s="736">
        <f t="shared" si="23"/>
        <v>0</v>
      </c>
      <c r="DO9" s="736">
        <f t="shared" si="23"/>
        <v>0</v>
      </c>
      <c r="DP9" s="736">
        <f t="shared" si="23"/>
        <v>0</v>
      </c>
      <c r="DQ9" s="736">
        <f t="shared" si="23"/>
        <v>0</v>
      </c>
      <c r="DR9" s="736">
        <f t="shared" si="23"/>
        <v>0</v>
      </c>
      <c r="DS9" s="736">
        <f t="shared" si="23"/>
        <v>0</v>
      </c>
      <c r="DT9" s="736">
        <f t="shared" si="23"/>
        <v>0</v>
      </c>
      <c r="DU9" s="736">
        <f t="shared" si="23"/>
        <v>0</v>
      </c>
      <c r="DV9" s="736">
        <f t="shared" si="23"/>
        <v>0</v>
      </c>
      <c r="DW9" s="736">
        <f t="shared" si="23"/>
        <v>0</v>
      </c>
      <c r="DX9" s="736">
        <f t="shared" si="23"/>
        <v>0</v>
      </c>
      <c r="DY9" s="736">
        <f t="shared" si="23"/>
        <v>0</v>
      </c>
      <c r="DZ9" s="736">
        <f t="shared" si="23"/>
        <v>0</v>
      </c>
      <c r="EA9" s="736">
        <f t="shared" si="23"/>
        <v>0</v>
      </c>
      <c r="EB9" s="736">
        <f t="shared" si="23"/>
        <v>0</v>
      </c>
      <c r="EC9" s="736">
        <f t="shared" si="23"/>
        <v>0</v>
      </c>
      <c r="ED9" s="736">
        <f t="shared" si="23"/>
        <v>0</v>
      </c>
      <c r="EE9" s="736">
        <f t="shared" si="23"/>
        <v>0</v>
      </c>
      <c r="EF9" s="736">
        <f t="shared" ref="EF9:GJ9" si="24">IF(EF$19&gt;=1,EF41,0)</f>
        <v>0</v>
      </c>
      <c r="EG9" s="736">
        <f t="shared" si="24"/>
        <v>0</v>
      </c>
      <c r="EH9" s="736">
        <f t="shared" si="24"/>
        <v>0</v>
      </c>
      <c r="EI9" s="736">
        <f t="shared" si="24"/>
        <v>0</v>
      </c>
      <c r="EJ9" s="736">
        <f t="shared" si="24"/>
        <v>0</v>
      </c>
      <c r="EK9" s="736">
        <f t="shared" si="24"/>
        <v>0</v>
      </c>
      <c r="EL9" s="736">
        <f t="shared" si="24"/>
        <v>0</v>
      </c>
      <c r="EM9" s="736">
        <f t="shared" si="24"/>
        <v>0</v>
      </c>
      <c r="EN9" s="736">
        <f t="shared" si="24"/>
        <v>0</v>
      </c>
      <c r="EO9" s="736">
        <f t="shared" si="24"/>
        <v>0</v>
      </c>
      <c r="EP9" s="736">
        <f t="shared" si="24"/>
        <v>0</v>
      </c>
      <c r="EQ9" s="736">
        <f t="shared" si="24"/>
        <v>0</v>
      </c>
      <c r="ER9" s="736">
        <f t="shared" si="24"/>
        <v>0</v>
      </c>
      <c r="ES9" s="736">
        <f t="shared" si="24"/>
        <v>0</v>
      </c>
      <c r="ET9" s="736">
        <f t="shared" si="24"/>
        <v>0</v>
      </c>
      <c r="EU9" s="736">
        <f t="shared" si="24"/>
        <v>0</v>
      </c>
      <c r="EV9" s="736">
        <f t="shared" si="24"/>
        <v>0</v>
      </c>
      <c r="EW9" s="736">
        <f t="shared" si="24"/>
        <v>0</v>
      </c>
      <c r="EX9" s="736">
        <f t="shared" si="24"/>
        <v>0</v>
      </c>
      <c r="EY9" s="736">
        <f t="shared" si="24"/>
        <v>0</v>
      </c>
      <c r="EZ9" s="736">
        <f t="shared" si="24"/>
        <v>0</v>
      </c>
      <c r="FA9" s="736">
        <f t="shared" si="24"/>
        <v>0</v>
      </c>
      <c r="FB9" s="736">
        <f t="shared" si="24"/>
        <v>0</v>
      </c>
      <c r="FC9" s="736">
        <f t="shared" si="24"/>
        <v>0</v>
      </c>
      <c r="FD9" s="736">
        <f t="shared" si="24"/>
        <v>0</v>
      </c>
      <c r="FE9" s="736">
        <f t="shared" si="24"/>
        <v>0</v>
      </c>
      <c r="FF9" s="736">
        <f t="shared" si="24"/>
        <v>0</v>
      </c>
      <c r="FG9" s="736">
        <f t="shared" si="24"/>
        <v>0</v>
      </c>
      <c r="FH9" s="736">
        <f t="shared" si="24"/>
        <v>0</v>
      </c>
      <c r="FI9" s="736">
        <f t="shared" si="24"/>
        <v>0</v>
      </c>
      <c r="FJ9" s="736">
        <f t="shared" si="24"/>
        <v>0</v>
      </c>
      <c r="FK9" s="736">
        <f t="shared" si="24"/>
        <v>0</v>
      </c>
      <c r="FL9" s="736">
        <f t="shared" si="24"/>
        <v>0</v>
      </c>
      <c r="FM9" s="736">
        <f t="shared" si="24"/>
        <v>0</v>
      </c>
      <c r="FN9" s="736">
        <f t="shared" si="24"/>
        <v>0</v>
      </c>
      <c r="FO9" s="736">
        <f t="shared" si="24"/>
        <v>0</v>
      </c>
      <c r="FP9" s="736">
        <f t="shared" si="24"/>
        <v>0</v>
      </c>
      <c r="FQ9" s="736">
        <f t="shared" si="24"/>
        <v>0</v>
      </c>
      <c r="FR9" s="736">
        <f t="shared" si="24"/>
        <v>0</v>
      </c>
      <c r="FS9" s="736">
        <f t="shared" si="24"/>
        <v>0</v>
      </c>
      <c r="FT9" s="736">
        <f t="shared" si="24"/>
        <v>0</v>
      </c>
      <c r="FU9" s="736">
        <f t="shared" si="24"/>
        <v>0</v>
      </c>
      <c r="FV9" s="736">
        <f t="shared" si="24"/>
        <v>0</v>
      </c>
      <c r="FW9" s="736">
        <f t="shared" si="24"/>
        <v>0</v>
      </c>
      <c r="FX9" s="736">
        <f t="shared" si="24"/>
        <v>0</v>
      </c>
      <c r="FY9" s="736">
        <f t="shared" si="24"/>
        <v>0</v>
      </c>
      <c r="FZ9" s="736">
        <f t="shared" si="24"/>
        <v>0</v>
      </c>
      <c r="GA9" s="736">
        <f t="shared" si="24"/>
        <v>0</v>
      </c>
      <c r="GB9" s="736">
        <f t="shared" si="24"/>
        <v>0</v>
      </c>
      <c r="GC9" s="736">
        <f t="shared" si="24"/>
        <v>0</v>
      </c>
      <c r="GD9" s="736">
        <f t="shared" si="24"/>
        <v>0</v>
      </c>
      <c r="GE9" s="736">
        <f t="shared" si="24"/>
        <v>0</v>
      </c>
      <c r="GF9" s="736">
        <f t="shared" si="24"/>
        <v>0</v>
      </c>
      <c r="GG9" s="736">
        <f t="shared" si="24"/>
        <v>0</v>
      </c>
      <c r="GH9" s="736">
        <f t="shared" si="24"/>
        <v>0</v>
      </c>
      <c r="GI9" s="736">
        <f t="shared" si="24"/>
        <v>0</v>
      </c>
      <c r="GJ9" s="736">
        <f t="shared" si="24"/>
        <v>0</v>
      </c>
    </row>
    <row r="10" spans="2:192" ht="9.75" customHeight="1">
      <c r="B10" s="634"/>
      <c r="C10" s="652" t="s">
        <v>477</v>
      </c>
      <c r="D10" s="734">
        <f>基礎情報!V128</f>
        <v>0</v>
      </c>
      <c r="E10" s="1912">
        <f t="shared" si="6"/>
        <v>0</v>
      </c>
      <c r="F10" s="1913"/>
      <c r="G10" s="736">
        <f>IF(G$19&gt;=1,G44,0)</f>
        <v>0</v>
      </c>
      <c r="H10" s="736">
        <f t="shared" ref="H10:BS10" si="25">IF(H$19&gt;=1,H44,0)</f>
        <v>0</v>
      </c>
      <c r="I10" s="736">
        <f t="shared" si="25"/>
        <v>0</v>
      </c>
      <c r="J10" s="736">
        <f t="shared" si="25"/>
        <v>0</v>
      </c>
      <c r="K10" s="736">
        <f t="shared" si="25"/>
        <v>0</v>
      </c>
      <c r="L10" s="736">
        <f t="shared" si="25"/>
        <v>0</v>
      </c>
      <c r="M10" s="736">
        <f t="shared" si="25"/>
        <v>0</v>
      </c>
      <c r="N10" s="736">
        <f t="shared" si="25"/>
        <v>0</v>
      </c>
      <c r="O10" s="736">
        <f t="shared" si="25"/>
        <v>0</v>
      </c>
      <c r="P10" s="736">
        <f t="shared" si="25"/>
        <v>0</v>
      </c>
      <c r="Q10" s="736">
        <f t="shared" si="25"/>
        <v>0</v>
      </c>
      <c r="R10" s="736">
        <f t="shared" si="25"/>
        <v>0</v>
      </c>
      <c r="S10" s="736">
        <f t="shared" si="25"/>
        <v>0</v>
      </c>
      <c r="T10" s="736">
        <f t="shared" si="25"/>
        <v>0</v>
      </c>
      <c r="U10" s="736">
        <f t="shared" si="25"/>
        <v>0</v>
      </c>
      <c r="V10" s="736">
        <f t="shared" si="25"/>
        <v>0</v>
      </c>
      <c r="W10" s="736">
        <f t="shared" si="25"/>
        <v>0</v>
      </c>
      <c r="X10" s="736">
        <f t="shared" si="25"/>
        <v>0</v>
      </c>
      <c r="Y10" s="736">
        <f t="shared" si="25"/>
        <v>0</v>
      </c>
      <c r="Z10" s="736">
        <f t="shared" si="25"/>
        <v>0</v>
      </c>
      <c r="AA10" s="736">
        <f t="shared" si="25"/>
        <v>0</v>
      </c>
      <c r="AB10" s="736">
        <f t="shared" si="25"/>
        <v>0</v>
      </c>
      <c r="AC10" s="736">
        <f t="shared" si="25"/>
        <v>0</v>
      </c>
      <c r="AD10" s="736">
        <f t="shared" si="25"/>
        <v>0</v>
      </c>
      <c r="AE10" s="736">
        <f t="shared" si="25"/>
        <v>0</v>
      </c>
      <c r="AF10" s="736">
        <f t="shared" si="25"/>
        <v>0</v>
      </c>
      <c r="AG10" s="736">
        <f t="shared" si="25"/>
        <v>0</v>
      </c>
      <c r="AH10" s="736">
        <f t="shared" si="25"/>
        <v>0</v>
      </c>
      <c r="AI10" s="736">
        <f t="shared" si="25"/>
        <v>0</v>
      </c>
      <c r="AJ10" s="736">
        <f t="shared" si="25"/>
        <v>0</v>
      </c>
      <c r="AK10" s="736">
        <f t="shared" si="25"/>
        <v>0</v>
      </c>
      <c r="AL10" s="736">
        <f t="shared" si="25"/>
        <v>0</v>
      </c>
      <c r="AM10" s="736">
        <f t="shared" si="25"/>
        <v>0</v>
      </c>
      <c r="AN10" s="736">
        <f t="shared" si="25"/>
        <v>0</v>
      </c>
      <c r="AO10" s="736">
        <f t="shared" si="25"/>
        <v>0</v>
      </c>
      <c r="AP10" s="736">
        <f t="shared" si="25"/>
        <v>0</v>
      </c>
      <c r="AQ10" s="736">
        <f t="shared" si="25"/>
        <v>0</v>
      </c>
      <c r="AR10" s="736">
        <f t="shared" si="25"/>
        <v>0</v>
      </c>
      <c r="AS10" s="736">
        <f t="shared" si="25"/>
        <v>0</v>
      </c>
      <c r="AT10" s="736">
        <f t="shared" si="25"/>
        <v>0</v>
      </c>
      <c r="AU10" s="736">
        <f t="shared" si="25"/>
        <v>0</v>
      </c>
      <c r="AV10" s="736">
        <f t="shared" si="25"/>
        <v>0</v>
      </c>
      <c r="AW10" s="736">
        <f t="shared" si="25"/>
        <v>0</v>
      </c>
      <c r="AX10" s="736">
        <f t="shared" si="25"/>
        <v>0</v>
      </c>
      <c r="AY10" s="736">
        <f t="shared" si="25"/>
        <v>0</v>
      </c>
      <c r="AZ10" s="736">
        <f t="shared" si="25"/>
        <v>0</v>
      </c>
      <c r="BA10" s="736">
        <f t="shared" si="25"/>
        <v>0</v>
      </c>
      <c r="BB10" s="736">
        <f t="shared" si="25"/>
        <v>0</v>
      </c>
      <c r="BC10" s="736">
        <f t="shared" si="25"/>
        <v>0</v>
      </c>
      <c r="BD10" s="736">
        <f t="shared" si="25"/>
        <v>0</v>
      </c>
      <c r="BE10" s="736">
        <f t="shared" si="25"/>
        <v>0</v>
      </c>
      <c r="BF10" s="736">
        <f t="shared" si="25"/>
        <v>0</v>
      </c>
      <c r="BG10" s="736">
        <f t="shared" si="25"/>
        <v>0</v>
      </c>
      <c r="BH10" s="736">
        <f t="shared" si="25"/>
        <v>0</v>
      </c>
      <c r="BI10" s="736">
        <f t="shared" si="25"/>
        <v>0</v>
      </c>
      <c r="BJ10" s="736">
        <f t="shared" si="25"/>
        <v>0</v>
      </c>
      <c r="BK10" s="736">
        <f t="shared" si="25"/>
        <v>0</v>
      </c>
      <c r="BL10" s="736">
        <f t="shared" si="25"/>
        <v>0</v>
      </c>
      <c r="BM10" s="736">
        <f t="shared" si="25"/>
        <v>0</v>
      </c>
      <c r="BN10" s="736">
        <f t="shared" si="25"/>
        <v>0</v>
      </c>
      <c r="BO10" s="736">
        <f t="shared" si="25"/>
        <v>0</v>
      </c>
      <c r="BP10" s="736">
        <f t="shared" si="25"/>
        <v>0</v>
      </c>
      <c r="BQ10" s="736">
        <f t="shared" si="25"/>
        <v>0</v>
      </c>
      <c r="BR10" s="736">
        <f t="shared" si="25"/>
        <v>0</v>
      </c>
      <c r="BS10" s="736">
        <f t="shared" si="25"/>
        <v>0</v>
      </c>
      <c r="BT10" s="736">
        <f t="shared" ref="BT10:EE10" si="26">IF(BT$19&gt;=1,BT44,0)</f>
        <v>0</v>
      </c>
      <c r="BU10" s="736">
        <f t="shared" si="26"/>
        <v>0</v>
      </c>
      <c r="BV10" s="736">
        <f t="shared" si="26"/>
        <v>0</v>
      </c>
      <c r="BW10" s="736">
        <f t="shared" si="26"/>
        <v>0</v>
      </c>
      <c r="BX10" s="736">
        <f t="shared" si="26"/>
        <v>0</v>
      </c>
      <c r="BY10" s="736">
        <f t="shared" si="26"/>
        <v>0</v>
      </c>
      <c r="BZ10" s="736">
        <f t="shared" si="26"/>
        <v>0</v>
      </c>
      <c r="CA10" s="736">
        <f t="shared" si="26"/>
        <v>0</v>
      </c>
      <c r="CB10" s="736">
        <f t="shared" si="26"/>
        <v>0</v>
      </c>
      <c r="CC10" s="736">
        <f t="shared" si="26"/>
        <v>0</v>
      </c>
      <c r="CD10" s="736">
        <f t="shared" si="26"/>
        <v>0</v>
      </c>
      <c r="CE10" s="736">
        <f t="shared" si="26"/>
        <v>0</v>
      </c>
      <c r="CF10" s="736">
        <f t="shared" si="26"/>
        <v>0</v>
      </c>
      <c r="CG10" s="736">
        <f t="shared" si="26"/>
        <v>0</v>
      </c>
      <c r="CH10" s="736">
        <f t="shared" si="26"/>
        <v>0</v>
      </c>
      <c r="CI10" s="736">
        <f t="shared" si="26"/>
        <v>0</v>
      </c>
      <c r="CJ10" s="736">
        <f t="shared" si="26"/>
        <v>0</v>
      </c>
      <c r="CK10" s="736">
        <f t="shared" si="26"/>
        <v>0</v>
      </c>
      <c r="CL10" s="736">
        <f t="shared" si="26"/>
        <v>0</v>
      </c>
      <c r="CM10" s="736">
        <f t="shared" si="26"/>
        <v>0</v>
      </c>
      <c r="CN10" s="736">
        <f t="shared" si="26"/>
        <v>0</v>
      </c>
      <c r="CO10" s="736">
        <f t="shared" si="26"/>
        <v>0</v>
      </c>
      <c r="CP10" s="736">
        <f t="shared" si="26"/>
        <v>0</v>
      </c>
      <c r="CQ10" s="736">
        <f t="shared" si="26"/>
        <v>0</v>
      </c>
      <c r="CR10" s="736">
        <f t="shared" si="26"/>
        <v>0</v>
      </c>
      <c r="CS10" s="736">
        <f t="shared" si="26"/>
        <v>0</v>
      </c>
      <c r="CT10" s="736">
        <f t="shared" si="26"/>
        <v>0</v>
      </c>
      <c r="CU10" s="736">
        <f t="shared" si="26"/>
        <v>0</v>
      </c>
      <c r="CV10" s="736">
        <f t="shared" si="26"/>
        <v>0</v>
      </c>
      <c r="CW10" s="736">
        <f t="shared" si="26"/>
        <v>0</v>
      </c>
      <c r="CX10" s="736">
        <f t="shared" si="26"/>
        <v>0</v>
      </c>
      <c r="CY10" s="736">
        <f t="shared" si="26"/>
        <v>0</v>
      </c>
      <c r="CZ10" s="736">
        <f t="shared" si="26"/>
        <v>0</v>
      </c>
      <c r="DA10" s="736">
        <f t="shared" si="26"/>
        <v>0</v>
      </c>
      <c r="DB10" s="736">
        <f t="shared" si="26"/>
        <v>0</v>
      </c>
      <c r="DC10" s="736">
        <f t="shared" si="26"/>
        <v>0</v>
      </c>
      <c r="DD10" s="736">
        <f t="shared" si="26"/>
        <v>0</v>
      </c>
      <c r="DE10" s="736">
        <f t="shared" si="26"/>
        <v>0</v>
      </c>
      <c r="DF10" s="736">
        <f t="shared" si="26"/>
        <v>0</v>
      </c>
      <c r="DG10" s="736">
        <f t="shared" si="26"/>
        <v>0</v>
      </c>
      <c r="DH10" s="736">
        <f t="shared" si="26"/>
        <v>0</v>
      </c>
      <c r="DI10" s="736">
        <f t="shared" si="26"/>
        <v>0</v>
      </c>
      <c r="DJ10" s="736">
        <f t="shared" si="26"/>
        <v>0</v>
      </c>
      <c r="DK10" s="736">
        <f t="shared" si="26"/>
        <v>0</v>
      </c>
      <c r="DL10" s="736">
        <f t="shared" si="26"/>
        <v>0</v>
      </c>
      <c r="DM10" s="736">
        <f t="shared" si="26"/>
        <v>0</v>
      </c>
      <c r="DN10" s="736">
        <f t="shared" si="26"/>
        <v>0</v>
      </c>
      <c r="DO10" s="736">
        <f t="shared" si="26"/>
        <v>0</v>
      </c>
      <c r="DP10" s="736">
        <f t="shared" si="26"/>
        <v>0</v>
      </c>
      <c r="DQ10" s="736">
        <f t="shared" si="26"/>
        <v>0</v>
      </c>
      <c r="DR10" s="736">
        <f t="shared" si="26"/>
        <v>0</v>
      </c>
      <c r="DS10" s="736">
        <f t="shared" si="26"/>
        <v>0</v>
      </c>
      <c r="DT10" s="736">
        <f t="shared" si="26"/>
        <v>0</v>
      </c>
      <c r="DU10" s="736">
        <f t="shared" si="26"/>
        <v>0</v>
      </c>
      <c r="DV10" s="736">
        <f t="shared" si="26"/>
        <v>0</v>
      </c>
      <c r="DW10" s="736">
        <f t="shared" si="26"/>
        <v>0</v>
      </c>
      <c r="DX10" s="736">
        <f t="shared" si="26"/>
        <v>0</v>
      </c>
      <c r="DY10" s="736">
        <f t="shared" si="26"/>
        <v>0</v>
      </c>
      <c r="DZ10" s="736">
        <f t="shared" si="26"/>
        <v>0</v>
      </c>
      <c r="EA10" s="736">
        <f t="shared" si="26"/>
        <v>0</v>
      </c>
      <c r="EB10" s="736">
        <f t="shared" si="26"/>
        <v>0</v>
      </c>
      <c r="EC10" s="736">
        <f t="shared" si="26"/>
        <v>0</v>
      </c>
      <c r="ED10" s="736">
        <f t="shared" si="26"/>
        <v>0</v>
      </c>
      <c r="EE10" s="736">
        <f t="shared" si="26"/>
        <v>0</v>
      </c>
      <c r="EF10" s="736">
        <f t="shared" ref="EF10:GJ10" si="27">IF(EF$19&gt;=1,EF44,0)</f>
        <v>0</v>
      </c>
      <c r="EG10" s="736">
        <f t="shared" si="27"/>
        <v>0</v>
      </c>
      <c r="EH10" s="736">
        <f t="shared" si="27"/>
        <v>0</v>
      </c>
      <c r="EI10" s="736">
        <f t="shared" si="27"/>
        <v>0</v>
      </c>
      <c r="EJ10" s="736">
        <f t="shared" si="27"/>
        <v>0</v>
      </c>
      <c r="EK10" s="736">
        <f t="shared" si="27"/>
        <v>0</v>
      </c>
      <c r="EL10" s="736">
        <f t="shared" si="27"/>
        <v>0</v>
      </c>
      <c r="EM10" s="736">
        <f t="shared" si="27"/>
        <v>0</v>
      </c>
      <c r="EN10" s="736">
        <f t="shared" si="27"/>
        <v>0</v>
      </c>
      <c r="EO10" s="736">
        <f t="shared" si="27"/>
        <v>0</v>
      </c>
      <c r="EP10" s="736">
        <f t="shared" si="27"/>
        <v>0</v>
      </c>
      <c r="EQ10" s="736">
        <f t="shared" si="27"/>
        <v>0</v>
      </c>
      <c r="ER10" s="736">
        <f t="shared" si="27"/>
        <v>0</v>
      </c>
      <c r="ES10" s="736">
        <f t="shared" si="27"/>
        <v>0</v>
      </c>
      <c r="ET10" s="736">
        <f t="shared" si="27"/>
        <v>0</v>
      </c>
      <c r="EU10" s="736">
        <f t="shared" si="27"/>
        <v>0</v>
      </c>
      <c r="EV10" s="736">
        <f t="shared" si="27"/>
        <v>0</v>
      </c>
      <c r="EW10" s="736">
        <f t="shared" si="27"/>
        <v>0</v>
      </c>
      <c r="EX10" s="736">
        <f t="shared" si="27"/>
        <v>0</v>
      </c>
      <c r="EY10" s="736">
        <f t="shared" si="27"/>
        <v>0</v>
      </c>
      <c r="EZ10" s="736">
        <f t="shared" si="27"/>
        <v>0</v>
      </c>
      <c r="FA10" s="736">
        <f t="shared" si="27"/>
        <v>0</v>
      </c>
      <c r="FB10" s="736">
        <f t="shared" si="27"/>
        <v>0</v>
      </c>
      <c r="FC10" s="736">
        <f t="shared" si="27"/>
        <v>0</v>
      </c>
      <c r="FD10" s="736">
        <f t="shared" si="27"/>
        <v>0</v>
      </c>
      <c r="FE10" s="736">
        <f t="shared" si="27"/>
        <v>0</v>
      </c>
      <c r="FF10" s="736">
        <f t="shared" si="27"/>
        <v>0</v>
      </c>
      <c r="FG10" s="736">
        <f t="shared" si="27"/>
        <v>0</v>
      </c>
      <c r="FH10" s="736">
        <f t="shared" si="27"/>
        <v>0</v>
      </c>
      <c r="FI10" s="736">
        <f t="shared" si="27"/>
        <v>0</v>
      </c>
      <c r="FJ10" s="736">
        <f t="shared" si="27"/>
        <v>0</v>
      </c>
      <c r="FK10" s="736">
        <f t="shared" si="27"/>
        <v>0</v>
      </c>
      <c r="FL10" s="736">
        <f t="shared" si="27"/>
        <v>0</v>
      </c>
      <c r="FM10" s="736">
        <f t="shared" si="27"/>
        <v>0</v>
      </c>
      <c r="FN10" s="736">
        <f t="shared" si="27"/>
        <v>0</v>
      </c>
      <c r="FO10" s="736">
        <f t="shared" si="27"/>
        <v>0</v>
      </c>
      <c r="FP10" s="736">
        <f t="shared" si="27"/>
        <v>0</v>
      </c>
      <c r="FQ10" s="736">
        <f t="shared" si="27"/>
        <v>0</v>
      </c>
      <c r="FR10" s="736">
        <f t="shared" si="27"/>
        <v>0</v>
      </c>
      <c r="FS10" s="736">
        <f t="shared" si="27"/>
        <v>0</v>
      </c>
      <c r="FT10" s="736">
        <f t="shared" si="27"/>
        <v>0</v>
      </c>
      <c r="FU10" s="736">
        <f t="shared" si="27"/>
        <v>0</v>
      </c>
      <c r="FV10" s="736">
        <f t="shared" si="27"/>
        <v>0</v>
      </c>
      <c r="FW10" s="736">
        <f t="shared" si="27"/>
        <v>0</v>
      </c>
      <c r="FX10" s="736">
        <f t="shared" si="27"/>
        <v>0</v>
      </c>
      <c r="FY10" s="736">
        <f t="shared" si="27"/>
        <v>0</v>
      </c>
      <c r="FZ10" s="736">
        <f t="shared" si="27"/>
        <v>0</v>
      </c>
      <c r="GA10" s="736">
        <f t="shared" si="27"/>
        <v>0</v>
      </c>
      <c r="GB10" s="736">
        <f t="shared" si="27"/>
        <v>0</v>
      </c>
      <c r="GC10" s="736">
        <f t="shared" si="27"/>
        <v>0</v>
      </c>
      <c r="GD10" s="736">
        <f t="shared" si="27"/>
        <v>0</v>
      </c>
      <c r="GE10" s="736">
        <f t="shared" si="27"/>
        <v>0</v>
      </c>
      <c r="GF10" s="736">
        <f t="shared" si="27"/>
        <v>0</v>
      </c>
      <c r="GG10" s="736">
        <f t="shared" si="27"/>
        <v>0</v>
      </c>
      <c r="GH10" s="736">
        <f t="shared" si="27"/>
        <v>0</v>
      </c>
      <c r="GI10" s="736">
        <f t="shared" si="27"/>
        <v>0</v>
      </c>
      <c r="GJ10" s="736">
        <f t="shared" si="27"/>
        <v>0</v>
      </c>
    </row>
    <row r="11" spans="2:192" ht="9.75" customHeight="1">
      <c r="B11" s="634"/>
      <c r="C11" s="652" t="s">
        <v>1332</v>
      </c>
      <c r="D11" s="734">
        <f>基礎情報!V140</f>
        <v>0</v>
      </c>
      <c r="E11" s="1912">
        <f t="shared" si="6"/>
        <v>0</v>
      </c>
      <c r="F11" s="1913"/>
      <c r="G11" s="736">
        <f>IF(G$19&gt;=1,G47,0)</f>
        <v>0</v>
      </c>
      <c r="H11" s="736">
        <f t="shared" ref="H11:BS11" si="28">IF(H$19&gt;=1,H47,0)</f>
        <v>0</v>
      </c>
      <c r="I11" s="736">
        <f t="shared" si="28"/>
        <v>0</v>
      </c>
      <c r="J11" s="736">
        <f t="shared" si="28"/>
        <v>0</v>
      </c>
      <c r="K11" s="736">
        <f t="shared" si="28"/>
        <v>0</v>
      </c>
      <c r="L11" s="736">
        <f t="shared" si="28"/>
        <v>0</v>
      </c>
      <c r="M11" s="736">
        <f t="shared" si="28"/>
        <v>0</v>
      </c>
      <c r="N11" s="736">
        <f t="shared" si="28"/>
        <v>0</v>
      </c>
      <c r="O11" s="736">
        <f t="shared" si="28"/>
        <v>0</v>
      </c>
      <c r="P11" s="736">
        <f t="shared" si="28"/>
        <v>0</v>
      </c>
      <c r="Q11" s="736">
        <f t="shared" si="28"/>
        <v>0</v>
      </c>
      <c r="R11" s="736">
        <f t="shared" si="28"/>
        <v>0</v>
      </c>
      <c r="S11" s="736">
        <f t="shared" si="28"/>
        <v>0</v>
      </c>
      <c r="T11" s="736">
        <f t="shared" si="28"/>
        <v>0</v>
      </c>
      <c r="U11" s="736">
        <f t="shared" si="28"/>
        <v>0</v>
      </c>
      <c r="V11" s="736">
        <f t="shared" si="28"/>
        <v>0</v>
      </c>
      <c r="W11" s="736">
        <f t="shared" si="28"/>
        <v>0</v>
      </c>
      <c r="X11" s="736">
        <f t="shared" si="28"/>
        <v>0</v>
      </c>
      <c r="Y11" s="736">
        <f t="shared" si="28"/>
        <v>0</v>
      </c>
      <c r="Z11" s="736">
        <f t="shared" si="28"/>
        <v>0</v>
      </c>
      <c r="AA11" s="736">
        <f t="shared" si="28"/>
        <v>0</v>
      </c>
      <c r="AB11" s="736">
        <f t="shared" si="28"/>
        <v>0</v>
      </c>
      <c r="AC11" s="736">
        <f t="shared" si="28"/>
        <v>0</v>
      </c>
      <c r="AD11" s="736">
        <f t="shared" si="28"/>
        <v>0</v>
      </c>
      <c r="AE11" s="736">
        <f t="shared" si="28"/>
        <v>0</v>
      </c>
      <c r="AF11" s="736">
        <f t="shared" si="28"/>
        <v>0</v>
      </c>
      <c r="AG11" s="736">
        <f t="shared" si="28"/>
        <v>0</v>
      </c>
      <c r="AH11" s="736">
        <f t="shared" si="28"/>
        <v>0</v>
      </c>
      <c r="AI11" s="736">
        <f t="shared" si="28"/>
        <v>0</v>
      </c>
      <c r="AJ11" s="736">
        <f t="shared" si="28"/>
        <v>0</v>
      </c>
      <c r="AK11" s="736">
        <f t="shared" si="28"/>
        <v>0</v>
      </c>
      <c r="AL11" s="736">
        <f t="shared" si="28"/>
        <v>0</v>
      </c>
      <c r="AM11" s="736">
        <f t="shared" si="28"/>
        <v>0</v>
      </c>
      <c r="AN11" s="736">
        <f t="shared" si="28"/>
        <v>0</v>
      </c>
      <c r="AO11" s="736">
        <f t="shared" si="28"/>
        <v>0</v>
      </c>
      <c r="AP11" s="736">
        <f t="shared" si="28"/>
        <v>0</v>
      </c>
      <c r="AQ11" s="736">
        <f t="shared" si="28"/>
        <v>0</v>
      </c>
      <c r="AR11" s="736">
        <f t="shared" si="28"/>
        <v>0</v>
      </c>
      <c r="AS11" s="736">
        <f t="shared" si="28"/>
        <v>0</v>
      </c>
      <c r="AT11" s="736">
        <f t="shared" si="28"/>
        <v>0</v>
      </c>
      <c r="AU11" s="736">
        <f t="shared" si="28"/>
        <v>0</v>
      </c>
      <c r="AV11" s="736">
        <f t="shared" si="28"/>
        <v>0</v>
      </c>
      <c r="AW11" s="736">
        <f t="shared" si="28"/>
        <v>0</v>
      </c>
      <c r="AX11" s="736">
        <f t="shared" si="28"/>
        <v>0</v>
      </c>
      <c r="AY11" s="736">
        <f t="shared" si="28"/>
        <v>0</v>
      </c>
      <c r="AZ11" s="736">
        <f t="shared" si="28"/>
        <v>0</v>
      </c>
      <c r="BA11" s="736">
        <f t="shared" si="28"/>
        <v>0</v>
      </c>
      <c r="BB11" s="736">
        <f t="shared" si="28"/>
        <v>0</v>
      </c>
      <c r="BC11" s="736">
        <f t="shared" si="28"/>
        <v>0</v>
      </c>
      <c r="BD11" s="736">
        <f t="shared" si="28"/>
        <v>0</v>
      </c>
      <c r="BE11" s="736">
        <f t="shared" si="28"/>
        <v>0</v>
      </c>
      <c r="BF11" s="736">
        <f t="shared" si="28"/>
        <v>0</v>
      </c>
      <c r="BG11" s="736">
        <f t="shared" si="28"/>
        <v>0</v>
      </c>
      <c r="BH11" s="736">
        <f t="shared" si="28"/>
        <v>0</v>
      </c>
      <c r="BI11" s="736">
        <f t="shared" si="28"/>
        <v>0</v>
      </c>
      <c r="BJ11" s="736">
        <f t="shared" si="28"/>
        <v>0</v>
      </c>
      <c r="BK11" s="736">
        <f t="shared" si="28"/>
        <v>0</v>
      </c>
      <c r="BL11" s="736">
        <f t="shared" si="28"/>
        <v>0</v>
      </c>
      <c r="BM11" s="736">
        <f t="shared" si="28"/>
        <v>0</v>
      </c>
      <c r="BN11" s="736">
        <f t="shared" si="28"/>
        <v>0</v>
      </c>
      <c r="BO11" s="736">
        <f t="shared" si="28"/>
        <v>0</v>
      </c>
      <c r="BP11" s="736">
        <f t="shared" si="28"/>
        <v>0</v>
      </c>
      <c r="BQ11" s="736">
        <f t="shared" si="28"/>
        <v>0</v>
      </c>
      <c r="BR11" s="736">
        <f t="shared" si="28"/>
        <v>0</v>
      </c>
      <c r="BS11" s="736">
        <f t="shared" si="28"/>
        <v>0</v>
      </c>
      <c r="BT11" s="736">
        <f t="shared" ref="BT11:EE11" si="29">IF(BT$19&gt;=1,BT47,0)</f>
        <v>0</v>
      </c>
      <c r="BU11" s="736">
        <f t="shared" si="29"/>
        <v>0</v>
      </c>
      <c r="BV11" s="736">
        <f t="shared" si="29"/>
        <v>0</v>
      </c>
      <c r="BW11" s="736">
        <f t="shared" si="29"/>
        <v>0</v>
      </c>
      <c r="BX11" s="736">
        <f t="shared" si="29"/>
        <v>0</v>
      </c>
      <c r="BY11" s="736">
        <f t="shared" si="29"/>
        <v>0</v>
      </c>
      <c r="BZ11" s="736">
        <f t="shared" si="29"/>
        <v>0</v>
      </c>
      <c r="CA11" s="736">
        <f t="shared" si="29"/>
        <v>0</v>
      </c>
      <c r="CB11" s="736">
        <f t="shared" si="29"/>
        <v>0</v>
      </c>
      <c r="CC11" s="736">
        <f t="shared" si="29"/>
        <v>0</v>
      </c>
      <c r="CD11" s="736">
        <f t="shared" si="29"/>
        <v>0</v>
      </c>
      <c r="CE11" s="736">
        <f t="shared" si="29"/>
        <v>0</v>
      </c>
      <c r="CF11" s="736">
        <f t="shared" si="29"/>
        <v>0</v>
      </c>
      <c r="CG11" s="736">
        <f t="shared" si="29"/>
        <v>0</v>
      </c>
      <c r="CH11" s="736">
        <f t="shared" si="29"/>
        <v>0</v>
      </c>
      <c r="CI11" s="736">
        <f t="shared" si="29"/>
        <v>0</v>
      </c>
      <c r="CJ11" s="736">
        <f t="shared" si="29"/>
        <v>0</v>
      </c>
      <c r="CK11" s="736">
        <f t="shared" si="29"/>
        <v>0</v>
      </c>
      <c r="CL11" s="736">
        <f t="shared" si="29"/>
        <v>0</v>
      </c>
      <c r="CM11" s="736">
        <f t="shared" si="29"/>
        <v>0</v>
      </c>
      <c r="CN11" s="736">
        <f t="shared" si="29"/>
        <v>0</v>
      </c>
      <c r="CO11" s="736">
        <f t="shared" si="29"/>
        <v>0</v>
      </c>
      <c r="CP11" s="736">
        <f t="shared" si="29"/>
        <v>0</v>
      </c>
      <c r="CQ11" s="736">
        <f t="shared" si="29"/>
        <v>0</v>
      </c>
      <c r="CR11" s="736">
        <f t="shared" si="29"/>
        <v>0</v>
      </c>
      <c r="CS11" s="736">
        <f t="shared" si="29"/>
        <v>0</v>
      </c>
      <c r="CT11" s="736">
        <f t="shared" si="29"/>
        <v>0</v>
      </c>
      <c r="CU11" s="736">
        <f t="shared" si="29"/>
        <v>0</v>
      </c>
      <c r="CV11" s="736">
        <f t="shared" si="29"/>
        <v>0</v>
      </c>
      <c r="CW11" s="736">
        <f t="shared" si="29"/>
        <v>0</v>
      </c>
      <c r="CX11" s="736">
        <f t="shared" si="29"/>
        <v>0</v>
      </c>
      <c r="CY11" s="736">
        <f t="shared" si="29"/>
        <v>0</v>
      </c>
      <c r="CZ11" s="736">
        <f t="shared" si="29"/>
        <v>0</v>
      </c>
      <c r="DA11" s="736">
        <f t="shared" si="29"/>
        <v>0</v>
      </c>
      <c r="DB11" s="736">
        <f t="shared" si="29"/>
        <v>0</v>
      </c>
      <c r="DC11" s="736">
        <f t="shared" si="29"/>
        <v>0</v>
      </c>
      <c r="DD11" s="736">
        <f t="shared" si="29"/>
        <v>0</v>
      </c>
      <c r="DE11" s="736">
        <f t="shared" si="29"/>
        <v>0</v>
      </c>
      <c r="DF11" s="736">
        <f t="shared" si="29"/>
        <v>0</v>
      </c>
      <c r="DG11" s="736">
        <f t="shared" si="29"/>
        <v>0</v>
      </c>
      <c r="DH11" s="736">
        <f t="shared" si="29"/>
        <v>0</v>
      </c>
      <c r="DI11" s="736">
        <f t="shared" si="29"/>
        <v>0</v>
      </c>
      <c r="DJ11" s="736">
        <f t="shared" si="29"/>
        <v>0</v>
      </c>
      <c r="DK11" s="736">
        <f t="shared" si="29"/>
        <v>0</v>
      </c>
      <c r="DL11" s="736">
        <f t="shared" si="29"/>
        <v>0</v>
      </c>
      <c r="DM11" s="736">
        <f t="shared" si="29"/>
        <v>0</v>
      </c>
      <c r="DN11" s="736">
        <f t="shared" si="29"/>
        <v>0</v>
      </c>
      <c r="DO11" s="736">
        <f t="shared" si="29"/>
        <v>0</v>
      </c>
      <c r="DP11" s="736">
        <f t="shared" si="29"/>
        <v>0</v>
      </c>
      <c r="DQ11" s="736">
        <f t="shared" si="29"/>
        <v>0</v>
      </c>
      <c r="DR11" s="736">
        <f t="shared" si="29"/>
        <v>0</v>
      </c>
      <c r="DS11" s="736">
        <f t="shared" si="29"/>
        <v>0</v>
      </c>
      <c r="DT11" s="736">
        <f t="shared" si="29"/>
        <v>0</v>
      </c>
      <c r="DU11" s="736">
        <f t="shared" si="29"/>
        <v>0</v>
      </c>
      <c r="DV11" s="736">
        <f t="shared" si="29"/>
        <v>0</v>
      </c>
      <c r="DW11" s="736">
        <f t="shared" si="29"/>
        <v>0</v>
      </c>
      <c r="DX11" s="736">
        <f t="shared" si="29"/>
        <v>0</v>
      </c>
      <c r="DY11" s="736">
        <f t="shared" si="29"/>
        <v>0</v>
      </c>
      <c r="DZ11" s="736">
        <f t="shared" si="29"/>
        <v>0</v>
      </c>
      <c r="EA11" s="736">
        <f t="shared" si="29"/>
        <v>0</v>
      </c>
      <c r="EB11" s="736">
        <f t="shared" si="29"/>
        <v>0</v>
      </c>
      <c r="EC11" s="736">
        <f t="shared" si="29"/>
        <v>0</v>
      </c>
      <c r="ED11" s="736">
        <f t="shared" si="29"/>
        <v>0</v>
      </c>
      <c r="EE11" s="736">
        <f t="shared" si="29"/>
        <v>0</v>
      </c>
      <c r="EF11" s="736">
        <f t="shared" ref="EF11:GJ11" si="30">IF(EF$19&gt;=1,EF47,0)</f>
        <v>0</v>
      </c>
      <c r="EG11" s="736">
        <f t="shared" si="30"/>
        <v>0</v>
      </c>
      <c r="EH11" s="736">
        <f t="shared" si="30"/>
        <v>0</v>
      </c>
      <c r="EI11" s="736">
        <f t="shared" si="30"/>
        <v>0</v>
      </c>
      <c r="EJ11" s="736">
        <f t="shared" si="30"/>
        <v>0</v>
      </c>
      <c r="EK11" s="736">
        <f t="shared" si="30"/>
        <v>0</v>
      </c>
      <c r="EL11" s="736">
        <f t="shared" si="30"/>
        <v>0</v>
      </c>
      <c r="EM11" s="736">
        <f t="shared" si="30"/>
        <v>0</v>
      </c>
      <c r="EN11" s="736">
        <f t="shared" si="30"/>
        <v>0</v>
      </c>
      <c r="EO11" s="736">
        <f t="shared" si="30"/>
        <v>0</v>
      </c>
      <c r="EP11" s="736">
        <f t="shared" si="30"/>
        <v>0</v>
      </c>
      <c r="EQ11" s="736">
        <f t="shared" si="30"/>
        <v>0</v>
      </c>
      <c r="ER11" s="736">
        <f t="shared" si="30"/>
        <v>0</v>
      </c>
      <c r="ES11" s="736">
        <f t="shared" si="30"/>
        <v>0</v>
      </c>
      <c r="ET11" s="736">
        <f t="shared" si="30"/>
        <v>0</v>
      </c>
      <c r="EU11" s="736">
        <f t="shared" si="30"/>
        <v>0</v>
      </c>
      <c r="EV11" s="736">
        <f t="shared" si="30"/>
        <v>0</v>
      </c>
      <c r="EW11" s="736">
        <f t="shared" si="30"/>
        <v>0</v>
      </c>
      <c r="EX11" s="736">
        <f t="shared" si="30"/>
        <v>0</v>
      </c>
      <c r="EY11" s="736">
        <f t="shared" si="30"/>
        <v>0</v>
      </c>
      <c r="EZ11" s="736">
        <f t="shared" si="30"/>
        <v>0</v>
      </c>
      <c r="FA11" s="736">
        <f t="shared" si="30"/>
        <v>0</v>
      </c>
      <c r="FB11" s="736">
        <f t="shared" si="30"/>
        <v>0</v>
      </c>
      <c r="FC11" s="736">
        <f t="shared" si="30"/>
        <v>0</v>
      </c>
      <c r="FD11" s="736">
        <f t="shared" si="30"/>
        <v>0</v>
      </c>
      <c r="FE11" s="736">
        <f t="shared" si="30"/>
        <v>0</v>
      </c>
      <c r="FF11" s="736">
        <f t="shared" si="30"/>
        <v>0</v>
      </c>
      <c r="FG11" s="736">
        <f t="shared" si="30"/>
        <v>0</v>
      </c>
      <c r="FH11" s="736">
        <f t="shared" si="30"/>
        <v>0</v>
      </c>
      <c r="FI11" s="736">
        <f t="shared" si="30"/>
        <v>0</v>
      </c>
      <c r="FJ11" s="736">
        <f t="shared" si="30"/>
        <v>0</v>
      </c>
      <c r="FK11" s="736">
        <f t="shared" si="30"/>
        <v>0</v>
      </c>
      <c r="FL11" s="736">
        <f t="shared" si="30"/>
        <v>0</v>
      </c>
      <c r="FM11" s="736">
        <f t="shared" si="30"/>
        <v>0</v>
      </c>
      <c r="FN11" s="736">
        <f t="shared" si="30"/>
        <v>0</v>
      </c>
      <c r="FO11" s="736">
        <f t="shared" si="30"/>
        <v>0</v>
      </c>
      <c r="FP11" s="736">
        <f t="shared" si="30"/>
        <v>0</v>
      </c>
      <c r="FQ11" s="736">
        <f t="shared" si="30"/>
        <v>0</v>
      </c>
      <c r="FR11" s="736">
        <f t="shared" si="30"/>
        <v>0</v>
      </c>
      <c r="FS11" s="736">
        <f t="shared" si="30"/>
        <v>0</v>
      </c>
      <c r="FT11" s="736">
        <f t="shared" si="30"/>
        <v>0</v>
      </c>
      <c r="FU11" s="736">
        <f t="shared" si="30"/>
        <v>0</v>
      </c>
      <c r="FV11" s="736">
        <f t="shared" si="30"/>
        <v>0</v>
      </c>
      <c r="FW11" s="736">
        <f t="shared" si="30"/>
        <v>0</v>
      </c>
      <c r="FX11" s="736">
        <f t="shared" si="30"/>
        <v>0</v>
      </c>
      <c r="FY11" s="736">
        <f t="shared" si="30"/>
        <v>0</v>
      </c>
      <c r="FZ11" s="736">
        <f t="shared" si="30"/>
        <v>0</v>
      </c>
      <c r="GA11" s="736">
        <f t="shared" si="30"/>
        <v>0</v>
      </c>
      <c r="GB11" s="736">
        <f t="shared" si="30"/>
        <v>0</v>
      </c>
      <c r="GC11" s="736">
        <f t="shared" si="30"/>
        <v>0</v>
      </c>
      <c r="GD11" s="736">
        <f t="shared" si="30"/>
        <v>0</v>
      </c>
      <c r="GE11" s="736">
        <f t="shared" si="30"/>
        <v>0</v>
      </c>
      <c r="GF11" s="736">
        <f t="shared" si="30"/>
        <v>0</v>
      </c>
      <c r="GG11" s="736">
        <f t="shared" si="30"/>
        <v>0</v>
      </c>
      <c r="GH11" s="736">
        <f t="shared" si="30"/>
        <v>0</v>
      </c>
      <c r="GI11" s="736">
        <f t="shared" si="30"/>
        <v>0</v>
      </c>
      <c r="GJ11" s="736">
        <f t="shared" si="30"/>
        <v>0</v>
      </c>
    </row>
    <row r="12" spans="2:192" ht="9.75" customHeight="1">
      <c r="B12" s="634"/>
      <c r="C12" s="652" t="s">
        <v>1266</v>
      </c>
      <c r="D12" s="734">
        <f>基礎情報!V143</f>
        <v>0</v>
      </c>
      <c r="E12" s="1912">
        <f t="shared" si="6"/>
        <v>0</v>
      </c>
      <c r="F12" s="1913"/>
      <c r="G12" s="736">
        <f>IF(G$19&gt;=1,G50,0)</f>
        <v>0</v>
      </c>
      <c r="H12" s="736">
        <f t="shared" ref="H12:BS12" si="31">IF(H$19&gt;=1,H50,0)</f>
        <v>0</v>
      </c>
      <c r="I12" s="736">
        <f t="shared" si="31"/>
        <v>0</v>
      </c>
      <c r="J12" s="736">
        <f t="shared" si="31"/>
        <v>0</v>
      </c>
      <c r="K12" s="736">
        <f t="shared" si="31"/>
        <v>0</v>
      </c>
      <c r="L12" s="736">
        <f t="shared" si="31"/>
        <v>0</v>
      </c>
      <c r="M12" s="736">
        <f t="shared" si="31"/>
        <v>0</v>
      </c>
      <c r="N12" s="736">
        <f t="shared" si="31"/>
        <v>0</v>
      </c>
      <c r="O12" s="736">
        <f t="shared" si="31"/>
        <v>0</v>
      </c>
      <c r="P12" s="736">
        <f t="shared" si="31"/>
        <v>0</v>
      </c>
      <c r="Q12" s="736">
        <f t="shared" si="31"/>
        <v>0</v>
      </c>
      <c r="R12" s="736">
        <f t="shared" si="31"/>
        <v>0</v>
      </c>
      <c r="S12" s="736">
        <f t="shared" si="31"/>
        <v>0</v>
      </c>
      <c r="T12" s="736">
        <f t="shared" si="31"/>
        <v>0</v>
      </c>
      <c r="U12" s="736">
        <f t="shared" si="31"/>
        <v>0</v>
      </c>
      <c r="V12" s="736">
        <f t="shared" si="31"/>
        <v>0</v>
      </c>
      <c r="W12" s="736">
        <f t="shared" si="31"/>
        <v>0</v>
      </c>
      <c r="X12" s="736">
        <f t="shared" si="31"/>
        <v>0</v>
      </c>
      <c r="Y12" s="736">
        <f t="shared" si="31"/>
        <v>0</v>
      </c>
      <c r="Z12" s="736">
        <f t="shared" si="31"/>
        <v>0</v>
      </c>
      <c r="AA12" s="736">
        <f t="shared" si="31"/>
        <v>0</v>
      </c>
      <c r="AB12" s="736">
        <f t="shared" si="31"/>
        <v>0</v>
      </c>
      <c r="AC12" s="736">
        <f t="shared" si="31"/>
        <v>0</v>
      </c>
      <c r="AD12" s="736">
        <f t="shared" si="31"/>
        <v>0</v>
      </c>
      <c r="AE12" s="736">
        <f t="shared" si="31"/>
        <v>0</v>
      </c>
      <c r="AF12" s="736">
        <f t="shared" si="31"/>
        <v>0</v>
      </c>
      <c r="AG12" s="736">
        <f t="shared" si="31"/>
        <v>0</v>
      </c>
      <c r="AH12" s="736">
        <f t="shared" si="31"/>
        <v>0</v>
      </c>
      <c r="AI12" s="736">
        <f t="shared" si="31"/>
        <v>0</v>
      </c>
      <c r="AJ12" s="736">
        <f t="shared" si="31"/>
        <v>0</v>
      </c>
      <c r="AK12" s="736">
        <f t="shared" si="31"/>
        <v>0</v>
      </c>
      <c r="AL12" s="736">
        <f t="shared" si="31"/>
        <v>0</v>
      </c>
      <c r="AM12" s="736">
        <f t="shared" si="31"/>
        <v>0</v>
      </c>
      <c r="AN12" s="736">
        <f t="shared" si="31"/>
        <v>0</v>
      </c>
      <c r="AO12" s="736">
        <f t="shared" si="31"/>
        <v>0</v>
      </c>
      <c r="AP12" s="736">
        <f t="shared" si="31"/>
        <v>0</v>
      </c>
      <c r="AQ12" s="736">
        <f t="shared" si="31"/>
        <v>0</v>
      </c>
      <c r="AR12" s="736">
        <f t="shared" si="31"/>
        <v>0</v>
      </c>
      <c r="AS12" s="736">
        <f t="shared" si="31"/>
        <v>0</v>
      </c>
      <c r="AT12" s="736">
        <f t="shared" si="31"/>
        <v>0</v>
      </c>
      <c r="AU12" s="736">
        <f t="shared" si="31"/>
        <v>0</v>
      </c>
      <c r="AV12" s="736">
        <f t="shared" si="31"/>
        <v>0</v>
      </c>
      <c r="AW12" s="736">
        <f t="shared" si="31"/>
        <v>0</v>
      </c>
      <c r="AX12" s="736">
        <f t="shared" si="31"/>
        <v>0</v>
      </c>
      <c r="AY12" s="736">
        <f t="shared" si="31"/>
        <v>0</v>
      </c>
      <c r="AZ12" s="736">
        <f t="shared" si="31"/>
        <v>0</v>
      </c>
      <c r="BA12" s="736">
        <f t="shared" si="31"/>
        <v>0</v>
      </c>
      <c r="BB12" s="736">
        <f t="shared" si="31"/>
        <v>0</v>
      </c>
      <c r="BC12" s="736">
        <f t="shared" si="31"/>
        <v>0</v>
      </c>
      <c r="BD12" s="736">
        <f t="shared" si="31"/>
        <v>0</v>
      </c>
      <c r="BE12" s="736">
        <f t="shared" si="31"/>
        <v>0</v>
      </c>
      <c r="BF12" s="736">
        <f t="shared" si="31"/>
        <v>0</v>
      </c>
      <c r="BG12" s="736">
        <f t="shared" si="31"/>
        <v>0</v>
      </c>
      <c r="BH12" s="736">
        <f t="shared" si="31"/>
        <v>0</v>
      </c>
      <c r="BI12" s="736">
        <f t="shared" si="31"/>
        <v>0</v>
      </c>
      <c r="BJ12" s="736">
        <f t="shared" si="31"/>
        <v>0</v>
      </c>
      <c r="BK12" s="736">
        <f t="shared" si="31"/>
        <v>0</v>
      </c>
      <c r="BL12" s="736">
        <f t="shared" si="31"/>
        <v>0</v>
      </c>
      <c r="BM12" s="736">
        <f t="shared" si="31"/>
        <v>0</v>
      </c>
      <c r="BN12" s="736">
        <f t="shared" si="31"/>
        <v>0</v>
      </c>
      <c r="BO12" s="736">
        <f t="shared" si="31"/>
        <v>0</v>
      </c>
      <c r="BP12" s="736">
        <f t="shared" si="31"/>
        <v>0</v>
      </c>
      <c r="BQ12" s="736">
        <f t="shared" si="31"/>
        <v>0</v>
      </c>
      <c r="BR12" s="736">
        <f t="shared" si="31"/>
        <v>0</v>
      </c>
      <c r="BS12" s="736">
        <f t="shared" si="31"/>
        <v>0</v>
      </c>
      <c r="BT12" s="736">
        <f t="shared" ref="BT12:EE12" si="32">IF(BT$19&gt;=1,BT50,0)</f>
        <v>0</v>
      </c>
      <c r="BU12" s="736">
        <f t="shared" si="32"/>
        <v>0</v>
      </c>
      <c r="BV12" s="736">
        <f t="shared" si="32"/>
        <v>0</v>
      </c>
      <c r="BW12" s="736">
        <f t="shared" si="32"/>
        <v>0</v>
      </c>
      <c r="BX12" s="736">
        <f t="shared" si="32"/>
        <v>0</v>
      </c>
      <c r="BY12" s="736">
        <f t="shared" si="32"/>
        <v>0</v>
      </c>
      <c r="BZ12" s="736">
        <f t="shared" si="32"/>
        <v>0</v>
      </c>
      <c r="CA12" s="736">
        <f t="shared" si="32"/>
        <v>0</v>
      </c>
      <c r="CB12" s="736">
        <f t="shared" si="32"/>
        <v>0</v>
      </c>
      <c r="CC12" s="736">
        <f t="shared" si="32"/>
        <v>0</v>
      </c>
      <c r="CD12" s="736">
        <f t="shared" si="32"/>
        <v>0</v>
      </c>
      <c r="CE12" s="736">
        <f t="shared" si="32"/>
        <v>0</v>
      </c>
      <c r="CF12" s="736">
        <f t="shared" si="32"/>
        <v>0</v>
      </c>
      <c r="CG12" s="736">
        <f t="shared" si="32"/>
        <v>0</v>
      </c>
      <c r="CH12" s="736">
        <f t="shared" si="32"/>
        <v>0</v>
      </c>
      <c r="CI12" s="736">
        <f t="shared" si="32"/>
        <v>0</v>
      </c>
      <c r="CJ12" s="736">
        <f t="shared" si="32"/>
        <v>0</v>
      </c>
      <c r="CK12" s="736">
        <f t="shared" si="32"/>
        <v>0</v>
      </c>
      <c r="CL12" s="736">
        <f t="shared" si="32"/>
        <v>0</v>
      </c>
      <c r="CM12" s="736">
        <f t="shared" si="32"/>
        <v>0</v>
      </c>
      <c r="CN12" s="736">
        <f t="shared" si="32"/>
        <v>0</v>
      </c>
      <c r="CO12" s="736">
        <f t="shared" si="32"/>
        <v>0</v>
      </c>
      <c r="CP12" s="736">
        <f t="shared" si="32"/>
        <v>0</v>
      </c>
      <c r="CQ12" s="736">
        <f t="shared" si="32"/>
        <v>0</v>
      </c>
      <c r="CR12" s="736">
        <f t="shared" si="32"/>
        <v>0</v>
      </c>
      <c r="CS12" s="736">
        <f t="shared" si="32"/>
        <v>0</v>
      </c>
      <c r="CT12" s="736">
        <f t="shared" si="32"/>
        <v>0</v>
      </c>
      <c r="CU12" s="736">
        <f t="shared" si="32"/>
        <v>0</v>
      </c>
      <c r="CV12" s="736">
        <f t="shared" si="32"/>
        <v>0</v>
      </c>
      <c r="CW12" s="736">
        <f t="shared" si="32"/>
        <v>0</v>
      </c>
      <c r="CX12" s="736">
        <f t="shared" si="32"/>
        <v>0</v>
      </c>
      <c r="CY12" s="736">
        <f t="shared" si="32"/>
        <v>0</v>
      </c>
      <c r="CZ12" s="736">
        <f t="shared" si="32"/>
        <v>0</v>
      </c>
      <c r="DA12" s="736">
        <f t="shared" si="32"/>
        <v>0</v>
      </c>
      <c r="DB12" s="736">
        <f t="shared" si="32"/>
        <v>0</v>
      </c>
      <c r="DC12" s="736">
        <f t="shared" si="32"/>
        <v>0</v>
      </c>
      <c r="DD12" s="736">
        <f t="shared" si="32"/>
        <v>0</v>
      </c>
      <c r="DE12" s="736">
        <f t="shared" si="32"/>
        <v>0</v>
      </c>
      <c r="DF12" s="736">
        <f t="shared" si="32"/>
        <v>0</v>
      </c>
      <c r="DG12" s="736">
        <f t="shared" si="32"/>
        <v>0</v>
      </c>
      <c r="DH12" s="736">
        <f t="shared" si="32"/>
        <v>0</v>
      </c>
      <c r="DI12" s="736">
        <f t="shared" si="32"/>
        <v>0</v>
      </c>
      <c r="DJ12" s="736">
        <f t="shared" si="32"/>
        <v>0</v>
      </c>
      <c r="DK12" s="736">
        <f t="shared" si="32"/>
        <v>0</v>
      </c>
      <c r="DL12" s="736">
        <f t="shared" si="32"/>
        <v>0</v>
      </c>
      <c r="DM12" s="736">
        <f t="shared" si="32"/>
        <v>0</v>
      </c>
      <c r="DN12" s="736">
        <f t="shared" si="32"/>
        <v>0</v>
      </c>
      <c r="DO12" s="736">
        <f t="shared" si="32"/>
        <v>0</v>
      </c>
      <c r="DP12" s="736">
        <f t="shared" si="32"/>
        <v>0</v>
      </c>
      <c r="DQ12" s="736">
        <f t="shared" si="32"/>
        <v>0</v>
      </c>
      <c r="DR12" s="736">
        <f t="shared" si="32"/>
        <v>0</v>
      </c>
      <c r="DS12" s="736">
        <f t="shared" si="32"/>
        <v>0</v>
      </c>
      <c r="DT12" s="736">
        <f t="shared" si="32"/>
        <v>0</v>
      </c>
      <c r="DU12" s="736">
        <f t="shared" si="32"/>
        <v>0</v>
      </c>
      <c r="DV12" s="736">
        <f t="shared" si="32"/>
        <v>0</v>
      </c>
      <c r="DW12" s="736">
        <f t="shared" si="32"/>
        <v>0</v>
      </c>
      <c r="DX12" s="736">
        <f t="shared" si="32"/>
        <v>0</v>
      </c>
      <c r="DY12" s="736">
        <f t="shared" si="32"/>
        <v>0</v>
      </c>
      <c r="DZ12" s="736">
        <f t="shared" si="32"/>
        <v>0</v>
      </c>
      <c r="EA12" s="736">
        <f t="shared" si="32"/>
        <v>0</v>
      </c>
      <c r="EB12" s="736">
        <f t="shared" si="32"/>
        <v>0</v>
      </c>
      <c r="EC12" s="736">
        <f t="shared" si="32"/>
        <v>0</v>
      </c>
      <c r="ED12" s="736">
        <f t="shared" si="32"/>
        <v>0</v>
      </c>
      <c r="EE12" s="736">
        <f t="shared" si="32"/>
        <v>0</v>
      </c>
      <c r="EF12" s="736">
        <f t="shared" ref="EF12:GJ12" si="33">IF(EF$19&gt;=1,EF50,0)</f>
        <v>0</v>
      </c>
      <c r="EG12" s="736">
        <f t="shared" si="33"/>
        <v>0</v>
      </c>
      <c r="EH12" s="736">
        <f t="shared" si="33"/>
        <v>0</v>
      </c>
      <c r="EI12" s="736">
        <f t="shared" si="33"/>
        <v>0</v>
      </c>
      <c r="EJ12" s="736">
        <f t="shared" si="33"/>
        <v>0</v>
      </c>
      <c r="EK12" s="736">
        <f t="shared" si="33"/>
        <v>0</v>
      </c>
      <c r="EL12" s="736">
        <f t="shared" si="33"/>
        <v>0</v>
      </c>
      <c r="EM12" s="736">
        <f t="shared" si="33"/>
        <v>0</v>
      </c>
      <c r="EN12" s="736">
        <f t="shared" si="33"/>
        <v>0</v>
      </c>
      <c r="EO12" s="736">
        <f t="shared" si="33"/>
        <v>0</v>
      </c>
      <c r="EP12" s="736">
        <f t="shared" si="33"/>
        <v>0</v>
      </c>
      <c r="EQ12" s="736">
        <f t="shared" si="33"/>
        <v>0</v>
      </c>
      <c r="ER12" s="736">
        <f t="shared" si="33"/>
        <v>0</v>
      </c>
      <c r="ES12" s="736">
        <f t="shared" si="33"/>
        <v>0</v>
      </c>
      <c r="ET12" s="736">
        <f t="shared" si="33"/>
        <v>0</v>
      </c>
      <c r="EU12" s="736">
        <f t="shared" si="33"/>
        <v>0</v>
      </c>
      <c r="EV12" s="736">
        <f t="shared" si="33"/>
        <v>0</v>
      </c>
      <c r="EW12" s="736">
        <f t="shared" si="33"/>
        <v>0</v>
      </c>
      <c r="EX12" s="736">
        <f t="shared" si="33"/>
        <v>0</v>
      </c>
      <c r="EY12" s="736">
        <f t="shared" si="33"/>
        <v>0</v>
      </c>
      <c r="EZ12" s="736">
        <f t="shared" si="33"/>
        <v>0</v>
      </c>
      <c r="FA12" s="736">
        <f t="shared" si="33"/>
        <v>0</v>
      </c>
      <c r="FB12" s="736">
        <f t="shared" si="33"/>
        <v>0</v>
      </c>
      <c r="FC12" s="736">
        <f t="shared" si="33"/>
        <v>0</v>
      </c>
      <c r="FD12" s="736">
        <f t="shared" si="33"/>
        <v>0</v>
      </c>
      <c r="FE12" s="736">
        <f t="shared" si="33"/>
        <v>0</v>
      </c>
      <c r="FF12" s="736">
        <f t="shared" si="33"/>
        <v>0</v>
      </c>
      <c r="FG12" s="736">
        <f t="shared" si="33"/>
        <v>0</v>
      </c>
      <c r="FH12" s="736">
        <f t="shared" si="33"/>
        <v>0</v>
      </c>
      <c r="FI12" s="736">
        <f t="shared" si="33"/>
        <v>0</v>
      </c>
      <c r="FJ12" s="736">
        <f t="shared" si="33"/>
        <v>0</v>
      </c>
      <c r="FK12" s="736">
        <f t="shared" si="33"/>
        <v>0</v>
      </c>
      <c r="FL12" s="736">
        <f t="shared" si="33"/>
        <v>0</v>
      </c>
      <c r="FM12" s="736">
        <f t="shared" si="33"/>
        <v>0</v>
      </c>
      <c r="FN12" s="736">
        <f t="shared" si="33"/>
        <v>0</v>
      </c>
      <c r="FO12" s="736">
        <f t="shared" si="33"/>
        <v>0</v>
      </c>
      <c r="FP12" s="736">
        <f t="shared" si="33"/>
        <v>0</v>
      </c>
      <c r="FQ12" s="736">
        <f t="shared" si="33"/>
        <v>0</v>
      </c>
      <c r="FR12" s="736">
        <f t="shared" si="33"/>
        <v>0</v>
      </c>
      <c r="FS12" s="736">
        <f t="shared" si="33"/>
        <v>0</v>
      </c>
      <c r="FT12" s="736">
        <f t="shared" si="33"/>
        <v>0</v>
      </c>
      <c r="FU12" s="736">
        <f t="shared" si="33"/>
        <v>0</v>
      </c>
      <c r="FV12" s="736">
        <f t="shared" si="33"/>
        <v>0</v>
      </c>
      <c r="FW12" s="736">
        <f t="shared" si="33"/>
        <v>0</v>
      </c>
      <c r="FX12" s="736">
        <f t="shared" si="33"/>
        <v>0</v>
      </c>
      <c r="FY12" s="736">
        <f t="shared" si="33"/>
        <v>0</v>
      </c>
      <c r="FZ12" s="736">
        <f t="shared" si="33"/>
        <v>0</v>
      </c>
      <c r="GA12" s="736">
        <f t="shared" si="33"/>
        <v>0</v>
      </c>
      <c r="GB12" s="736">
        <f t="shared" si="33"/>
        <v>0</v>
      </c>
      <c r="GC12" s="736">
        <f t="shared" si="33"/>
        <v>0</v>
      </c>
      <c r="GD12" s="736">
        <f t="shared" si="33"/>
        <v>0</v>
      </c>
      <c r="GE12" s="736">
        <f t="shared" si="33"/>
        <v>0</v>
      </c>
      <c r="GF12" s="736">
        <f t="shared" si="33"/>
        <v>0</v>
      </c>
      <c r="GG12" s="736">
        <f t="shared" si="33"/>
        <v>0</v>
      </c>
      <c r="GH12" s="736">
        <f t="shared" si="33"/>
        <v>0</v>
      </c>
      <c r="GI12" s="736">
        <f t="shared" si="33"/>
        <v>0</v>
      </c>
      <c r="GJ12" s="736">
        <f t="shared" si="33"/>
        <v>0</v>
      </c>
    </row>
    <row r="13" spans="2:192" ht="9.75" customHeight="1">
      <c r="B13" s="634"/>
      <c r="C13" s="652" t="s">
        <v>1267</v>
      </c>
      <c r="D13" s="734">
        <f>基礎情報!V146</f>
        <v>0</v>
      </c>
      <c r="E13" s="1912">
        <f t="shared" si="6"/>
        <v>0</v>
      </c>
      <c r="F13" s="1913"/>
      <c r="G13" s="736">
        <f>IF(G$19&gt;=1,G53,0)</f>
        <v>0</v>
      </c>
      <c r="H13" s="736">
        <f t="shared" ref="H13:BS13" si="34">IF(H$19&gt;=1,H53,0)</f>
        <v>0</v>
      </c>
      <c r="I13" s="736">
        <f t="shared" si="34"/>
        <v>0</v>
      </c>
      <c r="J13" s="736">
        <f t="shared" si="34"/>
        <v>0</v>
      </c>
      <c r="K13" s="736">
        <f t="shared" si="34"/>
        <v>0</v>
      </c>
      <c r="L13" s="736">
        <f t="shared" si="34"/>
        <v>0</v>
      </c>
      <c r="M13" s="736">
        <f t="shared" si="34"/>
        <v>0</v>
      </c>
      <c r="N13" s="736">
        <f t="shared" si="34"/>
        <v>0</v>
      </c>
      <c r="O13" s="736">
        <f t="shared" si="34"/>
        <v>0</v>
      </c>
      <c r="P13" s="736">
        <f t="shared" si="34"/>
        <v>0</v>
      </c>
      <c r="Q13" s="736">
        <f t="shared" si="34"/>
        <v>0</v>
      </c>
      <c r="R13" s="736">
        <f t="shared" si="34"/>
        <v>0</v>
      </c>
      <c r="S13" s="736">
        <f t="shared" si="34"/>
        <v>0</v>
      </c>
      <c r="T13" s="736">
        <f t="shared" si="34"/>
        <v>0</v>
      </c>
      <c r="U13" s="736">
        <f t="shared" si="34"/>
        <v>0</v>
      </c>
      <c r="V13" s="736">
        <f t="shared" si="34"/>
        <v>0</v>
      </c>
      <c r="W13" s="736">
        <f t="shared" si="34"/>
        <v>0</v>
      </c>
      <c r="X13" s="736">
        <f t="shared" si="34"/>
        <v>0</v>
      </c>
      <c r="Y13" s="736">
        <f t="shared" si="34"/>
        <v>0</v>
      </c>
      <c r="Z13" s="736">
        <f t="shared" si="34"/>
        <v>0</v>
      </c>
      <c r="AA13" s="736">
        <f t="shared" si="34"/>
        <v>0</v>
      </c>
      <c r="AB13" s="736">
        <f t="shared" si="34"/>
        <v>0</v>
      </c>
      <c r="AC13" s="736">
        <f t="shared" si="34"/>
        <v>0</v>
      </c>
      <c r="AD13" s="736">
        <f t="shared" si="34"/>
        <v>0</v>
      </c>
      <c r="AE13" s="736">
        <f t="shared" si="34"/>
        <v>0</v>
      </c>
      <c r="AF13" s="736">
        <f t="shared" si="34"/>
        <v>0</v>
      </c>
      <c r="AG13" s="736">
        <f t="shared" si="34"/>
        <v>0</v>
      </c>
      <c r="AH13" s="736">
        <f t="shared" si="34"/>
        <v>0</v>
      </c>
      <c r="AI13" s="736">
        <f t="shared" si="34"/>
        <v>0</v>
      </c>
      <c r="AJ13" s="736">
        <f t="shared" si="34"/>
        <v>0</v>
      </c>
      <c r="AK13" s="736">
        <f t="shared" si="34"/>
        <v>0</v>
      </c>
      <c r="AL13" s="736">
        <f t="shared" si="34"/>
        <v>0</v>
      </c>
      <c r="AM13" s="736">
        <f t="shared" si="34"/>
        <v>0</v>
      </c>
      <c r="AN13" s="736">
        <f t="shared" si="34"/>
        <v>0</v>
      </c>
      <c r="AO13" s="736">
        <f t="shared" si="34"/>
        <v>0</v>
      </c>
      <c r="AP13" s="736">
        <f t="shared" si="34"/>
        <v>0</v>
      </c>
      <c r="AQ13" s="736">
        <f t="shared" si="34"/>
        <v>0</v>
      </c>
      <c r="AR13" s="736">
        <f t="shared" si="34"/>
        <v>0</v>
      </c>
      <c r="AS13" s="736">
        <f t="shared" si="34"/>
        <v>0</v>
      </c>
      <c r="AT13" s="736">
        <f t="shared" si="34"/>
        <v>0</v>
      </c>
      <c r="AU13" s="736">
        <f t="shared" si="34"/>
        <v>0</v>
      </c>
      <c r="AV13" s="736">
        <f t="shared" si="34"/>
        <v>0</v>
      </c>
      <c r="AW13" s="736">
        <f t="shared" si="34"/>
        <v>0</v>
      </c>
      <c r="AX13" s="736">
        <f t="shared" si="34"/>
        <v>0</v>
      </c>
      <c r="AY13" s="736">
        <f t="shared" si="34"/>
        <v>0</v>
      </c>
      <c r="AZ13" s="736">
        <f t="shared" si="34"/>
        <v>0</v>
      </c>
      <c r="BA13" s="736">
        <f t="shared" si="34"/>
        <v>0</v>
      </c>
      <c r="BB13" s="736">
        <f t="shared" si="34"/>
        <v>0</v>
      </c>
      <c r="BC13" s="736">
        <f t="shared" si="34"/>
        <v>0</v>
      </c>
      <c r="BD13" s="736">
        <f t="shared" si="34"/>
        <v>0</v>
      </c>
      <c r="BE13" s="736">
        <f t="shared" si="34"/>
        <v>0</v>
      </c>
      <c r="BF13" s="736">
        <f t="shared" si="34"/>
        <v>0</v>
      </c>
      <c r="BG13" s="736">
        <f t="shared" si="34"/>
        <v>0</v>
      </c>
      <c r="BH13" s="736">
        <f t="shared" si="34"/>
        <v>0</v>
      </c>
      <c r="BI13" s="736">
        <f t="shared" si="34"/>
        <v>0</v>
      </c>
      <c r="BJ13" s="736">
        <f t="shared" si="34"/>
        <v>0</v>
      </c>
      <c r="BK13" s="736">
        <f t="shared" si="34"/>
        <v>0</v>
      </c>
      <c r="BL13" s="736">
        <f t="shared" si="34"/>
        <v>0</v>
      </c>
      <c r="BM13" s="736">
        <f t="shared" si="34"/>
        <v>0</v>
      </c>
      <c r="BN13" s="736">
        <f t="shared" si="34"/>
        <v>0</v>
      </c>
      <c r="BO13" s="736">
        <f t="shared" si="34"/>
        <v>0</v>
      </c>
      <c r="BP13" s="736">
        <f t="shared" si="34"/>
        <v>0</v>
      </c>
      <c r="BQ13" s="736">
        <f t="shared" si="34"/>
        <v>0</v>
      </c>
      <c r="BR13" s="736">
        <f t="shared" si="34"/>
        <v>0</v>
      </c>
      <c r="BS13" s="736">
        <f t="shared" si="34"/>
        <v>0</v>
      </c>
      <c r="BT13" s="736">
        <f t="shared" ref="BT13:EE13" si="35">IF(BT$19&gt;=1,BT53,0)</f>
        <v>0</v>
      </c>
      <c r="BU13" s="736">
        <f t="shared" si="35"/>
        <v>0</v>
      </c>
      <c r="BV13" s="736">
        <f t="shared" si="35"/>
        <v>0</v>
      </c>
      <c r="BW13" s="736">
        <f t="shared" si="35"/>
        <v>0</v>
      </c>
      <c r="BX13" s="736">
        <f t="shared" si="35"/>
        <v>0</v>
      </c>
      <c r="BY13" s="736">
        <f t="shared" si="35"/>
        <v>0</v>
      </c>
      <c r="BZ13" s="736">
        <f t="shared" si="35"/>
        <v>0</v>
      </c>
      <c r="CA13" s="736">
        <f t="shared" si="35"/>
        <v>0</v>
      </c>
      <c r="CB13" s="736">
        <f t="shared" si="35"/>
        <v>0</v>
      </c>
      <c r="CC13" s="736">
        <f t="shared" si="35"/>
        <v>0</v>
      </c>
      <c r="CD13" s="736">
        <f t="shared" si="35"/>
        <v>0</v>
      </c>
      <c r="CE13" s="736">
        <f t="shared" si="35"/>
        <v>0</v>
      </c>
      <c r="CF13" s="736">
        <f t="shared" si="35"/>
        <v>0</v>
      </c>
      <c r="CG13" s="736">
        <f t="shared" si="35"/>
        <v>0</v>
      </c>
      <c r="CH13" s="736">
        <f t="shared" si="35"/>
        <v>0</v>
      </c>
      <c r="CI13" s="736">
        <f t="shared" si="35"/>
        <v>0</v>
      </c>
      <c r="CJ13" s="736">
        <f t="shared" si="35"/>
        <v>0</v>
      </c>
      <c r="CK13" s="736">
        <f t="shared" si="35"/>
        <v>0</v>
      </c>
      <c r="CL13" s="736">
        <f t="shared" si="35"/>
        <v>0</v>
      </c>
      <c r="CM13" s="736">
        <f t="shared" si="35"/>
        <v>0</v>
      </c>
      <c r="CN13" s="736">
        <f t="shared" si="35"/>
        <v>0</v>
      </c>
      <c r="CO13" s="736">
        <f t="shared" si="35"/>
        <v>0</v>
      </c>
      <c r="CP13" s="736">
        <f t="shared" si="35"/>
        <v>0</v>
      </c>
      <c r="CQ13" s="736">
        <f t="shared" si="35"/>
        <v>0</v>
      </c>
      <c r="CR13" s="736">
        <f t="shared" si="35"/>
        <v>0</v>
      </c>
      <c r="CS13" s="736">
        <f t="shared" si="35"/>
        <v>0</v>
      </c>
      <c r="CT13" s="736">
        <f t="shared" si="35"/>
        <v>0</v>
      </c>
      <c r="CU13" s="736">
        <f t="shared" si="35"/>
        <v>0</v>
      </c>
      <c r="CV13" s="736">
        <f t="shared" si="35"/>
        <v>0</v>
      </c>
      <c r="CW13" s="736">
        <f t="shared" si="35"/>
        <v>0</v>
      </c>
      <c r="CX13" s="736">
        <f t="shared" si="35"/>
        <v>0</v>
      </c>
      <c r="CY13" s="736">
        <f t="shared" si="35"/>
        <v>0</v>
      </c>
      <c r="CZ13" s="736">
        <f t="shared" si="35"/>
        <v>0</v>
      </c>
      <c r="DA13" s="736">
        <f t="shared" si="35"/>
        <v>0</v>
      </c>
      <c r="DB13" s="736">
        <f t="shared" si="35"/>
        <v>0</v>
      </c>
      <c r="DC13" s="736">
        <f t="shared" si="35"/>
        <v>0</v>
      </c>
      <c r="DD13" s="736">
        <f t="shared" si="35"/>
        <v>0</v>
      </c>
      <c r="DE13" s="736">
        <f t="shared" si="35"/>
        <v>0</v>
      </c>
      <c r="DF13" s="736">
        <f t="shared" si="35"/>
        <v>0</v>
      </c>
      <c r="DG13" s="736">
        <f t="shared" si="35"/>
        <v>0</v>
      </c>
      <c r="DH13" s="736">
        <f t="shared" si="35"/>
        <v>0</v>
      </c>
      <c r="DI13" s="736">
        <f t="shared" si="35"/>
        <v>0</v>
      </c>
      <c r="DJ13" s="736">
        <f t="shared" si="35"/>
        <v>0</v>
      </c>
      <c r="DK13" s="736">
        <f t="shared" si="35"/>
        <v>0</v>
      </c>
      <c r="DL13" s="736">
        <f t="shared" si="35"/>
        <v>0</v>
      </c>
      <c r="DM13" s="736">
        <f t="shared" si="35"/>
        <v>0</v>
      </c>
      <c r="DN13" s="736">
        <f t="shared" si="35"/>
        <v>0</v>
      </c>
      <c r="DO13" s="736">
        <f t="shared" si="35"/>
        <v>0</v>
      </c>
      <c r="DP13" s="736">
        <f t="shared" si="35"/>
        <v>0</v>
      </c>
      <c r="DQ13" s="736">
        <f t="shared" si="35"/>
        <v>0</v>
      </c>
      <c r="DR13" s="736">
        <f t="shared" si="35"/>
        <v>0</v>
      </c>
      <c r="DS13" s="736">
        <f t="shared" si="35"/>
        <v>0</v>
      </c>
      <c r="DT13" s="736">
        <f t="shared" si="35"/>
        <v>0</v>
      </c>
      <c r="DU13" s="736">
        <f t="shared" si="35"/>
        <v>0</v>
      </c>
      <c r="DV13" s="736">
        <f t="shared" si="35"/>
        <v>0</v>
      </c>
      <c r="DW13" s="736">
        <f t="shared" si="35"/>
        <v>0</v>
      </c>
      <c r="DX13" s="736">
        <f t="shared" si="35"/>
        <v>0</v>
      </c>
      <c r="DY13" s="736">
        <f t="shared" si="35"/>
        <v>0</v>
      </c>
      <c r="DZ13" s="736">
        <f t="shared" si="35"/>
        <v>0</v>
      </c>
      <c r="EA13" s="736">
        <f t="shared" si="35"/>
        <v>0</v>
      </c>
      <c r="EB13" s="736">
        <f t="shared" si="35"/>
        <v>0</v>
      </c>
      <c r="EC13" s="736">
        <f t="shared" si="35"/>
        <v>0</v>
      </c>
      <c r="ED13" s="736">
        <f t="shared" si="35"/>
        <v>0</v>
      </c>
      <c r="EE13" s="736">
        <f t="shared" si="35"/>
        <v>0</v>
      </c>
      <c r="EF13" s="736">
        <f t="shared" ref="EF13:GJ13" si="36">IF(EF$19&gt;=1,EF53,0)</f>
        <v>0</v>
      </c>
      <c r="EG13" s="736">
        <f t="shared" si="36"/>
        <v>0</v>
      </c>
      <c r="EH13" s="736">
        <f t="shared" si="36"/>
        <v>0</v>
      </c>
      <c r="EI13" s="736">
        <f t="shared" si="36"/>
        <v>0</v>
      </c>
      <c r="EJ13" s="736">
        <f t="shared" si="36"/>
        <v>0</v>
      </c>
      <c r="EK13" s="736">
        <f t="shared" si="36"/>
        <v>0</v>
      </c>
      <c r="EL13" s="736">
        <f t="shared" si="36"/>
        <v>0</v>
      </c>
      <c r="EM13" s="736">
        <f t="shared" si="36"/>
        <v>0</v>
      </c>
      <c r="EN13" s="736">
        <f t="shared" si="36"/>
        <v>0</v>
      </c>
      <c r="EO13" s="736">
        <f t="shared" si="36"/>
        <v>0</v>
      </c>
      <c r="EP13" s="736">
        <f t="shared" si="36"/>
        <v>0</v>
      </c>
      <c r="EQ13" s="736">
        <f t="shared" si="36"/>
        <v>0</v>
      </c>
      <c r="ER13" s="736">
        <f t="shared" si="36"/>
        <v>0</v>
      </c>
      <c r="ES13" s="736">
        <f t="shared" si="36"/>
        <v>0</v>
      </c>
      <c r="ET13" s="736">
        <f t="shared" si="36"/>
        <v>0</v>
      </c>
      <c r="EU13" s="736">
        <f t="shared" si="36"/>
        <v>0</v>
      </c>
      <c r="EV13" s="736">
        <f t="shared" si="36"/>
        <v>0</v>
      </c>
      <c r="EW13" s="736">
        <f t="shared" si="36"/>
        <v>0</v>
      </c>
      <c r="EX13" s="736">
        <f t="shared" si="36"/>
        <v>0</v>
      </c>
      <c r="EY13" s="736">
        <f t="shared" si="36"/>
        <v>0</v>
      </c>
      <c r="EZ13" s="736">
        <f t="shared" si="36"/>
        <v>0</v>
      </c>
      <c r="FA13" s="736">
        <f t="shared" si="36"/>
        <v>0</v>
      </c>
      <c r="FB13" s="736">
        <f t="shared" si="36"/>
        <v>0</v>
      </c>
      <c r="FC13" s="736">
        <f t="shared" si="36"/>
        <v>0</v>
      </c>
      <c r="FD13" s="736">
        <f t="shared" si="36"/>
        <v>0</v>
      </c>
      <c r="FE13" s="736">
        <f t="shared" si="36"/>
        <v>0</v>
      </c>
      <c r="FF13" s="736">
        <f t="shared" si="36"/>
        <v>0</v>
      </c>
      <c r="FG13" s="736">
        <f t="shared" si="36"/>
        <v>0</v>
      </c>
      <c r="FH13" s="736">
        <f t="shared" si="36"/>
        <v>0</v>
      </c>
      <c r="FI13" s="736">
        <f t="shared" si="36"/>
        <v>0</v>
      </c>
      <c r="FJ13" s="736">
        <f t="shared" si="36"/>
        <v>0</v>
      </c>
      <c r="FK13" s="736">
        <f t="shared" si="36"/>
        <v>0</v>
      </c>
      <c r="FL13" s="736">
        <f t="shared" si="36"/>
        <v>0</v>
      </c>
      <c r="FM13" s="736">
        <f t="shared" si="36"/>
        <v>0</v>
      </c>
      <c r="FN13" s="736">
        <f t="shared" si="36"/>
        <v>0</v>
      </c>
      <c r="FO13" s="736">
        <f t="shared" si="36"/>
        <v>0</v>
      </c>
      <c r="FP13" s="736">
        <f t="shared" si="36"/>
        <v>0</v>
      </c>
      <c r="FQ13" s="736">
        <f t="shared" si="36"/>
        <v>0</v>
      </c>
      <c r="FR13" s="736">
        <f t="shared" si="36"/>
        <v>0</v>
      </c>
      <c r="FS13" s="736">
        <f t="shared" si="36"/>
        <v>0</v>
      </c>
      <c r="FT13" s="736">
        <f t="shared" si="36"/>
        <v>0</v>
      </c>
      <c r="FU13" s="736">
        <f t="shared" si="36"/>
        <v>0</v>
      </c>
      <c r="FV13" s="736">
        <f t="shared" si="36"/>
        <v>0</v>
      </c>
      <c r="FW13" s="736">
        <f t="shared" si="36"/>
        <v>0</v>
      </c>
      <c r="FX13" s="736">
        <f t="shared" si="36"/>
        <v>0</v>
      </c>
      <c r="FY13" s="736">
        <f t="shared" si="36"/>
        <v>0</v>
      </c>
      <c r="FZ13" s="736">
        <f t="shared" si="36"/>
        <v>0</v>
      </c>
      <c r="GA13" s="736">
        <f t="shared" si="36"/>
        <v>0</v>
      </c>
      <c r="GB13" s="736">
        <f t="shared" si="36"/>
        <v>0</v>
      </c>
      <c r="GC13" s="736">
        <f t="shared" si="36"/>
        <v>0</v>
      </c>
      <c r="GD13" s="736">
        <f t="shared" si="36"/>
        <v>0</v>
      </c>
      <c r="GE13" s="736">
        <f t="shared" si="36"/>
        <v>0</v>
      </c>
      <c r="GF13" s="736">
        <f t="shared" si="36"/>
        <v>0</v>
      </c>
      <c r="GG13" s="736">
        <f t="shared" si="36"/>
        <v>0</v>
      </c>
      <c r="GH13" s="736">
        <f t="shared" si="36"/>
        <v>0</v>
      </c>
      <c r="GI13" s="736">
        <f t="shared" si="36"/>
        <v>0</v>
      </c>
      <c r="GJ13" s="736">
        <f t="shared" si="36"/>
        <v>0</v>
      </c>
    </row>
    <row r="14" spans="2:192" ht="9.75" customHeight="1">
      <c r="B14" s="634"/>
      <c r="C14" s="652" t="s">
        <v>1101</v>
      </c>
      <c r="D14" s="734">
        <f>基礎情報!V149</f>
        <v>0</v>
      </c>
      <c r="E14" s="1912">
        <f t="shared" si="6"/>
        <v>0</v>
      </c>
      <c r="F14" s="1913"/>
      <c r="G14" s="736">
        <f>IF(G$19&gt;=1,G56,0)</f>
        <v>0</v>
      </c>
      <c r="H14" s="736">
        <f t="shared" ref="H14:BS14" si="37">IF(H$19&gt;=1,H56,0)</f>
        <v>0</v>
      </c>
      <c r="I14" s="736">
        <f t="shared" si="37"/>
        <v>0</v>
      </c>
      <c r="J14" s="736">
        <f t="shared" si="37"/>
        <v>0</v>
      </c>
      <c r="K14" s="736">
        <f t="shared" si="37"/>
        <v>0</v>
      </c>
      <c r="L14" s="736">
        <f t="shared" si="37"/>
        <v>0</v>
      </c>
      <c r="M14" s="736">
        <f t="shared" si="37"/>
        <v>0</v>
      </c>
      <c r="N14" s="736">
        <f t="shared" si="37"/>
        <v>0</v>
      </c>
      <c r="O14" s="736">
        <f t="shared" si="37"/>
        <v>0</v>
      </c>
      <c r="P14" s="736">
        <f t="shared" si="37"/>
        <v>0</v>
      </c>
      <c r="Q14" s="736">
        <f t="shared" si="37"/>
        <v>0</v>
      </c>
      <c r="R14" s="736">
        <f t="shared" si="37"/>
        <v>0</v>
      </c>
      <c r="S14" s="736">
        <f t="shared" si="37"/>
        <v>0</v>
      </c>
      <c r="T14" s="736">
        <f t="shared" si="37"/>
        <v>0</v>
      </c>
      <c r="U14" s="736">
        <f t="shared" si="37"/>
        <v>0</v>
      </c>
      <c r="V14" s="736">
        <f t="shared" si="37"/>
        <v>0</v>
      </c>
      <c r="W14" s="736">
        <f t="shared" si="37"/>
        <v>0</v>
      </c>
      <c r="X14" s="736">
        <f t="shared" si="37"/>
        <v>0</v>
      </c>
      <c r="Y14" s="736">
        <f t="shared" si="37"/>
        <v>0</v>
      </c>
      <c r="Z14" s="736">
        <f t="shared" si="37"/>
        <v>0</v>
      </c>
      <c r="AA14" s="736">
        <f t="shared" si="37"/>
        <v>0</v>
      </c>
      <c r="AB14" s="736">
        <f t="shared" si="37"/>
        <v>0</v>
      </c>
      <c r="AC14" s="736">
        <f t="shared" si="37"/>
        <v>0</v>
      </c>
      <c r="AD14" s="736">
        <f t="shared" si="37"/>
        <v>0</v>
      </c>
      <c r="AE14" s="736">
        <f t="shared" si="37"/>
        <v>0</v>
      </c>
      <c r="AF14" s="736">
        <f t="shared" si="37"/>
        <v>0</v>
      </c>
      <c r="AG14" s="736">
        <f t="shared" si="37"/>
        <v>0</v>
      </c>
      <c r="AH14" s="736">
        <f t="shared" si="37"/>
        <v>0</v>
      </c>
      <c r="AI14" s="736">
        <f t="shared" si="37"/>
        <v>0</v>
      </c>
      <c r="AJ14" s="736">
        <f t="shared" si="37"/>
        <v>0</v>
      </c>
      <c r="AK14" s="736">
        <f t="shared" si="37"/>
        <v>0</v>
      </c>
      <c r="AL14" s="736">
        <f t="shared" si="37"/>
        <v>0</v>
      </c>
      <c r="AM14" s="736">
        <f t="shared" si="37"/>
        <v>0</v>
      </c>
      <c r="AN14" s="736">
        <f t="shared" si="37"/>
        <v>0</v>
      </c>
      <c r="AO14" s="736">
        <f t="shared" si="37"/>
        <v>0</v>
      </c>
      <c r="AP14" s="736">
        <f t="shared" si="37"/>
        <v>0</v>
      </c>
      <c r="AQ14" s="736">
        <f t="shared" si="37"/>
        <v>0</v>
      </c>
      <c r="AR14" s="736">
        <f t="shared" si="37"/>
        <v>0</v>
      </c>
      <c r="AS14" s="736">
        <f t="shared" si="37"/>
        <v>0</v>
      </c>
      <c r="AT14" s="736">
        <f t="shared" si="37"/>
        <v>0</v>
      </c>
      <c r="AU14" s="736">
        <f t="shared" si="37"/>
        <v>0</v>
      </c>
      <c r="AV14" s="736">
        <f t="shared" si="37"/>
        <v>0</v>
      </c>
      <c r="AW14" s="736">
        <f t="shared" si="37"/>
        <v>0</v>
      </c>
      <c r="AX14" s="736">
        <f t="shared" si="37"/>
        <v>0</v>
      </c>
      <c r="AY14" s="736">
        <f t="shared" si="37"/>
        <v>0</v>
      </c>
      <c r="AZ14" s="736">
        <f t="shared" si="37"/>
        <v>0</v>
      </c>
      <c r="BA14" s="736">
        <f t="shared" si="37"/>
        <v>0</v>
      </c>
      <c r="BB14" s="736">
        <f t="shared" si="37"/>
        <v>0</v>
      </c>
      <c r="BC14" s="736">
        <f t="shared" si="37"/>
        <v>0</v>
      </c>
      <c r="BD14" s="736">
        <f t="shared" si="37"/>
        <v>0</v>
      </c>
      <c r="BE14" s="736">
        <f t="shared" si="37"/>
        <v>0</v>
      </c>
      <c r="BF14" s="736">
        <f t="shared" si="37"/>
        <v>0</v>
      </c>
      <c r="BG14" s="736">
        <f t="shared" si="37"/>
        <v>0</v>
      </c>
      <c r="BH14" s="736">
        <f t="shared" si="37"/>
        <v>0</v>
      </c>
      <c r="BI14" s="736">
        <f t="shared" si="37"/>
        <v>0</v>
      </c>
      <c r="BJ14" s="736">
        <f t="shared" si="37"/>
        <v>0</v>
      </c>
      <c r="BK14" s="736">
        <f t="shared" si="37"/>
        <v>0</v>
      </c>
      <c r="BL14" s="736">
        <f t="shared" si="37"/>
        <v>0</v>
      </c>
      <c r="BM14" s="736">
        <f t="shared" si="37"/>
        <v>0</v>
      </c>
      <c r="BN14" s="736">
        <f t="shared" si="37"/>
        <v>0</v>
      </c>
      <c r="BO14" s="736">
        <f t="shared" si="37"/>
        <v>0</v>
      </c>
      <c r="BP14" s="736">
        <f t="shared" si="37"/>
        <v>0</v>
      </c>
      <c r="BQ14" s="736">
        <f t="shared" si="37"/>
        <v>0</v>
      </c>
      <c r="BR14" s="736">
        <f t="shared" si="37"/>
        <v>0</v>
      </c>
      <c r="BS14" s="736">
        <f t="shared" si="37"/>
        <v>0</v>
      </c>
      <c r="BT14" s="736">
        <f t="shared" ref="BT14:EE14" si="38">IF(BT$19&gt;=1,BT56,0)</f>
        <v>0</v>
      </c>
      <c r="BU14" s="736">
        <f t="shared" si="38"/>
        <v>0</v>
      </c>
      <c r="BV14" s="736">
        <f t="shared" si="38"/>
        <v>0</v>
      </c>
      <c r="BW14" s="736">
        <f t="shared" si="38"/>
        <v>0</v>
      </c>
      <c r="BX14" s="736">
        <f t="shared" si="38"/>
        <v>0</v>
      </c>
      <c r="BY14" s="736">
        <f t="shared" si="38"/>
        <v>0</v>
      </c>
      <c r="BZ14" s="736">
        <f t="shared" si="38"/>
        <v>0</v>
      </c>
      <c r="CA14" s="736">
        <f t="shared" si="38"/>
        <v>0</v>
      </c>
      <c r="CB14" s="736">
        <f t="shared" si="38"/>
        <v>0</v>
      </c>
      <c r="CC14" s="736">
        <f t="shared" si="38"/>
        <v>0</v>
      </c>
      <c r="CD14" s="736">
        <f t="shared" si="38"/>
        <v>0</v>
      </c>
      <c r="CE14" s="736">
        <f t="shared" si="38"/>
        <v>0</v>
      </c>
      <c r="CF14" s="736">
        <f t="shared" si="38"/>
        <v>0</v>
      </c>
      <c r="CG14" s="736">
        <f t="shared" si="38"/>
        <v>0</v>
      </c>
      <c r="CH14" s="736">
        <f t="shared" si="38"/>
        <v>0</v>
      </c>
      <c r="CI14" s="736">
        <f t="shared" si="38"/>
        <v>0</v>
      </c>
      <c r="CJ14" s="736">
        <f t="shared" si="38"/>
        <v>0</v>
      </c>
      <c r="CK14" s="736">
        <f t="shared" si="38"/>
        <v>0</v>
      </c>
      <c r="CL14" s="736">
        <f t="shared" si="38"/>
        <v>0</v>
      </c>
      <c r="CM14" s="736">
        <f t="shared" si="38"/>
        <v>0</v>
      </c>
      <c r="CN14" s="736">
        <f t="shared" si="38"/>
        <v>0</v>
      </c>
      <c r="CO14" s="736">
        <f t="shared" si="38"/>
        <v>0</v>
      </c>
      <c r="CP14" s="736">
        <f t="shared" si="38"/>
        <v>0</v>
      </c>
      <c r="CQ14" s="736">
        <f t="shared" si="38"/>
        <v>0</v>
      </c>
      <c r="CR14" s="736">
        <f t="shared" si="38"/>
        <v>0</v>
      </c>
      <c r="CS14" s="736">
        <f t="shared" si="38"/>
        <v>0</v>
      </c>
      <c r="CT14" s="736">
        <f t="shared" si="38"/>
        <v>0</v>
      </c>
      <c r="CU14" s="736">
        <f t="shared" si="38"/>
        <v>0</v>
      </c>
      <c r="CV14" s="736">
        <f t="shared" si="38"/>
        <v>0</v>
      </c>
      <c r="CW14" s="736">
        <f t="shared" si="38"/>
        <v>0</v>
      </c>
      <c r="CX14" s="736">
        <f t="shared" si="38"/>
        <v>0</v>
      </c>
      <c r="CY14" s="736">
        <f t="shared" si="38"/>
        <v>0</v>
      </c>
      <c r="CZ14" s="736">
        <f t="shared" si="38"/>
        <v>0</v>
      </c>
      <c r="DA14" s="736">
        <f t="shared" si="38"/>
        <v>0</v>
      </c>
      <c r="DB14" s="736">
        <f t="shared" si="38"/>
        <v>0</v>
      </c>
      <c r="DC14" s="736">
        <f t="shared" si="38"/>
        <v>0</v>
      </c>
      <c r="DD14" s="736">
        <f t="shared" si="38"/>
        <v>0</v>
      </c>
      <c r="DE14" s="736">
        <f t="shared" si="38"/>
        <v>0</v>
      </c>
      <c r="DF14" s="736">
        <f t="shared" si="38"/>
        <v>0</v>
      </c>
      <c r="DG14" s="736">
        <f t="shared" si="38"/>
        <v>0</v>
      </c>
      <c r="DH14" s="736">
        <f t="shared" si="38"/>
        <v>0</v>
      </c>
      <c r="DI14" s="736">
        <f t="shared" si="38"/>
        <v>0</v>
      </c>
      <c r="DJ14" s="736">
        <f t="shared" si="38"/>
        <v>0</v>
      </c>
      <c r="DK14" s="736">
        <f t="shared" si="38"/>
        <v>0</v>
      </c>
      <c r="DL14" s="736">
        <f t="shared" si="38"/>
        <v>0</v>
      </c>
      <c r="DM14" s="736">
        <f t="shared" si="38"/>
        <v>0</v>
      </c>
      <c r="DN14" s="736">
        <f t="shared" si="38"/>
        <v>0</v>
      </c>
      <c r="DO14" s="736">
        <f t="shared" si="38"/>
        <v>0</v>
      </c>
      <c r="DP14" s="736">
        <f t="shared" si="38"/>
        <v>0</v>
      </c>
      <c r="DQ14" s="736">
        <f t="shared" si="38"/>
        <v>0</v>
      </c>
      <c r="DR14" s="736">
        <f t="shared" si="38"/>
        <v>0</v>
      </c>
      <c r="DS14" s="736">
        <f t="shared" si="38"/>
        <v>0</v>
      </c>
      <c r="DT14" s="736">
        <f t="shared" si="38"/>
        <v>0</v>
      </c>
      <c r="DU14" s="736">
        <f t="shared" si="38"/>
        <v>0</v>
      </c>
      <c r="DV14" s="736">
        <f t="shared" si="38"/>
        <v>0</v>
      </c>
      <c r="DW14" s="736">
        <f t="shared" si="38"/>
        <v>0</v>
      </c>
      <c r="DX14" s="736">
        <f t="shared" si="38"/>
        <v>0</v>
      </c>
      <c r="DY14" s="736">
        <f t="shared" si="38"/>
        <v>0</v>
      </c>
      <c r="DZ14" s="736">
        <f t="shared" si="38"/>
        <v>0</v>
      </c>
      <c r="EA14" s="736">
        <f t="shared" si="38"/>
        <v>0</v>
      </c>
      <c r="EB14" s="736">
        <f t="shared" si="38"/>
        <v>0</v>
      </c>
      <c r="EC14" s="736">
        <f t="shared" si="38"/>
        <v>0</v>
      </c>
      <c r="ED14" s="736">
        <f t="shared" si="38"/>
        <v>0</v>
      </c>
      <c r="EE14" s="736">
        <f t="shared" si="38"/>
        <v>0</v>
      </c>
      <c r="EF14" s="736">
        <f t="shared" ref="EF14:GJ14" si="39">IF(EF$19&gt;=1,EF56,0)</f>
        <v>0</v>
      </c>
      <c r="EG14" s="736">
        <f t="shared" si="39"/>
        <v>0</v>
      </c>
      <c r="EH14" s="736">
        <f t="shared" si="39"/>
        <v>0</v>
      </c>
      <c r="EI14" s="736">
        <f t="shared" si="39"/>
        <v>0</v>
      </c>
      <c r="EJ14" s="736">
        <f t="shared" si="39"/>
        <v>0</v>
      </c>
      <c r="EK14" s="736">
        <f t="shared" si="39"/>
        <v>0</v>
      </c>
      <c r="EL14" s="736">
        <f t="shared" si="39"/>
        <v>0</v>
      </c>
      <c r="EM14" s="736">
        <f t="shared" si="39"/>
        <v>0</v>
      </c>
      <c r="EN14" s="736">
        <f t="shared" si="39"/>
        <v>0</v>
      </c>
      <c r="EO14" s="736">
        <f t="shared" si="39"/>
        <v>0</v>
      </c>
      <c r="EP14" s="736">
        <f t="shared" si="39"/>
        <v>0</v>
      </c>
      <c r="EQ14" s="736">
        <f t="shared" si="39"/>
        <v>0</v>
      </c>
      <c r="ER14" s="736">
        <f t="shared" si="39"/>
        <v>0</v>
      </c>
      <c r="ES14" s="736">
        <f t="shared" si="39"/>
        <v>0</v>
      </c>
      <c r="ET14" s="736">
        <f t="shared" si="39"/>
        <v>0</v>
      </c>
      <c r="EU14" s="736">
        <f t="shared" si="39"/>
        <v>0</v>
      </c>
      <c r="EV14" s="736">
        <f t="shared" si="39"/>
        <v>0</v>
      </c>
      <c r="EW14" s="736">
        <f t="shared" si="39"/>
        <v>0</v>
      </c>
      <c r="EX14" s="736">
        <f t="shared" si="39"/>
        <v>0</v>
      </c>
      <c r="EY14" s="736">
        <f t="shared" si="39"/>
        <v>0</v>
      </c>
      <c r="EZ14" s="736">
        <f t="shared" si="39"/>
        <v>0</v>
      </c>
      <c r="FA14" s="736">
        <f t="shared" si="39"/>
        <v>0</v>
      </c>
      <c r="FB14" s="736">
        <f t="shared" si="39"/>
        <v>0</v>
      </c>
      <c r="FC14" s="736">
        <f t="shared" si="39"/>
        <v>0</v>
      </c>
      <c r="FD14" s="736">
        <f t="shared" si="39"/>
        <v>0</v>
      </c>
      <c r="FE14" s="736">
        <f t="shared" si="39"/>
        <v>0</v>
      </c>
      <c r="FF14" s="736">
        <f t="shared" si="39"/>
        <v>0</v>
      </c>
      <c r="FG14" s="736">
        <f t="shared" si="39"/>
        <v>0</v>
      </c>
      <c r="FH14" s="736">
        <f t="shared" si="39"/>
        <v>0</v>
      </c>
      <c r="FI14" s="736">
        <f t="shared" si="39"/>
        <v>0</v>
      </c>
      <c r="FJ14" s="736">
        <f t="shared" si="39"/>
        <v>0</v>
      </c>
      <c r="FK14" s="736">
        <f t="shared" si="39"/>
        <v>0</v>
      </c>
      <c r="FL14" s="736">
        <f t="shared" si="39"/>
        <v>0</v>
      </c>
      <c r="FM14" s="736">
        <f t="shared" si="39"/>
        <v>0</v>
      </c>
      <c r="FN14" s="736">
        <f t="shared" si="39"/>
        <v>0</v>
      </c>
      <c r="FO14" s="736">
        <f t="shared" si="39"/>
        <v>0</v>
      </c>
      <c r="FP14" s="736">
        <f t="shared" si="39"/>
        <v>0</v>
      </c>
      <c r="FQ14" s="736">
        <f t="shared" si="39"/>
        <v>0</v>
      </c>
      <c r="FR14" s="736">
        <f t="shared" si="39"/>
        <v>0</v>
      </c>
      <c r="FS14" s="736">
        <f t="shared" si="39"/>
        <v>0</v>
      </c>
      <c r="FT14" s="736">
        <f t="shared" si="39"/>
        <v>0</v>
      </c>
      <c r="FU14" s="736">
        <f t="shared" si="39"/>
        <v>0</v>
      </c>
      <c r="FV14" s="736">
        <f t="shared" si="39"/>
        <v>0</v>
      </c>
      <c r="FW14" s="736">
        <f t="shared" si="39"/>
        <v>0</v>
      </c>
      <c r="FX14" s="736">
        <f t="shared" si="39"/>
        <v>0</v>
      </c>
      <c r="FY14" s="736">
        <f t="shared" si="39"/>
        <v>0</v>
      </c>
      <c r="FZ14" s="736">
        <f t="shared" si="39"/>
        <v>0</v>
      </c>
      <c r="GA14" s="736">
        <f t="shared" si="39"/>
        <v>0</v>
      </c>
      <c r="GB14" s="736">
        <f t="shared" si="39"/>
        <v>0</v>
      </c>
      <c r="GC14" s="736">
        <f t="shared" si="39"/>
        <v>0</v>
      </c>
      <c r="GD14" s="736">
        <f t="shared" si="39"/>
        <v>0</v>
      </c>
      <c r="GE14" s="736">
        <f t="shared" si="39"/>
        <v>0</v>
      </c>
      <c r="GF14" s="736">
        <f t="shared" si="39"/>
        <v>0</v>
      </c>
      <c r="GG14" s="736">
        <f t="shared" si="39"/>
        <v>0</v>
      </c>
      <c r="GH14" s="736">
        <f t="shared" si="39"/>
        <v>0</v>
      </c>
      <c r="GI14" s="736">
        <f t="shared" si="39"/>
        <v>0</v>
      </c>
      <c r="GJ14" s="736">
        <f t="shared" si="39"/>
        <v>0</v>
      </c>
    </row>
    <row r="15" spans="2:192" ht="9.75" customHeight="1">
      <c r="B15" s="634"/>
      <c r="C15" s="652" t="s">
        <v>1410</v>
      </c>
      <c r="D15" s="734">
        <f>基礎情報!V152</f>
        <v>0</v>
      </c>
      <c r="E15" s="1912">
        <f t="shared" si="6"/>
        <v>0</v>
      </c>
      <c r="F15" s="1913"/>
      <c r="G15" s="736">
        <f>IF(G$19&gt;=1,G59,0)</f>
        <v>0</v>
      </c>
      <c r="H15" s="736">
        <f t="shared" ref="H15:BS15" si="40">IF(H$19&gt;=1,H59,0)</f>
        <v>0</v>
      </c>
      <c r="I15" s="736">
        <f t="shared" si="40"/>
        <v>0</v>
      </c>
      <c r="J15" s="736">
        <f t="shared" si="40"/>
        <v>0</v>
      </c>
      <c r="K15" s="736">
        <f t="shared" si="40"/>
        <v>0</v>
      </c>
      <c r="L15" s="736">
        <f t="shared" si="40"/>
        <v>0</v>
      </c>
      <c r="M15" s="736">
        <f t="shared" si="40"/>
        <v>0</v>
      </c>
      <c r="N15" s="736">
        <f t="shared" si="40"/>
        <v>0</v>
      </c>
      <c r="O15" s="736">
        <f t="shared" si="40"/>
        <v>0</v>
      </c>
      <c r="P15" s="736">
        <f t="shared" si="40"/>
        <v>0</v>
      </c>
      <c r="Q15" s="736">
        <f t="shared" si="40"/>
        <v>0</v>
      </c>
      <c r="R15" s="736">
        <f t="shared" si="40"/>
        <v>0</v>
      </c>
      <c r="S15" s="736">
        <f t="shared" si="40"/>
        <v>0</v>
      </c>
      <c r="T15" s="736">
        <f t="shared" si="40"/>
        <v>0</v>
      </c>
      <c r="U15" s="736">
        <f t="shared" si="40"/>
        <v>0</v>
      </c>
      <c r="V15" s="736">
        <f t="shared" si="40"/>
        <v>0</v>
      </c>
      <c r="W15" s="736">
        <f t="shared" si="40"/>
        <v>0</v>
      </c>
      <c r="X15" s="736">
        <f t="shared" si="40"/>
        <v>0</v>
      </c>
      <c r="Y15" s="736">
        <f t="shared" si="40"/>
        <v>0</v>
      </c>
      <c r="Z15" s="736">
        <f t="shared" si="40"/>
        <v>0</v>
      </c>
      <c r="AA15" s="736">
        <f t="shared" si="40"/>
        <v>0</v>
      </c>
      <c r="AB15" s="736">
        <f t="shared" si="40"/>
        <v>0</v>
      </c>
      <c r="AC15" s="736">
        <f t="shared" si="40"/>
        <v>0</v>
      </c>
      <c r="AD15" s="736">
        <f t="shared" si="40"/>
        <v>0</v>
      </c>
      <c r="AE15" s="736">
        <f t="shared" si="40"/>
        <v>0</v>
      </c>
      <c r="AF15" s="736">
        <f t="shared" si="40"/>
        <v>0</v>
      </c>
      <c r="AG15" s="736">
        <f t="shared" si="40"/>
        <v>0</v>
      </c>
      <c r="AH15" s="736">
        <f t="shared" si="40"/>
        <v>0</v>
      </c>
      <c r="AI15" s="736">
        <f t="shared" si="40"/>
        <v>0</v>
      </c>
      <c r="AJ15" s="736">
        <f t="shared" si="40"/>
        <v>0</v>
      </c>
      <c r="AK15" s="736">
        <f t="shared" si="40"/>
        <v>0</v>
      </c>
      <c r="AL15" s="736">
        <f t="shared" si="40"/>
        <v>0</v>
      </c>
      <c r="AM15" s="736">
        <f t="shared" si="40"/>
        <v>0</v>
      </c>
      <c r="AN15" s="736">
        <f t="shared" si="40"/>
        <v>0</v>
      </c>
      <c r="AO15" s="736">
        <f t="shared" si="40"/>
        <v>0</v>
      </c>
      <c r="AP15" s="736">
        <f t="shared" si="40"/>
        <v>0</v>
      </c>
      <c r="AQ15" s="736">
        <f t="shared" si="40"/>
        <v>0</v>
      </c>
      <c r="AR15" s="736">
        <f t="shared" si="40"/>
        <v>0</v>
      </c>
      <c r="AS15" s="736">
        <f t="shared" si="40"/>
        <v>0</v>
      </c>
      <c r="AT15" s="736">
        <f t="shared" si="40"/>
        <v>0</v>
      </c>
      <c r="AU15" s="736">
        <f t="shared" si="40"/>
        <v>0</v>
      </c>
      <c r="AV15" s="736">
        <f t="shared" si="40"/>
        <v>0</v>
      </c>
      <c r="AW15" s="736">
        <f t="shared" si="40"/>
        <v>0</v>
      </c>
      <c r="AX15" s="736">
        <f t="shared" si="40"/>
        <v>0</v>
      </c>
      <c r="AY15" s="736">
        <f t="shared" si="40"/>
        <v>0</v>
      </c>
      <c r="AZ15" s="736">
        <f t="shared" si="40"/>
        <v>0</v>
      </c>
      <c r="BA15" s="736">
        <f t="shared" si="40"/>
        <v>0</v>
      </c>
      <c r="BB15" s="736">
        <f t="shared" si="40"/>
        <v>0</v>
      </c>
      <c r="BC15" s="736">
        <f t="shared" si="40"/>
        <v>0</v>
      </c>
      <c r="BD15" s="736">
        <f t="shared" si="40"/>
        <v>0</v>
      </c>
      <c r="BE15" s="736">
        <f t="shared" si="40"/>
        <v>0</v>
      </c>
      <c r="BF15" s="736">
        <f t="shared" si="40"/>
        <v>0</v>
      </c>
      <c r="BG15" s="736">
        <f t="shared" si="40"/>
        <v>0</v>
      </c>
      <c r="BH15" s="736">
        <f t="shared" si="40"/>
        <v>0</v>
      </c>
      <c r="BI15" s="736">
        <f t="shared" si="40"/>
        <v>0</v>
      </c>
      <c r="BJ15" s="736">
        <f t="shared" si="40"/>
        <v>0</v>
      </c>
      <c r="BK15" s="736">
        <f t="shared" si="40"/>
        <v>0</v>
      </c>
      <c r="BL15" s="736">
        <f t="shared" si="40"/>
        <v>0</v>
      </c>
      <c r="BM15" s="736">
        <f t="shared" si="40"/>
        <v>0</v>
      </c>
      <c r="BN15" s="736">
        <f t="shared" si="40"/>
        <v>0</v>
      </c>
      <c r="BO15" s="736">
        <f t="shared" si="40"/>
        <v>0</v>
      </c>
      <c r="BP15" s="736">
        <f t="shared" si="40"/>
        <v>0</v>
      </c>
      <c r="BQ15" s="736">
        <f t="shared" si="40"/>
        <v>0</v>
      </c>
      <c r="BR15" s="736">
        <f t="shared" si="40"/>
        <v>0</v>
      </c>
      <c r="BS15" s="736">
        <f t="shared" si="40"/>
        <v>0</v>
      </c>
      <c r="BT15" s="736">
        <f t="shared" ref="BT15:EE15" si="41">IF(BT$19&gt;=1,BT59,0)</f>
        <v>0</v>
      </c>
      <c r="BU15" s="736">
        <f t="shared" si="41"/>
        <v>0</v>
      </c>
      <c r="BV15" s="736">
        <f t="shared" si="41"/>
        <v>0</v>
      </c>
      <c r="BW15" s="736">
        <f t="shared" si="41"/>
        <v>0</v>
      </c>
      <c r="BX15" s="736">
        <f t="shared" si="41"/>
        <v>0</v>
      </c>
      <c r="BY15" s="736">
        <f t="shared" si="41"/>
        <v>0</v>
      </c>
      <c r="BZ15" s="736">
        <f t="shared" si="41"/>
        <v>0</v>
      </c>
      <c r="CA15" s="736">
        <f t="shared" si="41"/>
        <v>0</v>
      </c>
      <c r="CB15" s="736">
        <f t="shared" si="41"/>
        <v>0</v>
      </c>
      <c r="CC15" s="736">
        <f t="shared" si="41"/>
        <v>0</v>
      </c>
      <c r="CD15" s="736">
        <f t="shared" si="41"/>
        <v>0</v>
      </c>
      <c r="CE15" s="736">
        <f t="shared" si="41"/>
        <v>0</v>
      </c>
      <c r="CF15" s="736">
        <f t="shared" si="41"/>
        <v>0</v>
      </c>
      <c r="CG15" s="736">
        <f t="shared" si="41"/>
        <v>0</v>
      </c>
      <c r="CH15" s="736">
        <f t="shared" si="41"/>
        <v>0</v>
      </c>
      <c r="CI15" s="736">
        <f t="shared" si="41"/>
        <v>0</v>
      </c>
      <c r="CJ15" s="736">
        <f t="shared" si="41"/>
        <v>0</v>
      </c>
      <c r="CK15" s="736">
        <f t="shared" si="41"/>
        <v>0</v>
      </c>
      <c r="CL15" s="736">
        <f t="shared" si="41"/>
        <v>0</v>
      </c>
      <c r="CM15" s="736">
        <f t="shared" si="41"/>
        <v>0</v>
      </c>
      <c r="CN15" s="736">
        <f t="shared" si="41"/>
        <v>0</v>
      </c>
      <c r="CO15" s="736">
        <f t="shared" si="41"/>
        <v>0</v>
      </c>
      <c r="CP15" s="736">
        <f t="shared" si="41"/>
        <v>0</v>
      </c>
      <c r="CQ15" s="736">
        <f t="shared" si="41"/>
        <v>0</v>
      </c>
      <c r="CR15" s="736">
        <f t="shared" si="41"/>
        <v>0</v>
      </c>
      <c r="CS15" s="736">
        <f t="shared" si="41"/>
        <v>0</v>
      </c>
      <c r="CT15" s="736">
        <f t="shared" si="41"/>
        <v>0</v>
      </c>
      <c r="CU15" s="736">
        <f t="shared" si="41"/>
        <v>0</v>
      </c>
      <c r="CV15" s="736">
        <f t="shared" si="41"/>
        <v>0</v>
      </c>
      <c r="CW15" s="736">
        <f t="shared" si="41"/>
        <v>0</v>
      </c>
      <c r="CX15" s="736">
        <f t="shared" si="41"/>
        <v>0</v>
      </c>
      <c r="CY15" s="736">
        <f t="shared" si="41"/>
        <v>0</v>
      </c>
      <c r="CZ15" s="736">
        <f t="shared" si="41"/>
        <v>0</v>
      </c>
      <c r="DA15" s="736">
        <f t="shared" si="41"/>
        <v>0</v>
      </c>
      <c r="DB15" s="736">
        <f t="shared" si="41"/>
        <v>0</v>
      </c>
      <c r="DC15" s="736">
        <f t="shared" si="41"/>
        <v>0</v>
      </c>
      <c r="DD15" s="736">
        <f t="shared" si="41"/>
        <v>0</v>
      </c>
      <c r="DE15" s="736">
        <f t="shared" si="41"/>
        <v>0</v>
      </c>
      <c r="DF15" s="736">
        <f t="shared" si="41"/>
        <v>0</v>
      </c>
      <c r="DG15" s="736">
        <f t="shared" si="41"/>
        <v>0</v>
      </c>
      <c r="DH15" s="736">
        <f t="shared" si="41"/>
        <v>0</v>
      </c>
      <c r="DI15" s="736">
        <f t="shared" si="41"/>
        <v>0</v>
      </c>
      <c r="DJ15" s="736">
        <f t="shared" si="41"/>
        <v>0</v>
      </c>
      <c r="DK15" s="736">
        <f t="shared" si="41"/>
        <v>0</v>
      </c>
      <c r="DL15" s="736">
        <f t="shared" si="41"/>
        <v>0</v>
      </c>
      <c r="DM15" s="736">
        <f t="shared" si="41"/>
        <v>0</v>
      </c>
      <c r="DN15" s="736">
        <f t="shared" si="41"/>
        <v>0</v>
      </c>
      <c r="DO15" s="736">
        <f t="shared" si="41"/>
        <v>0</v>
      </c>
      <c r="DP15" s="736">
        <f t="shared" si="41"/>
        <v>0</v>
      </c>
      <c r="DQ15" s="736">
        <f t="shared" si="41"/>
        <v>0</v>
      </c>
      <c r="DR15" s="736">
        <f t="shared" si="41"/>
        <v>0</v>
      </c>
      <c r="DS15" s="736">
        <f t="shared" si="41"/>
        <v>0</v>
      </c>
      <c r="DT15" s="736">
        <f t="shared" si="41"/>
        <v>0</v>
      </c>
      <c r="DU15" s="736">
        <f t="shared" si="41"/>
        <v>0</v>
      </c>
      <c r="DV15" s="736">
        <f t="shared" si="41"/>
        <v>0</v>
      </c>
      <c r="DW15" s="736">
        <f t="shared" si="41"/>
        <v>0</v>
      </c>
      <c r="DX15" s="736">
        <f t="shared" si="41"/>
        <v>0</v>
      </c>
      <c r="DY15" s="736">
        <f t="shared" si="41"/>
        <v>0</v>
      </c>
      <c r="DZ15" s="736">
        <f t="shared" si="41"/>
        <v>0</v>
      </c>
      <c r="EA15" s="736">
        <f t="shared" si="41"/>
        <v>0</v>
      </c>
      <c r="EB15" s="736">
        <f t="shared" si="41"/>
        <v>0</v>
      </c>
      <c r="EC15" s="736">
        <f t="shared" si="41"/>
        <v>0</v>
      </c>
      <c r="ED15" s="736">
        <f t="shared" si="41"/>
        <v>0</v>
      </c>
      <c r="EE15" s="736">
        <f t="shared" si="41"/>
        <v>0</v>
      </c>
      <c r="EF15" s="736">
        <f t="shared" ref="EF15:GJ15" si="42">IF(EF$19&gt;=1,EF59,0)</f>
        <v>0</v>
      </c>
      <c r="EG15" s="736">
        <f t="shared" si="42"/>
        <v>0</v>
      </c>
      <c r="EH15" s="736">
        <f t="shared" si="42"/>
        <v>0</v>
      </c>
      <c r="EI15" s="736">
        <f t="shared" si="42"/>
        <v>0</v>
      </c>
      <c r="EJ15" s="736">
        <f t="shared" si="42"/>
        <v>0</v>
      </c>
      <c r="EK15" s="736">
        <f t="shared" si="42"/>
        <v>0</v>
      </c>
      <c r="EL15" s="736">
        <f t="shared" si="42"/>
        <v>0</v>
      </c>
      <c r="EM15" s="736">
        <f t="shared" si="42"/>
        <v>0</v>
      </c>
      <c r="EN15" s="736">
        <f t="shared" si="42"/>
        <v>0</v>
      </c>
      <c r="EO15" s="736">
        <f t="shared" si="42"/>
        <v>0</v>
      </c>
      <c r="EP15" s="736">
        <f t="shared" si="42"/>
        <v>0</v>
      </c>
      <c r="EQ15" s="736">
        <f t="shared" si="42"/>
        <v>0</v>
      </c>
      <c r="ER15" s="736">
        <f t="shared" si="42"/>
        <v>0</v>
      </c>
      <c r="ES15" s="736">
        <f t="shared" si="42"/>
        <v>0</v>
      </c>
      <c r="ET15" s="736">
        <f t="shared" si="42"/>
        <v>0</v>
      </c>
      <c r="EU15" s="736">
        <f t="shared" si="42"/>
        <v>0</v>
      </c>
      <c r="EV15" s="736">
        <f t="shared" si="42"/>
        <v>0</v>
      </c>
      <c r="EW15" s="736">
        <f t="shared" si="42"/>
        <v>0</v>
      </c>
      <c r="EX15" s="736">
        <f t="shared" si="42"/>
        <v>0</v>
      </c>
      <c r="EY15" s="736">
        <f t="shared" si="42"/>
        <v>0</v>
      </c>
      <c r="EZ15" s="736">
        <f t="shared" si="42"/>
        <v>0</v>
      </c>
      <c r="FA15" s="736">
        <f t="shared" si="42"/>
        <v>0</v>
      </c>
      <c r="FB15" s="736">
        <f t="shared" si="42"/>
        <v>0</v>
      </c>
      <c r="FC15" s="736">
        <f t="shared" si="42"/>
        <v>0</v>
      </c>
      <c r="FD15" s="736">
        <f t="shared" si="42"/>
        <v>0</v>
      </c>
      <c r="FE15" s="736">
        <f t="shared" si="42"/>
        <v>0</v>
      </c>
      <c r="FF15" s="736">
        <f t="shared" si="42"/>
        <v>0</v>
      </c>
      <c r="FG15" s="736">
        <f t="shared" si="42"/>
        <v>0</v>
      </c>
      <c r="FH15" s="736">
        <f t="shared" si="42"/>
        <v>0</v>
      </c>
      <c r="FI15" s="736">
        <f t="shared" si="42"/>
        <v>0</v>
      </c>
      <c r="FJ15" s="736">
        <f t="shared" si="42"/>
        <v>0</v>
      </c>
      <c r="FK15" s="736">
        <f t="shared" si="42"/>
        <v>0</v>
      </c>
      <c r="FL15" s="736">
        <f t="shared" si="42"/>
        <v>0</v>
      </c>
      <c r="FM15" s="736">
        <f t="shared" si="42"/>
        <v>0</v>
      </c>
      <c r="FN15" s="736">
        <f t="shared" si="42"/>
        <v>0</v>
      </c>
      <c r="FO15" s="736">
        <f t="shared" si="42"/>
        <v>0</v>
      </c>
      <c r="FP15" s="736">
        <f t="shared" si="42"/>
        <v>0</v>
      </c>
      <c r="FQ15" s="736">
        <f t="shared" si="42"/>
        <v>0</v>
      </c>
      <c r="FR15" s="736">
        <f t="shared" si="42"/>
        <v>0</v>
      </c>
      <c r="FS15" s="736">
        <f t="shared" si="42"/>
        <v>0</v>
      </c>
      <c r="FT15" s="736">
        <f t="shared" si="42"/>
        <v>0</v>
      </c>
      <c r="FU15" s="736">
        <f t="shared" si="42"/>
        <v>0</v>
      </c>
      <c r="FV15" s="736">
        <f t="shared" si="42"/>
        <v>0</v>
      </c>
      <c r="FW15" s="736">
        <f t="shared" si="42"/>
        <v>0</v>
      </c>
      <c r="FX15" s="736">
        <f t="shared" si="42"/>
        <v>0</v>
      </c>
      <c r="FY15" s="736">
        <f t="shared" si="42"/>
        <v>0</v>
      </c>
      <c r="FZ15" s="736">
        <f t="shared" si="42"/>
        <v>0</v>
      </c>
      <c r="GA15" s="736">
        <f t="shared" si="42"/>
        <v>0</v>
      </c>
      <c r="GB15" s="736">
        <f t="shared" si="42"/>
        <v>0</v>
      </c>
      <c r="GC15" s="736">
        <f t="shared" si="42"/>
        <v>0</v>
      </c>
      <c r="GD15" s="736">
        <f t="shared" si="42"/>
        <v>0</v>
      </c>
      <c r="GE15" s="736">
        <f t="shared" si="42"/>
        <v>0</v>
      </c>
      <c r="GF15" s="736">
        <f t="shared" si="42"/>
        <v>0</v>
      </c>
      <c r="GG15" s="736">
        <f t="shared" si="42"/>
        <v>0</v>
      </c>
      <c r="GH15" s="736">
        <f t="shared" si="42"/>
        <v>0</v>
      </c>
      <c r="GI15" s="736">
        <f t="shared" si="42"/>
        <v>0</v>
      </c>
      <c r="GJ15" s="736">
        <f t="shared" si="42"/>
        <v>0</v>
      </c>
    </row>
    <row r="16" spans="2:192">
      <c r="B16" s="634"/>
      <c r="C16" s="634"/>
      <c r="D16" s="634"/>
      <c r="E16" s="634"/>
      <c r="F16" s="634"/>
      <c r="G16" s="635"/>
      <c r="H16" s="635"/>
      <c r="I16" s="635"/>
      <c r="J16" s="635"/>
      <c r="K16" s="635"/>
    </row>
    <row r="17" spans="2:192">
      <c r="B17" s="636"/>
      <c r="C17" s="1899" t="str">
        <f>[1]テーブル!$B$3</f>
        <v>交付申請兼実績報告（２次）</v>
      </c>
      <c r="D17" s="1904" t="s">
        <v>1414</v>
      </c>
      <c r="E17" s="1905"/>
      <c r="F17" s="960"/>
      <c r="G17" s="637">
        <f>基礎情報!J22</f>
        <v>45200</v>
      </c>
      <c r="H17" s="637">
        <f>基礎情報!K22</f>
        <v>45201</v>
      </c>
      <c r="I17" s="637">
        <f>基礎情報!L22</f>
        <v>45202</v>
      </c>
      <c r="J17" s="637">
        <f>基礎情報!M22</f>
        <v>45203</v>
      </c>
      <c r="K17" s="637">
        <f>基礎情報!N22</f>
        <v>45204</v>
      </c>
      <c r="L17" s="637">
        <f>基礎情報!O22</f>
        <v>45205</v>
      </c>
      <c r="M17" s="637">
        <f>基礎情報!P22</f>
        <v>45206</v>
      </c>
      <c r="N17" s="637">
        <f>基礎情報!Q22</f>
        <v>45207</v>
      </c>
      <c r="O17" s="637">
        <f>基礎情報!R22</f>
        <v>45208</v>
      </c>
      <c r="P17" s="637">
        <f>基礎情報!S22</f>
        <v>45209</v>
      </c>
      <c r="Q17" s="637">
        <f>基礎情報!T22</f>
        <v>45210</v>
      </c>
      <c r="R17" s="637">
        <f>基礎情報!U22</f>
        <v>45211</v>
      </c>
      <c r="S17" s="637">
        <f>基礎情報!V22</f>
        <v>45212</v>
      </c>
      <c r="T17" s="637">
        <f>基礎情報!W22</f>
        <v>45213</v>
      </c>
      <c r="U17" s="637">
        <f>基礎情報!X22</f>
        <v>45214</v>
      </c>
      <c r="V17" s="637">
        <f>基礎情報!Y22</f>
        <v>45215</v>
      </c>
      <c r="W17" s="637">
        <f>基礎情報!Z22</f>
        <v>45216</v>
      </c>
      <c r="X17" s="637">
        <f>基礎情報!AA22</f>
        <v>45217</v>
      </c>
      <c r="Y17" s="637">
        <f>基礎情報!AB22</f>
        <v>45218</v>
      </c>
      <c r="Z17" s="637">
        <f>基礎情報!AC22</f>
        <v>45219</v>
      </c>
      <c r="AA17" s="637">
        <f>基礎情報!AD22</f>
        <v>45220</v>
      </c>
      <c r="AB17" s="637">
        <f>基礎情報!AE22</f>
        <v>45221</v>
      </c>
      <c r="AC17" s="637">
        <f>基礎情報!AF22</f>
        <v>45222</v>
      </c>
      <c r="AD17" s="637">
        <f>基礎情報!AG22</f>
        <v>45223</v>
      </c>
      <c r="AE17" s="637">
        <f>基礎情報!AH22</f>
        <v>45224</v>
      </c>
      <c r="AF17" s="637">
        <f>基礎情報!AI22</f>
        <v>45225</v>
      </c>
      <c r="AG17" s="637">
        <f>基礎情報!AJ22</f>
        <v>45226</v>
      </c>
      <c r="AH17" s="637">
        <f>基礎情報!AK22</f>
        <v>45227</v>
      </c>
      <c r="AI17" s="637">
        <f>基礎情報!AL22</f>
        <v>45228</v>
      </c>
      <c r="AJ17" s="637">
        <f>基礎情報!AM22</f>
        <v>45229</v>
      </c>
      <c r="AK17" s="637">
        <f>基礎情報!AN22</f>
        <v>45230</v>
      </c>
      <c r="AL17" s="637">
        <f>基礎情報!J29</f>
        <v>45231</v>
      </c>
      <c r="AM17" s="637">
        <f>基礎情報!K29</f>
        <v>45232</v>
      </c>
      <c r="AN17" s="637">
        <f>基礎情報!L29</f>
        <v>45233</v>
      </c>
      <c r="AO17" s="637">
        <f>基礎情報!M29</f>
        <v>45234</v>
      </c>
      <c r="AP17" s="637">
        <f>基礎情報!N29</f>
        <v>45235</v>
      </c>
      <c r="AQ17" s="637">
        <f>基礎情報!O29</f>
        <v>45236</v>
      </c>
      <c r="AR17" s="637">
        <f>基礎情報!P29</f>
        <v>45237</v>
      </c>
      <c r="AS17" s="637">
        <f>基礎情報!Q29</f>
        <v>45238</v>
      </c>
      <c r="AT17" s="637">
        <f>基礎情報!R29</f>
        <v>45239</v>
      </c>
      <c r="AU17" s="637">
        <f>基礎情報!S29</f>
        <v>45240</v>
      </c>
      <c r="AV17" s="637">
        <f>基礎情報!T29</f>
        <v>45241</v>
      </c>
      <c r="AW17" s="637">
        <f>基礎情報!U29</f>
        <v>45242</v>
      </c>
      <c r="AX17" s="637">
        <f>基礎情報!V29</f>
        <v>45243</v>
      </c>
      <c r="AY17" s="637">
        <f>基礎情報!W29</f>
        <v>45244</v>
      </c>
      <c r="AZ17" s="637">
        <f>基礎情報!X29</f>
        <v>45245</v>
      </c>
      <c r="BA17" s="637">
        <f>基礎情報!Y29</f>
        <v>45246</v>
      </c>
      <c r="BB17" s="637">
        <f>基礎情報!Z29</f>
        <v>45247</v>
      </c>
      <c r="BC17" s="637">
        <f>基礎情報!AA29</f>
        <v>45248</v>
      </c>
      <c r="BD17" s="637">
        <f>基礎情報!AB29</f>
        <v>45249</v>
      </c>
      <c r="BE17" s="637">
        <f>基礎情報!AC29</f>
        <v>45250</v>
      </c>
      <c r="BF17" s="637">
        <f>基礎情報!AD29</f>
        <v>45251</v>
      </c>
      <c r="BG17" s="637">
        <f>基礎情報!AE29</f>
        <v>45252</v>
      </c>
      <c r="BH17" s="637">
        <f>基礎情報!AF29</f>
        <v>45253</v>
      </c>
      <c r="BI17" s="637">
        <f>基礎情報!AG29</f>
        <v>45254</v>
      </c>
      <c r="BJ17" s="637">
        <f>基礎情報!AH29</f>
        <v>45255</v>
      </c>
      <c r="BK17" s="637">
        <f>基礎情報!AI29</f>
        <v>45256</v>
      </c>
      <c r="BL17" s="637">
        <f>基礎情報!AJ29</f>
        <v>45257</v>
      </c>
      <c r="BM17" s="637">
        <f>基礎情報!AK29</f>
        <v>45258</v>
      </c>
      <c r="BN17" s="637">
        <f>基礎情報!AL29</f>
        <v>45259</v>
      </c>
      <c r="BO17" s="637">
        <f>基礎情報!AM29</f>
        <v>45260</v>
      </c>
      <c r="BP17" s="637" t="str">
        <f>基礎情報!AN29</f>
        <v/>
      </c>
      <c r="BQ17" s="637">
        <f>基礎情報!J36</f>
        <v>45261</v>
      </c>
      <c r="BR17" s="637">
        <f>基礎情報!K36</f>
        <v>45262</v>
      </c>
      <c r="BS17" s="637">
        <f>基礎情報!L36</f>
        <v>45263</v>
      </c>
      <c r="BT17" s="637">
        <f>基礎情報!M36</f>
        <v>45264</v>
      </c>
      <c r="BU17" s="637">
        <f>基礎情報!N36</f>
        <v>45265</v>
      </c>
      <c r="BV17" s="637">
        <f>基礎情報!O36</f>
        <v>45266</v>
      </c>
      <c r="BW17" s="637">
        <f>基礎情報!P36</f>
        <v>45267</v>
      </c>
      <c r="BX17" s="637">
        <f>基礎情報!Q36</f>
        <v>45268</v>
      </c>
      <c r="BY17" s="637">
        <f>基礎情報!R36</f>
        <v>45269</v>
      </c>
      <c r="BZ17" s="637">
        <f>基礎情報!S36</f>
        <v>45270</v>
      </c>
      <c r="CA17" s="637">
        <f>基礎情報!T36</f>
        <v>45271</v>
      </c>
      <c r="CB17" s="637">
        <f>基礎情報!U36</f>
        <v>45272</v>
      </c>
      <c r="CC17" s="637">
        <f>基礎情報!V36</f>
        <v>45273</v>
      </c>
      <c r="CD17" s="637">
        <f>基礎情報!W36</f>
        <v>45274</v>
      </c>
      <c r="CE17" s="637">
        <f>基礎情報!X36</f>
        <v>45275</v>
      </c>
      <c r="CF17" s="637">
        <f>基礎情報!Y36</f>
        <v>45276</v>
      </c>
      <c r="CG17" s="637">
        <f>基礎情報!Z36</f>
        <v>45277</v>
      </c>
      <c r="CH17" s="637">
        <f>基礎情報!AA36</f>
        <v>45278</v>
      </c>
      <c r="CI17" s="637">
        <f>基礎情報!AB36</f>
        <v>45279</v>
      </c>
      <c r="CJ17" s="637">
        <f>基礎情報!AC36</f>
        <v>45280</v>
      </c>
      <c r="CK17" s="637">
        <f>基礎情報!AD36</f>
        <v>45281</v>
      </c>
      <c r="CL17" s="637">
        <f>基礎情報!AE36</f>
        <v>45282</v>
      </c>
      <c r="CM17" s="637">
        <f>基礎情報!AF36</f>
        <v>45283</v>
      </c>
      <c r="CN17" s="637">
        <f>基礎情報!AG36</f>
        <v>45284</v>
      </c>
      <c r="CO17" s="637">
        <f>基礎情報!AH36</f>
        <v>45285</v>
      </c>
      <c r="CP17" s="637">
        <f>基礎情報!AI36</f>
        <v>45286</v>
      </c>
      <c r="CQ17" s="637">
        <f>基礎情報!AJ36</f>
        <v>45287</v>
      </c>
      <c r="CR17" s="637">
        <f>基礎情報!AK36</f>
        <v>45288</v>
      </c>
      <c r="CS17" s="637">
        <f>基礎情報!AL36</f>
        <v>45289</v>
      </c>
      <c r="CT17" s="637">
        <f>基礎情報!AM36</f>
        <v>45290</v>
      </c>
      <c r="CU17" s="637">
        <f>基礎情報!AN36</f>
        <v>45291</v>
      </c>
      <c r="CV17" s="637">
        <f>基礎情報!J43</f>
        <v>45292</v>
      </c>
      <c r="CW17" s="637">
        <f>基礎情報!K43</f>
        <v>45293</v>
      </c>
      <c r="CX17" s="637">
        <f>基礎情報!L43</f>
        <v>45294</v>
      </c>
      <c r="CY17" s="637">
        <f>基礎情報!M43</f>
        <v>45295</v>
      </c>
      <c r="CZ17" s="637">
        <f>基礎情報!N43</f>
        <v>45296</v>
      </c>
      <c r="DA17" s="637">
        <f>基礎情報!O43</f>
        <v>45297</v>
      </c>
      <c r="DB17" s="637">
        <f>基礎情報!P43</f>
        <v>45298</v>
      </c>
      <c r="DC17" s="637">
        <f>基礎情報!Q43</f>
        <v>45299</v>
      </c>
      <c r="DD17" s="637">
        <f>基礎情報!R43</f>
        <v>45300</v>
      </c>
      <c r="DE17" s="637">
        <f>基礎情報!S43</f>
        <v>45301</v>
      </c>
      <c r="DF17" s="637">
        <f>基礎情報!T43</f>
        <v>45302</v>
      </c>
      <c r="DG17" s="637">
        <f>基礎情報!U43</f>
        <v>45303</v>
      </c>
      <c r="DH17" s="637">
        <f>基礎情報!V43</f>
        <v>45304</v>
      </c>
      <c r="DI17" s="637">
        <f>基礎情報!W43</f>
        <v>45305</v>
      </c>
      <c r="DJ17" s="637">
        <f>基礎情報!X43</f>
        <v>45306</v>
      </c>
      <c r="DK17" s="637">
        <f>基礎情報!Y43</f>
        <v>45307</v>
      </c>
      <c r="DL17" s="637">
        <f>基礎情報!Z43</f>
        <v>45308</v>
      </c>
      <c r="DM17" s="637">
        <f>基礎情報!AA43</f>
        <v>45309</v>
      </c>
      <c r="DN17" s="637">
        <f>基礎情報!AB43</f>
        <v>45310</v>
      </c>
      <c r="DO17" s="637">
        <f>基礎情報!AC43</f>
        <v>45311</v>
      </c>
      <c r="DP17" s="637">
        <f>基礎情報!AD43</f>
        <v>45312</v>
      </c>
      <c r="DQ17" s="637">
        <f>基礎情報!AE43</f>
        <v>45313</v>
      </c>
      <c r="DR17" s="637">
        <f>基礎情報!AF43</f>
        <v>45314</v>
      </c>
      <c r="DS17" s="637">
        <f>基礎情報!AG43</f>
        <v>45315</v>
      </c>
      <c r="DT17" s="637">
        <f>基礎情報!AH43</f>
        <v>45316</v>
      </c>
      <c r="DU17" s="637">
        <f>基礎情報!AI43</f>
        <v>45317</v>
      </c>
      <c r="DV17" s="637">
        <f>基礎情報!AJ43</f>
        <v>45318</v>
      </c>
      <c r="DW17" s="637">
        <f>基礎情報!AK43</f>
        <v>45319</v>
      </c>
      <c r="DX17" s="637">
        <f>基礎情報!AL43</f>
        <v>45320</v>
      </c>
      <c r="DY17" s="637">
        <f>基礎情報!AM43</f>
        <v>45321</v>
      </c>
      <c r="DZ17" s="637">
        <f>基礎情報!AN43</f>
        <v>45322</v>
      </c>
      <c r="EA17" s="637">
        <f>基礎情報!J50</f>
        <v>45323</v>
      </c>
      <c r="EB17" s="637">
        <f>基礎情報!K50</f>
        <v>45324</v>
      </c>
      <c r="EC17" s="637">
        <f>基礎情報!L50</f>
        <v>45325</v>
      </c>
      <c r="ED17" s="637">
        <f>基礎情報!M50</f>
        <v>45326</v>
      </c>
      <c r="EE17" s="637">
        <f>基礎情報!N50</f>
        <v>45327</v>
      </c>
      <c r="EF17" s="637">
        <f>基礎情報!O50</f>
        <v>45328</v>
      </c>
      <c r="EG17" s="637">
        <f>基礎情報!P50</f>
        <v>45329</v>
      </c>
      <c r="EH17" s="637">
        <f>基礎情報!Q50</f>
        <v>45330</v>
      </c>
      <c r="EI17" s="637">
        <f>基礎情報!R50</f>
        <v>45331</v>
      </c>
      <c r="EJ17" s="637">
        <f>基礎情報!S50</f>
        <v>45332</v>
      </c>
      <c r="EK17" s="637">
        <f>基礎情報!T50</f>
        <v>45333</v>
      </c>
      <c r="EL17" s="637">
        <f>基礎情報!U50</f>
        <v>45334</v>
      </c>
      <c r="EM17" s="637">
        <f>基礎情報!V50</f>
        <v>45335</v>
      </c>
      <c r="EN17" s="637">
        <f>基礎情報!W50</f>
        <v>45336</v>
      </c>
      <c r="EO17" s="637">
        <f>基礎情報!X50</f>
        <v>45337</v>
      </c>
      <c r="EP17" s="637">
        <f>基礎情報!Y50</f>
        <v>45338</v>
      </c>
      <c r="EQ17" s="637">
        <f>基礎情報!Z50</f>
        <v>45339</v>
      </c>
      <c r="ER17" s="637">
        <f>基礎情報!AA50</f>
        <v>45340</v>
      </c>
      <c r="ES17" s="637">
        <f>基礎情報!AB50</f>
        <v>45341</v>
      </c>
      <c r="ET17" s="637">
        <f>基礎情報!AC50</f>
        <v>45342</v>
      </c>
      <c r="EU17" s="637">
        <f>基礎情報!AD50</f>
        <v>45343</v>
      </c>
      <c r="EV17" s="637">
        <f>基礎情報!AE50</f>
        <v>45344</v>
      </c>
      <c r="EW17" s="637">
        <f>基礎情報!AF50</f>
        <v>45345</v>
      </c>
      <c r="EX17" s="637">
        <f>基礎情報!AG50</f>
        <v>45346</v>
      </c>
      <c r="EY17" s="637">
        <f>基礎情報!AH50</f>
        <v>45347</v>
      </c>
      <c r="EZ17" s="637">
        <f>基礎情報!AI50</f>
        <v>45348</v>
      </c>
      <c r="FA17" s="637">
        <f>基礎情報!AJ50</f>
        <v>45349</v>
      </c>
      <c r="FB17" s="637">
        <f>基礎情報!AK50</f>
        <v>45350</v>
      </c>
      <c r="FC17" s="637">
        <f>基礎情報!AL50</f>
        <v>45351</v>
      </c>
      <c r="FD17" s="637" t="str">
        <f>基礎情報!AM50</f>
        <v/>
      </c>
      <c r="FE17" s="637" t="str">
        <f>基礎情報!AN50</f>
        <v/>
      </c>
      <c r="FF17" s="637">
        <f>基礎情報!J57</f>
        <v>45352</v>
      </c>
      <c r="FG17" s="637">
        <f>基礎情報!K57</f>
        <v>45353</v>
      </c>
      <c r="FH17" s="637">
        <f>基礎情報!L57</f>
        <v>45354</v>
      </c>
      <c r="FI17" s="637">
        <f>基礎情報!M57</f>
        <v>45355</v>
      </c>
      <c r="FJ17" s="637">
        <f>基礎情報!N57</f>
        <v>45356</v>
      </c>
      <c r="FK17" s="637">
        <f>基礎情報!O57</f>
        <v>45357</v>
      </c>
      <c r="FL17" s="637">
        <f>基礎情報!P57</f>
        <v>45358</v>
      </c>
      <c r="FM17" s="637">
        <f>基礎情報!Q57</f>
        <v>45359</v>
      </c>
      <c r="FN17" s="637">
        <f>基礎情報!R57</f>
        <v>45360</v>
      </c>
      <c r="FO17" s="637">
        <f>基礎情報!S57</f>
        <v>45361</v>
      </c>
      <c r="FP17" s="637">
        <f>基礎情報!T57</f>
        <v>45362</v>
      </c>
      <c r="FQ17" s="637">
        <f>基礎情報!U57</f>
        <v>45363</v>
      </c>
      <c r="FR17" s="637">
        <f>基礎情報!V57</f>
        <v>45364</v>
      </c>
      <c r="FS17" s="637">
        <f>基礎情報!W57</f>
        <v>45365</v>
      </c>
      <c r="FT17" s="637">
        <f>基礎情報!X57</f>
        <v>45366</v>
      </c>
      <c r="FU17" s="637">
        <f>基礎情報!Y57</f>
        <v>45367</v>
      </c>
      <c r="FV17" s="637">
        <f>基礎情報!Z57</f>
        <v>45368</v>
      </c>
      <c r="FW17" s="637">
        <f>基礎情報!AA57</f>
        <v>45369</v>
      </c>
      <c r="FX17" s="637">
        <f>基礎情報!AB57</f>
        <v>45370</v>
      </c>
      <c r="FY17" s="637">
        <f>基礎情報!AC57</f>
        <v>45371</v>
      </c>
      <c r="FZ17" s="637">
        <f>基礎情報!AD57</f>
        <v>45372</v>
      </c>
      <c r="GA17" s="637">
        <f>基礎情報!AE57</f>
        <v>45373</v>
      </c>
      <c r="GB17" s="637">
        <f>基礎情報!AF57</f>
        <v>45374</v>
      </c>
      <c r="GC17" s="637">
        <f>基礎情報!AG57</f>
        <v>45375</v>
      </c>
      <c r="GD17" s="637">
        <f>基礎情報!AH57</f>
        <v>45376</v>
      </c>
      <c r="GE17" s="637">
        <f>基礎情報!AI57</f>
        <v>45377</v>
      </c>
      <c r="GF17" s="637">
        <f>基礎情報!AJ57</f>
        <v>45378</v>
      </c>
      <c r="GG17" s="637">
        <f>基礎情報!AK57</f>
        <v>45379</v>
      </c>
      <c r="GH17" s="637">
        <f>基礎情報!AL57</f>
        <v>45380</v>
      </c>
      <c r="GI17" s="637">
        <f>基礎情報!AM57</f>
        <v>45381</v>
      </c>
      <c r="GJ17" s="637">
        <f>基礎情報!AN57</f>
        <v>45382</v>
      </c>
    </row>
    <row r="18" spans="2:192">
      <c r="B18" s="636"/>
      <c r="C18" s="1900"/>
      <c r="D18" s="1906"/>
      <c r="E18" s="1907"/>
      <c r="F18" s="1908"/>
      <c r="G18" s="637" t="str">
        <f>TEXT(G17,"aaaa")</f>
        <v>日曜日</v>
      </c>
      <c r="H18" s="637" t="str">
        <f t="shared" ref="H18:AQ18" si="43">TEXT(H17,"aaaa")</f>
        <v>月曜日</v>
      </c>
      <c r="I18" s="637" t="str">
        <f t="shared" si="43"/>
        <v>火曜日</v>
      </c>
      <c r="J18" s="637" t="str">
        <f t="shared" si="43"/>
        <v>水曜日</v>
      </c>
      <c r="K18" s="637" t="str">
        <f t="shared" si="43"/>
        <v>木曜日</v>
      </c>
      <c r="L18" s="637" t="str">
        <f t="shared" si="43"/>
        <v>金曜日</v>
      </c>
      <c r="M18" s="637" t="str">
        <f t="shared" si="43"/>
        <v>土曜日</v>
      </c>
      <c r="N18" s="637" t="str">
        <f t="shared" si="43"/>
        <v>日曜日</v>
      </c>
      <c r="O18" s="637" t="str">
        <f t="shared" si="43"/>
        <v>月曜日</v>
      </c>
      <c r="P18" s="637" t="str">
        <f t="shared" si="43"/>
        <v>火曜日</v>
      </c>
      <c r="Q18" s="637" t="str">
        <f t="shared" si="43"/>
        <v>水曜日</v>
      </c>
      <c r="R18" s="637" t="str">
        <f t="shared" si="43"/>
        <v>木曜日</v>
      </c>
      <c r="S18" s="637" t="str">
        <f t="shared" si="43"/>
        <v>金曜日</v>
      </c>
      <c r="T18" s="637" t="str">
        <f t="shared" si="43"/>
        <v>土曜日</v>
      </c>
      <c r="U18" s="637" t="str">
        <f t="shared" si="43"/>
        <v>日曜日</v>
      </c>
      <c r="V18" s="637" t="str">
        <f t="shared" si="43"/>
        <v>月曜日</v>
      </c>
      <c r="W18" s="637" t="str">
        <f t="shared" si="43"/>
        <v>火曜日</v>
      </c>
      <c r="X18" s="637" t="str">
        <f t="shared" si="43"/>
        <v>水曜日</v>
      </c>
      <c r="Y18" s="637" t="str">
        <f t="shared" si="43"/>
        <v>木曜日</v>
      </c>
      <c r="Z18" s="637" t="str">
        <f t="shared" si="43"/>
        <v>金曜日</v>
      </c>
      <c r="AA18" s="637" t="str">
        <f t="shared" si="43"/>
        <v>土曜日</v>
      </c>
      <c r="AB18" s="637" t="str">
        <f t="shared" si="43"/>
        <v>日曜日</v>
      </c>
      <c r="AC18" s="637" t="str">
        <f t="shared" si="43"/>
        <v>月曜日</v>
      </c>
      <c r="AD18" s="637" t="str">
        <f t="shared" si="43"/>
        <v>火曜日</v>
      </c>
      <c r="AE18" s="637" t="str">
        <f t="shared" si="43"/>
        <v>水曜日</v>
      </c>
      <c r="AF18" s="637" t="str">
        <f t="shared" si="43"/>
        <v>木曜日</v>
      </c>
      <c r="AG18" s="637" t="str">
        <f t="shared" si="43"/>
        <v>金曜日</v>
      </c>
      <c r="AH18" s="637" t="str">
        <f t="shared" si="43"/>
        <v>土曜日</v>
      </c>
      <c r="AI18" s="637" t="str">
        <f t="shared" si="43"/>
        <v>日曜日</v>
      </c>
      <c r="AJ18" s="637" t="str">
        <f t="shared" si="43"/>
        <v>月曜日</v>
      </c>
      <c r="AK18" s="637" t="str">
        <f t="shared" si="43"/>
        <v>火曜日</v>
      </c>
      <c r="AL18" s="637" t="str">
        <f t="shared" si="43"/>
        <v>水曜日</v>
      </c>
      <c r="AM18" s="637" t="str">
        <f t="shared" si="43"/>
        <v>木曜日</v>
      </c>
      <c r="AN18" s="637" t="str">
        <f t="shared" si="43"/>
        <v>金曜日</v>
      </c>
      <c r="AO18" s="637" t="str">
        <f t="shared" si="43"/>
        <v>土曜日</v>
      </c>
      <c r="AP18" s="637" t="str">
        <f t="shared" si="43"/>
        <v>日曜日</v>
      </c>
      <c r="AQ18" s="637" t="str">
        <f t="shared" si="43"/>
        <v>月曜日</v>
      </c>
      <c r="AR18" s="637" t="str">
        <f t="shared" ref="AR18:BO18" si="44">TEXT(AR17,"aaaa")</f>
        <v>火曜日</v>
      </c>
      <c r="AS18" s="637" t="str">
        <f t="shared" si="44"/>
        <v>水曜日</v>
      </c>
      <c r="AT18" s="637" t="str">
        <f t="shared" si="44"/>
        <v>木曜日</v>
      </c>
      <c r="AU18" s="637" t="str">
        <f t="shared" si="44"/>
        <v>金曜日</v>
      </c>
      <c r="AV18" s="637" t="str">
        <f t="shared" si="44"/>
        <v>土曜日</v>
      </c>
      <c r="AW18" s="637" t="str">
        <f t="shared" si="44"/>
        <v>日曜日</v>
      </c>
      <c r="AX18" s="637" t="str">
        <f t="shared" si="44"/>
        <v>月曜日</v>
      </c>
      <c r="AY18" s="637" t="str">
        <f t="shared" si="44"/>
        <v>火曜日</v>
      </c>
      <c r="AZ18" s="637" t="str">
        <f t="shared" si="44"/>
        <v>水曜日</v>
      </c>
      <c r="BA18" s="637" t="str">
        <f t="shared" si="44"/>
        <v>木曜日</v>
      </c>
      <c r="BB18" s="637" t="str">
        <f t="shared" si="44"/>
        <v>金曜日</v>
      </c>
      <c r="BC18" s="637" t="str">
        <f t="shared" si="44"/>
        <v>土曜日</v>
      </c>
      <c r="BD18" s="637" t="str">
        <f t="shared" si="44"/>
        <v>日曜日</v>
      </c>
      <c r="BE18" s="637" t="str">
        <f t="shared" si="44"/>
        <v>月曜日</v>
      </c>
      <c r="BF18" s="637" t="str">
        <f t="shared" si="44"/>
        <v>火曜日</v>
      </c>
      <c r="BG18" s="637" t="str">
        <f t="shared" si="44"/>
        <v>水曜日</v>
      </c>
      <c r="BH18" s="637" t="str">
        <f t="shared" si="44"/>
        <v>木曜日</v>
      </c>
      <c r="BI18" s="637" t="str">
        <f t="shared" si="44"/>
        <v>金曜日</v>
      </c>
      <c r="BJ18" s="637" t="str">
        <f t="shared" si="44"/>
        <v>土曜日</v>
      </c>
      <c r="BK18" s="637" t="str">
        <f t="shared" si="44"/>
        <v>日曜日</v>
      </c>
      <c r="BL18" s="637" t="str">
        <f t="shared" si="44"/>
        <v>月曜日</v>
      </c>
      <c r="BM18" s="637" t="str">
        <f t="shared" si="44"/>
        <v>火曜日</v>
      </c>
      <c r="BN18" s="637" t="str">
        <f t="shared" si="44"/>
        <v>水曜日</v>
      </c>
      <c r="BO18" s="637" t="str">
        <f t="shared" si="44"/>
        <v>木曜日</v>
      </c>
      <c r="BP18" s="637" t="str">
        <f t="shared" ref="BP18" si="45">TEXT(BP17,"aaaa")</f>
        <v/>
      </c>
      <c r="BQ18" s="637" t="str">
        <f>TEXT(BQ17,"aaaa")</f>
        <v>金曜日</v>
      </c>
      <c r="BR18" s="637" t="str">
        <f t="shared" ref="BR18:BY18" si="46">TEXT(BR17,"aaaa")</f>
        <v>土曜日</v>
      </c>
      <c r="BS18" s="637" t="str">
        <f t="shared" si="46"/>
        <v>日曜日</v>
      </c>
      <c r="BT18" s="637" t="str">
        <f t="shared" si="46"/>
        <v>月曜日</v>
      </c>
      <c r="BU18" s="637" t="str">
        <f t="shared" si="46"/>
        <v>火曜日</v>
      </c>
      <c r="BV18" s="637" t="str">
        <f t="shared" si="46"/>
        <v>水曜日</v>
      </c>
      <c r="BW18" s="637" t="str">
        <f t="shared" si="46"/>
        <v>木曜日</v>
      </c>
      <c r="BX18" s="637" t="str">
        <f t="shared" si="46"/>
        <v>金曜日</v>
      </c>
      <c r="BY18" s="637" t="str">
        <f t="shared" si="46"/>
        <v>土曜日</v>
      </c>
      <c r="BZ18" s="637" t="str">
        <f t="shared" ref="BZ18" si="47">TEXT(BZ17,"aaaa")</f>
        <v>日曜日</v>
      </c>
      <c r="CA18" s="637" t="str">
        <f t="shared" ref="CA18" si="48">TEXT(CA17,"aaaa")</f>
        <v>月曜日</v>
      </c>
      <c r="CB18" s="637" t="str">
        <f t="shared" ref="CB18" si="49">TEXT(CB17,"aaaa")</f>
        <v>火曜日</v>
      </c>
      <c r="CC18" s="637" t="str">
        <f t="shared" ref="CC18" si="50">TEXT(CC17,"aaaa")</f>
        <v>水曜日</v>
      </c>
      <c r="CD18" s="637" t="str">
        <f t="shared" ref="CD18" si="51">TEXT(CD17,"aaaa")</f>
        <v>木曜日</v>
      </c>
      <c r="CE18" s="637" t="str">
        <f t="shared" ref="CE18" si="52">TEXT(CE17,"aaaa")</f>
        <v>金曜日</v>
      </c>
      <c r="CF18" s="637" t="str">
        <f t="shared" ref="CF18" si="53">TEXT(CF17,"aaaa")</f>
        <v>土曜日</v>
      </c>
      <c r="CG18" s="637" t="str">
        <f t="shared" ref="CG18" si="54">TEXT(CG17,"aaaa")</f>
        <v>日曜日</v>
      </c>
      <c r="CH18" s="637" t="str">
        <f t="shared" ref="CH18" si="55">TEXT(CH17,"aaaa")</f>
        <v>月曜日</v>
      </c>
      <c r="CI18" s="637" t="str">
        <f t="shared" ref="CI18" si="56">TEXT(CI17,"aaaa")</f>
        <v>火曜日</v>
      </c>
      <c r="CJ18" s="637" t="str">
        <f t="shared" ref="CJ18" si="57">TEXT(CJ17,"aaaa")</f>
        <v>水曜日</v>
      </c>
      <c r="CK18" s="637" t="str">
        <f t="shared" ref="CK18" si="58">TEXT(CK17,"aaaa")</f>
        <v>木曜日</v>
      </c>
      <c r="CL18" s="637" t="str">
        <f t="shared" ref="CL18" si="59">TEXT(CL17,"aaaa")</f>
        <v>金曜日</v>
      </c>
      <c r="CM18" s="637" t="str">
        <f t="shared" ref="CM18" si="60">TEXT(CM17,"aaaa")</f>
        <v>土曜日</v>
      </c>
      <c r="CN18" s="637" t="str">
        <f t="shared" ref="CN18" si="61">TEXT(CN17,"aaaa")</f>
        <v>日曜日</v>
      </c>
      <c r="CO18" s="637" t="str">
        <f t="shared" ref="CO18" si="62">TEXT(CO17,"aaaa")</f>
        <v>月曜日</v>
      </c>
      <c r="CP18" s="637" t="str">
        <f t="shared" ref="CP18" si="63">TEXT(CP17,"aaaa")</f>
        <v>火曜日</v>
      </c>
      <c r="CQ18" s="637" t="str">
        <f t="shared" ref="CQ18" si="64">TEXT(CQ17,"aaaa")</f>
        <v>水曜日</v>
      </c>
      <c r="CR18" s="637" t="str">
        <f t="shared" ref="CR18" si="65">TEXT(CR17,"aaaa")</f>
        <v>木曜日</v>
      </c>
      <c r="CS18" s="637" t="str">
        <f t="shared" ref="CS18" si="66">TEXT(CS17,"aaaa")</f>
        <v>金曜日</v>
      </c>
      <c r="CT18" s="637" t="str">
        <f t="shared" ref="CT18:CU18" si="67">TEXT(CT17,"aaaa")</f>
        <v>土曜日</v>
      </c>
      <c r="CU18" s="637" t="str">
        <f t="shared" si="67"/>
        <v>日曜日</v>
      </c>
      <c r="CV18" s="637" t="str">
        <f t="shared" ref="CV18" si="68">TEXT(CV17,"aaaa")</f>
        <v>月曜日</v>
      </c>
      <c r="CW18" s="637" t="str">
        <f t="shared" ref="CW18" si="69">TEXT(CW17,"aaaa")</f>
        <v>火曜日</v>
      </c>
      <c r="CX18" s="637" t="str">
        <f t="shared" ref="CX18" si="70">TEXT(CX17,"aaaa")</f>
        <v>水曜日</v>
      </c>
      <c r="CY18" s="637" t="str">
        <f t="shared" ref="CY18" si="71">TEXT(CY17,"aaaa")</f>
        <v>木曜日</v>
      </c>
      <c r="CZ18" s="637" t="str">
        <f t="shared" ref="CZ18" si="72">TEXT(CZ17,"aaaa")</f>
        <v>金曜日</v>
      </c>
      <c r="DA18" s="637" t="str">
        <f t="shared" ref="DA18" si="73">TEXT(DA17,"aaaa")</f>
        <v>土曜日</v>
      </c>
      <c r="DB18" s="637" t="str">
        <f t="shared" ref="DB18" si="74">TEXT(DB17,"aaaa")</f>
        <v>日曜日</v>
      </c>
      <c r="DC18" s="637" t="str">
        <f t="shared" ref="DC18" si="75">TEXT(DC17,"aaaa")</f>
        <v>月曜日</v>
      </c>
      <c r="DD18" s="637" t="str">
        <f t="shared" ref="DD18" si="76">TEXT(DD17,"aaaa")</f>
        <v>火曜日</v>
      </c>
      <c r="DE18" s="637" t="str">
        <f t="shared" ref="DE18" si="77">TEXT(DE17,"aaaa")</f>
        <v>水曜日</v>
      </c>
      <c r="DF18" s="637" t="str">
        <f t="shared" ref="DF18" si="78">TEXT(DF17,"aaaa")</f>
        <v>木曜日</v>
      </c>
      <c r="DG18" s="637" t="str">
        <f t="shared" ref="DG18" si="79">TEXT(DG17,"aaaa")</f>
        <v>金曜日</v>
      </c>
      <c r="DH18" s="637" t="str">
        <f t="shared" ref="DH18" si="80">TEXT(DH17,"aaaa")</f>
        <v>土曜日</v>
      </c>
      <c r="DI18" s="637" t="str">
        <f t="shared" ref="DI18" si="81">TEXT(DI17,"aaaa")</f>
        <v>日曜日</v>
      </c>
      <c r="DJ18" s="637" t="str">
        <f t="shared" ref="DJ18" si="82">TEXT(DJ17,"aaaa")</f>
        <v>月曜日</v>
      </c>
      <c r="DK18" s="637" t="str">
        <f t="shared" ref="DK18" si="83">TEXT(DK17,"aaaa")</f>
        <v>火曜日</v>
      </c>
      <c r="DL18" s="637" t="str">
        <f t="shared" ref="DL18" si="84">TEXT(DL17,"aaaa")</f>
        <v>水曜日</v>
      </c>
      <c r="DM18" s="637" t="str">
        <f t="shared" ref="DM18" si="85">TEXT(DM17,"aaaa")</f>
        <v>木曜日</v>
      </c>
      <c r="DN18" s="637" t="str">
        <f t="shared" ref="DN18" si="86">TEXT(DN17,"aaaa")</f>
        <v>金曜日</v>
      </c>
      <c r="DO18" s="637" t="str">
        <f t="shared" ref="DO18" si="87">TEXT(DO17,"aaaa")</f>
        <v>土曜日</v>
      </c>
      <c r="DP18" s="637" t="str">
        <f t="shared" ref="DP18" si="88">TEXT(DP17,"aaaa")</f>
        <v>日曜日</v>
      </c>
      <c r="DQ18" s="637" t="str">
        <f t="shared" ref="DQ18" si="89">TEXT(DQ17,"aaaa")</f>
        <v>月曜日</v>
      </c>
      <c r="DR18" s="637" t="str">
        <f t="shared" ref="DR18" si="90">TEXT(DR17,"aaaa")</f>
        <v>火曜日</v>
      </c>
      <c r="DS18" s="637" t="str">
        <f t="shared" ref="DS18" si="91">TEXT(DS17,"aaaa")</f>
        <v>水曜日</v>
      </c>
      <c r="DT18" s="637" t="str">
        <f t="shared" ref="DT18" si="92">TEXT(DT17,"aaaa")</f>
        <v>木曜日</v>
      </c>
      <c r="DU18" s="637" t="str">
        <f t="shared" ref="DU18" si="93">TEXT(DU17,"aaaa")</f>
        <v>金曜日</v>
      </c>
      <c r="DV18" s="637" t="str">
        <f t="shared" ref="DV18" si="94">TEXT(DV17,"aaaa")</f>
        <v>土曜日</v>
      </c>
      <c r="DW18" s="637" t="str">
        <f t="shared" ref="DW18" si="95">TEXT(DW17,"aaaa")</f>
        <v>日曜日</v>
      </c>
      <c r="DX18" s="637" t="str">
        <f t="shared" ref="DX18" si="96">TEXT(DX17,"aaaa")</f>
        <v>月曜日</v>
      </c>
      <c r="DY18" s="637" t="str">
        <f t="shared" ref="DY18" si="97">TEXT(DY17,"aaaa")</f>
        <v>火曜日</v>
      </c>
      <c r="DZ18" s="637" t="str">
        <f t="shared" ref="DZ18" si="98">TEXT(DZ17,"aaaa")</f>
        <v>水曜日</v>
      </c>
      <c r="EA18" s="637" t="str">
        <f t="shared" ref="EA18" si="99">TEXT(EA17,"aaaa")</f>
        <v>木曜日</v>
      </c>
      <c r="EB18" s="637" t="str">
        <f t="shared" ref="EB18" si="100">TEXT(EB17,"aaaa")</f>
        <v>金曜日</v>
      </c>
      <c r="EC18" s="637" t="str">
        <f t="shared" ref="EC18" si="101">TEXT(EC17,"aaaa")</f>
        <v>土曜日</v>
      </c>
      <c r="ED18" s="637" t="str">
        <f t="shared" ref="ED18" si="102">TEXT(ED17,"aaaa")</f>
        <v>日曜日</v>
      </c>
      <c r="EE18" s="637" t="str">
        <f t="shared" ref="EE18" si="103">TEXT(EE17,"aaaa")</f>
        <v>月曜日</v>
      </c>
      <c r="EF18" s="637" t="str">
        <f t="shared" ref="EF18" si="104">TEXT(EF17,"aaaa")</f>
        <v>火曜日</v>
      </c>
      <c r="EG18" s="637" t="str">
        <f t="shared" ref="EG18" si="105">TEXT(EG17,"aaaa")</f>
        <v>水曜日</v>
      </c>
      <c r="EH18" s="637" t="str">
        <f t="shared" ref="EH18" si="106">TEXT(EH17,"aaaa")</f>
        <v>木曜日</v>
      </c>
      <c r="EI18" s="637" t="str">
        <f t="shared" ref="EI18" si="107">TEXT(EI17,"aaaa")</f>
        <v>金曜日</v>
      </c>
      <c r="EJ18" s="637" t="str">
        <f t="shared" ref="EJ18" si="108">TEXT(EJ17,"aaaa")</f>
        <v>土曜日</v>
      </c>
      <c r="EK18" s="637" t="str">
        <f t="shared" ref="EK18" si="109">TEXT(EK17,"aaaa")</f>
        <v>日曜日</v>
      </c>
      <c r="EL18" s="637" t="str">
        <f t="shared" ref="EL18" si="110">TEXT(EL17,"aaaa")</f>
        <v>月曜日</v>
      </c>
      <c r="EM18" s="637" t="str">
        <f t="shared" ref="EM18" si="111">TEXT(EM17,"aaaa")</f>
        <v>火曜日</v>
      </c>
      <c r="EN18" s="637" t="str">
        <f t="shared" ref="EN18" si="112">TEXT(EN17,"aaaa")</f>
        <v>水曜日</v>
      </c>
      <c r="EO18" s="637" t="str">
        <f t="shared" ref="EO18" si="113">TEXT(EO17,"aaaa")</f>
        <v>木曜日</v>
      </c>
      <c r="EP18" s="637" t="str">
        <f t="shared" ref="EP18" si="114">TEXT(EP17,"aaaa")</f>
        <v>金曜日</v>
      </c>
      <c r="EQ18" s="637" t="str">
        <f t="shared" ref="EQ18" si="115">TEXT(EQ17,"aaaa")</f>
        <v>土曜日</v>
      </c>
      <c r="ER18" s="637" t="str">
        <f t="shared" ref="ER18" si="116">TEXT(ER17,"aaaa")</f>
        <v>日曜日</v>
      </c>
      <c r="ES18" s="637" t="str">
        <f t="shared" ref="ES18" si="117">TEXT(ES17,"aaaa")</f>
        <v>月曜日</v>
      </c>
      <c r="ET18" s="637" t="str">
        <f t="shared" ref="ET18" si="118">TEXT(ET17,"aaaa")</f>
        <v>火曜日</v>
      </c>
      <c r="EU18" s="637" t="str">
        <f t="shared" ref="EU18" si="119">TEXT(EU17,"aaaa")</f>
        <v>水曜日</v>
      </c>
      <c r="EV18" s="637" t="str">
        <f t="shared" ref="EV18" si="120">TEXT(EV17,"aaaa")</f>
        <v>木曜日</v>
      </c>
      <c r="EW18" s="637" t="str">
        <f t="shared" ref="EW18" si="121">TEXT(EW17,"aaaa")</f>
        <v>金曜日</v>
      </c>
      <c r="EX18" s="637" t="str">
        <f t="shared" ref="EX18" si="122">TEXT(EX17,"aaaa")</f>
        <v>土曜日</v>
      </c>
      <c r="EY18" s="637" t="str">
        <f t="shared" ref="EY18" si="123">TEXT(EY17,"aaaa")</f>
        <v>日曜日</v>
      </c>
      <c r="EZ18" s="637" t="str">
        <f t="shared" ref="EZ18" si="124">TEXT(EZ17,"aaaa")</f>
        <v>月曜日</v>
      </c>
      <c r="FA18" s="637" t="str">
        <f t="shared" ref="FA18" si="125">TEXT(FA17,"aaaa")</f>
        <v>火曜日</v>
      </c>
      <c r="FB18" s="637" t="str">
        <f t="shared" ref="FB18" si="126">TEXT(FB17,"aaaa")</f>
        <v>水曜日</v>
      </c>
      <c r="FC18" s="637" t="str">
        <f t="shared" ref="FC18" si="127">TEXT(FC17,"aaaa")</f>
        <v>木曜日</v>
      </c>
      <c r="FD18" s="637" t="str">
        <f t="shared" ref="FD18" si="128">TEXT(FD17,"aaaa")</f>
        <v/>
      </c>
      <c r="FE18" s="637" t="str">
        <f t="shared" ref="FE18" si="129">TEXT(FE17,"aaaa")</f>
        <v/>
      </c>
      <c r="FF18" s="637" t="str">
        <f t="shared" ref="FF18" si="130">TEXT(FF17,"aaaa")</f>
        <v>金曜日</v>
      </c>
      <c r="FG18" s="637" t="str">
        <f t="shared" ref="FG18" si="131">TEXT(FG17,"aaaa")</f>
        <v>土曜日</v>
      </c>
      <c r="FH18" s="637" t="str">
        <f t="shared" ref="FH18" si="132">TEXT(FH17,"aaaa")</f>
        <v>日曜日</v>
      </c>
      <c r="FI18" s="637" t="str">
        <f t="shared" ref="FI18" si="133">TEXT(FI17,"aaaa")</f>
        <v>月曜日</v>
      </c>
      <c r="FJ18" s="637" t="str">
        <f t="shared" ref="FJ18" si="134">TEXT(FJ17,"aaaa")</f>
        <v>火曜日</v>
      </c>
      <c r="FK18" s="637" t="str">
        <f t="shared" ref="FK18" si="135">TEXT(FK17,"aaaa")</f>
        <v>水曜日</v>
      </c>
      <c r="FL18" s="637" t="str">
        <f t="shared" ref="FL18" si="136">TEXT(FL17,"aaaa")</f>
        <v>木曜日</v>
      </c>
      <c r="FM18" s="637" t="str">
        <f t="shared" ref="FM18" si="137">TEXT(FM17,"aaaa")</f>
        <v>金曜日</v>
      </c>
      <c r="FN18" s="637" t="str">
        <f t="shared" ref="FN18" si="138">TEXT(FN17,"aaaa")</f>
        <v>土曜日</v>
      </c>
      <c r="FO18" s="637" t="str">
        <f t="shared" ref="FO18" si="139">TEXT(FO17,"aaaa")</f>
        <v>日曜日</v>
      </c>
      <c r="FP18" s="637" t="str">
        <f t="shared" ref="FP18" si="140">TEXT(FP17,"aaaa")</f>
        <v>月曜日</v>
      </c>
      <c r="FQ18" s="637" t="str">
        <f t="shared" ref="FQ18" si="141">TEXT(FQ17,"aaaa")</f>
        <v>火曜日</v>
      </c>
      <c r="FR18" s="637" t="str">
        <f t="shared" ref="FR18" si="142">TEXT(FR17,"aaaa")</f>
        <v>水曜日</v>
      </c>
      <c r="FS18" s="637" t="str">
        <f t="shared" ref="FS18" si="143">TEXT(FS17,"aaaa")</f>
        <v>木曜日</v>
      </c>
      <c r="FT18" s="637" t="str">
        <f t="shared" ref="FT18" si="144">TEXT(FT17,"aaaa")</f>
        <v>金曜日</v>
      </c>
      <c r="FU18" s="637" t="str">
        <f t="shared" ref="FU18" si="145">TEXT(FU17,"aaaa")</f>
        <v>土曜日</v>
      </c>
      <c r="FV18" s="637" t="str">
        <f t="shared" ref="FV18" si="146">TEXT(FV17,"aaaa")</f>
        <v>日曜日</v>
      </c>
      <c r="FW18" s="637" t="str">
        <f t="shared" ref="FW18" si="147">TEXT(FW17,"aaaa")</f>
        <v>月曜日</v>
      </c>
      <c r="FX18" s="637" t="str">
        <f t="shared" ref="FX18" si="148">TEXT(FX17,"aaaa")</f>
        <v>火曜日</v>
      </c>
      <c r="FY18" s="637" t="str">
        <f t="shared" ref="FY18" si="149">TEXT(FY17,"aaaa")</f>
        <v>水曜日</v>
      </c>
      <c r="FZ18" s="637" t="str">
        <f t="shared" ref="FZ18" si="150">TEXT(FZ17,"aaaa")</f>
        <v>木曜日</v>
      </c>
      <c r="GA18" s="637" t="str">
        <f t="shared" ref="GA18" si="151">TEXT(GA17,"aaaa")</f>
        <v>金曜日</v>
      </c>
      <c r="GB18" s="637" t="str">
        <f t="shared" ref="GB18" si="152">TEXT(GB17,"aaaa")</f>
        <v>土曜日</v>
      </c>
      <c r="GC18" s="637" t="str">
        <f t="shared" ref="GC18" si="153">TEXT(GC17,"aaaa")</f>
        <v>日曜日</v>
      </c>
      <c r="GD18" s="637" t="str">
        <f t="shared" ref="GD18" si="154">TEXT(GD17,"aaaa")</f>
        <v>月曜日</v>
      </c>
      <c r="GE18" s="637" t="str">
        <f t="shared" ref="GE18" si="155">TEXT(GE17,"aaaa")</f>
        <v>火曜日</v>
      </c>
      <c r="GF18" s="637" t="str">
        <f t="shared" ref="GF18" si="156">TEXT(GF17,"aaaa")</f>
        <v>水曜日</v>
      </c>
      <c r="GG18" s="637" t="str">
        <f t="shared" ref="GG18" si="157">TEXT(GG17,"aaaa")</f>
        <v>木曜日</v>
      </c>
      <c r="GH18" s="637" t="str">
        <f t="shared" ref="GH18" si="158">TEXT(GH17,"aaaa")</f>
        <v>金曜日</v>
      </c>
      <c r="GI18" s="637" t="str">
        <f t="shared" ref="GI18" si="159">TEXT(GI17,"aaaa")</f>
        <v>土曜日</v>
      </c>
      <c r="GJ18" s="637" t="str">
        <f t="shared" ref="GJ18" si="160">TEXT(GJ17,"aaaa")</f>
        <v>日曜日</v>
      </c>
    </row>
    <row r="19" spans="2:192">
      <c r="B19" s="636"/>
      <c r="C19" s="1900"/>
      <c r="D19" s="1906"/>
      <c r="E19" s="1907"/>
      <c r="F19" s="1908"/>
      <c r="G19" s="732">
        <v>0</v>
      </c>
      <c r="H19" s="732">
        <v>0</v>
      </c>
      <c r="I19" s="732">
        <v>0</v>
      </c>
      <c r="J19" s="732">
        <v>0</v>
      </c>
      <c r="K19" s="732">
        <v>0</v>
      </c>
      <c r="L19" s="732">
        <v>0</v>
      </c>
      <c r="M19" s="732">
        <v>0</v>
      </c>
      <c r="N19" s="732">
        <v>0</v>
      </c>
      <c r="O19" s="732">
        <v>0</v>
      </c>
      <c r="P19" s="732">
        <v>0</v>
      </c>
      <c r="Q19" s="732">
        <v>0</v>
      </c>
      <c r="R19" s="732">
        <v>0</v>
      </c>
      <c r="S19" s="732">
        <v>0</v>
      </c>
      <c r="T19" s="732">
        <v>0</v>
      </c>
      <c r="U19" s="732">
        <v>0</v>
      </c>
      <c r="V19" s="732">
        <v>0</v>
      </c>
      <c r="W19" s="732">
        <v>0</v>
      </c>
      <c r="X19" s="732">
        <v>0</v>
      </c>
      <c r="Y19" s="732">
        <v>0</v>
      </c>
      <c r="Z19" s="732">
        <v>0</v>
      </c>
      <c r="AA19" s="732">
        <v>0</v>
      </c>
      <c r="AB19" s="732">
        <v>0</v>
      </c>
      <c r="AC19" s="732">
        <v>0</v>
      </c>
      <c r="AD19" s="732">
        <v>0</v>
      </c>
      <c r="AE19" s="732">
        <v>0</v>
      </c>
      <c r="AF19" s="732">
        <v>0</v>
      </c>
      <c r="AG19" s="732">
        <v>0</v>
      </c>
      <c r="AH19" s="732">
        <v>0</v>
      </c>
      <c r="AI19" s="732">
        <v>0</v>
      </c>
      <c r="AJ19" s="732">
        <v>0</v>
      </c>
      <c r="AK19" s="732">
        <v>0</v>
      </c>
      <c r="AL19" s="732">
        <v>0</v>
      </c>
      <c r="AM19" s="732">
        <v>0</v>
      </c>
      <c r="AN19" s="732">
        <v>0</v>
      </c>
      <c r="AO19" s="732">
        <v>0</v>
      </c>
      <c r="AP19" s="732">
        <v>0</v>
      </c>
      <c r="AQ19" s="732">
        <v>0</v>
      </c>
      <c r="AR19" s="732">
        <v>0</v>
      </c>
      <c r="AS19" s="732">
        <v>0</v>
      </c>
      <c r="AT19" s="732">
        <v>0</v>
      </c>
      <c r="AU19" s="732">
        <v>0</v>
      </c>
      <c r="AV19" s="732">
        <v>0</v>
      </c>
      <c r="AW19" s="732">
        <v>0</v>
      </c>
      <c r="AX19" s="732">
        <v>0</v>
      </c>
      <c r="AY19" s="732">
        <v>0</v>
      </c>
      <c r="AZ19" s="732">
        <v>0</v>
      </c>
      <c r="BA19" s="732">
        <v>0</v>
      </c>
      <c r="BB19" s="732">
        <v>0</v>
      </c>
      <c r="BC19" s="732">
        <v>0</v>
      </c>
      <c r="BD19" s="732">
        <v>0</v>
      </c>
      <c r="BE19" s="732">
        <v>0</v>
      </c>
      <c r="BF19" s="732">
        <v>0</v>
      </c>
      <c r="BG19" s="732">
        <v>0</v>
      </c>
      <c r="BH19" s="732">
        <v>0</v>
      </c>
      <c r="BI19" s="732">
        <v>0</v>
      </c>
      <c r="BJ19" s="732">
        <v>0</v>
      </c>
      <c r="BK19" s="732">
        <v>0</v>
      </c>
      <c r="BL19" s="732">
        <v>0</v>
      </c>
      <c r="BM19" s="732">
        <v>0</v>
      </c>
      <c r="BN19" s="732">
        <v>0</v>
      </c>
      <c r="BO19" s="732">
        <v>0</v>
      </c>
      <c r="BP19" s="732">
        <v>0</v>
      </c>
      <c r="BQ19" s="732">
        <v>0</v>
      </c>
      <c r="BR19" s="732">
        <v>0</v>
      </c>
      <c r="BS19" s="732">
        <v>0</v>
      </c>
      <c r="BT19" s="732">
        <v>0</v>
      </c>
      <c r="BU19" s="732">
        <v>0</v>
      </c>
      <c r="BV19" s="732">
        <v>0</v>
      </c>
      <c r="BW19" s="732">
        <v>0</v>
      </c>
      <c r="BX19" s="732">
        <v>0</v>
      </c>
      <c r="BY19" s="732">
        <v>0</v>
      </c>
      <c r="BZ19" s="732">
        <v>0</v>
      </c>
      <c r="CA19" s="732">
        <v>0</v>
      </c>
      <c r="CB19" s="732">
        <v>0</v>
      </c>
      <c r="CC19" s="732">
        <v>0</v>
      </c>
      <c r="CD19" s="732">
        <v>0</v>
      </c>
      <c r="CE19" s="732">
        <v>0</v>
      </c>
      <c r="CF19" s="732">
        <v>0</v>
      </c>
      <c r="CG19" s="732">
        <v>0</v>
      </c>
      <c r="CH19" s="732">
        <v>0</v>
      </c>
      <c r="CI19" s="732">
        <v>0</v>
      </c>
      <c r="CJ19" s="732">
        <v>0</v>
      </c>
      <c r="CK19" s="732">
        <v>0</v>
      </c>
      <c r="CL19" s="732">
        <v>0</v>
      </c>
      <c r="CM19" s="732">
        <v>0</v>
      </c>
      <c r="CN19" s="732">
        <v>0</v>
      </c>
      <c r="CO19" s="732">
        <v>0</v>
      </c>
      <c r="CP19" s="732">
        <v>0</v>
      </c>
      <c r="CQ19" s="732">
        <v>0</v>
      </c>
      <c r="CR19" s="732">
        <v>0</v>
      </c>
      <c r="CS19" s="732">
        <v>0</v>
      </c>
      <c r="CT19" s="732">
        <v>0</v>
      </c>
      <c r="CU19" s="732">
        <v>0</v>
      </c>
      <c r="CV19" s="732">
        <v>0</v>
      </c>
      <c r="CW19" s="732">
        <v>0</v>
      </c>
      <c r="CX19" s="732">
        <v>0</v>
      </c>
      <c r="CY19" s="732">
        <v>0</v>
      </c>
      <c r="CZ19" s="732">
        <v>0</v>
      </c>
      <c r="DA19" s="732">
        <v>0</v>
      </c>
      <c r="DB19" s="732">
        <v>0</v>
      </c>
      <c r="DC19" s="732">
        <v>0</v>
      </c>
      <c r="DD19" s="732">
        <v>0</v>
      </c>
      <c r="DE19" s="732">
        <v>0</v>
      </c>
      <c r="DF19" s="732">
        <v>0</v>
      </c>
      <c r="DG19" s="732">
        <v>0</v>
      </c>
      <c r="DH19" s="732">
        <v>0</v>
      </c>
      <c r="DI19" s="732">
        <v>0</v>
      </c>
      <c r="DJ19" s="732">
        <v>0</v>
      </c>
      <c r="DK19" s="732">
        <v>0</v>
      </c>
      <c r="DL19" s="732">
        <v>0</v>
      </c>
      <c r="DM19" s="732">
        <v>0</v>
      </c>
      <c r="DN19" s="732">
        <v>0</v>
      </c>
      <c r="DO19" s="732">
        <v>0</v>
      </c>
      <c r="DP19" s="732">
        <v>0</v>
      </c>
      <c r="DQ19" s="732">
        <v>0</v>
      </c>
      <c r="DR19" s="732">
        <v>0</v>
      </c>
      <c r="DS19" s="732">
        <v>1</v>
      </c>
      <c r="DT19" s="732">
        <v>1</v>
      </c>
      <c r="DU19" s="732">
        <v>1</v>
      </c>
      <c r="DV19" s="732">
        <v>1</v>
      </c>
      <c r="DW19" s="732">
        <v>1</v>
      </c>
      <c r="DX19" s="732">
        <v>1</v>
      </c>
      <c r="DY19" s="732">
        <v>1</v>
      </c>
      <c r="DZ19" s="732">
        <v>1</v>
      </c>
      <c r="EA19" s="732">
        <v>1</v>
      </c>
      <c r="EB19" s="732">
        <v>1</v>
      </c>
      <c r="EC19" s="732">
        <v>1</v>
      </c>
      <c r="ED19" s="732">
        <v>1</v>
      </c>
      <c r="EE19" s="732">
        <v>1</v>
      </c>
      <c r="EF19" s="732">
        <v>1</v>
      </c>
      <c r="EG19" s="732">
        <v>1</v>
      </c>
      <c r="EH19" s="732">
        <v>1</v>
      </c>
      <c r="EI19" s="732">
        <v>1</v>
      </c>
      <c r="EJ19" s="732">
        <v>1</v>
      </c>
      <c r="EK19" s="732">
        <v>1</v>
      </c>
      <c r="EL19" s="732">
        <v>1</v>
      </c>
      <c r="EM19" s="732">
        <v>1</v>
      </c>
      <c r="EN19" s="732">
        <v>1</v>
      </c>
      <c r="EO19" s="732">
        <v>1</v>
      </c>
      <c r="EP19" s="732">
        <v>1</v>
      </c>
      <c r="EQ19" s="732">
        <v>1</v>
      </c>
      <c r="ER19" s="732">
        <v>1</v>
      </c>
      <c r="ES19" s="732">
        <v>1</v>
      </c>
      <c r="ET19" s="732">
        <v>1</v>
      </c>
      <c r="EU19" s="732">
        <v>1</v>
      </c>
      <c r="EV19" s="732">
        <v>1</v>
      </c>
      <c r="EW19" s="732">
        <v>1</v>
      </c>
      <c r="EX19" s="732">
        <v>1</v>
      </c>
      <c r="EY19" s="732">
        <v>1</v>
      </c>
      <c r="EZ19" s="732">
        <v>1</v>
      </c>
      <c r="FA19" s="732">
        <v>1</v>
      </c>
      <c r="FB19" s="732">
        <v>1</v>
      </c>
      <c r="FC19" s="732">
        <v>1</v>
      </c>
      <c r="FD19" s="732">
        <v>1</v>
      </c>
      <c r="FE19" s="732">
        <v>1</v>
      </c>
      <c r="FF19" s="732">
        <v>1</v>
      </c>
      <c r="FG19" s="732">
        <v>1</v>
      </c>
      <c r="FH19" s="732">
        <v>1</v>
      </c>
      <c r="FI19" s="732">
        <v>1</v>
      </c>
      <c r="FJ19" s="732">
        <v>1</v>
      </c>
      <c r="FK19" s="732">
        <v>1</v>
      </c>
      <c r="FL19" s="732">
        <v>1</v>
      </c>
      <c r="FM19" s="732">
        <v>1</v>
      </c>
      <c r="FN19" s="732">
        <v>1</v>
      </c>
      <c r="FO19" s="732">
        <v>1</v>
      </c>
      <c r="FP19" s="732">
        <v>1</v>
      </c>
      <c r="FQ19" s="732">
        <v>1</v>
      </c>
      <c r="FR19" s="732">
        <v>1</v>
      </c>
      <c r="FS19" s="732">
        <v>1</v>
      </c>
      <c r="FT19" s="732">
        <v>1</v>
      </c>
      <c r="FU19" s="732">
        <v>1</v>
      </c>
      <c r="FV19" s="732">
        <v>1</v>
      </c>
      <c r="FW19" s="732">
        <v>1</v>
      </c>
      <c r="FX19" s="732">
        <v>1</v>
      </c>
      <c r="FY19" s="732">
        <v>1</v>
      </c>
      <c r="FZ19" s="732">
        <v>1</v>
      </c>
      <c r="GA19" s="732">
        <v>1</v>
      </c>
      <c r="GB19" s="732">
        <v>1</v>
      </c>
      <c r="GC19" s="732">
        <v>1</v>
      </c>
      <c r="GD19" s="732">
        <v>1</v>
      </c>
      <c r="GE19" s="732">
        <v>1</v>
      </c>
      <c r="GF19" s="732">
        <v>1</v>
      </c>
      <c r="GG19" s="732">
        <v>1</v>
      </c>
      <c r="GH19" s="732">
        <v>1</v>
      </c>
      <c r="GI19" s="732">
        <v>1</v>
      </c>
      <c r="GJ19" s="732">
        <v>1</v>
      </c>
    </row>
    <row r="20" spans="2:192" ht="9.75" hidden="1" customHeight="1">
      <c r="B20" s="636"/>
      <c r="C20" s="1901"/>
      <c r="D20" s="1909"/>
      <c r="E20" s="1910"/>
      <c r="F20" s="1911"/>
      <c r="G20" s="637" t="s">
        <v>1425</v>
      </c>
      <c r="H20" s="637" t="s">
        <v>1425</v>
      </c>
      <c r="I20" s="637" t="s">
        <v>1425</v>
      </c>
      <c r="J20" s="637" t="s">
        <v>1425</v>
      </c>
      <c r="K20" s="637" t="s">
        <v>1425</v>
      </c>
      <c r="L20" s="637" t="s">
        <v>1425</v>
      </c>
      <c r="M20" s="637" t="s">
        <v>1425</v>
      </c>
      <c r="N20" s="637" t="s">
        <v>1425</v>
      </c>
      <c r="O20" s="637" t="s">
        <v>1425</v>
      </c>
      <c r="P20" s="637" t="s">
        <v>1425</v>
      </c>
      <c r="Q20" s="637" t="s">
        <v>1425</v>
      </c>
      <c r="R20" s="637" t="s">
        <v>1425</v>
      </c>
      <c r="S20" s="637" t="s">
        <v>1425</v>
      </c>
      <c r="T20" s="637" t="s">
        <v>1425</v>
      </c>
      <c r="U20" s="637" t="s">
        <v>1425</v>
      </c>
      <c r="V20" s="637" t="s">
        <v>1425</v>
      </c>
      <c r="W20" s="637" t="s">
        <v>1425</v>
      </c>
      <c r="X20" s="637" t="s">
        <v>1425</v>
      </c>
      <c r="Y20" s="637" t="s">
        <v>1425</v>
      </c>
      <c r="Z20" s="637" t="s">
        <v>1425</v>
      </c>
      <c r="AA20" s="637" t="s">
        <v>1425</v>
      </c>
      <c r="AB20" s="637" t="s">
        <v>1425</v>
      </c>
      <c r="AC20" s="637" t="s">
        <v>1425</v>
      </c>
      <c r="AD20" s="637" t="s">
        <v>1425</v>
      </c>
      <c r="AE20" s="637" t="s">
        <v>1425</v>
      </c>
      <c r="AF20" s="637" t="s">
        <v>1425</v>
      </c>
      <c r="AG20" s="637" t="s">
        <v>1425</v>
      </c>
      <c r="AH20" s="637" t="s">
        <v>1425</v>
      </c>
      <c r="AI20" s="637" t="s">
        <v>1425</v>
      </c>
      <c r="AJ20" s="637" t="s">
        <v>1425</v>
      </c>
      <c r="AK20" s="637" t="s">
        <v>1425</v>
      </c>
      <c r="AL20" s="637" t="s">
        <v>1425</v>
      </c>
      <c r="AM20" s="637" t="s">
        <v>1425</v>
      </c>
      <c r="AN20" s="637" t="s">
        <v>1425</v>
      </c>
      <c r="AO20" s="637" t="s">
        <v>1425</v>
      </c>
      <c r="AP20" s="637" t="s">
        <v>1425</v>
      </c>
      <c r="AQ20" s="637" t="s">
        <v>1425</v>
      </c>
      <c r="AR20" s="637" t="s">
        <v>1425</v>
      </c>
      <c r="AS20" s="637" t="s">
        <v>1425</v>
      </c>
      <c r="AT20" s="637" t="s">
        <v>1425</v>
      </c>
      <c r="AU20" s="637" t="s">
        <v>1425</v>
      </c>
      <c r="AV20" s="637" t="s">
        <v>1425</v>
      </c>
      <c r="AW20" s="637" t="s">
        <v>1425</v>
      </c>
      <c r="AX20" s="637" t="s">
        <v>1425</v>
      </c>
      <c r="AY20" s="637" t="s">
        <v>1425</v>
      </c>
      <c r="AZ20" s="637" t="s">
        <v>1425</v>
      </c>
      <c r="BA20" s="637" t="s">
        <v>1425</v>
      </c>
      <c r="BB20" s="637" t="s">
        <v>1425</v>
      </c>
      <c r="BC20" s="637" t="s">
        <v>1425</v>
      </c>
      <c r="BD20" s="637" t="s">
        <v>1425</v>
      </c>
      <c r="BE20" s="637" t="s">
        <v>1425</v>
      </c>
      <c r="BF20" s="637" t="s">
        <v>1425</v>
      </c>
      <c r="BG20" s="637" t="s">
        <v>1425</v>
      </c>
      <c r="BH20" s="637" t="s">
        <v>1425</v>
      </c>
      <c r="BI20" s="637" t="s">
        <v>1425</v>
      </c>
      <c r="BJ20" s="637" t="s">
        <v>1425</v>
      </c>
      <c r="BK20" s="637" t="s">
        <v>1425</v>
      </c>
      <c r="BL20" s="637" t="s">
        <v>1425</v>
      </c>
      <c r="BM20" s="637" t="s">
        <v>1425</v>
      </c>
      <c r="BN20" s="637" t="s">
        <v>1425</v>
      </c>
      <c r="BO20" s="637" t="s">
        <v>1425</v>
      </c>
      <c r="BP20" s="637" t="s">
        <v>1425</v>
      </c>
      <c r="BQ20" s="637" t="s">
        <v>1425</v>
      </c>
      <c r="BR20" s="637" t="s">
        <v>1425</v>
      </c>
      <c r="BS20" s="637" t="s">
        <v>1425</v>
      </c>
      <c r="BT20" s="637" t="s">
        <v>1425</v>
      </c>
      <c r="BU20" s="637" t="s">
        <v>1425</v>
      </c>
      <c r="BV20" s="637" t="s">
        <v>1425</v>
      </c>
      <c r="BW20" s="637" t="s">
        <v>1425</v>
      </c>
      <c r="BX20" s="637" t="s">
        <v>1425</v>
      </c>
      <c r="BY20" s="637" t="s">
        <v>1425</v>
      </c>
      <c r="BZ20" s="637" t="s">
        <v>1425</v>
      </c>
      <c r="CA20" s="637" t="s">
        <v>1425</v>
      </c>
      <c r="CB20" s="637" t="s">
        <v>1425</v>
      </c>
      <c r="CC20" s="637" t="s">
        <v>1425</v>
      </c>
      <c r="CD20" s="637" t="s">
        <v>1425</v>
      </c>
      <c r="CE20" s="637" t="s">
        <v>1425</v>
      </c>
      <c r="CF20" s="637" t="s">
        <v>1425</v>
      </c>
      <c r="CG20" s="637" t="s">
        <v>1425</v>
      </c>
      <c r="CH20" s="637" t="s">
        <v>1425</v>
      </c>
      <c r="CI20" s="637" t="s">
        <v>1425</v>
      </c>
      <c r="CJ20" s="637" t="s">
        <v>1425</v>
      </c>
      <c r="CK20" s="637" t="s">
        <v>1425</v>
      </c>
      <c r="CL20" s="637" t="s">
        <v>1425</v>
      </c>
      <c r="CM20" s="637" t="s">
        <v>1425</v>
      </c>
      <c r="CN20" s="637" t="s">
        <v>1425</v>
      </c>
      <c r="CO20" s="637" t="s">
        <v>1425</v>
      </c>
      <c r="CP20" s="637" t="s">
        <v>1425</v>
      </c>
      <c r="CQ20" s="637" t="s">
        <v>1425</v>
      </c>
      <c r="CR20" s="637" t="s">
        <v>1425</v>
      </c>
      <c r="CS20" s="637" t="s">
        <v>1425</v>
      </c>
      <c r="CT20" s="637" t="s">
        <v>1425</v>
      </c>
      <c r="CU20" s="637" t="s">
        <v>1425</v>
      </c>
      <c r="CV20" s="637" t="s">
        <v>1425</v>
      </c>
      <c r="CW20" s="637" t="s">
        <v>1425</v>
      </c>
      <c r="CX20" s="637" t="s">
        <v>1425</v>
      </c>
      <c r="CY20" s="637" t="s">
        <v>1425</v>
      </c>
      <c r="CZ20" s="637" t="s">
        <v>1425</v>
      </c>
      <c r="DA20" s="637" t="s">
        <v>1425</v>
      </c>
      <c r="DB20" s="637" t="s">
        <v>1425</v>
      </c>
      <c r="DC20" s="637" t="s">
        <v>1425</v>
      </c>
      <c r="DD20" s="637" t="s">
        <v>1425</v>
      </c>
      <c r="DE20" s="637" t="s">
        <v>1425</v>
      </c>
      <c r="DF20" s="637" t="s">
        <v>1425</v>
      </c>
      <c r="DG20" s="637" t="s">
        <v>1425</v>
      </c>
      <c r="DH20" s="637" t="s">
        <v>1425</v>
      </c>
      <c r="DI20" s="637" t="s">
        <v>1425</v>
      </c>
      <c r="DJ20" s="637" t="s">
        <v>1425</v>
      </c>
      <c r="DK20" s="637" t="s">
        <v>1425</v>
      </c>
      <c r="DL20" s="637" t="s">
        <v>1425</v>
      </c>
      <c r="DM20" s="637" t="s">
        <v>1425</v>
      </c>
      <c r="DN20" s="637" t="s">
        <v>1425</v>
      </c>
      <c r="DO20" s="637" t="s">
        <v>1425</v>
      </c>
      <c r="DP20" s="637" t="s">
        <v>1425</v>
      </c>
      <c r="DQ20" s="637" t="s">
        <v>1425</v>
      </c>
      <c r="DR20" s="637" t="s">
        <v>1425</v>
      </c>
      <c r="DS20" s="637" t="s">
        <v>1425</v>
      </c>
      <c r="DT20" s="637" t="s">
        <v>1425</v>
      </c>
      <c r="DU20" s="637" t="s">
        <v>1425</v>
      </c>
      <c r="DV20" s="637" t="s">
        <v>1425</v>
      </c>
      <c r="DW20" s="637" t="s">
        <v>1425</v>
      </c>
      <c r="DX20" s="637" t="s">
        <v>1425</v>
      </c>
      <c r="DY20" s="637" t="s">
        <v>1425</v>
      </c>
      <c r="DZ20" s="637" t="s">
        <v>1425</v>
      </c>
      <c r="EA20" s="637" t="s">
        <v>1425</v>
      </c>
      <c r="EB20" s="637" t="s">
        <v>1425</v>
      </c>
      <c r="EC20" s="637" t="s">
        <v>1425</v>
      </c>
      <c r="ED20" s="637" t="s">
        <v>1425</v>
      </c>
      <c r="EE20" s="637" t="s">
        <v>1425</v>
      </c>
      <c r="EF20" s="637" t="s">
        <v>1425</v>
      </c>
      <c r="EG20" s="637" t="s">
        <v>1425</v>
      </c>
      <c r="EH20" s="637" t="s">
        <v>1425</v>
      </c>
      <c r="EI20" s="637" t="s">
        <v>1425</v>
      </c>
      <c r="EJ20" s="637" t="s">
        <v>1425</v>
      </c>
      <c r="EK20" s="637" t="s">
        <v>1425</v>
      </c>
      <c r="EL20" s="637" t="s">
        <v>1425</v>
      </c>
      <c r="EM20" s="637" t="s">
        <v>1425</v>
      </c>
      <c r="EN20" s="637" t="s">
        <v>1425</v>
      </c>
      <c r="EO20" s="637" t="s">
        <v>1425</v>
      </c>
      <c r="EP20" s="637" t="s">
        <v>1425</v>
      </c>
      <c r="EQ20" s="637" t="s">
        <v>1425</v>
      </c>
      <c r="ER20" s="637" t="s">
        <v>1425</v>
      </c>
      <c r="ES20" s="637" t="s">
        <v>1425</v>
      </c>
      <c r="ET20" s="637" t="s">
        <v>1425</v>
      </c>
      <c r="EU20" s="637" t="s">
        <v>1425</v>
      </c>
      <c r="EV20" s="637" t="s">
        <v>1425</v>
      </c>
      <c r="EW20" s="637" t="s">
        <v>1425</v>
      </c>
      <c r="EX20" s="637" t="s">
        <v>1425</v>
      </c>
      <c r="EY20" s="637" t="s">
        <v>1425</v>
      </c>
      <c r="EZ20" s="637" t="s">
        <v>1425</v>
      </c>
      <c r="FA20" s="637" t="s">
        <v>1425</v>
      </c>
      <c r="FB20" s="637" t="s">
        <v>1425</v>
      </c>
      <c r="FC20" s="637" t="s">
        <v>1425</v>
      </c>
      <c r="FD20" s="637" t="s">
        <v>1425</v>
      </c>
      <c r="FE20" s="637" t="s">
        <v>1425</v>
      </c>
      <c r="FF20" s="637" t="s">
        <v>1425</v>
      </c>
      <c r="FG20" s="637" t="s">
        <v>1425</v>
      </c>
      <c r="FH20" s="637" t="s">
        <v>1425</v>
      </c>
      <c r="FI20" s="637" t="s">
        <v>1425</v>
      </c>
      <c r="FJ20" s="637" t="s">
        <v>1425</v>
      </c>
      <c r="FK20" s="637" t="s">
        <v>1425</v>
      </c>
      <c r="FL20" s="637" t="s">
        <v>1425</v>
      </c>
      <c r="FM20" s="637" t="s">
        <v>1425</v>
      </c>
      <c r="FN20" s="637" t="s">
        <v>1425</v>
      </c>
      <c r="FO20" s="637" t="s">
        <v>1425</v>
      </c>
      <c r="FP20" s="637" t="s">
        <v>1425</v>
      </c>
      <c r="FQ20" s="637" t="s">
        <v>1425</v>
      </c>
      <c r="FR20" s="637" t="s">
        <v>1425</v>
      </c>
      <c r="FS20" s="637" t="s">
        <v>1425</v>
      </c>
      <c r="FT20" s="637" t="s">
        <v>1425</v>
      </c>
      <c r="FU20" s="637" t="s">
        <v>1425</v>
      </c>
      <c r="FV20" s="637" t="s">
        <v>1425</v>
      </c>
      <c r="FW20" s="637" t="s">
        <v>1425</v>
      </c>
      <c r="FX20" s="637" t="s">
        <v>1425</v>
      </c>
      <c r="FY20" s="637" t="s">
        <v>1425</v>
      </c>
      <c r="FZ20" s="637" t="s">
        <v>1425</v>
      </c>
      <c r="GA20" s="637" t="s">
        <v>1425</v>
      </c>
      <c r="GB20" s="637" t="s">
        <v>1425</v>
      </c>
      <c r="GC20" s="637" t="s">
        <v>1425</v>
      </c>
      <c r="GD20" s="637" t="s">
        <v>1425</v>
      </c>
      <c r="GE20" s="637" t="s">
        <v>1425</v>
      </c>
      <c r="GF20" s="637" t="s">
        <v>1425</v>
      </c>
      <c r="GG20" s="637" t="s">
        <v>1425</v>
      </c>
      <c r="GH20" s="637" t="s">
        <v>1425</v>
      </c>
      <c r="GI20" s="637" t="s">
        <v>1425</v>
      </c>
      <c r="GJ20" s="637" t="s">
        <v>1425</v>
      </c>
    </row>
    <row r="21" spans="2:192">
      <c r="B21" s="638"/>
      <c r="C21" s="639" t="s">
        <v>1415</v>
      </c>
      <c r="D21" s="1902">
        <f>SUM(G21:GG21)</f>
        <v>0</v>
      </c>
      <c r="E21" s="1903"/>
      <c r="F21" s="771"/>
      <c r="G21" s="640">
        <f>IF(G$17="",0,基礎情報!J24)</f>
        <v>0</v>
      </c>
      <c r="H21" s="640">
        <f>IF(H17="",0,基礎情報!K24)</f>
        <v>0</v>
      </c>
      <c r="I21" s="640">
        <f>IF(I17="",0,基礎情報!L24)</f>
        <v>0</v>
      </c>
      <c r="J21" s="640">
        <f>IF(J17="",0,基礎情報!M24)</f>
        <v>0</v>
      </c>
      <c r="K21" s="640">
        <f>IF(K17="",0,基礎情報!N24)</f>
        <v>0</v>
      </c>
      <c r="L21" s="640">
        <f>IF(L17="",0,基礎情報!O24)</f>
        <v>0</v>
      </c>
      <c r="M21" s="640">
        <f>IF(M17="",0,基礎情報!P24)</f>
        <v>0</v>
      </c>
      <c r="N21" s="640">
        <f>IF(N17="",0,基礎情報!Q24)</f>
        <v>0</v>
      </c>
      <c r="O21" s="640">
        <f>IF(O17="",0,基礎情報!R24)</f>
        <v>0</v>
      </c>
      <c r="P21" s="640">
        <f>IF(P17="",0,基礎情報!S24)</f>
        <v>0</v>
      </c>
      <c r="Q21" s="640">
        <f>IF(Q17="",0,基礎情報!T24)</f>
        <v>0</v>
      </c>
      <c r="R21" s="640">
        <f>IF(R17="",0,基礎情報!U24)</f>
        <v>0</v>
      </c>
      <c r="S21" s="640">
        <f>IF(S17="",0,基礎情報!V24)</f>
        <v>0</v>
      </c>
      <c r="T21" s="640">
        <f>IF(T17="",0,基礎情報!W24)</f>
        <v>0</v>
      </c>
      <c r="U21" s="640">
        <f>IF(U17="",0,基礎情報!X24)</f>
        <v>0</v>
      </c>
      <c r="V21" s="640">
        <f>IF(V17="",0,基礎情報!Y24)</f>
        <v>0</v>
      </c>
      <c r="W21" s="640">
        <f>IF(W17="",0,基礎情報!Z24)</f>
        <v>0</v>
      </c>
      <c r="X21" s="640">
        <f>IF(X17="",0,基礎情報!AA24)</f>
        <v>0</v>
      </c>
      <c r="Y21" s="640">
        <f>IF(Y17="",0,基礎情報!AB24)</f>
        <v>0</v>
      </c>
      <c r="Z21" s="640">
        <f>IF(Z17="",0,基礎情報!AC24)</f>
        <v>0</v>
      </c>
      <c r="AA21" s="640">
        <f>IF(AA17="",0,基礎情報!AD24)</f>
        <v>0</v>
      </c>
      <c r="AB21" s="640">
        <f>IF(AB17="",0,基礎情報!AE24)</f>
        <v>0</v>
      </c>
      <c r="AC21" s="640">
        <f>IF(AC17="",0,基礎情報!AF24)</f>
        <v>0</v>
      </c>
      <c r="AD21" s="640">
        <f>IF(AD17="",0,基礎情報!AG24)</f>
        <v>0</v>
      </c>
      <c r="AE21" s="640">
        <f>IF(AE17="",0,基礎情報!AH24)</f>
        <v>0</v>
      </c>
      <c r="AF21" s="640">
        <f>IF(AF17="",0,基礎情報!AI24)</f>
        <v>0</v>
      </c>
      <c r="AG21" s="640">
        <f>IF(AG17="",0,基礎情報!AJ24)</f>
        <v>0</v>
      </c>
      <c r="AH21" s="640">
        <f>IF(AH17="",0,基礎情報!AK24)</f>
        <v>0</v>
      </c>
      <c r="AI21" s="640">
        <f>IF(AI17="",0,基礎情報!AL24)</f>
        <v>0</v>
      </c>
      <c r="AJ21" s="640">
        <f>IF(AJ17="",0,基礎情報!AM24)</f>
        <v>0</v>
      </c>
      <c r="AK21" s="640">
        <f>IF(AK17="",0,基礎情報!AN24)</f>
        <v>0</v>
      </c>
      <c r="AL21" s="640">
        <f>IF(AL$17="",0,基礎情報!J31)</f>
        <v>0</v>
      </c>
      <c r="AM21" s="640">
        <f>IF(AM17="",0,基礎情報!K31)</f>
        <v>0</v>
      </c>
      <c r="AN21" s="640">
        <f>IF(AN17="",0,基礎情報!L31)</f>
        <v>0</v>
      </c>
      <c r="AO21" s="640">
        <f>IF(AO17="",0,基礎情報!M31)</f>
        <v>0</v>
      </c>
      <c r="AP21" s="640">
        <f>IF(AP17="",0,基礎情報!N31)</f>
        <v>0</v>
      </c>
      <c r="AQ21" s="640">
        <f>IF(AQ17="",0,基礎情報!O31)</f>
        <v>0</v>
      </c>
      <c r="AR21" s="640">
        <f>IF(AR17="",0,基礎情報!P31)</f>
        <v>0</v>
      </c>
      <c r="AS21" s="640">
        <f>IF(AS17="",0,基礎情報!Q31)</f>
        <v>0</v>
      </c>
      <c r="AT21" s="640">
        <f>IF(AT17="",0,基礎情報!R31)</f>
        <v>0</v>
      </c>
      <c r="AU21" s="640">
        <f>IF(AU17="",0,基礎情報!S31)</f>
        <v>0</v>
      </c>
      <c r="AV21" s="640">
        <f>IF(AV17="",0,基礎情報!T31)</f>
        <v>0</v>
      </c>
      <c r="AW21" s="640">
        <f>IF(AW17="",0,基礎情報!U31)</f>
        <v>0</v>
      </c>
      <c r="AX21" s="640">
        <f>IF(AX17="",0,基礎情報!V31)</f>
        <v>0</v>
      </c>
      <c r="AY21" s="640">
        <f>IF(AY17="",0,基礎情報!W31)</f>
        <v>0</v>
      </c>
      <c r="AZ21" s="640">
        <f>IF(AZ17="",0,基礎情報!X31)</f>
        <v>0</v>
      </c>
      <c r="BA21" s="640">
        <f>IF(BA17="",0,基礎情報!Y31)</f>
        <v>0</v>
      </c>
      <c r="BB21" s="640">
        <f>IF(BB17="",0,基礎情報!Z31)</f>
        <v>0</v>
      </c>
      <c r="BC21" s="640">
        <f>IF(BC17="",0,基礎情報!AA31)</f>
        <v>0</v>
      </c>
      <c r="BD21" s="640">
        <f>IF(BD17="",0,基礎情報!AB31)</f>
        <v>0</v>
      </c>
      <c r="BE21" s="640">
        <f>IF(BE17="",0,基礎情報!AC31)</f>
        <v>0</v>
      </c>
      <c r="BF21" s="640">
        <f>IF(BF17="",0,基礎情報!AD31)</f>
        <v>0</v>
      </c>
      <c r="BG21" s="640">
        <f>IF(BG17="",0,基礎情報!AE31)</f>
        <v>0</v>
      </c>
      <c r="BH21" s="640">
        <f>IF(BH17="",0,基礎情報!AF31)</f>
        <v>0</v>
      </c>
      <c r="BI21" s="640">
        <f>IF(BI17="",0,基礎情報!AG31)</f>
        <v>0</v>
      </c>
      <c r="BJ21" s="640">
        <f>IF(BJ17="",0,基礎情報!AH31)</f>
        <v>0</v>
      </c>
      <c r="BK21" s="640">
        <f>IF(BK17="",0,基礎情報!AI31)</f>
        <v>0</v>
      </c>
      <c r="BL21" s="640">
        <f>IF(BL17="",0,基礎情報!AJ31)</f>
        <v>0</v>
      </c>
      <c r="BM21" s="640">
        <f>IF(BM17="",0,基礎情報!AK31)</f>
        <v>0</v>
      </c>
      <c r="BN21" s="640">
        <f>IF(BN17="",0,基礎情報!AL31)</f>
        <v>0</v>
      </c>
      <c r="BO21" s="640">
        <f>IF(BO17="",0,基礎情報!AM31)</f>
        <v>0</v>
      </c>
      <c r="BP21" s="640">
        <f>IF(BP17="",0,基礎情報!AN31)</f>
        <v>0</v>
      </c>
      <c r="BQ21" s="640">
        <f>IF(BQ$17="",0,基礎情報!J38)</f>
        <v>0</v>
      </c>
      <c r="BR21" s="640">
        <f>IF(BR17="",0,基礎情報!K38)</f>
        <v>0</v>
      </c>
      <c r="BS21" s="640">
        <f>IF(BS17="",0,基礎情報!L38)</f>
        <v>0</v>
      </c>
      <c r="BT21" s="640">
        <f>IF(BT17="",0,基礎情報!M38)</f>
        <v>0</v>
      </c>
      <c r="BU21" s="640">
        <f>IF(BU17="",0,基礎情報!N38)</f>
        <v>0</v>
      </c>
      <c r="BV21" s="640">
        <f>IF(BV17="",0,基礎情報!O38)</f>
        <v>0</v>
      </c>
      <c r="BW21" s="640">
        <f>IF(BW17="",0,基礎情報!P38)</f>
        <v>0</v>
      </c>
      <c r="BX21" s="640">
        <f>IF(BX17="",0,基礎情報!Q38)</f>
        <v>0</v>
      </c>
      <c r="BY21" s="640">
        <f>IF(BY17="",0,基礎情報!R38)</f>
        <v>0</v>
      </c>
      <c r="BZ21" s="640">
        <f>IF(BZ17="",0,基礎情報!S38)</f>
        <v>0</v>
      </c>
      <c r="CA21" s="640">
        <f>IF(CA17="",0,基礎情報!T38)</f>
        <v>0</v>
      </c>
      <c r="CB21" s="640">
        <f>IF(CB17="",0,基礎情報!U38)</f>
        <v>0</v>
      </c>
      <c r="CC21" s="640">
        <f>IF(CC17="",0,基礎情報!V38)</f>
        <v>0</v>
      </c>
      <c r="CD21" s="640">
        <f>IF(CD17="",0,基礎情報!W38)</f>
        <v>0</v>
      </c>
      <c r="CE21" s="640">
        <f>IF(CE17="",0,基礎情報!X38)</f>
        <v>0</v>
      </c>
      <c r="CF21" s="640">
        <f>IF(CF17="",0,基礎情報!Y38)</f>
        <v>0</v>
      </c>
      <c r="CG21" s="640">
        <f>IF(CG17="",0,基礎情報!Z38)</f>
        <v>0</v>
      </c>
      <c r="CH21" s="640">
        <f>IF(CH17="",0,基礎情報!AA38)</f>
        <v>0</v>
      </c>
      <c r="CI21" s="640">
        <f>IF(CI17="",0,基礎情報!AB38)</f>
        <v>0</v>
      </c>
      <c r="CJ21" s="640">
        <f>IF(CJ17="",0,基礎情報!AC38)</f>
        <v>0</v>
      </c>
      <c r="CK21" s="640">
        <f>IF(CK17="",0,基礎情報!AD38)</f>
        <v>0</v>
      </c>
      <c r="CL21" s="640">
        <f>IF(CL17="",0,基礎情報!AE38)</f>
        <v>0</v>
      </c>
      <c r="CM21" s="640">
        <f>IF(CM17="",0,基礎情報!AF38)</f>
        <v>0</v>
      </c>
      <c r="CN21" s="640">
        <f>IF(CN17="",0,基礎情報!AG38)</f>
        <v>0</v>
      </c>
      <c r="CO21" s="640">
        <f>IF(CO17="",0,基礎情報!AH38)</f>
        <v>0</v>
      </c>
      <c r="CP21" s="640">
        <f>IF(CP17="",0,基礎情報!AI38)</f>
        <v>0</v>
      </c>
      <c r="CQ21" s="640">
        <f>IF(CQ17="",0,基礎情報!AJ38)</f>
        <v>0</v>
      </c>
      <c r="CR21" s="640">
        <f>IF(CR17="",0,基礎情報!AK38)</f>
        <v>0</v>
      </c>
      <c r="CS21" s="640">
        <f>IF(CS17="",0,基礎情報!AL38)</f>
        <v>0</v>
      </c>
      <c r="CT21" s="640">
        <f>IF(CT17="",0,基礎情報!AM38)</f>
        <v>0</v>
      </c>
      <c r="CU21" s="640">
        <f>IF(CU17="",0,基礎情報!AN38)</f>
        <v>0</v>
      </c>
      <c r="CV21" s="640">
        <f>IF(CV$17="",0,基礎情報!J45)</f>
        <v>0</v>
      </c>
      <c r="CW21" s="640">
        <f>IF(CW17="",0,基礎情報!K45)</f>
        <v>0</v>
      </c>
      <c r="CX21" s="640">
        <f>IF(CX17="",0,基礎情報!L45)</f>
        <v>0</v>
      </c>
      <c r="CY21" s="640">
        <f>IF(CY17="",0,基礎情報!M45)</f>
        <v>0</v>
      </c>
      <c r="CZ21" s="640">
        <f>IF(CZ17="",0,基礎情報!N45)</f>
        <v>0</v>
      </c>
      <c r="DA21" s="640">
        <f>IF(DA17="",0,基礎情報!O45)</f>
        <v>0</v>
      </c>
      <c r="DB21" s="640">
        <f>IF(DB17="",0,基礎情報!P45)</f>
        <v>0</v>
      </c>
      <c r="DC21" s="640">
        <f>IF(DC17="",0,基礎情報!Q45)</f>
        <v>0</v>
      </c>
      <c r="DD21" s="640">
        <f>IF(DD17="",0,基礎情報!R45)</f>
        <v>0</v>
      </c>
      <c r="DE21" s="640">
        <f>IF(DE17="",0,基礎情報!S45)</f>
        <v>0</v>
      </c>
      <c r="DF21" s="640">
        <f>IF(DF17="",0,基礎情報!T45)</f>
        <v>0</v>
      </c>
      <c r="DG21" s="640">
        <f>IF(DG17="",0,基礎情報!U45)</f>
        <v>0</v>
      </c>
      <c r="DH21" s="640">
        <f>IF(DH17="",0,基礎情報!V45)</f>
        <v>0</v>
      </c>
      <c r="DI21" s="640">
        <f>IF(DI17="",0,基礎情報!W45)</f>
        <v>0</v>
      </c>
      <c r="DJ21" s="640">
        <f>IF(DJ17="",0,基礎情報!X45)</f>
        <v>0</v>
      </c>
      <c r="DK21" s="640">
        <f>IF(DK17="",0,基礎情報!Y45)</f>
        <v>0</v>
      </c>
      <c r="DL21" s="640">
        <f>IF(DL17="",0,基礎情報!Z45)</f>
        <v>0</v>
      </c>
      <c r="DM21" s="640">
        <f>IF(DM17="",0,基礎情報!AA45)</f>
        <v>0</v>
      </c>
      <c r="DN21" s="640">
        <f>IF(DN17="",0,基礎情報!AB45)</f>
        <v>0</v>
      </c>
      <c r="DO21" s="640">
        <f>IF(DO17="",0,基礎情報!AC45)</f>
        <v>0</v>
      </c>
      <c r="DP21" s="640">
        <f>IF(DP17="",0,基礎情報!AD45)</f>
        <v>0</v>
      </c>
      <c r="DQ21" s="640">
        <f>IF(DQ17="",0,基礎情報!AE45)</f>
        <v>0</v>
      </c>
      <c r="DR21" s="640">
        <f>IF(DR17="",0,基礎情報!AF45)</f>
        <v>0</v>
      </c>
      <c r="DS21" s="640">
        <f>IF(DS17="",0,基礎情報!AG45)</f>
        <v>0</v>
      </c>
      <c r="DT21" s="640">
        <f>IF(DT17="",0,基礎情報!AH45)</f>
        <v>0</v>
      </c>
      <c r="DU21" s="640">
        <f>IF(DU17="",0,基礎情報!AI45)</f>
        <v>0</v>
      </c>
      <c r="DV21" s="640">
        <f>IF(DV17="",0,基礎情報!AJ45)</f>
        <v>0</v>
      </c>
      <c r="DW21" s="640">
        <f>IF(DW17="",0,基礎情報!AK45)</f>
        <v>0</v>
      </c>
      <c r="DX21" s="640">
        <f>IF(DX17="",0,基礎情報!AL45)</f>
        <v>0</v>
      </c>
      <c r="DY21" s="640">
        <f>IF(DY17="",0,基礎情報!AM45)</f>
        <v>0</v>
      </c>
      <c r="DZ21" s="640">
        <f>IF(DZ17="",0,基礎情報!AN45)</f>
        <v>0</v>
      </c>
      <c r="EA21" s="640">
        <f>IF(EA$17="",0,基礎情報!J52)</f>
        <v>0</v>
      </c>
      <c r="EB21" s="640">
        <f>IF(EB17="",0,基礎情報!K52)</f>
        <v>0</v>
      </c>
      <c r="EC21" s="640">
        <f>IF(EC17="",0,基礎情報!L52)</f>
        <v>0</v>
      </c>
      <c r="ED21" s="640">
        <f>IF(ED17="",0,基礎情報!M52)</f>
        <v>0</v>
      </c>
      <c r="EE21" s="640">
        <f>IF(EE17="",0,基礎情報!N52)</f>
        <v>0</v>
      </c>
      <c r="EF21" s="640">
        <f>IF(EF17="",0,基礎情報!O52)</f>
        <v>0</v>
      </c>
      <c r="EG21" s="640">
        <f>IF(EG17="",0,基礎情報!P52)</f>
        <v>0</v>
      </c>
      <c r="EH21" s="640">
        <f>IF(EH17="",0,基礎情報!Q52)</f>
        <v>0</v>
      </c>
      <c r="EI21" s="640">
        <f>IF(EI17="",0,基礎情報!R52)</f>
        <v>0</v>
      </c>
      <c r="EJ21" s="640">
        <f>IF(EJ17="",0,基礎情報!S52)</f>
        <v>0</v>
      </c>
      <c r="EK21" s="640">
        <f>IF(EK17="",0,基礎情報!T52)</f>
        <v>0</v>
      </c>
      <c r="EL21" s="640">
        <f>IF(EL17="",0,基礎情報!U52)</f>
        <v>0</v>
      </c>
      <c r="EM21" s="640">
        <f>IF(EM17="",0,基礎情報!V52)</f>
        <v>0</v>
      </c>
      <c r="EN21" s="640">
        <f>IF(EN17="",0,基礎情報!W52)</f>
        <v>0</v>
      </c>
      <c r="EO21" s="640">
        <f>IF(EO17="",0,基礎情報!X52)</f>
        <v>0</v>
      </c>
      <c r="EP21" s="640">
        <f>IF(EP17="",0,基礎情報!Y52)</f>
        <v>0</v>
      </c>
      <c r="EQ21" s="640">
        <f>IF(EQ17="",0,基礎情報!Z52)</f>
        <v>0</v>
      </c>
      <c r="ER21" s="640">
        <f>IF(ER17="",0,基礎情報!AA52)</f>
        <v>0</v>
      </c>
      <c r="ES21" s="640">
        <f>IF(ES17="",0,基礎情報!AB52)</f>
        <v>0</v>
      </c>
      <c r="ET21" s="640">
        <f>IF(ET17="",0,基礎情報!AC52)</f>
        <v>0</v>
      </c>
      <c r="EU21" s="640">
        <f>IF(EU17="",0,基礎情報!AD52)</f>
        <v>0</v>
      </c>
      <c r="EV21" s="640">
        <f>IF(EV17="",0,基礎情報!AE52)</f>
        <v>0</v>
      </c>
      <c r="EW21" s="640">
        <f>IF(EW17="",0,基礎情報!AF52)</f>
        <v>0</v>
      </c>
      <c r="EX21" s="640">
        <f>IF(EX17="",0,基礎情報!AG52)</f>
        <v>0</v>
      </c>
      <c r="EY21" s="640">
        <f>IF(EY17="",0,基礎情報!AH52)</f>
        <v>0</v>
      </c>
      <c r="EZ21" s="640">
        <f>IF(EZ17="",0,基礎情報!AI52)</f>
        <v>0</v>
      </c>
      <c r="FA21" s="640">
        <f>IF(FA17="",0,基礎情報!AJ52)</f>
        <v>0</v>
      </c>
      <c r="FB21" s="640">
        <f>IF(FB17="",0,基礎情報!AK52)</f>
        <v>0</v>
      </c>
      <c r="FC21" s="640">
        <f>IF(FC17="",0,基礎情報!AL52)</f>
        <v>0</v>
      </c>
      <c r="FD21" s="640">
        <f>IF(FD17="",0,基礎情報!AM52)</f>
        <v>0</v>
      </c>
      <c r="FE21" s="640">
        <f>IF(FE17="",0,基礎情報!AN52)</f>
        <v>0</v>
      </c>
      <c r="FF21" s="640">
        <f>IF(FF$17="",0,基礎情報!J59)</f>
        <v>0</v>
      </c>
      <c r="FG21" s="640">
        <f>IF(FG17="",0,基礎情報!K59)</f>
        <v>0</v>
      </c>
      <c r="FH21" s="640">
        <f>IF(FH17="",0,基礎情報!L59)</f>
        <v>0</v>
      </c>
      <c r="FI21" s="640">
        <f>IF(FI17="",0,基礎情報!M59)</f>
        <v>0</v>
      </c>
      <c r="FJ21" s="640">
        <f>IF(FJ17="",0,基礎情報!N59)</f>
        <v>0</v>
      </c>
      <c r="FK21" s="640">
        <f>IF(FK17="",0,基礎情報!O59)</f>
        <v>0</v>
      </c>
      <c r="FL21" s="640">
        <f>IF(FL17="",0,基礎情報!P59)</f>
        <v>0</v>
      </c>
      <c r="FM21" s="640">
        <f>IF(FM17="",0,基礎情報!Q59)</f>
        <v>0</v>
      </c>
      <c r="FN21" s="640">
        <f>IF(FN17="",0,基礎情報!R59)</f>
        <v>0</v>
      </c>
      <c r="FO21" s="640">
        <f>IF(FO17="",0,基礎情報!S59)</f>
        <v>0</v>
      </c>
      <c r="FP21" s="640">
        <f>IF(FP17="",0,基礎情報!T59)</f>
        <v>0</v>
      </c>
      <c r="FQ21" s="640">
        <f>IF(FQ17="",0,基礎情報!U59)</f>
        <v>0</v>
      </c>
      <c r="FR21" s="640">
        <f>IF(FR17="",0,基礎情報!V59)</f>
        <v>0</v>
      </c>
      <c r="FS21" s="640">
        <f>IF(FS17="",0,基礎情報!W59)</f>
        <v>0</v>
      </c>
      <c r="FT21" s="640">
        <f>IF(FT17="",0,基礎情報!X59)</f>
        <v>0</v>
      </c>
      <c r="FU21" s="640">
        <f>IF(FU17="",0,基礎情報!Y59)</f>
        <v>0</v>
      </c>
      <c r="FV21" s="640">
        <f>IF(FV17="",0,基礎情報!Z59)</f>
        <v>0</v>
      </c>
      <c r="FW21" s="640">
        <f>IF(FW17="",0,基礎情報!AA59)</f>
        <v>0</v>
      </c>
      <c r="FX21" s="640">
        <f>IF(FX17="",0,基礎情報!AB59)</f>
        <v>0</v>
      </c>
      <c r="FY21" s="640">
        <f>IF(FY17="",0,基礎情報!AC59)</f>
        <v>0</v>
      </c>
      <c r="FZ21" s="640">
        <f>IF(FZ17="",0,基礎情報!AD59)</f>
        <v>0</v>
      </c>
      <c r="GA21" s="640">
        <f>IF(GA17="",0,基礎情報!AE59)</f>
        <v>0</v>
      </c>
      <c r="GB21" s="640">
        <f>IF(GB17="",0,基礎情報!AF59)</f>
        <v>0</v>
      </c>
      <c r="GC21" s="640">
        <f>IF(GC17="",0,基礎情報!AG59)</f>
        <v>0</v>
      </c>
      <c r="GD21" s="640">
        <f>IF(GD17="",0,基礎情報!AH59)</f>
        <v>0</v>
      </c>
      <c r="GE21" s="640">
        <f>IF(GE17="",0,基礎情報!AI59)</f>
        <v>0</v>
      </c>
      <c r="GF21" s="640">
        <f>IF(GF17="",0,基礎情報!AJ59)</f>
        <v>0</v>
      </c>
      <c r="GG21" s="640">
        <f>IF(GG17="",0,基礎情報!AK59)</f>
        <v>0</v>
      </c>
      <c r="GH21" s="640">
        <f>IF(GH17="",0,基礎情報!AL59)</f>
        <v>0</v>
      </c>
      <c r="GI21" s="640">
        <f>IF(GI17="",0,基礎情報!AM59)</f>
        <v>0</v>
      </c>
      <c r="GJ21" s="640">
        <f>IF(GJ17="",0,基礎情報!AN59)</f>
        <v>0</v>
      </c>
    </row>
    <row r="22" spans="2:192">
      <c r="B22" s="638"/>
      <c r="C22" s="639" t="s">
        <v>1428</v>
      </c>
      <c r="D22" s="1902">
        <f>SUM(G22:GG22)</f>
        <v>0</v>
      </c>
      <c r="E22" s="1903"/>
      <c r="F22" s="772"/>
      <c r="G22" s="640">
        <f>IF(G$17="",0,基礎情報!J25)</f>
        <v>0</v>
      </c>
      <c r="H22" s="640">
        <f>IF(H$17="",0,基礎情報!K25)</f>
        <v>0</v>
      </c>
      <c r="I22" s="640">
        <f>IF(I$17="",0,基礎情報!L25)</f>
        <v>0</v>
      </c>
      <c r="J22" s="640">
        <f>IF(J$17="",0,基礎情報!M25)</f>
        <v>0</v>
      </c>
      <c r="K22" s="640">
        <f>IF(K$17="",0,基礎情報!N25)</f>
        <v>0</v>
      </c>
      <c r="L22" s="640">
        <f>IF(L$17="",0,基礎情報!O25)</f>
        <v>0</v>
      </c>
      <c r="M22" s="640">
        <f>IF(M$17="",0,基礎情報!P25)</f>
        <v>0</v>
      </c>
      <c r="N22" s="640">
        <f>IF(N$17="",0,基礎情報!Q25)</f>
        <v>0</v>
      </c>
      <c r="O22" s="640">
        <f>IF(O$17="",0,基礎情報!R25)</f>
        <v>0</v>
      </c>
      <c r="P22" s="640">
        <f>IF(P$17="",0,基礎情報!S25)</f>
        <v>0</v>
      </c>
      <c r="Q22" s="640">
        <f>IF(Q$17="",0,基礎情報!T25)</f>
        <v>0</v>
      </c>
      <c r="R22" s="640">
        <f>IF(R$17="",0,基礎情報!U25)</f>
        <v>0</v>
      </c>
      <c r="S22" s="640">
        <f>IF(S$17="",0,基礎情報!V25)</f>
        <v>0</v>
      </c>
      <c r="T22" s="640">
        <f>IF(T$17="",0,基礎情報!W25)</f>
        <v>0</v>
      </c>
      <c r="U22" s="640">
        <f>IF(U$17="",0,基礎情報!X25)</f>
        <v>0</v>
      </c>
      <c r="V22" s="640">
        <f>IF(V$17="",0,基礎情報!Y25)</f>
        <v>0</v>
      </c>
      <c r="W22" s="640">
        <f>IF(W$17="",0,基礎情報!Z25)</f>
        <v>0</v>
      </c>
      <c r="X22" s="640">
        <f>IF(X$17="",0,基礎情報!AA25)</f>
        <v>0</v>
      </c>
      <c r="Y22" s="640">
        <f>IF(Y$17="",0,基礎情報!AB25)</f>
        <v>0</v>
      </c>
      <c r="Z22" s="640">
        <f>IF(Z$17="",0,基礎情報!AC25)</f>
        <v>0</v>
      </c>
      <c r="AA22" s="640">
        <f>IF(AA$17="",0,基礎情報!AD25)</f>
        <v>0</v>
      </c>
      <c r="AB22" s="640">
        <f>IF(AB$17="",0,基礎情報!AE25)</f>
        <v>0</v>
      </c>
      <c r="AC22" s="640">
        <f>IF(AC$17="",0,基礎情報!AF25)</f>
        <v>0</v>
      </c>
      <c r="AD22" s="640">
        <f>IF(AD$17="",0,基礎情報!AG25)</f>
        <v>0</v>
      </c>
      <c r="AE22" s="640">
        <f>IF(AE$17="",0,基礎情報!AH25)</f>
        <v>0</v>
      </c>
      <c r="AF22" s="640">
        <f>IF(AF$17="",0,基礎情報!AI25)</f>
        <v>0</v>
      </c>
      <c r="AG22" s="640">
        <f>IF(AG$17="",0,基礎情報!AJ25)</f>
        <v>0</v>
      </c>
      <c r="AH22" s="640">
        <f>IF(AH$17="",0,基礎情報!AK25)</f>
        <v>0</v>
      </c>
      <c r="AI22" s="640">
        <f>IF(AI$17="",0,基礎情報!AL25)</f>
        <v>0</v>
      </c>
      <c r="AJ22" s="640">
        <f>IF(AJ$17="",0,基礎情報!AM25)</f>
        <v>0</v>
      </c>
      <c r="AK22" s="640">
        <f>IF(AK$17="",0,基礎情報!AN25)</f>
        <v>0</v>
      </c>
      <c r="AL22" s="640">
        <f>IF(AL$17="",0,基礎情報!J32)</f>
        <v>0</v>
      </c>
      <c r="AM22" s="640">
        <f>IF(AM$17="",0,基礎情報!K32)</f>
        <v>0</v>
      </c>
      <c r="AN22" s="640">
        <f>IF(AN$17="",0,基礎情報!L32)</f>
        <v>0</v>
      </c>
      <c r="AO22" s="640">
        <f>IF(AO$17="",0,基礎情報!M32)</f>
        <v>0</v>
      </c>
      <c r="AP22" s="640">
        <f>IF(AP$17="",0,基礎情報!N32)</f>
        <v>0</v>
      </c>
      <c r="AQ22" s="640">
        <f>IF(AQ$17="",0,基礎情報!O32)</f>
        <v>0</v>
      </c>
      <c r="AR22" s="640">
        <f>IF(AR$17="",0,基礎情報!P32)</f>
        <v>0</v>
      </c>
      <c r="AS22" s="640">
        <f>IF(AS$17="",0,基礎情報!Q32)</f>
        <v>0</v>
      </c>
      <c r="AT22" s="640">
        <f>IF(AT$17="",0,基礎情報!R32)</f>
        <v>0</v>
      </c>
      <c r="AU22" s="640">
        <f>IF(AU$17="",0,基礎情報!S32)</f>
        <v>0</v>
      </c>
      <c r="AV22" s="640">
        <f>IF(AV$17="",0,基礎情報!T32)</f>
        <v>0</v>
      </c>
      <c r="AW22" s="640">
        <f>IF(AW$17="",0,基礎情報!U32)</f>
        <v>0</v>
      </c>
      <c r="AX22" s="640">
        <f>IF(AX$17="",0,基礎情報!V32)</f>
        <v>0</v>
      </c>
      <c r="AY22" s="640">
        <f>IF(AY$17="",0,基礎情報!W32)</f>
        <v>0</v>
      </c>
      <c r="AZ22" s="640">
        <f>IF(AZ$17="",0,基礎情報!X32)</f>
        <v>0</v>
      </c>
      <c r="BA22" s="640">
        <f>IF(BA$17="",0,基礎情報!Y32)</f>
        <v>0</v>
      </c>
      <c r="BB22" s="640">
        <f>IF(BB$17="",0,基礎情報!Z32)</f>
        <v>0</v>
      </c>
      <c r="BC22" s="640">
        <f>IF(BC$17="",0,基礎情報!AA32)</f>
        <v>0</v>
      </c>
      <c r="BD22" s="640">
        <f>IF(BD$17="",0,基礎情報!AB32)</f>
        <v>0</v>
      </c>
      <c r="BE22" s="640">
        <f>IF(BE$17="",0,基礎情報!AC32)</f>
        <v>0</v>
      </c>
      <c r="BF22" s="640">
        <f>IF(BF$17="",0,基礎情報!AD32)</f>
        <v>0</v>
      </c>
      <c r="BG22" s="640">
        <f>IF(BG$17="",0,基礎情報!AE32)</f>
        <v>0</v>
      </c>
      <c r="BH22" s="640">
        <f>IF(BH$17="",0,基礎情報!AF32)</f>
        <v>0</v>
      </c>
      <c r="BI22" s="640">
        <f>IF(BI$17="",0,基礎情報!AG32)</f>
        <v>0</v>
      </c>
      <c r="BJ22" s="640">
        <f>IF(BJ$17="",0,基礎情報!AH32)</f>
        <v>0</v>
      </c>
      <c r="BK22" s="640">
        <f>IF(BK$17="",0,基礎情報!AI32)</f>
        <v>0</v>
      </c>
      <c r="BL22" s="640">
        <f>IF(BL$17="",0,基礎情報!AJ32)</f>
        <v>0</v>
      </c>
      <c r="BM22" s="640">
        <f>IF(BM$17="",0,基礎情報!AK32)</f>
        <v>0</v>
      </c>
      <c r="BN22" s="640">
        <f>IF(BN$17="",0,基礎情報!AL32)</f>
        <v>0</v>
      </c>
      <c r="BO22" s="640">
        <f>IF(BO$17="",0,基礎情報!AM32)</f>
        <v>0</v>
      </c>
      <c r="BP22" s="640">
        <f>IF(BP$17="",0,基礎情報!AN32)</f>
        <v>0</v>
      </c>
      <c r="BQ22" s="640">
        <f>IF(BQ$17="",0,基礎情報!J39)</f>
        <v>0</v>
      </c>
      <c r="BR22" s="640">
        <f>IF(BR$17="",0,基礎情報!K39)</f>
        <v>0</v>
      </c>
      <c r="BS22" s="640">
        <f>IF(BS$17="",0,基礎情報!L39)</f>
        <v>0</v>
      </c>
      <c r="BT22" s="640">
        <f>IF(BT$17="",0,基礎情報!M39)</f>
        <v>0</v>
      </c>
      <c r="BU22" s="640">
        <f>IF(BU$17="",0,基礎情報!N39)</f>
        <v>0</v>
      </c>
      <c r="BV22" s="640">
        <f>IF(BV$17="",0,基礎情報!O39)</f>
        <v>0</v>
      </c>
      <c r="BW22" s="640">
        <f>IF(BW$17="",0,基礎情報!P39)</f>
        <v>0</v>
      </c>
      <c r="BX22" s="640">
        <f>IF(BX$17="",0,基礎情報!Q39)</f>
        <v>0</v>
      </c>
      <c r="BY22" s="640">
        <f>IF(BY$17="",0,基礎情報!R39)</f>
        <v>0</v>
      </c>
      <c r="BZ22" s="640">
        <f>IF(BZ$17="",0,基礎情報!S39)</f>
        <v>0</v>
      </c>
      <c r="CA22" s="640">
        <f>IF(CA$17="",0,基礎情報!T39)</f>
        <v>0</v>
      </c>
      <c r="CB22" s="640">
        <f>IF(CB$17="",0,基礎情報!U39)</f>
        <v>0</v>
      </c>
      <c r="CC22" s="640">
        <f>IF(CC$17="",0,基礎情報!V39)</f>
        <v>0</v>
      </c>
      <c r="CD22" s="640">
        <f>IF(CD$17="",0,基礎情報!W39)</f>
        <v>0</v>
      </c>
      <c r="CE22" s="640">
        <f>IF(CE$17="",0,基礎情報!X39)</f>
        <v>0</v>
      </c>
      <c r="CF22" s="640">
        <f>IF(CF$17="",0,基礎情報!Y39)</f>
        <v>0</v>
      </c>
      <c r="CG22" s="640">
        <f>IF(CG$17="",0,基礎情報!Z39)</f>
        <v>0</v>
      </c>
      <c r="CH22" s="640">
        <f>IF(CH$17="",0,基礎情報!AA39)</f>
        <v>0</v>
      </c>
      <c r="CI22" s="640">
        <f>IF(CI$17="",0,基礎情報!AB39)</f>
        <v>0</v>
      </c>
      <c r="CJ22" s="640">
        <f>IF(CJ$17="",0,基礎情報!AC39)</f>
        <v>0</v>
      </c>
      <c r="CK22" s="640">
        <f>IF(CK$17="",0,基礎情報!AD39)</f>
        <v>0</v>
      </c>
      <c r="CL22" s="640">
        <f>IF(CL$17="",0,基礎情報!AE39)</f>
        <v>0</v>
      </c>
      <c r="CM22" s="640">
        <f>IF(CM$17="",0,基礎情報!AF39)</f>
        <v>0</v>
      </c>
      <c r="CN22" s="640">
        <f>IF(CN$17="",0,基礎情報!AG39)</f>
        <v>0</v>
      </c>
      <c r="CO22" s="640">
        <f>IF(CO$17="",0,基礎情報!AH39)</f>
        <v>0</v>
      </c>
      <c r="CP22" s="640">
        <f>IF(CP$17="",0,基礎情報!AI39)</f>
        <v>0</v>
      </c>
      <c r="CQ22" s="640">
        <f>IF(CQ$17="",0,基礎情報!AJ39)</f>
        <v>0</v>
      </c>
      <c r="CR22" s="640">
        <f>IF(CR$17="",0,基礎情報!AK39)</f>
        <v>0</v>
      </c>
      <c r="CS22" s="640">
        <f>IF(CS$17="",0,基礎情報!AL39)</f>
        <v>0</v>
      </c>
      <c r="CT22" s="640">
        <f>IF(CT$17="",0,基礎情報!AM39)</f>
        <v>0</v>
      </c>
      <c r="CU22" s="640">
        <f>IF(CU$17="",0,基礎情報!AN39)</f>
        <v>0</v>
      </c>
      <c r="CV22" s="640">
        <f>IF(CV$17="",0,基礎情報!J46)</f>
        <v>0</v>
      </c>
      <c r="CW22" s="640">
        <f>IF(CW$17="",0,基礎情報!K46)</f>
        <v>0</v>
      </c>
      <c r="CX22" s="640">
        <f>IF(CX$17="",0,基礎情報!L46)</f>
        <v>0</v>
      </c>
      <c r="CY22" s="640">
        <f>IF(CY$17="",0,基礎情報!M46)</f>
        <v>0</v>
      </c>
      <c r="CZ22" s="640">
        <f>IF(CZ$17="",0,基礎情報!N46)</f>
        <v>0</v>
      </c>
      <c r="DA22" s="640">
        <f>IF(DA$17="",0,基礎情報!O46)</f>
        <v>0</v>
      </c>
      <c r="DB22" s="640">
        <f>IF(DB$17="",0,基礎情報!P46)</f>
        <v>0</v>
      </c>
      <c r="DC22" s="640">
        <f>IF(DC$17="",0,基礎情報!Q46)</f>
        <v>0</v>
      </c>
      <c r="DD22" s="640">
        <f>IF(DD$17="",0,基礎情報!R46)</f>
        <v>0</v>
      </c>
      <c r="DE22" s="640">
        <f>IF(DE$17="",0,基礎情報!S46)</f>
        <v>0</v>
      </c>
      <c r="DF22" s="640">
        <f>IF(DF$17="",0,基礎情報!T46)</f>
        <v>0</v>
      </c>
      <c r="DG22" s="640">
        <f>IF(DG$17="",0,基礎情報!U46)</f>
        <v>0</v>
      </c>
      <c r="DH22" s="640">
        <f>IF(DH$17="",0,基礎情報!V46)</f>
        <v>0</v>
      </c>
      <c r="DI22" s="640">
        <f>IF(DI$17="",0,基礎情報!W46)</f>
        <v>0</v>
      </c>
      <c r="DJ22" s="640">
        <f>IF(DJ$17="",0,基礎情報!X46)</f>
        <v>0</v>
      </c>
      <c r="DK22" s="640">
        <f>IF(DK$17="",0,基礎情報!Y46)</f>
        <v>0</v>
      </c>
      <c r="DL22" s="640">
        <f>IF(DL$17="",0,基礎情報!Z46)</f>
        <v>0</v>
      </c>
      <c r="DM22" s="640">
        <f>IF(DM$17="",0,基礎情報!AA46)</f>
        <v>0</v>
      </c>
      <c r="DN22" s="640">
        <f>IF(DN$17="",0,基礎情報!AB46)</f>
        <v>0</v>
      </c>
      <c r="DO22" s="640">
        <f>IF(DO$17="",0,基礎情報!AC46)</f>
        <v>0</v>
      </c>
      <c r="DP22" s="640">
        <f>IF(DP$17="",0,基礎情報!AD46)</f>
        <v>0</v>
      </c>
      <c r="DQ22" s="640">
        <f>IF(DQ$17="",0,基礎情報!AE46)</f>
        <v>0</v>
      </c>
      <c r="DR22" s="640">
        <f>IF(DR$17="",0,基礎情報!AF46)</f>
        <v>0</v>
      </c>
      <c r="DS22" s="640">
        <f>IF(DS$17="",0,基礎情報!AG46)</f>
        <v>0</v>
      </c>
      <c r="DT22" s="640">
        <f>IF(DT$17="",0,基礎情報!AH46)</f>
        <v>0</v>
      </c>
      <c r="DU22" s="640">
        <f>IF(DU$17="",0,基礎情報!AI46)</f>
        <v>0</v>
      </c>
      <c r="DV22" s="640">
        <f>IF(DV$17="",0,基礎情報!AJ46)</f>
        <v>0</v>
      </c>
      <c r="DW22" s="640">
        <f>IF(DW$17="",0,基礎情報!AK46)</f>
        <v>0</v>
      </c>
      <c r="DX22" s="640">
        <f>IF(DX$17="",0,基礎情報!AL46)</f>
        <v>0</v>
      </c>
      <c r="DY22" s="640">
        <f>IF(DY$17="",0,基礎情報!AM46)</f>
        <v>0</v>
      </c>
      <c r="DZ22" s="640">
        <f>IF(DZ$17="",0,基礎情報!AN46)</f>
        <v>0</v>
      </c>
      <c r="EA22" s="640">
        <f>IF(EA$17="",0,基礎情報!J53)</f>
        <v>0</v>
      </c>
      <c r="EB22" s="640">
        <f>IF(EB$17="",0,基礎情報!K53)</f>
        <v>0</v>
      </c>
      <c r="EC22" s="640">
        <f>IF(EC$17="",0,基礎情報!L53)</f>
        <v>0</v>
      </c>
      <c r="ED22" s="640">
        <f>IF(ED$17="",0,基礎情報!M53)</f>
        <v>0</v>
      </c>
      <c r="EE22" s="640">
        <f>IF(EE$17="",0,基礎情報!N53)</f>
        <v>0</v>
      </c>
      <c r="EF22" s="640">
        <f>IF(EF$17="",0,基礎情報!O53)</f>
        <v>0</v>
      </c>
      <c r="EG22" s="640">
        <f>IF(EG$17="",0,基礎情報!P53)</f>
        <v>0</v>
      </c>
      <c r="EH22" s="640">
        <f>IF(EH$17="",0,基礎情報!Q53)</f>
        <v>0</v>
      </c>
      <c r="EI22" s="640">
        <f>IF(EI$17="",0,基礎情報!R53)</f>
        <v>0</v>
      </c>
      <c r="EJ22" s="640">
        <f>IF(EJ$17="",0,基礎情報!S53)</f>
        <v>0</v>
      </c>
      <c r="EK22" s="640">
        <f>IF(EK$17="",0,基礎情報!T53)</f>
        <v>0</v>
      </c>
      <c r="EL22" s="640">
        <f>IF(EL$17="",0,基礎情報!U53)</f>
        <v>0</v>
      </c>
      <c r="EM22" s="640">
        <f>IF(EM$17="",0,基礎情報!V53)</f>
        <v>0</v>
      </c>
      <c r="EN22" s="640">
        <f>IF(EN$17="",0,基礎情報!W53)</f>
        <v>0</v>
      </c>
      <c r="EO22" s="640">
        <f>IF(EO$17="",0,基礎情報!X53)</f>
        <v>0</v>
      </c>
      <c r="EP22" s="640">
        <f>IF(EP$17="",0,基礎情報!Y53)</f>
        <v>0</v>
      </c>
      <c r="EQ22" s="640">
        <f>IF(EQ$17="",0,基礎情報!Z53)</f>
        <v>0</v>
      </c>
      <c r="ER22" s="640">
        <f>IF(ER$17="",0,基礎情報!AA53)</f>
        <v>0</v>
      </c>
      <c r="ES22" s="640">
        <f>IF(ES$17="",0,基礎情報!AB53)</f>
        <v>0</v>
      </c>
      <c r="ET22" s="640">
        <f>IF(ET$17="",0,基礎情報!AC53)</f>
        <v>0</v>
      </c>
      <c r="EU22" s="640">
        <f>IF(EU$17="",0,基礎情報!AD53)</f>
        <v>0</v>
      </c>
      <c r="EV22" s="640">
        <f>IF(EV$17="",0,基礎情報!AE53)</f>
        <v>0</v>
      </c>
      <c r="EW22" s="640">
        <f>IF(EW$17="",0,基礎情報!AF53)</f>
        <v>0</v>
      </c>
      <c r="EX22" s="640">
        <f>IF(EX$17="",0,基礎情報!AG53)</f>
        <v>0</v>
      </c>
      <c r="EY22" s="640">
        <f>IF(EY$17="",0,基礎情報!AH53)</f>
        <v>0</v>
      </c>
      <c r="EZ22" s="640">
        <f>IF(EZ$17="",0,基礎情報!AI53)</f>
        <v>0</v>
      </c>
      <c r="FA22" s="640">
        <f>IF(FA$17="",0,基礎情報!AJ53)</f>
        <v>0</v>
      </c>
      <c r="FB22" s="640">
        <f>IF(FB$17="",0,基礎情報!AK53)</f>
        <v>0</v>
      </c>
      <c r="FC22" s="640">
        <f>IF(FC$17="",0,基礎情報!AL53)</f>
        <v>0</v>
      </c>
      <c r="FD22" s="640">
        <f>IF(FD$17="",0,基礎情報!AM53)</f>
        <v>0</v>
      </c>
      <c r="FE22" s="640">
        <f>IF(FE$17="",0,基礎情報!AN53)</f>
        <v>0</v>
      </c>
      <c r="FF22" s="640">
        <f>IF(FF$17="",0,基礎情報!J60)</f>
        <v>0</v>
      </c>
      <c r="FG22" s="640">
        <f>IF(FG$17="",0,基礎情報!K60)</f>
        <v>0</v>
      </c>
      <c r="FH22" s="640">
        <f>IF(FH$17="",0,基礎情報!L60)</f>
        <v>0</v>
      </c>
      <c r="FI22" s="640">
        <f>IF(FI$17="",0,基礎情報!M60)</f>
        <v>0</v>
      </c>
      <c r="FJ22" s="640">
        <f>IF(FJ$17="",0,基礎情報!N60)</f>
        <v>0</v>
      </c>
      <c r="FK22" s="640">
        <f>IF(FK$17="",0,基礎情報!O60)</f>
        <v>0</v>
      </c>
      <c r="FL22" s="640">
        <f>IF(FL$17="",0,基礎情報!P60)</f>
        <v>0</v>
      </c>
      <c r="FM22" s="640">
        <f>IF(FM$17="",0,基礎情報!Q60)</f>
        <v>0</v>
      </c>
      <c r="FN22" s="640">
        <f>IF(FN$17="",0,基礎情報!R60)</f>
        <v>0</v>
      </c>
      <c r="FO22" s="640">
        <f>IF(FO$17="",0,基礎情報!S60)</f>
        <v>0</v>
      </c>
      <c r="FP22" s="640">
        <f>IF(FP$17="",0,基礎情報!T60)</f>
        <v>0</v>
      </c>
      <c r="FQ22" s="640">
        <f>IF(FQ$17="",0,基礎情報!U60)</f>
        <v>0</v>
      </c>
      <c r="FR22" s="640">
        <f>IF(FR$17="",0,基礎情報!V60)</f>
        <v>0</v>
      </c>
      <c r="FS22" s="640">
        <f>IF(FS$17="",0,基礎情報!W60)</f>
        <v>0</v>
      </c>
      <c r="FT22" s="640">
        <f>IF(FT$17="",0,基礎情報!X60)</f>
        <v>0</v>
      </c>
      <c r="FU22" s="640">
        <f>IF(FU$17="",0,基礎情報!Y60)</f>
        <v>0</v>
      </c>
      <c r="FV22" s="640">
        <f>IF(FV$17="",0,基礎情報!Z60)</f>
        <v>0</v>
      </c>
      <c r="FW22" s="640">
        <f>IF(FW$17="",0,基礎情報!AA60)</f>
        <v>0</v>
      </c>
      <c r="FX22" s="640">
        <f>IF(FX$17="",0,基礎情報!AB60)</f>
        <v>0</v>
      </c>
      <c r="FY22" s="640">
        <f>IF(FY$17="",0,基礎情報!AC60)</f>
        <v>0</v>
      </c>
      <c r="FZ22" s="640">
        <f>IF(FZ$17="",0,基礎情報!AD60)</f>
        <v>0</v>
      </c>
      <c r="GA22" s="640">
        <f>IF(GA$17="",0,基礎情報!AE60)</f>
        <v>0</v>
      </c>
      <c r="GB22" s="640">
        <f>IF(GB$17="",0,基礎情報!AF60)</f>
        <v>0</v>
      </c>
      <c r="GC22" s="640">
        <f>IF(GC$17="",0,基礎情報!AG60)</f>
        <v>0</v>
      </c>
      <c r="GD22" s="640">
        <f>IF(GD$17="",0,基礎情報!AH60)</f>
        <v>0</v>
      </c>
      <c r="GE22" s="640">
        <f>IF(GE$17="",0,基礎情報!AI60)</f>
        <v>0</v>
      </c>
      <c r="GF22" s="640">
        <f>IF(GF$17="",0,基礎情報!AJ60)</f>
        <v>0</v>
      </c>
      <c r="GG22" s="640">
        <f>IF(GG$17="",0,基礎情報!AK60)</f>
        <v>0</v>
      </c>
      <c r="GH22" s="640">
        <f>IF(GH$17="",0,基礎情報!AL60)</f>
        <v>0</v>
      </c>
      <c r="GI22" s="640">
        <f>IF(GI$17="",0,基礎情報!AM60)</f>
        <v>0</v>
      </c>
      <c r="GJ22" s="640">
        <f>IF(GJ$17="",0,基礎情報!AN60)</f>
        <v>0</v>
      </c>
    </row>
    <row r="23" spans="2:192" s="655" customFormat="1">
      <c r="B23" s="656"/>
      <c r="C23" s="641" t="s">
        <v>1246</v>
      </c>
      <c r="D23" s="768" t="s">
        <v>1466</v>
      </c>
      <c r="E23" s="773"/>
      <c r="F23" s="706"/>
      <c r="G23" s="642">
        <f xml:space="preserve">
MIN(G24,
IF((VLOOKUP($C23,$C$3:$D$15,2,FALSE)*G$21-G25)&lt;0,0,VLOOKUP($C23,$C$3:$D$15,2,FALSE)*G$21-G25))</f>
        <v>0</v>
      </c>
      <c r="H23" s="642">
        <f t="shared" ref="H23" si="161" xml:space="preserve">
IF(G25&gt;=VLOOKUP($C23,$C$3:$D$15,2,FALSE)*H$21,0,
IF(AND(G25&lt;VLOOKUP($C23,$C$3:$D$15,2,FALSE)*H$21,H24&lt;=VLOOKUP($C23,$C$3:$D$15,2,FALSE)*H$21),IF(H24-G25&lt;0,0,H24-G25),
IF(AND(G25&lt;VLOOKUP($C23,$C$3:$D$15,2,FALSE)*H$21,H24&gt;VLOOKUP($C23,$C$3:$D$15,2,FALSE)*H$21),VLOOKUP($C23,$C$3:$D$15,2,FALSE)*H$21-G25)))</f>
        <v>0</v>
      </c>
      <c r="I23" s="642">
        <f t="shared" ref="I23" si="162" xml:space="preserve">
IF(H25&gt;=VLOOKUP($C23,$C$3:$D$15,2,FALSE)*I$21,0,
IF(AND(H25&lt;VLOOKUP($C23,$C$3:$D$15,2,FALSE)*I$21,I24&lt;=VLOOKUP($C23,$C$3:$D$15,2,FALSE)*I$21),IF(I24-H25&lt;0,0,I24-H25),
IF(AND(H25&lt;VLOOKUP($C23,$C$3:$D$15,2,FALSE)*I$21,I24&gt;VLOOKUP($C23,$C$3:$D$15,2,FALSE)*I$21),VLOOKUP($C23,$C$3:$D$15,2,FALSE)*I$21-H25)))</f>
        <v>0</v>
      </c>
      <c r="J23" s="642">
        <f t="shared" ref="J23" si="163" xml:space="preserve">
IF(I25&gt;=VLOOKUP($C23,$C$3:$D$15,2,FALSE)*J$21,0,
IF(AND(I25&lt;VLOOKUP($C23,$C$3:$D$15,2,FALSE)*J$21,J24&lt;=VLOOKUP($C23,$C$3:$D$15,2,FALSE)*J$21),IF(J24-I25&lt;0,0,J24-I25),
IF(AND(I25&lt;VLOOKUP($C23,$C$3:$D$15,2,FALSE)*J$21,J24&gt;VLOOKUP($C23,$C$3:$D$15,2,FALSE)*J$21),VLOOKUP($C23,$C$3:$D$15,2,FALSE)*J$21-I25)))</f>
        <v>0</v>
      </c>
      <c r="K23" s="642">
        <f t="shared" ref="K23" si="164" xml:space="preserve">
IF(J25&gt;=VLOOKUP($C23,$C$3:$D$15,2,FALSE)*K$21,0,
IF(AND(J25&lt;VLOOKUP($C23,$C$3:$D$15,2,FALSE)*K$21,K24&lt;=VLOOKUP($C23,$C$3:$D$15,2,FALSE)*K$21),IF(K24-J25&lt;0,0,K24-J25),
IF(AND(J25&lt;VLOOKUP($C23,$C$3:$D$15,2,FALSE)*K$21,K24&gt;VLOOKUP($C23,$C$3:$D$15,2,FALSE)*K$21),VLOOKUP($C23,$C$3:$D$15,2,FALSE)*K$21-J25)))</f>
        <v>0</v>
      </c>
      <c r="L23" s="642">
        <f t="shared" ref="L23" si="165" xml:space="preserve">
IF(K25&gt;=VLOOKUP($C23,$C$3:$D$15,2,FALSE)*L$21,0,
IF(AND(K25&lt;VLOOKUP($C23,$C$3:$D$15,2,FALSE)*L$21,L24&lt;=VLOOKUP($C23,$C$3:$D$15,2,FALSE)*L$21),IF(L24-K25&lt;0,0,L24-K25),
IF(AND(K25&lt;VLOOKUP($C23,$C$3:$D$15,2,FALSE)*L$21,L24&gt;VLOOKUP($C23,$C$3:$D$15,2,FALSE)*L$21),VLOOKUP($C23,$C$3:$D$15,2,FALSE)*L$21-K25)))</f>
        <v>0</v>
      </c>
      <c r="M23" s="642">
        <f t="shared" ref="M23" si="166" xml:space="preserve">
IF(L25&gt;=VLOOKUP($C23,$C$3:$D$15,2,FALSE)*M$21,0,
IF(AND(L25&lt;VLOOKUP($C23,$C$3:$D$15,2,FALSE)*M$21,M24&lt;=VLOOKUP($C23,$C$3:$D$15,2,FALSE)*M$21),IF(M24-L25&lt;0,0,M24-L25),
IF(AND(L25&lt;VLOOKUP($C23,$C$3:$D$15,2,FALSE)*M$21,M24&gt;VLOOKUP($C23,$C$3:$D$15,2,FALSE)*M$21),VLOOKUP($C23,$C$3:$D$15,2,FALSE)*M$21-L25)))</f>
        <v>0</v>
      </c>
      <c r="N23" s="642">
        <f t="shared" ref="N23" si="167" xml:space="preserve">
IF(M25&gt;=VLOOKUP($C23,$C$3:$D$15,2,FALSE)*N$21,0,
IF(AND(M25&lt;VLOOKUP($C23,$C$3:$D$15,2,FALSE)*N$21,N24&lt;=VLOOKUP($C23,$C$3:$D$15,2,FALSE)*N$21),IF(N24-M25&lt;0,0,N24-M25),
IF(AND(M25&lt;VLOOKUP($C23,$C$3:$D$15,2,FALSE)*N$21,N24&gt;VLOOKUP($C23,$C$3:$D$15,2,FALSE)*N$21),VLOOKUP($C23,$C$3:$D$15,2,FALSE)*N$21-M25)))</f>
        <v>0</v>
      </c>
      <c r="O23" s="642">
        <f t="shared" ref="O23" si="168" xml:space="preserve">
IF(N25&gt;=VLOOKUP($C23,$C$3:$D$15,2,FALSE)*O$21,0,
IF(AND(N25&lt;VLOOKUP($C23,$C$3:$D$15,2,FALSE)*O$21,O24&lt;=VLOOKUP($C23,$C$3:$D$15,2,FALSE)*O$21),IF(O24-N25&lt;0,0,O24-N25),
IF(AND(N25&lt;VLOOKUP($C23,$C$3:$D$15,2,FALSE)*O$21,O24&gt;VLOOKUP($C23,$C$3:$D$15,2,FALSE)*O$21),VLOOKUP($C23,$C$3:$D$15,2,FALSE)*O$21-N25)))</f>
        <v>0</v>
      </c>
      <c r="P23" s="642">
        <f t="shared" ref="P23" si="169" xml:space="preserve">
IF(O25&gt;=VLOOKUP($C23,$C$3:$D$15,2,FALSE)*P$21,0,
IF(AND(O25&lt;VLOOKUP($C23,$C$3:$D$15,2,FALSE)*P$21,P24&lt;=VLOOKUP($C23,$C$3:$D$15,2,FALSE)*P$21),IF(P24-O25&lt;0,0,P24-O25),
IF(AND(O25&lt;VLOOKUP($C23,$C$3:$D$15,2,FALSE)*P$21,P24&gt;VLOOKUP($C23,$C$3:$D$15,2,FALSE)*P$21),VLOOKUP($C23,$C$3:$D$15,2,FALSE)*P$21-O25)))</f>
        <v>0</v>
      </c>
      <c r="Q23" s="642">
        <f t="shared" ref="Q23" si="170" xml:space="preserve">
IF(P25&gt;=VLOOKUP($C23,$C$3:$D$15,2,FALSE)*Q$21,0,
IF(AND(P25&lt;VLOOKUP($C23,$C$3:$D$15,2,FALSE)*Q$21,Q24&lt;=VLOOKUP($C23,$C$3:$D$15,2,FALSE)*Q$21),IF(Q24-P25&lt;0,0,Q24-P25),
IF(AND(P25&lt;VLOOKUP($C23,$C$3:$D$15,2,FALSE)*Q$21,Q24&gt;VLOOKUP($C23,$C$3:$D$15,2,FALSE)*Q$21),VLOOKUP($C23,$C$3:$D$15,2,FALSE)*Q$21-P25)))</f>
        <v>0</v>
      </c>
      <c r="R23" s="642">
        <f t="shared" ref="R23" si="171" xml:space="preserve">
IF(Q25&gt;=VLOOKUP($C23,$C$3:$D$15,2,FALSE)*R$21,0,
IF(AND(Q25&lt;VLOOKUP($C23,$C$3:$D$15,2,FALSE)*R$21,R24&lt;=VLOOKUP($C23,$C$3:$D$15,2,FALSE)*R$21),IF(R24-Q25&lt;0,0,R24-Q25),
IF(AND(Q25&lt;VLOOKUP($C23,$C$3:$D$15,2,FALSE)*R$21,R24&gt;VLOOKUP($C23,$C$3:$D$15,2,FALSE)*R$21),VLOOKUP($C23,$C$3:$D$15,2,FALSE)*R$21-Q25)))</f>
        <v>0</v>
      </c>
      <c r="S23" s="642">
        <f t="shared" ref="S23" si="172" xml:space="preserve">
IF(R25&gt;=VLOOKUP($C23,$C$3:$D$15,2,FALSE)*S$21,0,
IF(AND(R25&lt;VLOOKUP($C23,$C$3:$D$15,2,FALSE)*S$21,S24&lt;=VLOOKUP($C23,$C$3:$D$15,2,FALSE)*S$21),IF(S24-R25&lt;0,0,S24-R25),
IF(AND(R25&lt;VLOOKUP($C23,$C$3:$D$15,2,FALSE)*S$21,S24&gt;VLOOKUP($C23,$C$3:$D$15,2,FALSE)*S$21),VLOOKUP($C23,$C$3:$D$15,2,FALSE)*S$21-R25)))</f>
        <v>0</v>
      </c>
      <c r="T23" s="642">
        <f t="shared" ref="T23" si="173" xml:space="preserve">
IF(S25&gt;=VLOOKUP($C23,$C$3:$D$15,2,FALSE)*T$21,0,
IF(AND(S25&lt;VLOOKUP($C23,$C$3:$D$15,2,FALSE)*T$21,T24&lt;=VLOOKUP($C23,$C$3:$D$15,2,FALSE)*T$21),IF(T24-S25&lt;0,0,T24-S25),
IF(AND(S25&lt;VLOOKUP($C23,$C$3:$D$15,2,FALSE)*T$21,T24&gt;VLOOKUP($C23,$C$3:$D$15,2,FALSE)*T$21),VLOOKUP($C23,$C$3:$D$15,2,FALSE)*T$21-S25)))</f>
        <v>0</v>
      </c>
      <c r="U23" s="642">
        <f t="shared" ref="U23" si="174" xml:space="preserve">
IF(T25&gt;=VLOOKUP($C23,$C$3:$D$15,2,FALSE)*U$21,0,
IF(AND(T25&lt;VLOOKUP($C23,$C$3:$D$15,2,FALSE)*U$21,U24&lt;=VLOOKUP($C23,$C$3:$D$15,2,FALSE)*U$21),IF(U24-T25&lt;0,0,U24-T25),
IF(AND(T25&lt;VLOOKUP($C23,$C$3:$D$15,2,FALSE)*U$21,U24&gt;VLOOKUP($C23,$C$3:$D$15,2,FALSE)*U$21),VLOOKUP($C23,$C$3:$D$15,2,FALSE)*U$21-T25)))</f>
        <v>0</v>
      </c>
      <c r="V23" s="642">
        <f t="shared" ref="V23" si="175" xml:space="preserve">
IF(U25&gt;=VLOOKUP($C23,$C$3:$D$15,2,FALSE)*V$21,0,
IF(AND(U25&lt;VLOOKUP($C23,$C$3:$D$15,2,FALSE)*V$21,V24&lt;=VLOOKUP($C23,$C$3:$D$15,2,FALSE)*V$21),IF(V24-U25&lt;0,0,V24-U25),
IF(AND(U25&lt;VLOOKUP($C23,$C$3:$D$15,2,FALSE)*V$21,V24&gt;VLOOKUP($C23,$C$3:$D$15,2,FALSE)*V$21),VLOOKUP($C23,$C$3:$D$15,2,FALSE)*V$21-U25)))</f>
        <v>0</v>
      </c>
      <c r="W23" s="642">
        <f t="shared" ref="W23" si="176" xml:space="preserve">
IF(V25&gt;=VLOOKUP($C23,$C$3:$D$15,2,FALSE)*W$21,0,
IF(AND(V25&lt;VLOOKUP($C23,$C$3:$D$15,2,FALSE)*W$21,W24&lt;=VLOOKUP($C23,$C$3:$D$15,2,FALSE)*W$21),IF(W24-V25&lt;0,0,W24-V25),
IF(AND(V25&lt;VLOOKUP($C23,$C$3:$D$15,2,FALSE)*W$21,W24&gt;VLOOKUP($C23,$C$3:$D$15,2,FALSE)*W$21),VLOOKUP($C23,$C$3:$D$15,2,FALSE)*W$21-V25)))</f>
        <v>0</v>
      </c>
      <c r="X23" s="642">
        <f t="shared" ref="X23" si="177" xml:space="preserve">
IF(W25&gt;=VLOOKUP($C23,$C$3:$D$15,2,FALSE)*X$21,0,
IF(AND(W25&lt;VLOOKUP($C23,$C$3:$D$15,2,FALSE)*X$21,X24&lt;=VLOOKUP($C23,$C$3:$D$15,2,FALSE)*X$21),IF(X24-W25&lt;0,0,X24-W25),
IF(AND(W25&lt;VLOOKUP($C23,$C$3:$D$15,2,FALSE)*X$21,X24&gt;VLOOKUP($C23,$C$3:$D$15,2,FALSE)*X$21),VLOOKUP($C23,$C$3:$D$15,2,FALSE)*X$21-W25)))</f>
        <v>0</v>
      </c>
      <c r="Y23" s="642">
        <f t="shared" ref="Y23" si="178" xml:space="preserve">
IF(X25&gt;=VLOOKUP($C23,$C$3:$D$15,2,FALSE)*Y$21,0,
IF(AND(X25&lt;VLOOKUP($C23,$C$3:$D$15,2,FALSE)*Y$21,Y24&lt;=VLOOKUP($C23,$C$3:$D$15,2,FALSE)*Y$21),IF(Y24-X25&lt;0,0,Y24-X25),
IF(AND(X25&lt;VLOOKUP($C23,$C$3:$D$15,2,FALSE)*Y$21,Y24&gt;VLOOKUP($C23,$C$3:$D$15,2,FALSE)*Y$21),VLOOKUP($C23,$C$3:$D$15,2,FALSE)*Y$21-X25)))</f>
        <v>0</v>
      </c>
      <c r="Z23" s="642">
        <f t="shared" ref="Z23" si="179" xml:space="preserve">
IF(Y25&gt;=VLOOKUP($C23,$C$3:$D$15,2,FALSE)*Z$21,0,
IF(AND(Y25&lt;VLOOKUP($C23,$C$3:$D$15,2,FALSE)*Z$21,Z24&lt;=VLOOKUP($C23,$C$3:$D$15,2,FALSE)*Z$21),IF(Z24-Y25&lt;0,0,Z24-Y25),
IF(AND(Y25&lt;VLOOKUP($C23,$C$3:$D$15,2,FALSE)*Z$21,Z24&gt;VLOOKUP($C23,$C$3:$D$15,2,FALSE)*Z$21),VLOOKUP($C23,$C$3:$D$15,2,FALSE)*Z$21-Y25)))</f>
        <v>0</v>
      </c>
      <c r="AA23" s="642">
        <f t="shared" ref="AA23" si="180" xml:space="preserve">
IF(Z25&gt;=VLOOKUP($C23,$C$3:$D$15,2,FALSE)*AA$21,0,
IF(AND(Z25&lt;VLOOKUP($C23,$C$3:$D$15,2,FALSE)*AA$21,AA24&lt;=VLOOKUP($C23,$C$3:$D$15,2,FALSE)*AA$21),IF(AA24-Z25&lt;0,0,AA24-Z25),
IF(AND(Z25&lt;VLOOKUP($C23,$C$3:$D$15,2,FALSE)*AA$21,AA24&gt;VLOOKUP($C23,$C$3:$D$15,2,FALSE)*AA$21),VLOOKUP($C23,$C$3:$D$15,2,FALSE)*AA$21-Z25)))</f>
        <v>0</v>
      </c>
      <c r="AB23" s="642">
        <f t="shared" ref="AB23" si="181" xml:space="preserve">
IF(AA25&gt;=VLOOKUP($C23,$C$3:$D$15,2,FALSE)*AB$21,0,
IF(AND(AA25&lt;VLOOKUP($C23,$C$3:$D$15,2,FALSE)*AB$21,AB24&lt;=VLOOKUP($C23,$C$3:$D$15,2,FALSE)*AB$21),IF(AB24-AA25&lt;0,0,AB24-AA25),
IF(AND(AA25&lt;VLOOKUP($C23,$C$3:$D$15,2,FALSE)*AB$21,AB24&gt;VLOOKUP($C23,$C$3:$D$15,2,FALSE)*AB$21),VLOOKUP($C23,$C$3:$D$15,2,FALSE)*AB$21-AA25)))</f>
        <v>0</v>
      </c>
      <c r="AC23" s="642">
        <f t="shared" ref="AC23" si="182" xml:space="preserve">
IF(AB25&gt;=VLOOKUP($C23,$C$3:$D$15,2,FALSE)*AC$21,0,
IF(AND(AB25&lt;VLOOKUP($C23,$C$3:$D$15,2,FALSE)*AC$21,AC24&lt;=VLOOKUP($C23,$C$3:$D$15,2,FALSE)*AC$21),IF(AC24-AB25&lt;0,0,AC24-AB25),
IF(AND(AB25&lt;VLOOKUP($C23,$C$3:$D$15,2,FALSE)*AC$21,AC24&gt;VLOOKUP($C23,$C$3:$D$15,2,FALSE)*AC$21),VLOOKUP($C23,$C$3:$D$15,2,FALSE)*AC$21-AB25)))</f>
        <v>0</v>
      </c>
      <c r="AD23" s="642">
        <f t="shared" ref="AD23" si="183" xml:space="preserve">
IF(AC25&gt;=VLOOKUP($C23,$C$3:$D$15,2,FALSE)*AD$21,0,
IF(AND(AC25&lt;VLOOKUP($C23,$C$3:$D$15,2,FALSE)*AD$21,AD24&lt;=VLOOKUP($C23,$C$3:$D$15,2,FALSE)*AD$21),IF(AD24-AC25&lt;0,0,AD24-AC25),
IF(AND(AC25&lt;VLOOKUP($C23,$C$3:$D$15,2,FALSE)*AD$21,AD24&gt;VLOOKUP($C23,$C$3:$D$15,2,FALSE)*AD$21),VLOOKUP($C23,$C$3:$D$15,2,FALSE)*AD$21-AC25)))</f>
        <v>0</v>
      </c>
      <c r="AE23" s="642">
        <f t="shared" ref="AE23" si="184" xml:space="preserve">
IF(AD25&gt;=VLOOKUP($C23,$C$3:$D$15,2,FALSE)*AE$21,0,
IF(AND(AD25&lt;VLOOKUP($C23,$C$3:$D$15,2,FALSE)*AE$21,AE24&lt;=VLOOKUP($C23,$C$3:$D$15,2,FALSE)*AE$21),IF(AE24-AD25&lt;0,0,AE24-AD25),
IF(AND(AD25&lt;VLOOKUP($C23,$C$3:$D$15,2,FALSE)*AE$21,AE24&gt;VLOOKUP($C23,$C$3:$D$15,2,FALSE)*AE$21),VLOOKUP($C23,$C$3:$D$15,2,FALSE)*AE$21-AD25)))</f>
        <v>0</v>
      </c>
      <c r="AF23" s="642">
        <f t="shared" ref="AF23" si="185" xml:space="preserve">
IF(AE25&gt;=VLOOKUP($C23,$C$3:$D$15,2,FALSE)*AF$21,0,
IF(AND(AE25&lt;VLOOKUP($C23,$C$3:$D$15,2,FALSE)*AF$21,AF24&lt;=VLOOKUP($C23,$C$3:$D$15,2,FALSE)*AF$21),IF(AF24-AE25&lt;0,0,AF24-AE25),
IF(AND(AE25&lt;VLOOKUP($C23,$C$3:$D$15,2,FALSE)*AF$21,AF24&gt;VLOOKUP($C23,$C$3:$D$15,2,FALSE)*AF$21),VLOOKUP($C23,$C$3:$D$15,2,FALSE)*AF$21-AE25)))</f>
        <v>0</v>
      </c>
      <c r="AG23" s="642">
        <f t="shared" ref="AG23" si="186" xml:space="preserve">
IF(AF25&gt;=VLOOKUP($C23,$C$3:$D$15,2,FALSE)*AG$21,0,
IF(AND(AF25&lt;VLOOKUP($C23,$C$3:$D$15,2,FALSE)*AG$21,AG24&lt;=VLOOKUP($C23,$C$3:$D$15,2,FALSE)*AG$21),IF(AG24-AF25&lt;0,0,AG24-AF25),
IF(AND(AF25&lt;VLOOKUP($C23,$C$3:$D$15,2,FALSE)*AG$21,AG24&gt;VLOOKUP($C23,$C$3:$D$15,2,FALSE)*AG$21),VLOOKUP($C23,$C$3:$D$15,2,FALSE)*AG$21-AF25)))</f>
        <v>0</v>
      </c>
      <c r="AH23" s="642">
        <f t="shared" ref="AH23" si="187" xml:space="preserve">
IF(AG25&gt;=VLOOKUP($C23,$C$3:$D$15,2,FALSE)*AH$21,0,
IF(AND(AG25&lt;VLOOKUP($C23,$C$3:$D$15,2,FALSE)*AH$21,AH24&lt;=VLOOKUP($C23,$C$3:$D$15,2,FALSE)*AH$21),IF(AH24-AG25&lt;0,0,AH24-AG25),
IF(AND(AG25&lt;VLOOKUP($C23,$C$3:$D$15,2,FALSE)*AH$21,AH24&gt;VLOOKUP($C23,$C$3:$D$15,2,FALSE)*AH$21),VLOOKUP($C23,$C$3:$D$15,2,FALSE)*AH$21-AG25)))</f>
        <v>0</v>
      </c>
      <c r="AI23" s="642">
        <f t="shared" ref="AI23" si="188" xml:space="preserve">
IF(AH25&gt;=VLOOKUP($C23,$C$3:$D$15,2,FALSE)*AI$21,0,
IF(AND(AH25&lt;VLOOKUP($C23,$C$3:$D$15,2,FALSE)*AI$21,AI24&lt;=VLOOKUP($C23,$C$3:$D$15,2,FALSE)*AI$21),IF(AI24-AH25&lt;0,0,AI24-AH25),
IF(AND(AH25&lt;VLOOKUP($C23,$C$3:$D$15,2,FALSE)*AI$21,AI24&gt;VLOOKUP($C23,$C$3:$D$15,2,FALSE)*AI$21),VLOOKUP($C23,$C$3:$D$15,2,FALSE)*AI$21-AH25)))</f>
        <v>0</v>
      </c>
      <c r="AJ23" s="642">
        <f t="shared" ref="AJ23" si="189" xml:space="preserve">
IF(AI25&gt;=VLOOKUP($C23,$C$3:$D$15,2,FALSE)*AJ$21,0,
IF(AND(AI25&lt;VLOOKUP($C23,$C$3:$D$15,2,FALSE)*AJ$21,AJ24&lt;=VLOOKUP($C23,$C$3:$D$15,2,FALSE)*AJ$21),IF(AJ24-AI25&lt;0,0,AJ24-AI25),
IF(AND(AI25&lt;VLOOKUP($C23,$C$3:$D$15,2,FALSE)*AJ$21,AJ24&gt;VLOOKUP($C23,$C$3:$D$15,2,FALSE)*AJ$21),VLOOKUP($C23,$C$3:$D$15,2,FALSE)*AJ$21-AI25)))</f>
        <v>0</v>
      </c>
      <c r="AK23" s="642">
        <f t="shared" ref="AK23" si="190" xml:space="preserve">
IF(AJ25&gt;=VLOOKUP($C23,$C$3:$D$15,2,FALSE)*AK$21,0,
IF(AND(AJ25&lt;VLOOKUP($C23,$C$3:$D$15,2,FALSE)*AK$21,AK24&lt;=VLOOKUP($C23,$C$3:$D$15,2,FALSE)*AK$21),IF(AK24-AJ25&lt;0,0,AK24-AJ25),
IF(AND(AJ25&lt;VLOOKUP($C23,$C$3:$D$15,2,FALSE)*AK$21,AK24&gt;VLOOKUP($C23,$C$3:$D$15,2,FALSE)*AK$21),VLOOKUP($C23,$C$3:$D$15,2,FALSE)*AK$21-AJ25)))</f>
        <v>0</v>
      </c>
      <c r="AL23" s="642">
        <f t="shared" ref="AL23" si="191" xml:space="preserve">
IF(AK25&gt;=VLOOKUP($C23,$C$3:$D$15,2,FALSE)*AL$21,0,
IF(AND(AK25&lt;VLOOKUP($C23,$C$3:$D$15,2,FALSE)*AL$21,AL24&lt;=VLOOKUP($C23,$C$3:$D$15,2,FALSE)*AL$21),IF(AL24-AK25&lt;0,0,AL24-AK25),
IF(AND(AK25&lt;VLOOKUP($C23,$C$3:$D$15,2,FALSE)*AL$21,AL24&gt;VLOOKUP($C23,$C$3:$D$15,2,FALSE)*AL$21),VLOOKUP($C23,$C$3:$D$15,2,FALSE)*AL$21-AK25)))</f>
        <v>0</v>
      </c>
      <c r="AM23" s="642">
        <f t="shared" ref="AM23" si="192" xml:space="preserve">
IF(AL25&gt;=VLOOKUP($C23,$C$3:$D$15,2,FALSE)*AM$21,0,
IF(AND(AL25&lt;VLOOKUP($C23,$C$3:$D$15,2,FALSE)*AM$21,AM24&lt;=VLOOKUP($C23,$C$3:$D$15,2,FALSE)*AM$21),IF(AM24-AL25&lt;0,0,AM24-AL25),
IF(AND(AL25&lt;VLOOKUP($C23,$C$3:$D$15,2,FALSE)*AM$21,AM24&gt;VLOOKUP($C23,$C$3:$D$15,2,FALSE)*AM$21),VLOOKUP($C23,$C$3:$D$15,2,FALSE)*AM$21-AL25)))</f>
        <v>0</v>
      </c>
      <c r="AN23" s="642">
        <f t="shared" ref="AN23" si="193" xml:space="preserve">
IF(AM25&gt;=VLOOKUP($C23,$C$3:$D$15,2,FALSE)*AN$21,0,
IF(AND(AM25&lt;VLOOKUP($C23,$C$3:$D$15,2,FALSE)*AN$21,AN24&lt;=VLOOKUP($C23,$C$3:$D$15,2,FALSE)*AN$21),IF(AN24-AM25&lt;0,0,AN24-AM25),
IF(AND(AM25&lt;VLOOKUP($C23,$C$3:$D$15,2,FALSE)*AN$21,AN24&gt;VLOOKUP($C23,$C$3:$D$15,2,FALSE)*AN$21),VLOOKUP($C23,$C$3:$D$15,2,FALSE)*AN$21-AM25)))</f>
        <v>0</v>
      </c>
      <c r="AO23" s="642">
        <f t="shared" ref="AO23" si="194" xml:space="preserve">
IF(AN25&gt;=VLOOKUP($C23,$C$3:$D$15,2,FALSE)*AO$21,0,
IF(AND(AN25&lt;VLOOKUP($C23,$C$3:$D$15,2,FALSE)*AO$21,AO24&lt;=VLOOKUP($C23,$C$3:$D$15,2,FALSE)*AO$21),IF(AO24-AN25&lt;0,0,AO24-AN25),
IF(AND(AN25&lt;VLOOKUP($C23,$C$3:$D$15,2,FALSE)*AO$21,AO24&gt;VLOOKUP($C23,$C$3:$D$15,2,FALSE)*AO$21),VLOOKUP($C23,$C$3:$D$15,2,FALSE)*AO$21-AN25)))</f>
        <v>0</v>
      </c>
      <c r="AP23" s="642">
        <f t="shared" ref="AP23" si="195" xml:space="preserve">
IF(AO25&gt;=VLOOKUP($C23,$C$3:$D$15,2,FALSE)*AP$21,0,
IF(AND(AO25&lt;VLOOKUP($C23,$C$3:$D$15,2,FALSE)*AP$21,AP24&lt;=VLOOKUP($C23,$C$3:$D$15,2,FALSE)*AP$21),IF(AP24-AO25&lt;0,0,AP24-AO25),
IF(AND(AO25&lt;VLOOKUP($C23,$C$3:$D$15,2,FALSE)*AP$21,AP24&gt;VLOOKUP($C23,$C$3:$D$15,2,FALSE)*AP$21),VLOOKUP($C23,$C$3:$D$15,2,FALSE)*AP$21-AO25)))</f>
        <v>0</v>
      </c>
      <c r="AQ23" s="642">
        <f t="shared" ref="AQ23" si="196" xml:space="preserve">
IF(AP25&gt;=VLOOKUP($C23,$C$3:$D$15,2,FALSE)*AQ$21,0,
IF(AND(AP25&lt;VLOOKUP($C23,$C$3:$D$15,2,FALSE)*AQ$21,AQ24&lt;=VLOOKUP($C23,$C$3:$D$15,2,FALSE)*AQ$21),IF(AQ24-AP25&lt;0,0,AQ24-AP25),
IF(AND(AP25&lt;VLOOKUP($C23,$C$3:$D$15,2,FALSE)*AQ$21,AQ24&gt;VLOOKUP($C23,$C$3:$D$15,2,FALSE)*AQ$21),VLOOKUP($C23,$C$3:$D$15,2,FALSE)*AQ$21-AP25)))</f>
        <v>0</v>
      </c>
      <c r="AR23" s="642">
        <f t="shared" ref="AR23" si="197" xml:space="preserve">
IF(AQ25&gt;=VLOOKUP($C23,$C$3:$D$15,2,FALSE)*AR$21,0,
IF(AND(AQ25&lt;VLOOKUP($C23,$C$3:$D$15,2,FALSE)*AR$21,AR24&lt;=VLOOKUP($C23,$C$3:$D$15,2,FALSE)*AR$21),IF(AR24-AQ25&lt;0,0,AR24-AQ25),
IF(AND(AQ25&lt;VLOOKUP($C23,$C$3:$D$15,2,FALSE)*AR$21,AR24&gt;VLOOKUP($C23,$C$3:$D$15,2,FALSE)*AR$21),VLOOKUP($C23,$C$3:$D$15,2,FALSE)*AR$21-AQ25)))</f>
        <v>0</v>
      </c>
      <c r="AS23" s="642">
        <f t="shared" ref="AS23" si="198" xml:space="preserve">
IF(AR25&gt;=VLOOKUP($C23,$C$3:$D$15,2,FALSE)*AS$21,0,
IF(AND(AR25&lt;VLOOKUP($C23,$C$3:$D$15,2,FALSE)*AS$21,AS24&lt;=VLOOKUP($C23,$C$3:$D$15,2,FALSE)*AS$21),IF(AS24-AR25&lt;0,0,AS24-AR25),
IF(AND(AR25&lt;VLOOKUP($C23,$C$3:$D$15,2,FALSE)*AS$21,AS24&gt;VLOOKUP($C23,$C$3:$D$15,2,FALSE)*AS$21),VLOOKUP($C23,$C$3:$D$15,2,FALSE)*AS$21-AR25)))</f>
        <v>0</v>
      </c>
      <c r="AT23" s="642">
        <f t="shared" ref="AT23" si="199" xml:space="preserve">
IF(AS25&gt;=VLOOKUP($C23,$C$3:$D$15,2,FALSE)*AT$21,0,
IF(AND(AS25&lt;VLOOKUP($C23,$C$3:$D$15,2,FALSE)*AT$21,AT24&lt;=VLOOKUP($C23,$C$3:$D$15,2,FALSE)*AT$21),IF(AT24-AS25&lt;0,0,AT24-AS25),
IF(AND(AS25&lt;VLOOKUP($C23,$C$3:$D$15,2,FALSE)*AT$21,AT24&gt;VLOOKUP($C23,$C$3:$D$15,2,FALSE)*AT$21),VLOOKUP($C23,$C$3:$D$15,2,FALSE)*AT$21-AS25)))</f>
        <v>0</v>
      </c>
      <c r="AU23" s="642">
        <f t="shared" ref="AU23" si="200" xml:space="preserve">
IF(AT25&gt;=VLOOKUP($C23,$C$3:$D$15,2,FALSE)*AU$21,0,
IF(AND(AT25&lt;VLOOKUP($C23,$C$3:$D$15,2,FALSE)*AU$21,AU24&lt;=VLOOKUP($C23,$C$3:$D$15,2,FALSE)*AU$21),IF(AU24-AT25&lt;0,0,AU24-AT25),
IF(AND(AT25&lt;VLOOKUP($C23,$C$3:$D$15,2,FALSE)*AU$21,AU24&gt;VLOOKUP($C23,$C$3:$D$15,2,FALSE)*AU$21),VLOOKUP($C23,$C$3:$D$15,2,FALSE)*AU$21-AT25)))</f>
        <v>0</v>
      </c>
      <c r="AV23" s="642">
        <f t="shared" ref="AV23" si="201" xml:space="preserve">
IF(AU25&gt;=VLOOKUP($C23,$C$3:$D$15,2,FALSE)*AV$21,0,
IF(AND(AU25&lt;VLOOKUP($C23,$C$3:$D$15,2,FALSE)*AV$21,AV24&lt;=VLOOKUP($C23,$C$3:$D$15,2,FALSE)*AV$21),IF(AV24-AU25&lt;0,0,AV24-AU25),
IF(AND(AU25&lt;VLOOKUP($C23,$C$3:$D$15,2,FALSE)*AV$21,AV24&gt;VLOOKUP($C23,$C$3:$D$15,2,FALSE)*AV$21),VLOOKUP($C23,$C$3:$D$15,2,FALSE)*AV$21-AU25)))</f>
        <v>0</v>
      </c>
      <c r="AW23" s="642">
        <f t="shared" ref="AW23" si="202" xml:space="preserve">
IF(AV25&gt;=VLOOKUP($C23,$C$3:$D$15,2,FALSE)*AW$21,0,
IF(AND(AV25&lt;VLOOKUP($C23,$C$3:$D$15,2,FALSE)*AW$21,AW24&lt;=VLOOKUP($C23,$C$3:$D$15,2,FALSE)*AW$21),IF(AW24-AV25&lt;0,0,AW24-AV25),
IF(AND(AV25&lt;VLOOKUP($C23,$C$3:$D$15,2,FALSE)*AW$21,AW24&gt;VLOOKUP($C23,$C$3:$D$15,2,FALSE)*AW$21),VLOOKUP($C23,$C$3:$D$15,2,FALSE)*AW$21-AV25)))</f>
        <v>0</v>
      </c>
      <c r="AX23" s="642">
        <f t="shared" ref="AX23" si="203" xml:space="preserve">
IF(AW25&gt;=VLOOKUP($C23,$C$3:$D$15,2,FALSE)*AX$21,0,
IF(AND(AW25&lt;VLOOKUP($C23,$C$3:$D$15,2,FALSE)*AX$21,AX24&lt;=VLOOKUP($C23,$C$3:$D$15,2,FALSE)*AX$21),IF(AX24-AW25&lt;0,0,AX24-AW25),
IF(AND(AW25&lt;VLOOKUP($C23,$C$3:$D$15,2,FALSE)*AX$21,AX24&gt;VLOOKUP($C23,$C$3:$D$15,2,FALSE)*AX$21),VLOOKUP($C23,$C$3:$D$15,2,FALSE)*AX$21-AW25)))</f>
        <v>0</v>
      </c>
      <c r="AY23" s="642">
        <f t="shared" ref="AY23" si="204" xml:space="preserve">
IF(AX25&gt;=VLOOKUP($C23,$C$3:$D$15,2,FALSE)*AY$21,0,
IF(AND(AX25&lt;VLOOKUP($C23,$C$3:$D$15,2,FALSE)*AY$21,AY24&lt;=VLOOKUP($C23,$C$3:$D$15,2,FALSE)*AY$21),IF(AY24-AX25&lt;0,0,AY24-AX25),
IF(AND(AX25&lt;VLOOKUP($C23,$C$3:$D$15,2,FALSE)*AY$21,AY24&gt;VLOOKUP($C23,$C$3:$D$15,2,FALSE)*AY$21),VLOOKUP($C23,$C$3:$D$15,2,FALSE)*AY$21-AX25)))</f>
        <v>0</v>
      </c>
      <c r="AZ23" s="642">
        <f t="shared" ref="AZ23" si="205" xml:space="preserve">
IF(AY25&gt;=VLOOKUP($C23,$C$3:$D$15,2,FALSE)*AZ$21,0,
IF(AND(AY25&lt;VLOOKUP($C23,$C$3:$D$15,2,FALSE)*AZ$21,AZ24&lt;=VLOOKUP($C23,$C$3:$D$15,2,FALSE)*AZ$21),IF(AZ24-AY25&lt;0,0,AZ24-AY25),
IF(AND(AY25&lt;VLOOKUP($C23,$C$3:$D$15,2,FALSE)*AZ$21,AZ24&gt;VLOOKUP($C23,$C$3:$D$15,2,FALSE)*AZ$21),VLOOKUP($C23,$C$3:$D$15,2,FALSE)*AZ$21-AY25)))</f>
        <v>0</v>
      </c>
      <c r="BA23" s="642">
        <f t="shared" ref="BA23" si="206" xml:space="preserve">
IF(AZ25&gt;=VLOOKUP($C23,$C$3:$D$15,2,FALSE)*BA$21,0,
IF(AND(AZ25&lt;VLOOKUP($C23,$C$3:$D$15,2,FALSE)*BA$21,BA24&lt;=VLOOKUP($C23,$C$3:$D$15,2,FALSE)*BA$21),IF(BA24-AZ25&lt;0,0,BA24-AZ25),
IF(AND(AZ25&lt;VLOOKUP($C23,$C$3:$D$15,2,FALSE)*BA$21,BA24&gt;VLOOKUP($C23,$C$3:$D$15,2,FALSE)*BA$21),VLOOKUP($C23,$C$3:$D$15,2,FALSE)*BA$21-AZ25)))</f>
        <v>0</v>
      </c>
      <c r="BB23" s="642">
        <f t="shared" ref="BB23" si="207" xml:space="preserve">
IF(BA25&gt;=VLOOKUP($C23,$C$3:$D$15,2,FALSE)*BB$21,0,
IF(AND(BA25&lt;VLOOKUP($C23,$C$3:$D$15,2,FALSE)*BB$21,BB24&lt;=VLOOKUP($C23,$C$3:$D$15,2,FALSE)*BB$21),IF(BB24-BA25&lt;0,0,BB24-BA25),
IF(AND(BA25&lt;VLOOKUP($C23,$C$3:$D$15,2,FALSE)*BB$21,BB24&gt;VLOOKUP($C23,$C$3:$D$15,2,FALSE)*BB$21),VLOOKUP($C23,$C$3:$D$15,2,FALSE)*BB$21-BA25)))</f>
        <v>0</v>
      </c>
      <c r="BC23" s="642">
        <f t="shared" ref="BC23" si="208" xml:space="preserve">
IF(BB25&gt;=VLOOKUP($C23,$C$3:$D$15,2,FALSE)*BC$21,0,
IF(AND(BB25&lt;VLOOKUP($C23,$C$3:$D$15,2,FALSE)*BC$21,BC24&lt;=VLOOKUP($C23,$C$3:$D$15,2,FALSE)*BC$21),IF(BC24-BB25&lt;0,0,BC24-BB25),
IF(AND(BB25&lt;VLOOKUP($C23,$C$3:$D$15,2,FALSE)*BC$21,BC24&gt;VLOOKUP($C23,$C$3:$D$15,2,FALSE)*BC$21),VLOOKUP($C23,$C$3:$D$15,2,FALSE)*BC$21-BB25)))</f>
        <v>0</v>
      </c>
      <c r="BD23" s="642">
        <f t="shared" ref="BD23" si="209" xml:space="preserve">
IF(BC25&gt;=VLOOKUP($C23,$C$3:$D$15,2,FALSE)*BD$21,0,
IF(AND(BC25&lt;VLOOKUP($C23,$C$3:$D$15,2,FALSE)*BD$21,BD24&lt;=VLOOKUP($C23,$C$3:$D$15,2,FALSE)*BD$21),IF(BD24-BC25&lt;0,0,BD24-BC25),
IF(AND(BC25&lt;VLOOKUP($C23,$C$3:$D$15,2,FALSE)*BD$21,BD24&gt;VLOOKUP($C23,$C$3:$D$15,2,FALSE)*BD$21),VLOOKUP($C23,$C$3:$D$15,2,FALSE)*BD$21-BC25)))</f>
        <v>0</v>
      </c>
      <c r="BE23" s="642">
        <f t="shared" ref="BE23" si="210" xml:space="preserve">
IF(BD25&gt;=VLOOKUP($C23,$C$3:$D$15,2,FALSE)*BE$21,0,
IF(AND(BD25&lt;VLOOKUP($C23,$C$3:$D$15,2,FALSE)*BE$21,BE24&lt;=VLOOKUP($C23,$C$3:$D$15,2,FALSE)*BE$21),IF(BE24-BD25&lt;0,0,BE24-BD25),
IF(AND(BD25&lt;VLOOKUP($C23,$C$3:$D$15,2,FALSE)*BE$21,BE24&gt;VLOOKUP($C23,$C$3:$D$15,2,FALSE)*BE$21),VLOOKUP($C23,$C$3:$D$15,2,FALSE)*BE$21-BD25)))</f>
        <v>0</v>
      </c>
      <c r="BF23" s="642">
        <f t="shared" ref="BF23" si="211" xml:space="preserve">
IF(BE25&gt;=VLOOKUP($C23,$C$3:$D$15,2,FALSE)*BF$21,0,
IF(AND(BE25&lt;VLOOKUP($C23,$C$3:$D$15,2,FALSE)*BF$21,BF24&lt;=VLOOKUP($C23,$C$3:$D$15,2,FALSE)*BF$21),IF(BF24-BE25&lt;0,0,BF24-BE25),
IF(AND(BE25&lt;VLOOKUP($C23,$C$3:$D$15,2,FALSE)*BF$21,BF24&gt;VLOOKUP($C23,$C$3:$D$15,2,FALSE)*BF$21),VLOOKUP($C23,$C$3:$D$15,2,FALSE)*BF$21-BE25)))</f>
        <v>0</v>
      </c>
      <c r="BG23" s="642">
        <f t="shared" ref="BG23" si="212" xml:space="preserve">
IF(BF25&gt;=VLOOKUP($C23,$C$3:$D$15,2,FALSE)*BG$21,0,
IF(AND(BF25&lt;VLOOKUP($C23,$C$3:$D$15,2,FALSE)*BG$21,BG24&lt;=VLOOKUP($C23,$C$3:$D$15,2,FALSE)*BG$21),IF(BG24-BF25&lt;0,0,BG24-BF25),
IF(AND(BF25&lt;VLOOKUP($C23,$C$3:$D$15,2,FALSE)*BG$21,BG24&gt;VLOOKUP($C23,$C$3:$D$15,2,FALSE)*BG$21),VLOOKUP($C23,$C$3:$D$15,2,FALSE)*BG$21-BF25)))</f>
        <v>0</v>
      </c>
      <c r="BH23" s="642">
        <f t="shared" ref="BH23" si="213" xml:space="preserve">
IF(BG25&gt;=VLOOKUP($C23,$C$3:$D$15,2,FALSE)*BH$21,0,
IF(AND(BG25&lt;VLOOKUP($C23,$C$3:$D$15,2,FALSE)*BH$21,BH24&lt;=VLOOKUP($C23,$C$3:$D$15,2,FALSE)*BH$21),IF(BH24-BG25&lt;0,0,BH24-BG25),
IF(AND(BG25&lt;VLOOKUP($C23,$C$3:$D$15,2,FALSE)*BH$21,BH24&gt;VLOOKUP($C23,$C$3:$D$15,2,FALSE)*BH$21),VLOOKUP($C23,$C$3:$D$15,2,FALSE)*BH$21-BG25)))</f>
        <v>0</v>
      </c>
      <c r="BI23" s="642">
        <f t="shared" ref="BI23" si="214" xml:space="preserve">
IF(BH25&gt;=VLOOKUP($C23,$C$3:$D$15,2,FALSE)*BI$21,0,
IF(AND(BH25&lt;VLOOKUP($C23,$C$3:$D$15,2,FALSE)*BI$21,BI24&lt;=VLOOKUP($C23,$C$3:$D$15,2,FALSE)*BI$21),IF(BI24-BH25&lt;0,0,BI24-BH25),
IF(AND(BH25&lt;VLOOKUP($C23,$C$3:$D$15,2,FALSE)*BI$21,BI24&gt;VLOOKUP($C23,$C$3:$D$15,2,FALSE)*BI$21),VLOOKUP($C23,$C$3:$D$15,2,FALSE)*BI$21-BH25)))</f>
        <v>0</v>
      </c>
      <c r="BJ23" s="642">
        <f t="shared" ref="BJ23" si="215" xml:space="preserve">
IF(BI25&gt;=VLOOKUP($C23,$C$3:$D$15,2,FALSE)*BJ$21,0,
IF(AND(BI25&lt;VLOOKUP($C23,$C$3:$D$15,2,FALSE)*BJ$21,BJ24&lt;=VLOOKUP($C23,$C$3:$D$15,2,FALSE)*BJ$21),IF(BJ24-BI25&lt;0,0,BJ24-BI25),
IF(AND(BI25&lt;VLOOKUP($C23,$C$3:$D$15,2,FALSE)*BJ$21,BJ24&gt;VLOOKUP($C23,$C$3:$D$15,2,FALSE)*BJ$21),VLOOKUP($C23,$C$3:$D$15,2,FALSE)*BJ$21-BI25)))</f>
        <v>0</v>
      </c>
      <c r="BK23" s="642">
        <f t="shared" ref="BK23" si="216" xml:space="preserve">
IF(BJ25&gt;=VLOOKUP($C23,$C$3:$D$15,2,FALSE)*BK$21,0,
IF(AND(BJ25&lt;VLOOKUP($C23,$C$3:$D$15,2,FALSE)*BK$21,BK24&lt;=VLOOKUP($C23,$C$3:$D$15,2,FALSE)*BK$21),IF(BK24-BJ25&lt;0,0,BK24-BJ25),
IF(AND(BJ25&lt;VLOOKUP($C23,$C$3:$D$15,2,FALSE)*BK$21,BK24&gt;VLOOKUP($C23,$C$3:$D$15,2,FALSE)*BK$21),VLOOKUP($C23,$C$3:$D$15,2,FALSE)*BK$21-BJ25)))</f>
        <v>0</v>
      </c>
      <c r="BL23" s="642">
        <f t="shared" ref="BL23" si="217" xml:space="preserve">
IF(BK25&gt;=VLOOKUP($C23,$C$3:$D$15,2,FALSE)*BL$21,0,
IF(AND(BK25&lt;VLOOKUP($C23,$C$3:$D$15,2,FALSE)*BL$21,BL24&lt;=VLOOKUP($C23,$C$3:$D$15,2,FALSE)*BL$21),IF(BL24-BK25&lt;0,0,BL24-BK25),
IF(AND(BK25&lt;VLOOKUP($C23,$C$3:$D$15,2,FALSE)*BL$21,BL24&gt;VLOOKUP($C23,$C$3:$D$15,2,FALSE)*BL$21),VLOOKUP($C23,$C$3:$D$15,2,FALSE)*BL$21-BK25)))</f>
        <v>0</v>
      </c>
      <c r="BM23" s="642">
        <f t="shared" ref="BM23" si="218" xml:space="preserve">
IF(BL25&gt;=VLOOKUP($C23,$C$3:$D$15,2,FALSE)*BM$21,0,
IF(AND(BL25&lt;VLOOKUP($C23,$C$3:$D$15,2,FALSE)*BM$21,BM24&lt;=VLOOKUP($C23,$C$3:$D$15,2,FALSE)*BM$21),IF(BM24-BL25&lt;0,0,BM24-BL25),
IF(AND(BL25&lt;VLOOKUP($C23,$C$3:$D$15,2,FALSE)*BM$21,BM24&gt;VLOOKUP($C23,$C$3:$D$15,2,FALSE)*BM$21),VLOOKUP($C23,$C$3:$D$15,2,FALSE)*BM$21-BL25)))</f>
        <v>0</v>
      </c>
      <c r="BN23" s="642">
        <f t="shared" ref="BN23" si="219" xml:space="preserve">
IF(BM25&gt;=VLOOKUP($C23,$C$3:$D$15,2,FALSE)*BN$21,0,
IF(AND(BM25&lt;VLOOKUP($C23,$C$3:$D$15,2,FALSE)*BN$21,BN24&lt;=VLOOKUP($C23,$C$3:$D$15,2,FALSE)*BN$21),IF(BN24-BM25&lt;0,0,BN24-BM25),
IF(AND(BM25&lt;VLOOKUP($C23,$C$3:$D$15,2,FALSE)*BN$21,BN24&gt;VLOOKUP($C23,$C$3:$D$15,2,FALSE)*BN$21),VLOOKUP($C23,$C$3:$D$15,2,FALSE)*BN$21-BM25)))</f>
        <v>0</v>
      </c>
      <c r="BO23" s="642">
        <f t="shared" ref="BO23" si="220" xml:space="preserve">
IF(BN25&gt;=VLOOKUP($C23,$C$3:$D$15,2,FALSE)*BO$21,0,
IF(AND(BN25&lt;VLOOKUP($C23,$C$3:$D$15,2,FALSE)*BO$21,BO24&lt;=VLOOKUP($C23,$C$3:$D$15,2,FALSE)*BO$21),IF(BO24-BN25&lt;0,0,BO24-BN25),
IF(AND(BN25&lt;VLOOKUP($C23,$C$3:$D$15,2,FALSE)*BO$21,BO24&gt;VLOOKUP($C23,$C$3:$D$15,2,FALSE)*BO$21),VLOOKUP($C23,$C$3:$D$15,2,FALSE)*BO$21-BN25)))</f>
        <v>0</v>
      </c>
      <c r="BP23" s="642">
        <f t="shared" ref="BP23" si="221" xml:space="preserve">
IF(BO25&gt;=VLOOKUP($C23,$C$3:$D$15,2,FALSE)*BP$21,0,
IF(AND(BO25&lt;VLOOKUP($C23,$C$3:$D$15,2,FALSE)*BP$21,BP24&lt;=VLOOKUP($C23,$C$3:$D$15,2,FALSE)*BP$21),IF(BP24-BO25&lt;0,0,BP24-BO25),
IF(AND(BO25&lt;VLOOKUP($C23,$C$3:$D$15,2,FALSE)*BP$21,BP24&gt;VLOOKUP($C23,$C$3:$D$15,2,FALSE)*BP$21),VLOOKUP($C23,$C$3:$D$15,2,FALSE)*BP$21-BO25)))</f>
        <v>0</v>
      </c>
      <c r="BQ23" s="642">
        <f t="shared" ref="BQ23" si="222" xml:space="preserve">
IF(BP25&gt;=VLOOKUP($C23,$C$3:$D$15,2,FALSE)*BQ$21,0,
IF(AND(BP25&lt;VLOOKUP($C23,$C$3:$D$15,2,FALSE)*BQ$21,BQ24&lt;=VLOOKUP($C23,$C$3:$D$15,2,FALSE)*BQ$21),IF(BQ24-BP25&lt;0,0,BQ24-BP25),
IF(AND(BP25&lt;VLOOKUP($C23,$C$3:$D$15,2,FALSE)*BQ$21,BQ24&gt;VLOOKUP($C23,$C$3:$D$15,2,FALSE)*BQ$21),VLOOKUP($C23,$C$3:$D$15,2,FALSE)*BQ$21-BP25)))</f>
        <v>0</v>
      </c>
      <c r="BR23" s="642">
        <f t="shared" ref="BR23" si="223" xml:space="preserve">
IF(BQ25&gt;=VLOOKUP($C23,$C$3:$D$15,2,FALSE)*BR$21,0,
IF(AND(BQ25&lt;VLOOKUP($C23,$C$3:$D$15,2,FALSE)*BR$21,BR24&lt;=VLOOKUP($C23,$C$3:$D$15,2,FALSE)*BR$21),IF(BR24-BQ25&lt;0,0,BR24-BQ25),
IF(AND(BQ25&lt;VLOOKUP($C23,$C$3:$D$15,2,FALSE)*BR$21,BR24&gt;VLOOKUP($C23,$C$3:$D$15,2,FALSE)*BR$21),VLOOKUP($C23,$C$3:$D$15,2,FALSE)*BR$21-BQ25)))</f>
        <v>0</v>
      </c>
      <c r="BS23" s="642">
        <f t="shared" ref="BS23" si="224" xml:space="preserve">
IF(BR25&gt;=VLOOKUP($C23,$C$3:$D$15,2,FALSE)*BS$21,0,
IF(AND(BR25&lt;VLOOKUP($C23,$C$3:$D$15,2,FALSE)*BS$21,BS24&lt;=VLOOKUP($C23,$C$3:$D$15,2,FALSE)*BS$21),IF(BS24-BR25&lt;0,0,BS24-BR25),
IF(AND(BR25&lt;VLOOKUP($C23,$C$3:$D$15,2,FALSE)*BS$21,BS24&gt;VLOOKUP($C23,$C$3:$D$15,2,FALSE)*BS$21),VLOOKUP($C23,$C$3:$D$15,2,FALSE)*BS$21-BR25)))</f>
        <v>0</v>
      </c>
      <c r="BT23" s="642">
        <f t="shared" ref="BT23" si="225" xml:space="preserve">
IF(BS25&gt;=VLOOKUP($C23,$C$3:$D$15,2,FALSE)*BT$21,0,
IF(AND(BS25&lt;VLOOKUP($C23,$C$3:$D$15,2,FALSE)*BT$21,BT24&lt;=VLOOKUP($C23,$C$3:$D$15,2,FALSE)*BT$21),IF(BT24-BS25&lt;0,0,BT24-BS25),
IF(AND(BS25&lt;VLOOKUP($C23,$C$3:$D$15,2,FALSE)*BT$21,BT24&gt;VLOOKUP($C23,$C$3:$D$15,2,FALSE)*BT$21),VLOOKUP($C23,$C$3:$D$15,2,FALSE)*BT$21-BS25)))</f>
        <v>0</v>
      </c>
      <c r="BU23" s="642">
        <f t="shared" ref="BU23" si="226" xml:space="preserve">
IF(BT25&gt;=VLOOKUP($C23,$C$3:$D$15,2,FALSE)*BU$21,0,
IF(AND(BT25&lt;VLOOKUP($C23,$C$3:$D$15,2,FALSE)*BU$21,BU24&lt;=VLOOKUP($C23,$C$3:$D$15,2,FALSE)*BU$21),IF(BU24-BT25&lt;0,0,BU24-BT25),
IF(AND(BT25&lt;VLOOKUP($C23,$C$3:$D$15,2,FALSE)*BU$21,BU24&gt;VLOOKUP($C23,$C$3:$D$15,2,FALSE)*BU$21),VLOOKUP($C23,$C$3:$D$15,2,FALSE)*BU$21-BT25)))</f>
        <v>0</v>
      </c>
      <c r="BV23" s="642">
        <f t="shared" ref="BV23" si="227" xml:space="preserve">
IF(BU25&gt;=VLOOKUP($C23,$C$3:$D$15,2,FALSE)*BV$21,0,
IF(AND(BU25&lt;VLOOKUP($C23,$C$3:$D$15,2,FALSE)*BV$21,BV24&lt;=VLOOKUP($C23,$C$3:$D$15,2,FALSE)*BV$21),IF(BV24-BU25&lt;0,0,BV24-BU25),
IF(AND(BU25&lt;VLOOKUP($C23,$C$3:$D$15,2,FALSE)*BV$21,BV24&gt;VLOOKUP($C23,$C$3:$D$15,2,FALSE)*BV$21),VLOOKUP($C23,$C$3:$D$15,2,FALSE)*BV$21-BU25)))</f>
        <v>0</v>
      </c>
      <c r="BW23" s="642">
        <f t="shared" ref="BW23" si="228" xml:space="preserve">
IF(BV25&gt;=VLOOKUP($C23,$C$3:$D$15,2,FALSE)*BW$21,0,
IF(AND(BV25&lt;VLOOKUP($C23,$C$3:$D$15,2,FALSE)*BW$21,BW24&lt;=VLOOKUP($C23,$C$3:$D$15,2,FALSE)*BW$21),IF(BW24-BV25&lt;0,0,BW24-BV25),
IF(AND(BV25&lt;VLOOKUP($C23,$C$3:$D$15,2,FALSE)*BW$21,BW24&gt;VLOOKUP($C23,$C$3:$D$15,2,FALSE)*BW$21),VLOOKUP($C23,$C$3:$D$15,2,FALSE)*BW$21-BV25)))</f>
        <v>0</v>
      </c>
      <c r="BX23" s="642">
        <f t="shared" ref="BX23" si="229" xml:space="preserve">
IF(BW25&gt;=VLOOKUP($C23,$C$3:$D$15,2,FALSE)*BX$21,0,
IF(AND(BW25&lt;VLOOKUP($C23,$C$3:$D$15,2,FALSE)*BX$21,BX24&lt;=VLOOKUP($C23,$C$3:$D$15,2,FALSE)*BX$21),IF(BX24-BW25&lt;0,0,BX24-BW25),
IF(AND(BW25&lt;VLOOKUP($C23,$C$3:$D$15,2,FALSE)*BX$21,BX24&gt;VLOOKUP($C23,$C$3:$D$15,2,FALSE)*BX$21),VLOOKUP($C23,$C$3:$D$15,2,FALSE)*BX$21-BW25)))</f>
        <v>0</v>
      </c>
      <c r="BY23" s="642">
        <f t="shared" ref="BY23" si="230" xml:space="preserve">
IF(BX25&gt;=VLOOKUP($C23,$C$3:$D$15,2,FALSE)*BY$21,0,
IF(AND(BX25&lt;VLOOKUP($C23,$C$3:$D$15,2,FALSE)*BY$21,BY24&lt;=VLOOKUP($C23,$C$3:$D$15,2,FALSE)*BY$21),IF(BY24-BX25&lt;0,0,BY24-BX25),
IF(AND(BX25&lt;VLOOKUP($C23,$C$3:$D$15,2,FALSE)*BY$21,BY24&gt;VLOOKUP($C23,$C$3:$D$15,2,FALSE)*BY$21),VLOOKUP($C23,$C$3:$D$15,2,FALSE)*BY$21-BX25)))</f>
        <v>0</v>
      </c>
      <c r="BZ23" s="642">
        <f t="shared" ref="BZ23" si="231" xml:space="preserve">
IF(BY25&gt;=VLOOKUP($C23,$C$3:$D$15,2,FALSE)*BZ$21,0,
IF(AND(BY25&lt;VLOOKUP($C23,$C$3:$D$15,2,FALSE)*BZ$21,BZ24&lt;=VLOOKUP($C23,$C$3:$D$15,2,FALSE)*BZ$21),IF(BZ24-BY25&lt;0,0,BZ24-BY25),
IF(AND(BY25&lt;VLOOKUP($C23,$C$3:$D$15,2,FALSE)*BZ$21,BZ24&gt;VLOOKUP($C23,$C$3:$D$15,2,FALSE)*BZ$21),VLOOKUP($C23,$C$3:$D$15,2,FALSE)*BZ$21-BY25)))</f>
        <v>0</v>
      </c>
      <c r="CA23" s="642">
        <f t="shared" ref="CA23" si="232" xml:space="preserve">
IF(BZ25&gt;=VLOOKUP($C23,$C$3:$D$15,2,FALSE)*CA$21,0,
IF(AND(BZ25&lt;VLOOKUP($C23,$C$3:$D$15,2,FALSE)*CA$21,CA24&lt;=VLOOKUP($C23,$C$3:$D$15,2,FALSE)*CA$21),IF(CA24-BZ25&lt;0,0,CA24-BZ25),
IF(AND(BZ25&lt;VLOOKUP($C23,$C$3:$D$15,2,FALSE)*CA$21,CA24&gt;VLOOKUP($C23,$C$3:$D$15,2,FALSE)*CA$21),VLOOKUP($C23,$C$3:$D$15,2,FALSE)*CA$21-BZ25)))</f>
        <v>0</v>
      </c>
      <c r="CB23" s="642">
        <f t="shared" ref="CB23" si="233" xml:space="preserve">
IF(CA25&gt;=VLOOKUP($C23,$C$3:$D$15,2,FALSE)*CB$21,0,
IF(AND(CA25&lt;VLOOKUP($C23,$C$3:$D$15,2,FALSE)*CB$21,CB24&lt;=VLOOKUP($C23,$C$3:$D$15,2,FALSE)*CB$21),IF(CB24-CA25&lt;0,0,CB24-CA25),
IF(AND(CA25&lt;VLOOKUP($C23,$C$3:$D$15,2,FALSE)*CB$21,CB24&gt;VLOOKUP($C23,$C$3:$D$15,2,FALSE)*CB$21),VLOOKUP($C23,$C$3:$D$15,2,FALSE)*CB$21-CA25)))</f>
        <v>0</v>
      </c>
      <c r="CC23" s="642">
        <f t="shared" ref="CC23" si="234" xml:space="preserve">
IF(CB25&gt;=VLOOKUP($C23,$C$3:$D$15,2,FALSE)*CC$21,0,
IF(AND(CB25&lt;VLOOKUP($C23,$C$3:$D$15,2,FALSE)*CC$21,CC24&lt;=VLOOKUP($C23,$C$3:$D$15,2,FALSE)*CC$21),IF(CC24-CB25&lt;0,0,CC24-CB25),
IF(AND(CB25&lt;VLOOKUP($C23,$C$3:$D$15,2,FALSE)*CC$21,CC24&gt;VLOOKUP($C23,$C$3:$D$15,2,FALSE)*CC$21),VLOOKUP($C23,$C$3:$D$15,2,FALSE)*CC$21-CB25)))</f>
        <v>0</v>
      </c>
      <c r="CD23" s="642">
        <f t="shared" ref="CD23" si="235" xml:space="preserve">
IF(CC25&gt;=VLOOKUP($C23,$C$3:$D$15,2,FALSE)*CD$21,0,
IF(AND(CC25&lt;VLOOKUP($C23,$C$3:$D$15,2,FALSE)*CD$21,CD24&lt;=VLOOKUP($C23,$C$3:$D$15,2,FALSE)*CD$21),IF(CD24-CC25&lt;0,0,CD24-CC25),
IF(AND(CC25&lt;VLOOKUP($C23,$C$3:$D$15,2,FALSE)*CD$21,CD24&gt;VLOOKUP($C23,$C$3:$D$15,2,FALSE)*CD$21),VLOOKUP($C23,$C$3:$D$15,2,FALSE)*CD$21-CC25)))</f>
        <v>0</v>
      </c>
      <c r="CE23" s="642">
        <f t="shared" ref="CE23" si="236" xml:space="preserve">
IF(CD25&gt;=VLOOKUP($C23,$C$3:$D$15,2,FALSE)*CE$21,0,
IF(AND(CD25&lt;VLOOKUP($C23,$C$3:$D$15,2,FALSE)*CE$21,CE24&lt;=VLOOKUP($C23,$C$3:$D$15,2,FALSE)*CE$21),IF(CE24-CD25&lt;0,0,CE24-CD25),
IF(AND(CD25&lt;VLOOKUP($C23,$C$3:$D$15,2,FALSE)*CE$21,CE24&gt;VLOOKUP($C23,$C$3:$D$15,2,FALSE)*CE$21),VLOOKUP($C23,$C$3:$D$15,2,FALSE)*CE$21-CD25)))</f>
        <v>0</v>
      </c>
      <c r="CF23" s="642">
        <f t="shared" ref="CF23" si="237" xml:space="preserve">
IF(CE25&gt;=VLOOKUP($C23,$C$3:$D$15,2,FALSE)*CF$21,0,
IF(AND(CE25&lt;VLOOKUP($C23,$C$3:$D$15,2,FALSE)*CF$21,CF24&lt;=VLOOKUP($C23,$C$3:$D$15,2,FALSE)*CF$21),IF(CF24-CE25&lt;0,0,CF24-CE25),
IF(AND(CE25&lt;VLOOKUP($C23,$C$3:$D$15,2,FALSE)*CF$21,CF24&gt;VLOOKUP($C23,$C$3:$D$15,2,FALSE)*CF$21),VLOOKUP($C23,$C$3:$D$15,2,FALSE)*CF$21-CE25)))</f>
        <v>0</v>
      </c>
      <c r="CG23" s="642">
        <f t="shared" ref="CG23" si="238" xml:space="preserve">
IF(CF25&gt;=VLOOKUP($C23,$C$3:$D$15,2,FALSE)*CG$21,0,
IF(AND(CF25&lt;VLOOKUP($C23,$C$3:$D$15,2,FALSE)*CG$21,CG24&lt;=VLOOKUP($C23,$C$3:$D$15,2,FALSE)*CG$21),IF(CG24-CF25&lt;0,0,CG24-CF25),
IF(AND(CF25&lt;VLOOKUP($C23,$C$3:$D$15,2,FALSE)*CG$21,CG24&gt;VLOOKUP($C23,$C$3:$D$15,2,FALSE)*CG$21),VLOOKUP($C23,$C$3:$D$15,2,FALSE)*CG$21-CF25)))</f>
        <v>0</v>
      </c>
      <c r="CH23" s="642">
        <f t="shared" ref="CH23" si="239" xml:space="preserve">
IF(CG25&gt;=VLOOKUP($C23,$C$3:$D$15,2,FALSE)*CH$21,0,
IF(AND(CG25&lt;VLOOKUP($C23,$C$3:$D$15,2,FALSE)*CH$21,CH24&lt;=VLOOKUP($C23,$C$3:$D$15,2,FALSE)*CH$21),IF(CH24-CG25&lt;0,0,CH24-CG25),
IF(AND(CG25&lt;VLOOKUP($C23,$C$3:$D$15,2,FALSE)*CH$21,CH24&gt;VLOOKUP($C23,$C$3:$D$15,2,FALSE)*CH$21),VLOOKUP($C23,$C$3:$D$15,2,FALSE)*CH$21-CG25)))</f>
        <v>0</v>
      </c>
      <c r="CI23" s="642">
        <f t="shared" ref="CI23" si="240" xml:space="preserve">
IF(CH25&gt;=VLOOKUP($C23,$C$3:$D$15,2,FALSE)*CI$21,0,
IF(AND(CH25&lt;VLOOKUP($C23,$C$3:$D$15,2,FALSE)*CI$21,CI24&lt;=VLOOKUP($C23,$C$3:$D$15,2,FALSE)*CI$21),IF(CI24-CH25&lt;0,0,CI24-CH25),
IF(AND(CH25&lt;VLOOKUP($C23,$C$3:$D$15,2,FALSE)*CI$21,CI24&gt;VLOOKUP($C23,$C$3:$D$15,2,FALSE)*CI$21),VLOOKUP($C23,$C$3:$D$15,2,FALSE)*CI$21-CH25)))</f>
        <v>0</v>
      </c>
      <c r="CJ23" s="642">
        <f t="shared" ref="CJ23" si="241" xml:space="preserve">
IF(CI25&gt;=VLOOKUP($C23,$C$3:$D$15,2,FALSE)*CJ$21,0,
IF(AND(CI25&lt;VLOOKUP($C23,$C$3:$D$15,2,FALSE)*CJ$21,CJ24&lt;=VLOOKUP($C23,$C$3:$D$15,2,FALSE)*CJ$21),IF(CJ24-CI25&lt;0,0,CJ24-CI25),
IF(AND(CI25&lt;VLOOKUP($C23,$C$3:$D$15,2,FALSE)*CJ$21,CJ24&gt;VLOOKUP($C23,$C$3:$D$15,2,FALSE)*CJ$21),VLOOKUP($C23,$C$3:$D$15,2,FALSE)*CJ$21-CI25)))</f>
        <v>0</v>
      </c>
      <c r="CK23" s="642">
        <f t="shared" ref="CK23" si="242" xml:space="preserve">
IF(CJ25&gt;=VLOOKUP($C23,$C$3:$D$15,2,FALSE)*CK$21,0,
IF(AND(CJ25&lt;VLOOKUP($C23,$C$3:$D$15,2,FALSE)*CK$21,CK24&lt;=VLOOKUP($C23,$C$3:$D$15,2,FALSE)*CK$21),IF(CK24-CJ25&lt;0,0,CK24-CJ25),
IF(AND(CJ25&lt;VLOOKUP($C23,$C$3:$D$15,2,FALSE)*CK$21,CK24&gt;VLOOKUP($C23,$C$3:$D$15,2,FALSE)*CK$21),VLOOKUP($C23,$C$3:$D$15,2,FALSE)*CK$21-CJ25)))</f>
        <v>0</v>
      </c>
      <c r="CL23" s="642">
        <f t="shared" ref="CL23" si="243" xml:space="preserve">
IF(CK25&gt;=VLOOKUP($C23,$C$3:$D$15,2,FALSE)*CL$21,0,
IF(AND(CK25&lt;VLOOKUP($C23,$C$3:$D$15,2,FALSE)*CL$21,CL24&lt;=VLOOKUP($C23,$C$3:$D$15,2,FALSE)*CL$21),IF(CL24-CK25&lt;0,0,CL24-CK25),
IF(AND(CK25&lt;VLOOKUP($C23,$C$3:$D$15,2,FALSE)*CL$21,CL24&gt;VLOOKUP($C23,$C$3:$D$15,2,FALSE)*CL$21),VLOOKUP($C23,$C$3:$D$15,2,FALSE)*CL$21-CK25)))</f>
        <v>0</v>
      </c>
      <c r="CM23" s="642">
        <f t="shared" ref="CM23" si="244" xml:space="preserve">
IF(CL25&gt;=VLOOKUP($C23,$C$3:$D$15,2,FALSE)*CM$21,0,
IF(AND(CL25&lt;VLOOKUP($C23,$C$3:$D$15,2,FALSE)*CM$21,CM24&lt;=VLOOKUP($C23,$C$3:$D$15,2,FALSE)*CM$21),IF(CM24-CL25&lt;0,0,CM24-CL25),
IF(AND(CL25&lt;VLOOKUP($C23,$C$3:$D$15,2,FALSE)*CM$21,CM24&gt;VLOOKUP($C23,$C$3:$D$15,2,FALSE)*CM$21),VLOOKUP($C23,$C$3:$D$15,2,FALSE)*CM$21-CL25)))</f>
        <v>0</v>
      </c>
      <c r="CN23" s="642">
        <f t="shared" ref="CN23" si="245" xml:space="preserve">
IF(CM25&gt;=VLOOKUP($C23,$C$3:$D$15,2,FALSE)*CN$21,0,
IF(AND(CM25&lt;VLOOKUP($C23,$C$3:$D$15,2,FALSE)*CN$21,CN24&lt;=VLOOKUP($C23,$C$3:$D$15,2,FALSE)*CN$21),IF(CN24-CM25&lt;0,0,CN24-CM25),
IF(AND(CM25&lt;VLOOKUP($C23,$C$3:$D$15,2,FALSE)*CN$21,CN24&gt;VLOOKUP($C23,$C$3:$D$15,2,FALSE)*CN$21),VLOOKUP($C23,$C$3:$D$15,2,FALSE)*CN$21-CM25)))</f>
        <v>0</v>
      </c>
      <c r="CO23" s="642">
        <f t="shared" ref="CO23" si="246" xml:space="preserve">
IF(CN25&gt;=VLOOKUP($C23,$C$3:$D$15,2,FALSE)*CO$21,0,
IF(AND(CN25&lt;VLOOKUP($C23,$C$3:$D$15,2,FALSE)*CO$21,CO24&lt;=VLOOKUP($C23,$C$3:$D$15,2,FALSE)*CO$21),IF(CO24-CN25&lt;0,0,CO24-CN25),
IF(AND(CN25&lt;VLOOKUP($C23,$C$3:$D$15,2,FALSE)*CO$21,CO24&gt;VLOOKUP($C23,$C$3:$D$15,2,FALSE)*CO$21),VLOOKUP($C23,$C$3:$D$15,2,FALSE)*CO$21-CN25)))</f>
        <v>0</v>
      </c>
      <c r="CP23" s="642">
        <f t="shared" ref="CP23" si="247" xml:space="preserve">
IF(CO25&gt;=VLOOKUP($C23,$C$3:$D$15,2,FALSE)*CP$21,0,
IF(AND(CO25&lt;VLOOKUP($C23,$C$3:$D$15,2,FALSE)*CP$21,CP24&lt;=VLOOKUP($C23,$C$3:$D$15,2,FALSE)*CP$21),IF(CP24-CO25&lt;0,0,CP24-CO25),
IF(AND(CO25&lt;VLOOKUP($C23,$C$3:$D$15,2,FALSE)*CP$21,CP24&gt;VLOOKUP($C23,$C$3:$D$15,2,FALSE)*CP$21),VLOOKUP($C23,$C$3:$D$15,2,FALSE)*CP$21-CO25)))</f>
        <v>0</v>
      </c>
      <c r="CQ23" s="642">
        <f t="shared" ref="CQ23" si="248" xml:space="preserve">
IF(CP25&gt;=VLOOKUP($C23,$C$3:$D$15,2,FALSE)*CQ$21,0,
IF(AND(CP25&lt;VLOOKUP($C23,$C$3:$D$15,2,FALSE)*CQ$21,CQ24&lt;=VLOOKUP($C23,$C$3:$D$15,2,FALSE)*CQ$21),IF(CQ24-CP25&lt;0,0,CQ24-CP25),
IF(AND(CP25&lt;VLOOKUP($C23,$C$3:$D$15,2,FALSE)*CQ$21,CQ24&gt;VLOOKUP($C23,$C$3:$D$15,2,FALSE)*CQ$21),VLOOKUP($C23,$C$3:$D$15,2,FALSE)*CQ$21-CP25)))</f>
        <v>0</v>
      </c>
      <c r="CR23" s="642">
        <f t="shared" ref="CR23" si="249" xml:space="preserve">
IF(CQ25&gt;=VLOOKUP($C23,$C$3:$D$15,2,FALSE)*CR$21,0,
IF(AND(CQ25&lt;VLOOKUP($C23,$C$3:$D$15,2,FALSE)*CR$21,CR24&lt;=VLOOKUP($C23,$C$3:$D$15,2,FALSE)*CR$21),IF(CR24-CQ25&lt;0,0,CR24-CQ25),
IF(AND(CQ25&lt;VLOOKUP($C23,$C$3:$D$15,2,FALSE)*CR$21,CR24&gt;VLOOKUP($C23,$C$3:$D$15,2,FALSE)*CR$21),VLOOKUP($C23,$C$3:$D$15,2,FALSE)*CR$21-CQ25)))</f>
        <v>0</v>
      </c>
      <c r="CS23" s="642">
        <f t="shared" ref="CS23" si="250" xml:space="preserve">
IF(CR25&gt;=VLOOKUP($C23,$C$3:$D$15,2,FALSE)*CS$21,0,
IF(AND(CR25&lt;VLOOKUP($C23,$C$3:$D$15,2,FALSE)*CS$21,CS24&lt;=VLOOKUP($C23,$C$3:$D$15,2,FALSE)*CS$21),IF(CS24-CR25&lt;0,0,CS24-CR25),
IF(AND(CR25&lt;VLOOKUP($C23,$C$3:$D$15,2,FALSE)*CS$21,CS24&gt;VLOOKUP($C23,$C$3:$D$15,2,FALSE)*CS$21),VLOOKUP($C23,$C$3:$D$15,2,FALSE)*CS$21-CR25)))</f>
        <v>0</v>
      </c>
      <c r="CT23" s="642">
        <f t="shared" ref="CT23" si="251" xml:space="preserve">
IF(CS25&gt;=VLOOKUP($C23,$C$3:$D$15,2,FALSE)*CT$21,0,
IF(AND(CS25&lt;VLOOKUP($C23,$C$3:$D$15,2,FALSE)*CT$21,CT24&lt;=VLOOKUP($C23,$C$3:$D$15,2,FALSE)*CT$21),IF(CT24-CS25&lt;0,0,CT24-CS25),
IF(AND(CS25&lt;VLOOKUP($C23,$C$3:$D$15,2,FALSE)*CT$21,CT24&gt;VLOOKUP($C23,$C$3:$D$15,2,FALSE)*CT$21),VLOOKUP($C23,$C$3:$D$15,2,FALSE)*CT$21-CS25)))</f>
        <v>0</v>
      </c>
      <c r="CU23" s="642">
        <f t="shared" ref="CU23" si="252" xml:space="preserve">
IF(CT25&gt;=VLOOKUP($C23,$C$3:$D$15,2,FALSE)*CU$21,0,
IF(AND(CT25&lt;VLOOKUP($C23,$C$3:$D$15,2,FALSE)*CU$21,CU24&lt;=VLOOKUP($C23,$C$3:$D$15,2,FALSE)*CU$21),IF(CU24-CT25&lt;0,0,CU24-CT25),
IF(AND(CT25&lt;VLOOKUP($C23,$C$3:$D$15,2,FALSE)*CU$21,CU24&gt;VLOOKUP($C23,$C$3:$D$15,2,FALSE)*CU$21),VLOOKUP($C23,$C$3:$D$15,2,FALSE)*CU$21-CT25)))</f>
        <v>0</v>
      </c>
      <c r="CV23" s="642">
        <f t="shared" ref="CV23" si="253" xml:space="preserve">
IF(CU25&gt;=VLOOKUP($C23,$C$3:$D$15,2,FALSE)*CV$21,0,
IF(AND(CU25&lt;VLOOKUP($C23,$C$3:$D$15,2,FALSE)*CV$21,CV24&lt;=VLOOKUP($C23,$C$3:$D$15,2,FALSE)*CV$21),IF(CV24-CU25&lt;0,0,CV24-CU25),
IF(AND(CU25&lt;VLOOKUP($C23,$C$3:$D$15,2,FALSE)*CV$21,CV24&gt;VLOOKUP($C23,$C$3:$D$15,2,FALSE)*CV$21),VLOOKUP($C23,$C$3:$D$15,2,FALSE)*CV$21-CU25)))</f>
        <v>0</v>
      </c>
      <c r="CW23" s="642">
        <f t="shared" ref="CW23" si="254" xml:space="preserve">
IF(CV25&gt;=VLOOKUP($C23,$C$3:$D$15,2,FALSE)*CW$21,0,
IF(AND(CV25&lt;VLOOKUP($C23,$C$3:$D$15,2,FALSE)*CW$21,CW24&lt;=VLOOKUP($C23,$C$3:$D$15,2,FALSE)*CW$21),IF(CW24-CV25&lt;0,0,CW24-CV25),
IF(AND(CV25&lt;VLOOKUP($C23,$C$3:$D$15,2,FALSE)*CW$21,CW24&gt;VLOOKUP($C23,$C$3:$D$15,2,FALSE)*CW$21),VLOOKUP($C23,$C$3:$D$15,2,FALSE)*CW$21-CV25)))</f>
        <v>0</v>
      </c>
      <c r="CX23" s="642">
        <f t="shared" ref="CX23" si="255" xml:space="preserve">
IF(CW25&gt;=VLOOKUP($C23,$C$3:$D$15,2,FALSE)*CX$21,0,
IF(AND(CW25&lt;VLOOKUP($C23,$C$3:$D$15,2,FALSE)*CX$21,CX24&lt;=VLOOKUP($C23,$C$3:$D$15,2,FALSE)*CX$21),IF(CX24-CW25&lt;0,0,CX24-CW25),
IF(AND(CW25&lt;VLOOKUP($C23,$C$3:$D$15,2,FALSE)*CX$21,CX24&gt;VLOOKUP($C23,$C$3:$D$15,2,FALSE)*CX$21),VLOOKUP($C23,$C$3:$D$15,2,FALSE)*CX$21-CW25)))</f>
        <v>0</v>
      </c>
      <c r="CY23" s="642">
        <f t="shared" ref="CY23" si="256" xml:space="preserve">
IF(CX25&gt;=VLOOKUP($C23,$C$3:$D$15,2,FALSE)*CY$21,0,
IF(AND(CX25&lt;VLOOKUP($C23,$C$3:$D$15,2,FALSE)*CY$21,CY24&lt;=VLOOKUP($C23,$C$3:$D$15,2,FALSE)*CY$21),IF(CY24-CX25&lt;0,0,CY24-CX25),
IF(AND(CX25&lt;VLOOKUP($C23,$C$3:$D$15,2,FALSE)*CY$21,CY24&gt;VLOOKUP($C23,$C$3:$D$15,2,FALSE)*CY$21),VLOOKUP($C23,$C$3:$D$15,2,FALSE)*CY$21-CX25)))</f>
        <v>0</v>
      </c>
      <c r="CZ23" s="642">
        <f t="shared" ref="CZ23" si="257" xml:space="preserve">
IF(CY25&gt;=VLOOKUP($C23,$C$3:$D$15,2,FALSE)*CZ$21,0,
IF(AND(CY25&lt;VLOOKUP($C23,$C$3:$D$15,2,FALSE)*CZ$21,CZ24&lt;=VLOOKUP($C23,$C$3:$D$15,2,FALSE)*CZ$21),IF(CZ24-CY25&lt;0,0,CZ24-CY25),
IF(AND(CY25&lt;VLOOKUP($C23,$C$3:$D$15,2,FALSE)*CZ$21,CZ24&gt;VLOOKUP($C23,$C$3:$D$15,2,FALSE)*CZ$21),VLOOKUP($C23,$C$3:$D$15,2,FALSE)*CZ$21-CY25)))</f>
        <v>0</v>
      </c>
      <c r="DA23" s="642">
        <f t="shared" ref="DA23" si="258" xml:space="preserve">
IF(CZ25&gt;=VLOOKUP($C23,$C$3:$D$15,2,FALSE)*DA$21,0,
IF(AND(CZ25&lt;VLOOKUP($C23,$C$3:$D$15,2,FALSE)*DA$21,DA24&lt;=VLOOKUP($C23,$C$3:$D$15,2,FALSE)*DA$21),IF(DA24-CZ25&lt;0,0,DA24-CZ25),
IF(AND(CZ25&lt;VLOOKUP($C23,$C$3:$D$15,2,FALSE)*DA$21,DA24&gt;VLOOKUP($C23,$C$3:$D$15,2,FALSE)*DA$21),VLOOKUP($C23,$C$3:$D$15,2,FALSE)*DA$21-CZ25)))</f>
        <v>0</v>
      </c>
      <c r="DB23" s="642">
        <f t="shared" ref="DB23" si="259" xml:space="preserve">
IF(DA25&gt;=VLOOKUP($C23,$C$3:$D$15,2,FALSE)*DB$21,0,
IF(AND(DA25&lt;VLOOKUP($C23,$C$3:$D$15,2,FALSE)*DB$21,DB24&lt;=VLOOKUP($C23,$C$3:$D$15,2,FALSE)*DB$21),IF(DB24-DA25&lt;0,0,DB24-DA25),
IF(AND(DA25&lt;VLOOKUP($C23,$C$3:$D$15,2,FALSE)*DB$21,DB24&gt;VLOOKUP($C23,$C$3:$D$15,2,FALSE)*DB$21),VLOOKUP($C23,$C$3:$D$15,2,FALSE)*DB$21-DA25)))</f>
        <v>0</v>
      </c>
      <c r="DC23" s="642">
        <f t="shared" ref="DC23" si="260" xml:space="preserve">
IF(DB25&gt;=VLOOKUP($C23,$C$3:$D$15,2,FALSE)*DC$21,0,
IF(AND(DB25&lt;VLOOKUP($C23,$C$3:$D$15,2,FALSE)*DC$21,DC24&lt;=VLOOKUP($C23,$C$3:$D$15,2,FALSE)*DC$21),IF(DC24-DB25&lt;0,0,DC24-DB25),
IF(AND(DB25&lt;VLOOKUP($C23,$C$3:$D$15,2,FALSE)*DC$21,DC24&gt;VLOOKUP($C23,$C$3:$D$15,2,FALSE)*DC$21),VLOOKUP($C23,$C$3:$D$15,2,FALSE)*DC$21-DB25)))</f>
        <v>0</v>
      </c>
      <c r="DD23" s="642">
        <f t="shared" ref="DD23" si="261" xml:space="preserve">
IF(DC25&gt;=VLOOKUP($C23,$C$3:$D$15,2,FALSE)*DD$21,0,
IF(AND(DC25&lt;VLOOKUP($C23,$C$3:$D$15,2,FALSE)*DD$21,DD24&lt;=VLOOKUP($C23,$C$3:$D$15,2,FALSE)*DD$21),IF(DD24-DC25&lt;0,0,DD24-DC25),
IF(AND(DC25&lt;VLOOKUP($C23,$C$3:$D$15,2,FALSE)*DD$21,DD24&gt;VLOOKUP($C23,$C$3:$D$15,2,FALSE)*DD$21),VLOOKUP($C23,$C$3:$D$15,2,FALSE)*DD$21-DC25)))</f>
        <v>0</v>
      </c>
      <c r="DE23" s="642">
        <f t="shared" ref="DE23" si="262" xml:space="preserve">
IF(DD25&gt;=VLOOKUP($C23,$C$3:$D$15,2,FALSE)*DE$21,0,
IF(AND(DD25&lt;VLOOKUP($C23,$C$3:$D$15,2,FALSE)*DE$21,DE24&lt;=VLOOKUP($C23,$C$3:$D$15,2,FALSE)*DE$21),IF(DE24-DD25&lt;0,0,DE24-DD25),
IF(AND(DD25&lt;VLOOKUP($C23,$C$3:$D$15,2,FALSE)*DE$21,DE24&gt;VLOOKUP($C23,$C$3:$D$15,2,FALSE)*DE$21),VLOOKUP($C23,$C$3:$D$15,2,FALSE)*DE$21-DD25)))</f>
        <v>0</v>
      </c>
      <c r="DF23" s="642">
        <f t="shared" ref="DF23" si="263" xml:space="preserve">
IF(DE25&gt;=VLOOKUP($C23,$C$3:$D$15,2,FALSE)*DF$21,0,
IF(AND(DE25&lt;VLOOKUP($C23,$C$3:$D$15,2,FALSE)*DF$21,DF24&lt;=VLOOKUP($C23,$C$3:$D$15,2,FALSE)*DF$21),IF(DF24-DE25&lt;0,0,DF24-DE25),
IF(AND(DE25&lt;VLOOKUP($C23,$C$3:$D$15,2,FALSE)*DF$21,DF24&gt;VLOOKUP($C23,$C$3:$D$15,2,FALSE)*DF$21),VLOOKUP($C23,$C$3:$D$15,2,FALSE)*DF$21-DE25)))</f>
        <v>0</v>
      </c>
      <c r="DG23" s="642">
        <f t="shared" ref="DG23" si="264" xml:space="preserve">
IF(DF25&gt;=VLOOKUP($C23,$C$3:$D$15,2,FALSE)*DG$21,0,
IF(AND(DF25&lt;VLOOKUP($C23,$C$3:$D$15,2,FALSE)*DG$21,DG24&lt;=VLOOKUP($C23,$C$3:$D$15,2,FALSE)*DG$21),IF(DG24-DF25&lt;0,0,DG24-DF25),
IF(AND(DF25&lt;VLOOKUP($C23,$C$3:$D$15,2,FALSE)*DG$21,DG24&gt;VLOOKUP($C23,$C$3:$D$15,2,FALSE)*DG$21),VLOOKUP($C23,$C$3:$D$15,2,FALSE)*DG$21-DF25)))</f>
        <v>0</v>
      </c>
      <c r="DH23" s="642">
        <f t="shared" ref="DH23" si="265" xml:space="preserve">
IF(DG25&gt;=VLOOKUP($C23,$C$3:$D$15,2,FALSE)*DH$21,0,
IF(AND(DG25&lt;VLOOKUP($C23,$C$3:$D$15,2,FALSE)*DH$21,DH24&lt;=VLOOKUP($C23,$C$3:$D$15,2,FALSE)*DH$21),IF(DH24-DG25&lt;0,0,DH24-DG25),
IF(AND(DG25&lt;VLOOKUP($C23,$C$3:$D$15,2,FALSE)*DH$21,DH24&gt;VLOOKUP($C23,$C$3:$D$15,2,FALSE)*DH$21),VLOOKUP($C23,$C$3:$D$15,2,FALSE)*DH$21-DG25)))</f>
        <v>0</v>
      </c>
      <c r="DI23" s="642">
        <f t="shared" ref="DI23" si="266" xml:space="preserve">
IF(DH25&gt;=VLOOKUP($C23,$C$3:$D$15,2,FALSE)*DI$21,0,
IF(AND(DH25&lt;VLOOKUP($C23,$C$3:$D$15,2,FALSE)*DI$21,DI24&lt;=VLOOKUP($C23,$C$3:$D$15,2,FALSE)*DI$21),IF(DI24-DH25&lt;0,0,DI24-DH25),
IF(AND(DH25&lt;VLOOKUP($C23,$C$3:$D$15,2,FALSE)*DI$21,DI24&gt;VLOOKUP($C23,$C$3:$D$15,2,FALSE)*DI$21),VLOOKUP($C23,$C$3:$D$15,2,FALSE)*DI$21-DH25)))</f>
        <v>0</v>
      </c>
      <c r="DJ23" s="642">
        <f t="shared" ref="DJ23" si="267" xml:space="preserve">
IF(DI25&gt;=VLOOKUP($C23,$C$3:$D$15,2,FALSE)*DJ$21,0,
IF(AND(DI25&lt;VLOOKUP($C23,$C$3:$D$15,2,FALSE)*DJ$21,DJ24&lt;=VLOOKUP($C23,$C$3:$D$15,2,FALSE)*DJ$21),IF(DJ24-DI25&lt;0,0,DJ24-DI25),
IF(AND(DI25&lt;VLOOKUP($C23,$C$3:$D$15,2,FALSE)*DJ$21,DJ24&gt;VLOOKUP($C23,$C$3:$D$15,2,FALSE)*DJ$21),VLOOKUP($C23,$C$3:$D$15,2,FALSE)*DJ$21-DI25)))</f>
        <v>0</v>
      </c>
      <c r="DK23" s="642">
        <f t="shared" ref="DK23" si="268" xml:space="preserve">
IF(DJ25&gt;=VLOOKUP($C23,$C$3:$D$15,2,FALSE)*DK$21,0,
IF(AND(DJ25&lt;VLOOKUP($C23,$C$3:$D$15,2,FALSE)*DK$21,DK24&lt;=VLOOKUP($C23,$C$3:$D$15,2,FALSE)*DK$21),IF(DK24-DJ25&lt;0,0,DK24-DJ25),
IF(AND(DJ25&lt;VLOOKUP($C23,$C$3:$D$15,2,FALSE)*DK$21,DK24&gt;VLOOKUP($C23,$C$3:$D$15,2,FALSE)*DK$21),VLOOKUP($C23,$C$3:$D$15,2,FALSE)*DK$21-DJ25)))</f>
        <v>0</v>
      </c>
      <c r="DL23" s="642">
        <f t="shared" ref="DL23" si="269" xml:space="preserve">
IF(DK25&gt;=VLOOKUP($C23,$C$3:$D$15,2,FALSE)*DL$21,0,
IF(AND(DK25&lt;VLOOKUP($C23,$C$3:$D$15,2,FALSE)*DL$21,DL24&lt;=VLOOKUP($C23,$C$3:$D$15,2,FALSE)*DL$21),IF(DL24-DK25&lt;0,0,DL24-DK25),
IF(AND(DK25&lt;VLOOKUP($C23,$C$3:$D$15,2,FALSE)*DL$21,DL24&gt;VLOOKUP($C23,$C$3:$D$15,2,FALSE)*DL$21),VLOOKUP($C23,$C$3:$D$15,2,FALSE)*DL$21-DK25)))</f>
        <v>0</v>
      </c>
      <c r="DM23" s="642">
        <f t="shared" ref="DM23" si="270" xml:space="preserve">
IF(DL25&gt;=VLOOKUP($C23,$C$3:$D$15,2,FALSE)*DM$21,0,
IF(AND(DL25&lt;VLOOKUP($C23,$C$3:$D$15,2,FALSE)*DM$21,DM24&lt;=VLOOKUP($C23,$C$3:$D$15,2,FALSE)*DM$21),IF(DM24-DL25&lt;0,0,DM24-DL25),
IF(AND(DL25&lt;VLOOKUP($C23,$C$3:$D$15,2,FALSE)*DM$21,DM24&gt;VLOOKUP($C23,$C$3:$D$15,2,FALSE)*DM$21),VLOOKUP($C23,$C$3:$D$15,2,FALSE)*DM$21-DL25)))</f>
        <v>0</v>
      </c>
      <c r="DN23" s="642">
        <f t="shared" ref="DN23" si="271" xml:space="preserve">
IF(DM25&gt;=VLOOKUP($C23,$C$3:$D$15,2,FALSE)*DN$21,0,
IF(AND(DM25&lt;VLOOKUP($C23,$C$3:$D$15,2,FALSE)*DN$21,DN24&lt;=VLOOKUP($C23,$C$3:$D$15,2,FALSE)*DN$21),IF(DN24-DM25&lt;0,0,DN24-DM25),
IF(AND(DM25&lt;VLOOKUP($C23,$C$3:$D$15,2,FALSE)*DN$21,DN24&gt;VLOOKUP($C23,$C$3:$D$15,2,FALSE)*DN$21),VLOOKUP($C23,$C$3:$D$15,2,FALSE)*DN$21-DM25)))</f>
        <v>0</v>
      </c>
      <c r="DO23" s="642">
        <f t="shared" ref="DO23" si="272" xml:space="preserve">
IF(DN25&gt;=VLOOKUP($C23,$C$3:$D$15,2,FALSE)*DO$21,0,
IF(AND(DN25&lt;VLOOKUP($C23,$C$3:$D$15,2,FALSE)*DO$21,DO24&lt;=VLOOKUP($C23,$C$3:$D$15,2,FALSE)*DO$21),IF(DO24-DN25&lt;0,0,DO24-DN25),
IF(AND(DN25&lt;VLOOKUP($C23,$C$3:$D$15,2,FALSE)*DO$21,DO24&gt;VLOOKUP($C23,$C$3:$D$15,2,FALSE)*DO$21),VLOOKUP($C23,$C$3:$D$15,2,FALSE)*DO$21-DN25)))</f>
        <v>0</v>
      </c>
      <c r="DP23" s="642">
        <f t="shared" ref="DP23" si="273" xml:space="preserve">
IF(DO25&gt;=VLOOKUP($C23,$C$3:$D$15,2,FALSE)*DP$21,0,
IF(AND(DO25&lt;VLOOKUP($C23,$C$3:$D$15,2,FALSE)*DP$21,DP24&lt;=VLOOKUP($C23,$C$3:$D$15,2,FALSE)*DP$21),IF(DP24-DO25&lt;0,0,DP24-DO25),
IF(AND(DO25&lt;VLOOKUP($C23,$C$3:$D$15,2,FALSE)*DP$21,DP24&gt;VLOOKUP($C23,$C$3:$D$15,2,FALSE)*DP$21),VLOOKUP($C23,$C$3:$D$15,2,FALSE)*DP$21-DO25)))</f>
        <v>0</v>
      </c>
      <c r="DQ23" s="642">
        <f t="shared" ref="DQ23" si="274" xml:space="preserve">
IF(DP25&gt;=VLOOKUP($C23,$C$3:$D$15,2,FALSE)*DQ$21,0,
IF(AND(DP25&lt;VLOOKUP($C23,$C$3:$D$15,2,FALSE)*DQ$21,DQ24&lt;=VLOOKUP($C23,$C$3:$D$15,2,FALSE)*DQ$21),IF(DQ24-DP25&lt;0,0,DQ24-DP25),
IF(AND(DP25&lt;VLOOKUP($C23,$C$3:$D$15,2,FALSE)*DQ$21,DQ24&gt;VLOOKUP($C23,$C$3:$D$15,2,FALSE)*DQ$21),VLOOKUP($C23,$C$3:$D$15,2,FALSE)*DQ$21-DP25)))</f>
        <v>0</v>
      </c>
      <c r="DR23" s="642">
        <f t="shared" ref="DR23" si="275" xml:space="preserve">
IF(DQ25&gt;=VLOOKUP($C23,$C$3:$D$15,2,FALSE)*DR$21,0,
IF(AND(DQ25&lt;VLOOKUP($C23,$C$3:$D$15,2,FALSE)*DR$21,DR24&lt;=VLOOKUP($C23,$C$3:$D$15,2,FALSE)*DR$21),IF(DR24-DQ25&lt;0,0,DR24-DQ25),
IF(AND(DQ25&lt;VLOOKUP($C23,$C$3:$D$15,2,FALSE)*DR$21,DR24&gt;VLOOKUP($C23,$C$3:$D$15,2,FALSE)*DR$21),VLOOKUP($C23,$C$3:$D$15,2,FALSE)*DR$21-DQ25)))</f>
        <v>0</v>
      </c>
      <c r="DS23" s="642">
        <f t="shared" ref="DS23" si="276" xml:space="preserve">
IF(DR25&gt;=VLOOKUP($C23,$C$3:$D$15,2,FALSE)*DS$21,0,
IF(AND(DR25&lt;VLOOKUP($C23,$C$3:$D$15,2,FALSE)*DS$21,DS24&lt;=VLOOKUP($C23,$C$3:$D$15,2,FALSE)*DS$21),IF(DS24-DR25&lt;0,0,DS24-DR25),
IF(AND(DR25&lt;VLOOKUP($C23,$C$3:$D$15,2,FALSE)*DS$21,DS24&gt;VLOOKUP($C23,$C$3:$D$15,2,FALSE)*DS$21),VLOOKUP($C23,$C$3:$D$15,2,FALSE)*DS$21-DR25)))</f>
        <v>0</v>
      </c>
      <c r="DT23" s="642">
        <f t="shared" ref="DT23" si="277" xml:space="preserve">
IF(DS25&gt;=VLOOKUP($C23,$C$3:$D$15,2,FALSE)*DT$21,0,
IF(AND(DS25&lt;VLOOKUP($C23,$C$3:$D$15,2,FALSE)*DT$21,DT24&lt;=VLOOKUP($C23,$C$3:$D$15,2,FALSE)*DT$21),IF(DT24-DS25&lt;0,0,DT24-DS25),
IF(AND(DS25&lt;VLOOKUP($C23,$C$3:$D$15,2,FALSE)*DT$21,DT24&gt;VLOOKUP($C23,$C$3:$D$15,2,FALSE)*DT$21),VLOOKUP($C23,$C$3:$D$15,2,FALSE)*DT$21-DS25)))</f>
        <v>0</v>
      </c>
      <c r="DU23" s="642">
        <f t="shared" ref="DU23" si="278" xml:space="preserve">
IF(DT25&gt;=VLOOKUP($C23,$C$3:$D$15,2,FALSE)*DU$21,0,
IF(AND(DT25&lt;VLOOKUP($C23,$C$3:$D$15,2,FALSE)*DU$21,DU24&lt;=VLOOKUP($C23,$C$3:$D$15,2,FALSE)*DU$21),IF(DU24-DT25&lt;0,0,DU24-DT25),
IF(AND(DT25&lt;VLOOKUP($C23,$C$3:$D$15,2,FALSE)*DU$21,DU24&gt;VLOOKUP($C23,$C$3:$D$15,2,FALSE)*DU$21),VLOOKUP($C23,$C$3:$D$15,2,FALSE)*DU$21-DT25)))</f>
        <v>0</v>
      </c>
      <c r="DV23" s="642">
        <f t="shared" ref="DV23" si="279" xml:space="preserve">
IF(DU25&gt;=VLOOKUP($C23,$C$3:$D$15,2,FALSE)*DV$21,0,
IF(AND(DU25&lt;VLOOKUP($C23,$C$3:$D$15,2,FALSE)*DV$21,DV24&lt;=VLOOKUP($C23,$C$3:$D$15,2,FALSE)*DV$21),IF(DV24-DU25&lt;0,0,DV24-DU25),
IF(AND(DU25&lt;VLOOKUP($C23,$C$3:$D$15,2,FALSE)*DV$21,DV24&gt;VLOOKUP($C23,$C$3:$D$15,2,FALSE)*DV$21),VLOOKUP($C23,$C$3:$D$15,2,FALSE)*DV$21-DU25)))</f>
        <v>0</v>
      </c>
      <c r="DW23" s="642">
        <f t="shared" ref="DW23" si="280" xml:space="preserve">
IF(DV25&gt;=VLOOKUP($C23,$C$3:$D$15,2,FALSE)*DW$21,0,
IF(AND(DV25&lt;VLOOKUP($C23,$C$3:$D$15,2,FALSE)*DW$21,DW24&lt;=VLOOKUP($C23,$C$3:$D$15,2,FALSE)*DW$21),IF(DW24-DV25&lt;0,0,DW24-DV25),
IF(AND(DV25&lt;VLOOKUP($C23,$C$3:$D$15,2,FALSE)*DW$21,DW24&gt;VLOOKUP($C23,$C$3:$D$15,2,FALSE)*DW$21),VLOOKUP($C23,$C$3:$D$15,2,FALSE)*DW$21-DV25)))</f>
        <v>0</v>
      </c>
      <c r="DX23" s="642">
        <f t="shared" ref="DX23" si="281" xml:space="preserve">
IF(DW25&gt;=VLOOKUP($C23,$C$3:$D$15,2,FALSE)*DX$21,0,
IF(AND(DW25&lt;VLOOKUP($C23,$C$3:$D$15,2,FALSE)*DX$21,DX24&lt;=VLOOKUP($C23,$C$3:$D$15,2,FALSE)*DX$21),IF(DX24-DW25&lt;0,0,DX24-DW25),
IF(AND(DW25&lt;VLOOKUP($C23,$C$3:$D$15,2,FALSE)*DX$21,DX24&gt;VLOOKUP($C23,$C$3:$D$15,2,FALSE)*DX$21),VLOOKUP($C23,$C$3:$D$15,2,FALSE)*DX$21-DW25)))</f>
        <v>0</v>
      </c>
      <c r="DY23" s="642">
        <f t="shared" ref="DY23" si="282" xml:space="preserve">
IF(DX25&gt;=VLOOKUP($C23,$C$3:$D$15,2,FALSE)*DY$21,0,
IF(AND(DX25&lt;VLOOKUP($C23,$C$3:$D$15,2,FALSE)*DY$21,DY24&lt;=VLOOKUP($C23,$C$3:$D$15,2,FALSE)*DY$21),IF(DY24-DX25&lt;0,0,DY24-DX25),
IF(AND(DX25&lt;VLOOKUP($C23,$C$3:$D$15,2,FALSE)*DY$21,DY24&gt;VLOOKUP($C23,$C$3:$D$15,2,FALSE)*DY$21),VLOOKUP($C23,$C$3:$D$15,2,FALSE)*DY$21-DX25)))</f>
        <v>0</v>
      </c>
      <c r="DZ23" s="642">
        <f t="shared" ref="DZ23" si="283" xml:space="preserve">
IF(DY25&gt;=VLOOKUP($C23,$C$3:$D$15,2,FALSE)*DZ$21,0,
IF(AND(DY25&lt;VLOOKUP($C23,$C$3:$D$15,2,FALSE)*DZ$21,DZ24&lt;=VLOOKUP($C23,$C$3:$D$15,2,FALSE)*DZ$21),IF(DZ24-DY25&lt;0,0,DZ24-DY25),
IF(AND(DY25&lt;VLOOKUP($C23,$C$3:$D$15,2,FALSE)*DZ$21,DZ24&gt;VLOOKUP($C23,$C$3:$D$15,2,FALSE)*DZ$21),VLOOKUP($C23,$C$3:$D$15,2,FALSE)*DZ$21-DY25)))</f>
        <v>0</v>
      </c>
      <c r="EA23" s="642">
        <f t="shared" ref="EA23" si="284" xml:space="preserve">
IF(DZ25&gt;=VLOOKUP($C23,$C$3:$D$15,2,FALSE)*EA$21,0,
IF(AND(DZ25&lt;VLOOKUP($C23,$C$3:$D$15,2,FALSE)*EA$21,EA24&lt;=VLOOKUP($C23,$C$3:$D$15,2,FALSE)*EA$21),IF(EA24-DZ25&lt;0,0,EA24-DZ25),
IF(AND(DZ25&lt;VLOOKUP($C23,$C$3:$D$15,2,FALSE)*EA$21,EA24&gt;VLOOKUP($C23,$C$3:$D$15,2,FALSE)*EA$21),VLOOKUP($C23,$C$3:$D$15,2,FALSE)*EA$21-DZ25)))</f>
        <v>0</v>
      </c>
      <c r="EB23" s="642">
        <f t="shared" ref="EB23" si="285" xml:space="preserve">
IF(EA25&gt;=VLOOKUP($C23,$C$3:$D$15,2,FALSE)*EB$21,0,
IF(AND(EA25&lt;VLOOKUP($C23,$C$3:$D$15,2,FALSE)*EB$21,EB24&lt;=VLOOKUP($C23,$C$3:$D$15,2,FALSE)*EB$21),IF(EB24-EA25&lt;0,0,EB24-EA25),
IF(AND(EA25&lt;VLOOKUP($C23,$C$3:$D$15,2,FALSE)*EB$21,EB24&gt;VLOOKUP($C23,$C$3:$D$15,2,FALSE)*EB$21),VLOOKUP($C23,$C$3:$D$15,2,FALSE)*EB$21-EA25)))</f>
        <v>0</v>
      </c>
      <c r="EC23" s="642">
        <f t="shared" ref="EC23" si="286" xml:space="preserve">
IF(EB25&gt;=VLOOKUP($C23,$C$3:$D$15,2,FALSE)*EC$21,0,
IF(AND(EB25&lt;VLOOKUP($C23,$C$3:$D$15,2,FALSE)*EC$21,EC24&lt;=VLOOKUP($C23,$C$3:$D$15,2,FALSE)*EC$21),IF(EC24-EB25&lt;0,0,EC24-EB25),
IF(AND(EB25&lt;VLOOKUP($C23,$C$3:$D$15,2,FALSE)*EC$21,EC24&gt;VLOOKUP($C23,$C$3:$D$15,2,FALSE)*EC$21),VLOOKUP($C23,$C$3:$D$15,2,FALSE)*EC$21-EB25)))</f>
        <v>0</v>
      </c>
      <c r="ED23" s="642">
        <f t="shared" ref="ED23" si="287" xml:space="preserve">
IF(EC25&gt;=VLOOKUP($C23,$C$3:$D$15,2,FALSE)*ED$21,0,
IF(AND(EC25&lt;VLOOKUP($C23,$C$3:$D$15,2,FALSE)*ED$21,ED24&lt;=VLOOKUP($C23,$C$3:$D$15,2,FALSE)*ED$21),IF(ED24-EC25&lt;0,0,ED24-EC25),
IF(AND(EC25&lt;VLOOKUP($C23,$C$3:$D$15,2,FALSE)*ED$21,ED24&gt;VLOOKUP($C23,$C$3:$D$15,2,FALSE)*ED$21),VLOOKUP($C23,$C$3:$D$15,2,FALSE)*ED$21-EC25)))</f>
        <v>0</v>
      </c>
      <c r="EE23" s="642">
        <f t="shared" ref="EE23" si="288" xml:space="preserve">
IF(ED25&gt;=VLOOKUP($C23,$C$3:$D$15,2,FALSE)*EE$21,0,
IF(AND(ED25&lt;VLOOKUP($C23,$C$3:$D$15,2,FALSE)*EE$21,EE24&lt;=VLOOKUP($C23,$C$3:$D$15,2,FALSE)*EE$21),IF(EE24-ED25&lt;0,0,EE24-ED25),
IF(AND(ED25&lt;VLOOKUP($C23,$C$3:$D$15,2,FALSE)*EE$21,EE24&gt;VLOOKUP($C23,$C$3:$D$15,2,FALSE)*EE$21),VLOOKUP($C23,$C$3:$D$15,2,FALSE)*EE$21-ED25)))</f>
        <v>0</v>
      </c>
      <c r="EF23" s="642">
        <f t="shared" ref="EF23" si="289" xml:space="preserve">
IF(EE25&gt;=VLOOKUP($C23,$C$3:$D$15,2,FALSE)*EF$21,0,
IF(AND(EE25&lt;VLOOKUP($C23,$C$3:$D$15,2,FALSE)*EF$21,EF24&lt;=VLOOKUP($C23,$C$3:$D$15,2,FALSE)*EF$21),IF(EF24-EE25&lt;0,0,EF24-EE25),
IF(AND(EE25&lt;VLOOKUP($C23,$C$3:$D$15,2,FALSE)*EF$21,EF24&gt;VLOOKUP($C23,$C$3:$D$15,2,FALSE)*EF$21),VLOOKUP($C23,$C$3:$D$15,2,FALSE)*EF$21-EE25)))</f>
        <v>0</v>
      </c>
      <c r="EG23" s="642">
        <f t="shared" ref="EG23" si="290" xml:space="preserve">
IF(EF25&gt;=VLOOKUP($C23,$C$3:$D$15,2,FALSE)*EG$21,0,
IF(AND(EF25&lt;VLOOKUP($C23,$C$3:$D$15,2,FALSE)*EG$21,EG24&lt;=VLOOKUP($C23,$C$3:$D$15,2,FALSE)*EG$21),IF(EG24-EF25&lt;0,0,EG24-EF25),
IF(AND(EF25&lt;VLOOKUP($C23,$C$3:$D$15,2,FALSE)*EG$21,EG24&gt;VLOOKUP($C23,$C$3:$D$15,2,FALSE)*EG$21),VLOOKUP($C23,$C$3:$D$15,2,FALSE)*EG$21-EF25)))</f>
        <v>0</v>
      </c>
      <c r="EH23" s="642">
        <f t="shared" ref="EH23" si="291" xml:space="preserve">
IF(EG25&gt;=VLOOKUP($C23,$C$3:$D$15,2,FALSE)*EH$21,0,
IF(AND(EG25&lt;VLOOKUP($C23,$C$3:$D$15,2,FALSE)*EH$21,EH24&lt;=VLOOKUP($C23,$C$3:$D$15,2,FALSE)*EH$21),IF(EH24-EG25&lt;0,0,EH24-EG25),
IF(AND(EG25&lt;VLOOKUP($C23,$C$3:$D$15,2,FALSE)*EH$21,EH24&gt;VLOOKUP($C23,$C$3:$D$15,2,FALSE)*EH$21),VLOOKUP($C23,$C$3:$D$15,2,FALSE)*EH$21-EG25)))</f>
        <v>0</v>
      </c>
      <c r="EI23" s="642">
        <f t="shared" ref="EI23" si="292" xml:space="preserve">
IF(EH25&gt;=VLOOKUP($C23,$C$3:$D$15,2,FALSE)*EI$21,0,
IF(AND(EH25&lt;VLOOKUP($C23,$C$3:$D$15,2,FALSE)*EI$21,EI24&lt;=VLOOKUP($C23,$C$3:$D$15,2,FALSE)*EI$21),IF(EI24-EH25&lt;0,0,EI24-EH25),
IF(AND(EH25&lt;VLOOKUP($C23,$C$3:$D$15,2,FALSE)*EI$21,EI24&gt;VLOOKUP($C23,$C$3:$D$15,2,FALSE)*EI$21),VLOOKUP($C23,$C$3:$D$15,2,FALSE)*EI$21-EH25)))</f>
        <v>0</v>
      </c>
      <c r="EJ23" s="642">
        <f t="shared" ref="EJ23" si="293" xml:space="preserve">
IF(EI25&gt;=VLOOKUP($C23,$C$3:$D$15,2,FALSE)*EJ$21,0,
IF(AND(EI25&lt;VLOOKUP($C23,$C$3:$D$15,2,FALSE)*EJ$21,EJ24&lt;=VLOOKUP($C23,$C$3:$D$15,2,FALSE)*EJ$21),IF(EJ24-EI25&lt;0,0,EJ24-EI25),
IF(AND(EI25&lt;VLOOKUP($C23,$C$3:$D$15,2,FALSE)*EJ$21,EJ24&gt;VLOOKUP($C23,$C$3:$D$15,2,FALSE)*EJ$21),VLOOKUP($C23,$C$3:$D$15,2,FALSE)*EJ$21-EI25)))</f>
        <v>0</v>
      </c>
      <c r="EK23" s="642">
        <f t="shared" ref="EK23" si="294" xml:space="preserve">
IF(EJ25&gt;=VLOOKUP($C23,$C$3:$D$15,2,FALSE)*EK$21,0,
IF(AND(EJ25&lt;VLOOKUP($C23,$C$3:$D$15,2,FALSE)*EK$21,EK24&lt;=VLOOKUP($C23,$C$3:$D$15,2,FALSE)*EK$21),IF(EK24-EJ25&lt;0,0,EK24-EJ25),
IF(AND(EJ25&lt;VLOOKUP($C23,$C$3:$D$15,2,FALSE)*EK$21,EK24&gt;VLOOKUP($C23,$C$3:$D$15,2,FALSE)*EK$21),VLOOKUP($C23,$C$3:$D$15,2,FALSE)*EK$21-EJ25)))</f>
        <v>0</v>
      </c>
      <c r="EL23" s="642">
        <f t="shared" ref="EL23" si="295" xml:space="preserve">
IF(EK25&gt;=VLOOKUP($C23,$C$3:$D$15,2,FALSE)*EL$21,0,
IF(AND(EK25&lt;VLOOKUP($C23,$C$3:$D$15,2,FALSE)*EL$21,EL24&lt;=VLOOKUP($C23,$C$3:$D$15,2,FALSE)*EL$21),IF(EL24-EK25&lt;0,0,EL24-EK25),
IF(AND(EK25&lt;VLOOKUP($C23,$C$3:$D$15,2,FALSE)*EL$21,EL24&gt;VLOOKUP($C23,$C$3:$D$15,2,FALSE)*EL$21),VLOOKUP($C23,$C$3:$D$15,2,FALSE)*EL$21-EK25)))</f>
        <v>0</v>
      </c>
      <c r="EM23" s="642">
        <f t="shared" ref="EM23" si="296" xml:space="preserve">
IF(EL25&gt;=VLOOKUP($C23,$C$3:$D$15,2,FALSE)*EM$21,0,
IF(AND(EL25&lt;VLOOKUP($C23,$C$3:$D$15,2,FALSE)*EM$21,EM24&lt;=VLOOKUP($C23,$C$3:$D$15,2,FALSE)*EM$21),IF(EM24-EL25&lt;0,0,EM24-EL25),
IF(AND(EL25&lt;VLOOKUP($C23,$C$3:$D$15,2,FALSE)*EM$21,EM24&gt;VLOOKUP($C23,$C$3:$D$15,2,FALSE)*EM$21),VLOOKUP($C23,$C$3:$D$15,2,FALSE)*EM$21-EL25)))</f>
        <v>0</v>
      </c>
      <c r="EN23" s="642">
        <f t="shared" ref="EN23" si="297" xml:space="preserve">
IF(EM25&gt;=VLOOKUP($C23,$C$3:$D$15,2,FALSE)*EN$21,0,
IF(AND(EM25&lt;VLOOKUP($C23,$C$3:$D$15,2,FALSE)*EN$21,EN24&lt;=VLOOKUP($C23,$C$3:$D$15,2,FALSE)*EN$21),IF(EN24-EM25&lt;0,0,EN24-EM25),
IF(AND(EM25&lt;VLOOKUP($C23,$C$3:$D$15,2,FALSE)*EN$21,EN24&gt;VLOOKUP($C23,$C$3:$D$15,2,FALSE)*EN$21),VLOOKUP($C23,$C$3:$D$15,2,FALSE)*EN$21-EM25)))</f>
        <v>0</v>
      </c>
      <c r="EO23" s="642">
        <f t="shared" ref="EO23" si="298" xml:space="preserve">
IF(EN25&gt;=VLOOKUP($C23,$C$3:$D$15,2,FALSE)*EO$21,0,
IF(AND(EN25&lt;VLOOKUP($C23,$C$3:$D$15,2,FALSE)*EO$21,EO24&lt;=VLOOKUP($C23,$C$3:$D$15,2,FALSE)*EO$21),IF(EO24-EN25&lt;0,0,EO24-EN25),
IF(AND(EN25&lt;VLOOKUP($C23,$C$3:$D$15,2,FALSE)*EO$21,EO24&gt;VLOOKUP($C23,$C$3:$D$15,2,FALSE)*EO$21),VLOOKUP($C23,$C$3:$D$15,2,FALSE)*EO$21-EN25)))</f>
        <v>0</v>
      </c>
      <c r="EP23" s="642">
        <f t="shared" ref="EP23" si="299" xml:space="preserve">
IF(EO25&gt;=VLOOKUP($C23,$C$3:$D$15,2,FALSE)*EP$21,0,
IF(AND(EO25&lt;VLOOKUP($C23,$C$3:$D$15,2,FALSE)*EP$21,EP24&lt;=VLOOKUP($C23,$C$3:$D$15,2,FALSE)*EP$21),IF(EP24-EO25&lt;0,0,EP24-EO25),
IF(AND(EO25&lt;VLOOKUP($C23,$C$3:$D$15,2,FALSE)*EP$21,EP24&gt;VLOOKUP($C23,$C$3:$D$15,2,FALSE)*EP$21),VLOOKUP($C23,$C$3:$D$15,2,FALSE)*EP$21-EO25)))</f>
        <v>0</v>
      </c>
      <c r="EQ23" s="642">
        <f t="shared" ref="EQ23" si="300" xml:space="preserve">
IF(EP25&gt;=VLOOKUP($C23,$C$3:$D$15,2,FALSE)*EQ$21,0,
IF(AND(EP25&lt;VLOOKUP($C23,$C$3:$D$15,2,FALSE)*EQ$21,EQ24&lt;=VLOOKUP($C23,$C$3:$D$15,2,FALSE)*EQ$21),IF(EQ24-EP25&lt;0,0,EQ24-EP25),
IF(AND(EP25&lt;VLOOKUP($C23,$C$3:$D$15,2,FALSE)*EQ$21,EQ24&gt;VLOOKUP($C23,$C$3:$D$15,2,FALSE)*EQ$21),VLOOKUP($C23,$C$3:$D$15,2,FALSE)*EQ$21-EP25)))</f>
        <v>0</v>
      </c>
      <c r="ER23" s="642">
        <f t="shared" ref="ER23" si="301" xml:space="preserve">
IF(EQ25&gt;=VLOOKUP($C23,$C$3:$D$15,2,FALSE)*ER$21,0,
IF(AND(EQ25&lt;VLOOKUP($C23,$C$3:$D$15,2,FALSE)*ER$21,ER24&lt;=VLOOKUP($C23,$C$3:$D$15,2,FALSE)*ER$21),IF(ER24-EQ25&lt;0,0,ER24-EQ25),
IF(AND(EQ25&lt;VLOOKUP($C23,$C$3:$D$15,2,FALSE)*ER$21,ER24&gt;VLOOKUP($C23,$C$3:$D$15,2,FALSE)*ER$21),VLOOKUP($C23,$C$3:$D$15,2,FALSE)*ER$21-EQ25)))</f>
        <v>0</v>
      </c>
      <c r="ES23" s="642">
        <f t="shared" ref="ES23" si="302" xml:space="preserve">
IF(ER25&gt;=VLOOKUP($C23,$C$3:$D$15,2,FALSE)*ES$21,0,
IF(AND(ER25&lt;VLOOKUP($C23,$C$3:$D$15,2,FALSE)*ES$21,ES24&lt;=VLOOKUP($C23,$C$3:$D$15,2,FALSE)*ES$21),IF(ES24-ER25&lt;0,0,ES24-ER25),
IF(AND(ER25&lt;VLOOKUP($C23,$C$3:$D$15,2,FALSE)*ES$21,ES24&gt;VLOOKUP($C23,$C$3:$D$15,2,FALSE)*ES$21),VLOOKUP($C23,$C$3:$D$15,2,FALSE)*ES$21-ER25)))</f>
        <v>0</v>
      </c>
      <c r="ET23" s="642">
        <f t="shared" ref="ET23" si="303" xml:space="preserve">
IF(ES25&gt;=VLOOKUP($C23,$C$3:$D$15,2,FALSE)*ET$21,0,
IF(AND(ES25&lt;VLOOKUP($C23,$C$3:$D$15,2,FALSE)*ET$21,ET24&lt;=VLOOKUP($C23,$C$3:$D$15,2,FALSE)*ET$21),IF(ET24-ES25&lt;0,0,ET24-ES25),
IF(AND(ES25&lt;VLOOKUP($C23,$C$3:$D$15,2,FALSE)*ET$21,ET24&gt;VLOOKUP($C23,$C$3:$D$15,2,FALSE)*ET$21),VLOOKUP($C23,$C$3:$D$15,2,FALSE)*ET$21-ES25)))</f>
        <v>0</v>
      </c>
      <c r="EU23" s="642">
        <f t="shared" ref="EU23" si="304" xml:space="preserve">
IF(ET25&gt;=VLOOKUP($C23,$C$3:$D$15,2,FALSE)*EU$21,0,
IF(AND(ET25&lt;VLOOKUP($C23,$C$3:$D$15,2,FALSE)*EU$21,EU24&lt;=VLOOKUP($C23,$C$3:$D$15,2,FALSE)*EU$21),IF(EU24-ET25&lt;0,0,EU24-ET25),
IF(AND(ET25&lt;VLOOKUP($C23,$C$3:$D$15,2,FALSE)*EU$21,EU24&gt;VLOOKUP($C23,$C$3:$D$15,2,FALSE)*EU$21),VLOOKUP($C23,$C$3:$D$15,2,FALSE)*EU$21-ET25)))</f>
        <v>0</v>
      </c>
      <c r="EV23" s="642">
        <f t="shared" ref="EV23" si="305" xml:space="preserve">
IF(EU25&gt;=VLOOKUP($C23,$C$3:$D$15,2,FALSE)*EV$21,0,
IF(AND(EU25&lt;VLOOKUP($C23,$C$3:$D$15,2,FALSE)*EV$21,EV24&lt;=VLOOKUP($C23,$C$3:$D$15,2,FALSE)*EV$21),IF(EV24-EU25&lt;0,0,EV24-EU25),
IF(AND(EU25&lt;VLOOKUP($C23,$C$3:$D$15,2,FALSE)*EV$21,EV24&gt;VLOOKUP($C23,$C$3:$D$15,2,FALSE)*EV$21),VLOOKUP($C23,$C$3:$D$15,2,FALSE)*EV$21-EU25)))</f>
        <v>0</v>
      </c>
      <c r="EW23" s="642">
        <f t="shared" ref="EW23" si="306" xml:space="preserve">
IF(EV25&gt;=VLOOKUP($C23,$C$3:$D$15,2,FALSE)*EW$21,0,
IF(AND(EV25&lt;VLOOKUP($C23,$C$3:$D$15,2,FALSE)*EW$21,EW24&lt;=VLOOKUP($C23,$C$3:$D$15,2,FALSE)*EW$21),IF(EW24-EV25&lt;0,0,EW24-EV25),
IF(AND(EV25&lt;VLOOKUP($C23,$C$3:$D$15,2,FALSE)*EW$21,EW24&gt;VLOOKUP($C23,$C$3:$D$15,2,FALSE)*EW$21),VLOOKUP($C23,$C$3:$D$15,2,FALSE)*EW$21-EV25)))</f>
        <v>0</v>
      </c>
      <c r="EX23" s="642">
        <f t="shared" ref="EX23" si="307" xml:space="preserve">
IF(EW25&gt;=VLOOKUP($C23,$C$3:$D$15,2,FALSE)*EX$21,0,
IF(AND(EW25&lt;VLOOKUP($C23,$C$3:$D$15,2,FALSE)*EX$21,EX24&lt;=VLOOKUP($C23,$C$3:$D$15,2,FALSE)*EX$21),IF(EX24-EW25&lt;0,0,EX24-EW25),
IF(AND(EW25&lt;VLOOKUP($C23,$C$3:$D$15,2,FALSE)*EX$21,EX24&gt;VLOOKUP($C23,$C$3:$D$15,2,FALSE)*EX$21),VLOOKUP($C23,$C$3:$D$15,2,FALSE)*EX$21-EW25)))</f>
        <v>0</v>
      </c>
      <c r="EY23" s="642">
        <f t="shared" ref="EY23" si="308" xml:space="preserve">
IF(EX25&gt;=VLOOKUP($C23,$C$3:$D$15,2,FALSE)*EY$21,0,
IF(AND(EX25&lt;VLOOKUP($C23,$C$3:$D$15,2,FALSE)*EY$21,EY24&lt;=VLOOKUP($C23,$C$3:$D$15,2,FALSE)*EY$21),IF(EY24-EX25&lt;0,0,EY24-EX25),
IF(AND(EX25&lt;VLOOKUP($C23,$C$3:$D$15,2,FALSE)*EY$21,EY24&gt;VLOOKUP($C23,$C$3:$D$15,2,FALSE)*EY$21),VLOOKUP($C23,$C$3:$D$15,2,FALSE)*EY$21-EX25)))</f>
        <v>0</v>
      </c>
      <c r="EZ23" s="642">
        <f t="shared" ref="EZ23" si="309" xml:space="preserve">
IF(EY25&gt;=VLOOKUP($C23,$C$3:$D$15,2,FALSE)*EZ$21,0,
IF(AND(EY25&lt;VLOOKUP($C23,$C$3:$D$15,2,FALSE)*EZ$21,EZ24&lt;=VLOOKUP($C23,$C$3:$D$15,2,FALSE)*EZ$21),IF(EZ24-EY25&lt;0,0,EZ24-EY25),
IF(AND(EY25&lt;VLOOKUP($C23,$C$3:$D$15,2,FALSE)*EZ$21,EZ24&gt;VLOOKUP($C23,$C$3:$D$15,2,FALSE)*EZ$21),VLOOKUP($C23,$C$3:$D$15,2,FALSE)*EZ$21-EY25)))</f>
        <v>0</v>
      </c>
      <c r="FA23" s="642">
        <f t="shared" ref="FA23" si="310" xml:space="preserve">
IF(EZ25&gt;=VLOOKUP($C23,$C$3:$D$15,2,FALSE)*FA$21,0,
IF(AND(EZ25&lt;VLOOKUP($C23,$C$3:$D$15,2,FALSE)*FA$21,FA24&lt;=VLOOKUP($C23,$C$3:$D$15,2,FALSE)*FA$21),IF(FA24-EZ25&lt;0,0,FA24-EZ25),
IF(AND(EZ25&lt;VLOOKUP($C23,$C$3:$D$15,2,FALSE)*FA$21,FA24&gt;VLOOKUP($C23,$C$3:$D$15,2,FALSE)*FA$21),VLOOKUP($C23,$C$3:$D$15,2,FALSE)*FA$21-EZ25)))</f>
        <v>0</v>
      </c>
      <c r="FB23" s="642">
        <f t="shared" ref="FB23" si="311" xml:space="preserve">
IF(FA25&gt;=VLOOKUP($C23,$C$3:$D$15,2,FALSE)*FB$21,0,
IF(AND(FA25&lt;VLOOKUP($C23,$C$3:$D$15,2,FALSE)*FB$21,FB24&lt;=VLOOKUP($C23,$C$3:$D$15,2,FALSE)*FB$21),IF(FB24-FA25&lt;0,0,FB24-FA25),
IF(AND(FA25&lt;VLOOKUP($C23,$C$3:$D$15,2,FALSE)*FB$21,FB24&gt;VLOOKUP($C23,$C$3:$D$15,2,FALSE)*FB$21),VLOOKUP($C23,$C$3:$D$15,2,FALSE)*FB$21-FA25)))</f>
        <v>0</v>
      </c>
      <c r="FC23" s="642">
        <f t="shared" ref="FC23" si="312" xml:space="preserve">
IF(FB25&gt;=VLOOKUP($C23,$C$3:$D$15,2,FALSE)*FC$21,0,
IF(AND(FB25&lt;VLOOKUP($C23,$C$3:$D$15,2,FALSE)*FC$21,FC24&lt;=VLOOKUP($C23,$C$3:$D$15,2,FALSE)*FC$21),IF(FC24-FB25&lt;0,0,FC24-FB25),
IF(AND(FB25&lt;VLOOKUP($C23,$C$3:$D$15,2,FALSE)*FC$21,FC24&gt;VLOOKUP($C23,$C$3:$D$15,2,FALSE)*FC$21),VLOOKUP($C23,$C$3:$D$15,2,FALSE)*FC$21-FB25)))</f>
        <v>0</v>
      </c>
      <c r="FD23" s="642">
        <f t="shared" ref="FD23" si="313" xml:space="preserve">
IF(FC25&gt;=VLOOKUP($C23,$C$3:$D$15,2,FALSE)*FD$21,0,
IF(AND(FC25&lt;VLOOKUP($C23,$C$3:$D$15,2,FALSE)*FD$21,FD24&lt;=VLOOKUP($C23,$C$3:$D$15,2,FALSE)*FD$21),IF(FD24-FC25&lt;0,0,FD24-FC25),
IF(AND(FC25&lt;VLOOKUP($C23,$C$3:$D$15,2,FALSE)*FD$21,FD24&gt;VLOOKUP($C23,$C$3:$D$15,2,FALSE)*FD$21),VLOOKUP($C23,$C$3:$D$15,2,FALSE)*FD$21-FC25)))</f>
        <v>0</v>
      </c>
      <c r="FE23" s="642">
        <f t="shared" ref="FE23" si="314" xml:space="preserve">
IF(FD25&gt;=VLOOKUP($C23,$C$3:$D$15,2,FALSE)*FE$21,0,
IF(AND(FD25&lt;VLOOKUP($C23,$C$3:$D$15,2,FALSE)*FE$21,FE24&lt;=VLOOKUP($C23,$C$3:$D$15,2,FALSE)*FE$21),IF(FE24-FD25&lt;0,0,FE24-FD25),
IF(AND(FD25&lt;VLOOKUP($C23,$C$3:$D$15,2,FALSE)*FE$21,FE24&gt;VLOOKUP($C23,$C$3:$D$15,2,FALSE)*FE$21),VLOOKUP($C23,$C$3:$D$15,2,FALSE)*FE$21-FD25)))</f>
        <v>0</v>
      </c>
      <c r="FF23" s="642">
        <f t="shared" ref="FF23" si="315" xml:space="preserve">
IF(FE25&gt;=VLOOKUP($C23,$C$3:$D$15,2,FALSE)*FF$21,0,
IF(AND(FE25&lt;VLOOKUP($C23,$C$3:$D$15,2,FALSE)*FF$21,FF24&lt;=VLOOKUP($C23,$C$3:$D$15,2,FALSE)*FF$21),IF(FF24-FE25&lt;0,0,FF24-FE25),
IF(AND(FE25&lt;VLOOKUP($C23,$C$3:$D$15,2,FALSE)*FF$21,FF24&gt;VLOOKUP($C23,$C$3:$D$15,2,FALSE)*FF$21),VLOOKUP($C23,$C$3:$D$15,2,FALSE)*FF$21-FE25)))</f>
        <v>0</v>
      </c>
      <c r="FG23" s="642">
        <f t="shared" ref="FG23" si="316" xml:space="preserve">
IF(FF25&gt;=VLOOKUP($C23,$C$3:$D$15,2,FALSE)*FG$21,0,
IF(AND(FF25&lt;VLOOKUP($C23,$C$3:$D$15,2,FALSE)*FG$21,FG24&lt;=VLOOKUP($C23,$C$3:$D$15,2,FALSE)*FG$21),IF(FG24-FF25&lt;0,0,FG24-FF25),
IF(AND(FF25&lt;VLOOKUP($C23,$C$3:$D$15,2,FALSE)*FG$21,FG24&gt;VLOOKUP($C23,$C$3:$D$15,2,FALSE)*FG$21),VLOOKUP($C23,$C$3:$D$15,2,FALSE)*FG$21-FF25)))</f>
        <v>0</v>
      </c>
      <c r="FH23" s="642">
        <f t="shared" ref="FH23" si="317" xml:space="preserve">
IF(FG25&gt;=VLOOKUP($C23,$C$3:$D$15,2,FALSE)*FH$21,0,
IF(AND(FG25&lt;VLOOKUP($C23,$C$3:$D$15,2,FALSE)*FH$21,FH24&lt;=VLOOKUP($C23,$C$3:$D$15,2,FALSE)*FH$21),IF(FH24-FG25&lt;0,0,FH24-FG25),
IF(AND(FG25&lt;VLOOKUP($C23,$C$3:$D$15,2,FALSE)*FH$21,FH24&gt;VLOOKUP($C23,$C$3:$D$15,2,FALSE)*FH$21),VLOOKUP($C23,$C$3:$D$15,2,FALSE)*FH$21-FG25)))</f>
        <v>0</v>
      </c>
      <c r="FI23" s="642">
        <f t="shared" ref="FI23" si="318" xml:space="preserve">
IF(FH25&gt;=VLOOKUP($C23,$C$3:$D$15,2,FALSE)*FI$21,0,
IF(AND(FH25&lt;VLOOKUP($C23,$C$3:$D$15,2,FALSE)*FI$21,FI24&lt;=VLOOKUP($C23,$C$3:$D$15,2,FALSE)*FI$21),IF(FI24-FH25&lt;0,0,FI24-FH25),
IF(AND(FH25&lt;VLOOKUP($C23,$C$3:$D$15,2,FALSE)*FI$21,FI24&gt;VLOOKUP($C23,$C$3:$D$15,2,FALSE)*FI$21),VLOOKUP($C23,$C$3:$D$15,2,FALSE)*FI$21-FH25)))</f>
        <v>0</v>
      </c>
      <c r="FJ23" s="642">
        <f t="shared" ref="FJ23" si="319" xml:space="preserve">
IF(FI25&gt;=VLOOKUP($C23,$C$3:$D$15,2,FALSE)*FJ$21,0,
IF(AND(FI25&lt;VLOOKUP($C23,$C$3:$D$15,2,FALSE)*FJ$21,FJ24&lt;=VLOOKUP($C23,$C$3:$D$15,2,FALSE)*FJ$21),IF(FJ24-FI25&lt;0,0,FJ24-FI25),
IF(AND(FI25&lt;VLOOKUP($C23,$C$3:$D$15,2,FALSE)*FJ$21,FJ24&gt;VLOOKUP($C23,$C$3:$D$15,2,FALSE)*FJ$21),VLOOKUP($C23,$C$3:$D$15,2,FALSE)*FJ$21-FI25)))</f>
        <v>0</v>
      </c>
      <c r="FK23" s="642">
        <f t="shared" ref="FK23" si="320" xml:space="preserve">
IF(FJ25&gt;=VLOOKUP($C23,$C$3:$D$15,2,FALSE)*FK$21,0,
IF(AND(FJ25&lt;VLOOKUP($C23,$C$3:$D$15,2,FALSE)*FK$21,FK24&lt;=VLOOKUP($C23,$C$3:$D$15,2,FALSE)*FK$21),IF(FK24-FJ25&lt;0,0,FK24-FJ25),
IF(AND(FJ25&lt;VLOOKUP($C23,$C$3:$D$15,2,FALSE)*FK$21,FK24&gt;VLOOKUP($C23,$C$3:$D$15,2,FALSE)*FK$21),VLOOKUP($C23,$C$3:$D$15,2,FALSE)*FK$21-FJ25)))</f>
        <v>0</v>
      </c>
      <c r="FL23" s="642">
        <f t="shared" ref="FL23" si="321" xml:space="preserve">
IF(FK25&gt;=VLOOKUP($C23,$C$3:$D$15,2,FALSE)*FL$21,0,
IF(AND(FK25&lt;VLOOKUP($C23,$C$3:$D$15,2,FALSE)*FL$21,FL24&lt;=VLOOKUP($C23,$C$3:$D$15,2,FALSE)*FL$21),IF(FL24-FK25&lt;0,0,FL24-FK25),
IF(AND(FK25&lt;VLOOKUP($C23,$C$3:$D$15,2,FALSE)*FL$21,FL24&gt;VLOOKUP($C23,$C$3:$D$15,2,FALSE)*FL$21),VLOOKUP($C23,$C$3:$D$15,2,FALSE)*FL$21-FK25)))</f>
        <v>0</v>
      </c>
      <c r="FM23" s="642">
        <f t="shared" ref="FM23" si="322" xml:space="preserve">
IF(FL25&gt;=VLOOKUP($C23,$C$3:$D$15,2,FALSE)*FM$21,0,
IF(AND(FL25&lt;VLOOKUP($C23,$C$3:$D$15,2,FALSE)*FM$21,FM24&lt;=VLOOKUP($C23,$C$3:$D$15,2,FALSE)*FM$21),IF(FM24-FL25&lt;0,0,FM24-FL25),
IF(AND(FL25&lt;VLOOKUP($C23,$C$3:$D$15,2,FALSE)*FM$21,FM24&gt;VLOOKUP($C23,$C$3:$D$15,2,FALSE)*FM$21),VLOOKUP($C23,$C$3:$D$15,2,FALSE)*FM$21-FL25)))</f>
        <v>0</v>
      </c>
      <c r="FN23" s="642">
        <f t="shared" ref="FN23" si="323" xml:space="preserve">
IF(FM25&gt;=VLOOKUP($C23,$C$3:$D$15,2,FALSE)*FN$21,0,
IF(AND(FM25&lt;VLOOKUP($C23,$C$3:$D$15,2,FALSE)*FN$21,FN24&lt;=VLOOKUP($C23,$C$3:$D$15,2,FALSE)*FN$21),IF(FN24-FM25&lt;0,0,FN24-FM25),
IF(AND(FM25&lt;VLOOKUP($C23,$C$3:$D$15,2,FALSE)*FN$21,FN24&gt;VLOOKUP($C23,$C$3:$D$15,2,FALSE)*FN$21),VLOOKUP($C23,$C$3:$D$15,2,FALSE)*FN$21-FM25)))</f>
        <v>0</v>
      </c>
      <c r="FO23" s="642">
        <f t="shared" ref="FO23" si="324" xml:space="preserve">
IF(FN25&gt;=VLOOKUP($C23,$C$3:$D$15,2,FALSE)*FO$21,0,
IF(AND(FN25&lt;VLOOKUP($C23,$C$3:$D$15,2,FALSE)*FO$21,FO24&lt;=VLOOKUP($C23,$C$3:$D$15,2,FALSE)*FO$21),IF(FO24-FN25&lt;0,0,FO24-FN25),
IF(AND(FN25&lt;VLOOKUP($C23,$C$3:$D$15,2,FALSE)*FO$21,FO24&gt;VLOOKUP($C23,$C$3:$D$15,2,FALSE)*FO$21),VLOOKUP($C23,$C$3:$D$15,2,FALSE)*FO$21-FN25)))</f>
        <v>0</v>
      </c>
      <c r="FP23" s="642">
        <f t="shared" ref="FP23" si="325" xml:space="preserve">
IF(FO25&gt;=VLOOKUP($C23,$C$3:$D$15,2,FALSE)*FP$21,0,
IF(AND(FO25&lt;VLOOKUP($C23,$C$3:$D$15,2,FALSE)*FP$21,FP24&lt;=VLOOKUP($C23,$C$3:$D$15,2,FALSE)*FP$21),IF(FP24-FO25&lt;0,0,FP24-FO25),
IF(AND(FO25&lt;VLOOKUP($C23,$C$3:$D$15,2,FALSE)*FP$21,FP24&gt;VLOOKUP($C23,$C$3:$D$15,2,FALSE)*FP$21),VLOOKUP($C23,$C$3:$D$15,2,FALSE)*FP$21-FO25)))</f>
        <v>0</v>
      </c>
      <c r="FQ23" s="642">
        <f t="shared" ref="FQ23" si="326" xml:space="preserve">
IF(FP25&gt;=VLOOKUP($C23,$C$3:$D$15,2,FALSE)*FQ$21,0,
IF(AND(FP25&lt;VLOOKUP($C23,$C$3:$D$15,2,FALSE)*FQ$21,FQ24&lt;=VLOOKUP($C23,$C$3:$D$15,2,FALSE)*FQ$21),IF(FQ24-FP25&lt;0,0,FQ24-FP25),
IF(AND(FP25&lt;VLOOKUP($C23,$C$3:$D$15,2,FALSE)*FQ$21,FQ24&gt;VLOOKUP($C23,$C$3:$D$15,2,FALSE)*FQ$21),VLOOKUP($C23,$C$3:$D$15,2,FALSE)*FQ$21-FP25)))</f>
        <v>0</v>
      </c>
      <c r="FR23" s="642">
        <f t="shared" ref="FR23" si="327" xml:space="preserve">
IF(FQ25&gt;=VLOOKUP($C23,$C$3:$D$15,2,FALSE)*FR$21,0,
IF(AND(FQ25&lt;VLOOKUP($C23,$C$3:$D$15,2,FALSE)*FR$21,FR24&lt;=VLOOKUP($C23,$C$3:$D$15,2,FALSE)*FR$21),IF(FR24-FQ25&lt;0,0,FR24-FQ25),
IF(AND(FQ25&lt;VLOOKUP($C23,$C$3:$D$15,2,FALSE)*FR$21,FR24&gt;VLOOKUP($C23,$C$3:$D$15,2,FALSE)*FR$21),VLOOKUP($C23,$C$3:$D$15,2,FALSE)*FR$21-FQ25)))</f>
        <v>0</v>
      </c>
      <c r="FS23" s="642">
        <f t="shared" ref="FS23" si="328" xml:space="preserve">
IF(FR25&gt;=VLOOKUP($C23,$C$3:$D$15,2,FALSE)*FS$21,0,
IF(AND(FR25&lt;VLOOKUP($C23,$C$3:$D$15,2,FALSE)*FS$21,FS24&lt;=VLOOKUP($C23,$C$3:$D$15,2,FALSE)*FS$21),IF(FS24-FR25&lt;0,0,FS24-FR25),
IF(AND(FR25&lt;VLOOKUP($C23,$C$3:$D$15,2,FALSE)*FS$21,FS24&gt;VLOOKUP($C23,$C$3:$D$15,2,FALSE)*FS$21),VLOOKUP($C23,$C$3:$D$15,2,FALSE)*FS$21-FR25)))</f>
        <v>0</v>
      </c>
      <c r="FT23" s="642">
        <f t="shared" ref="FT23" si="329" xml:space="preserve">
IF(FS25&gt;=VLOOKUP($C23,$C$3:$D$15,2,FALSE)*FT$21,0,
IF(AND(FS25&lt;VLOOKUP($C23,$C$3:$D$15,2,FALSE)*FT$21,FT24&lt;=VLOOKUP($C23,$C$3:$D$15,2,FALSE)*FT$21),IF(FT24-FS25&lt;0,0,FT24-FS25),
IF(AND(FS25&lt;VLOOKUP($C23,$C$3:$D$15,2,FALSE)*FT$21,FT24&gt;VLOOKUP($C23,$C$3:$D$15,2,FALSE)*FT$21),VLOOKUP($C23,$C$3:$D$15,2,FALSE)*FT$21-FS25)))</f>
        <v>0</v>
      </c>
      <c r="FU23" s="642">
        <f t="shared" ref="FU23" si="330" xml:space="preserve">
IF(FT25&gt;=VLOOKUP($C23,$C$3:$D$15,2,FALSE)*FU$21,0,
IF(AND(FT25&lt;VLOOKUP($C23,$C$3:$D$15,2,FALSE)*FU$21,FU24&lt;=VLOOKUP($C23,$C$3:$D$15,2,FALSE)*FU$21),IF(FU24-FT25&lt;0,0,FU24-FT25),
IF(AND(FT25&lt;VLOOKUP($C23,$C$3:$D$15,2,FALSE)*FU$21,FU24&gt;VLOOKUP($C23,$C$3:$D$15,2,FALSE)*FU$21),VLOOKUP($C23,$C$3:$D$15,2,FALSE)*FU$21-FT25)))</f>
        <v>0</v>
      </c>
      <c r="FV23" s="642">
        <f t="shared" ref="FV23" si="331" xml:space="preserve">
IF(FU25&gt;=VLOOKUP($C23,$C$3:$D$15,2,FALSE)*FV$21,0,
IF(AND(FU25&lt;VLOOKUP($C23,$C$3:$D$15,2,FALSE)*FV$21,FV24&lt;=VLOOKUP($C23,$C$3:$D$15,2,FALSE)*FV$21),IF(FV24-FU25&lt;0,0,FV24-FU25),
IF(AND(FU25&lt;VLOOKUP($C23,$C$3:$D$15,2,FALSE)*FV$21,FV24&gt;VLOOKUP($C23,$C$3:$D$15,2,FALSE)*FV$21),VLOOKUP($C23,$C$3:$D$15,2,FALSE)*FV$21-FU25)))</f>
        <v>0</v>
      </c>
      <c r="FW23" s="642">
        <f t="shared" ref="FW23" si="332" xml:space="preserve">
IF(FV25&gt;=VLOOKUP($C23,$C$3:$D$15,2,FALSE)*FW$21,0,
IF(AND(FV25&lt;VLOOKUP($C23,$C$3:$D$15,2,FALSE)*FW$21,FW24&lt;=VLOOKUP($C23,$C$3:$D$15,2,FALSE)*FW$21),IF(FW24-FV25&lt;0,0,FW24-FV25),
IF(AND(FV25&lt;VLOOKUP($C23,$C$3:$D$15,2,FALSE)*FW$21,FW24&gt;VLOOKUP($C23,$C$3:$D$15,2,FALSE)*FW$21),VLOOKUP($C23,$C$3:$D$15,2,FALSE)*FW$21-FV25)))</f>
        <v>0</v>
      </c>
      <c r="FX23" s="642">
        <f t="shared" ref="FX23" si="333" xml:space="preserve">
IF(FW25&gt;=VLOOKUP($C23,$C$3:$D$15,2,FALSE)*FX$21,0,
IF(AND(FW25&lt;VLOOKUP($C23,$C$3:$D$15,2,FALSE)*FX$21,FX24&lt;=VLOOKUP($C23,$C$3:$D$15,2,FALSE)*FX$21),IF(FX24-FW25&lt;0,0,FX24-FW25),
IF(AND(FW25&lt;VLOOKUP($C23,$C$3:$D$15,2,FALSE)*FX$21,FX24&gt;VLOOKUP($C23,$C$3:$D$15,2,FALSE)*FX$21),VLOOKUP($C23,$C$3:$D$15,2,FALSE)*FX$21-FW25)))</f>
        <v>0</v>
      </c>
      <c r="FY23" s="642">
        <f t="shared" ref="FY23" si="334" xml:space="preserve">
IF(FX25&gt;=VLOOKUP($C23,$C$3:$D$15,2,FALSE)*FY$21,0,
IF(AND(FX25&lt;VLOOKUP($C23,$C$3:$D$15,2,FALSE)*FY$21,FY24&lt;=VLOOKUP($C23,$C$3:$D$15,2,FALSE)*FY$21),IF(FY24-FX25&lt;0,0,FY24-FX25),
IF(AND(FX25&lt;VLOOKUP($C23,$C$3:$D$15,2,FALSE)*FY$21,FY24&gt;VLOOKUP($C23,$C$3:$D$15,2,FALSE)*FY$21),VLOOKUP($C23,$C$3:$D$15,2,FALSE)*FY$21-FX25)))</f>
        <v>0</v>
      </c>
      <c r="FZ23" s="642">
        <f t="shared" ref="FZ23" si="335" xml:space="preserve">
IF(FY25&gt;=VLOOKUP($C23,$C$3:$D$15,2,FALSE)*FZ$21,0,
IF(AND(FY25&lt;VLOOKUP($C23,$C$3:$D$15,2,FALSE)*FZ$21,FZ24&lt;=VLOOKUP($C23,$C$3:$D$15,2,FALSE)*FZ$21),IF(FZ24-FY25&lt;0,0,FZ24-FY25),
IF(AND(FY25&lt;VLOOKUP($C23,$C$3:$D$15,2,FALSE)*FZ$21,FZ24&gt;VLOOKUP($C23,$C$3:$D$15,2,FALSE)*FZ$21),VLOOKUP($C23,$C$3:$D$15,2,FALSE)*FZ$21-FY25)))</f>
        <v>0</v>
      </c>
      <c r="GA23" s="642">
        <f t="shared" ref="GA23" si="336" xml:space="preserve">
IF(FZ25&gt;=VLOOKUP($C23,$C$3:$D$15,2,FALSE)*GA$21,0,
IF(AND(FZ25&lt;VLOOKUP($C23,$C$3:$D$15,2,FALSE)*GA$21,GA24&lt;=VLOOKUP($C23,$C$3:$D$15,2,FALSE)*GA$21),IF(GA24-FZ25&lt;0,0,GA24-FZ25),
IF(AND(FZ25&lt;VLOOKUP($C23,$C$3:$D$15,2,FALSE)*GA$21,GA24&gt;VLOOKUP($C23,$C$3:$D$15,2,FALSE)*GA$21),VLOOKUP($C23,$C$3:$D$15,2,FALSE)*GA$21-FZ25)))</f>
        <v>0</v>
      </c>
      <c r="GB23" s="642">
        <f t="shared" ref="GB23" si="337" xml:space="preserve">
IF(GA25&gt;=VLOOKUP($C23,$C$3:$D$15,2,FALSE)*GB$21,0,
IF(AND(GA25&lt;VLOOKUP($C23,$C$3:$D$15,2,FALSE)*GB$21,GB24&lt;=VLOOKUP($C23,$C$3:$D$15,2,FALSE)*GB$21),IF(GB24-GA25&lt;0,0,GB24-GA25),
IF(AND(GA25&lt;VLOOKUP($C23,$C$3:$D$15,2,FALSE)*GB$21,GB24&gt;VLOOKUP($C23,$C$3:$D$15,2,FALSE)*GB$21),VLOOKUP($C23,$C$3:$D$15,2,FALSE)*GB$21-GA25)))</f>
        <v>0</v>
      </c>
      <c r="GC23" s="642">
        <f t="shared" ref="GC23" si="338" xml:space="preserve">
IF(GB25&gt;=VLOOKUP($C23,$C$3:$D$15,2,FALSE)*GC$21,0,
IF(AND(GB25&lt;VLOOKUP($C23,$C$3:$D$15,2,FALSE)*GC$21,GC24&lt;=VLOOKUP($C23,$C$3:$D$15,2,FALSE)*GC$21),IF(GC24-GB25&lt;0,0,GC24-GB25),
IF(AND(GB25&lt;VLOOKUP($C23,$C$3:$D$15,2,FALSE)*GC$21,GC24&gt;VLOOKUP($C23,$C$3:$D$15,2,FALSE)*GC$21),VLOOKUP($C23,$C$3:$D$15,2,FALSE)*GC$21-GB25)))</f>
        <v>0</v>
      </c>
      <c r="GD23" s="642">
        <f t="shared" ref="GD23" si="339" xml:space="preserve">
IF(GC25&gt;=VLOOKUP($C23,$C$3:$D$15,2,FALSE)*GD$21,0,
IF(AND(GC25&lt;VLOOKUP($C23,$C$3:$D$15,2,FALSE)*GD$21,GD24&lt;=VLOOKUP($C23,$C$3:$D$15,2,FALSE)*GD$21),IF(GD24-GC25&lt;0,0,GD24-GC25),
IF(AND(GC25&lt;VLOOKUP($C23,$C$3:$D$15,2,FALSE)*GD$21,GD24&gt;VLOOKUP($C23,$C$3:$D$15,2,FALSE)*GD$21),VLOOKUP($C23,$C$3:$D$15,2,FALSE)*GD$21-GC25)))</f>
        <v>0</v>
      </c>
      <c r="GE23" s="642">
        <f t="shared" ref="GE23" si="340" xml:space="preserve">
IF(GD25&gt;=VLOOKUP($C23,$C$3:$D$15,2,FALSE)*GE$21,0,
IF(AND(GD25&lt;VLOOKUP($C23,$C$3:$D$15,2,FALSE)*GE$21,GE24&lt;=VLOOKUP($C23,$C$3:$D$15,2,FALSE)*GE$21),IF(GE24-GD25&lt;0,0,GE24-GD25),
IF(AND(GD25&lt;VLOOKUP($C23,$C$3:$D$15,2,FALSE)*GE$21,GE24&gt;VLOOKUP($C23,$C$3:$D$15,2,FALSE)*GE$21),VLOOKUP($C23,$C$3:$D$15,2,FALSE)*GE$21-GD25)))</f>
        <v>0</v>
      </c>
      <c r="GF23" s="642">
        <f t="shared" ref="GF23" si="341" xml:space="preserve">
IF(GE25&gt;=VLOOKUP($C23,$C$3:$D$15,2,FALSE)*GF$21,0,
IF(AND(GE25&lt;VLOOKUP($C23,$C$3:$D$15,2,FALSE)*GF$21,GF24&lt;=VLOOKUP($C23,$C$3:$D$15,2,FALSE)*GF$21),IF(GF24-GE25&lt;0,0,GF24-GE25),
IF(AND(GE25&lt;VLOOKUP($C23,$C$3:$D$15,2,FALSE)*GF$21,GF24&gt;VLOOKUP($C23,$C$3:$D$15,2,FALSE)*GF$21),VLOOKUP($C23,$C$3:$D$15,2,FALSE)*GF$21-GE25)))</f>
        <v>0</v>
      </c>
      <c r="GG23" s="642">
        <f t="shared" ref="GG23" si="342" xml:space="preserve">
IF(GF25&gt;=VLOOKUP($C23,$C$3:$D$15,2,FALSE)*GG$21,0,
IF(AND(GF25&lt;VLOOKUP($C23,$C$3:$D$15,2,FALSE)*GG$21,GG24&lt;=VLOOKUP($C23,$C$3:$D$15,2,FALSE)*GG$21),IF(GG24-GF25&lt;0,0,GG24-GF25),
IF(AND(GF25&lt;VLOOKUP($C23,$C$3:$D$15,2,FALSE)*GG$21,GG24&gt;VLOOKUP($C23,$C$3:$D$15,2,FALSE)*GG$21),VLOOKUP($C23,$C$3:$D$15,2,FALSE)*GG$21-GF25)))</f>
        <v>0</v>
      </c>
      <c r="GH23" s="642">
        <f t="shared" ref="GH23" si="343" xml:space="preserve">
IF(GG25&gt;=VLOOKUP($C23,$C$3:$D$15,2,FALSE)*GH$21,0,
IF(AND(GG25&lt;VLOOKUP($C23,$C$3:$D$15,2,FALSE)*GH$21,GH24&lt;=VLOOKUP($C23,$C$3:$D$15,2,FALSE)*GH$21),IF(GH24-GG25&lt;0,0,GH24-GG25),
IF(AND(GG25&lt;VLOOKUP($C23,$C$3:$D$15,2,FALSE)*GH$21,GH24&gt;VLOOKUP($C23,$C$3:$D$15,2,FALSE)*GH$21),VLOOKUP($C23,$C$3:$D$15,2,FALSE)*GH$21-GG25)))</f>
        <v>0</v>
      </c>
      <c r="GI23" s="642">
        <f t="shared" ref="GI23" si="344" xml:space="preserve">
IF(GH25&gt;=VLOOKUP($C23,$C$3:$D$15,2,FALSE)*GI$21,0,
IF(AND(GH25&lt;VLOOKUP($C23,$C$3:$D$15,2,FALSE)*GI$21,GI24&lt;=VLOOKUP($C23,$C$3:$D$15,2,FALSE)*GI$21),IF(GI24-GH25&lt;0,0,GI24-GH25),
IF(AND(GH25&lt;VLOOKUP($C23,$C$3:$D$15,2,FALSE)*GI$21,GI24&gt;VLOOKUP($C23,$C$3:$D$15,2,FALSE)*GI$21),VLOOKUP($C23,$C$3:$D$15,2,FALSE)*GI$21-GH25)))</f>
        <v>0</v>
      </c>
      <c r="GJ23" s="642">
        <f t="shared" ref="GJ23" si="345" xml:space="preserve">
IF(GI25&gt;=VLOOKUP($C23,$C$3:$D$15,2,FALSE)*GJ$21,0,
IF(AND(GI25&lt;VLOOKUP($C23,$C$3:$D$15,2,FALSE)*GJ$21,GJ24&lt;=VLOOKUP($C23,$C$3:$D$15,2,FALSE)*GJ$21),IF(GJ24-GI25&lt;0,0,GJ24-GI25),
IF(AND(GI25&lt;VLOOKUP($C23,$C$3:$D$15,2,FALSE)*GJ$21,GJ24&gt;VLOOKUP($C23,$C$3:$D$15,2,FALSE)*GJ$21),VLOOKUP($C23,$C$3:$D$15,2,FALSE)*GJ$21-GI25)))</f>
        <v>0</v>
      </c>
    </row>
    <row r="24" spans="2:192" s="655" customFormat="1">
      <c r="B24" s="656"/>
      <c r="C24" s="641"/>
      <c r="D24" s="768" t="s">
        <v>1467</v>
      </c>
      <c r="E24" s="773"/>
      <c r="F24" s="706"/>
      <c r="G24" s="642">
        <f>SUMIF(防護具!$Y$30:$Y$212,G$17&amp;$C23,防護具!$Q$30:$Q$212)</f>
        <v>0</v>
      </c>
      <c r="H24" s="642">
        <f>IFERROR(
SUM(G24,SUMIF(防護具!$Y$30:$Y$212,H$17&amp;$C23,防護具!$Q$30:$Q$212))-G23,0)</f>
        <v>0</v>
      </c>
      <c r="I24" s="642">
        <f>IFERROR(
SUM(H24,SUMIF(防護具!$Y$30:$Y$212,I$17&amp;$C23,防護具!$Q$30:$Q$212))-H23,0)</f>
        <v>0</v>
      </c>
      <c r="J24" s="642">
        <f>IFERROR(
SUM(I24,SUMIF(防護具!$Y$30:$Y$212,J$17&amp;$C23,防護具!$Q$30:$Q$212))-I23,0)</f>
        <v>0</v>
      </c>
      <c r="K24" s="642">
        <f>IFERROR(
SUM(J24,SUMIF(防護具!$Y$30:$Y$212,K$17&amp;$C23,防護具!$Q$30:$Q$212))-J23,0)</f>
        <v>0</v>
      </c>
      <c r="L24" s="642">
        <f>IFERROR(
SUM(K24,SUMIF(防護具!$Y$30:$Y$212,L$17&amp;$C23,防護具!$Q$30:$Q$212))-K23,0)</f>
        <v>0</v>
      </c>
      <c r="M24" s="642">
        <f>IFERROR(
SUM(L24,SUMIF(防護具!$Y$30:$Y$212,M$17&amp;$C23,防護具!$Q$30:$Q$212))-L23,0)</f>
        <v>0</v>
      </c>
      <c r="N24" s="642">
        <f>IFERROR(
SUM(M24,SUMIF(防護具!$Y$30:$Y$212,N$17&amp;$C23,防護具!$Q$30:$Q$212))-M23,0)</f>
        <v>0</v>
      </c>
      <c r="O24" s="642">
        <f>IFERROR(
SUM(N24,SUMIF(防護具!$Y$30:$Y$212,O$17&amp;$C23,防護具!$Q$30:$Q$212))-N23,0)</f>
        <v>0</v>
      </c>
      <c r="P24" s="642">
        <f>IFERROR(
SUM(O24,SUMIF(防護具!$Y$30:$Y$212,P$17&amp;$C23,防護具!$Q$30:$Q$212))-O23,0)</f>
        <v>0</v>
      </c>
      <c r="Q24" s="642">
        <f>IFERROR(
SUM(P24,SUMIF(防護具!$Y$30:$Y$212,Q$17&amp;$C23,防護具!$Q$30:$Q$212))-P23,0)</f>
        <v>0</v>
      </c>
      <c r="R24" s="642">
        <f>IFERROR(
SUM(Q24,SUMIF(防護具!$Y$30:$Y$212,R$17&amp;$C23,防護具!$Q$30:$Q$212))-Q23,0)</f>
        <v>0</v>
      </c>
      <c r="S24" s="642">
        <f>IFERROR(
SUM(R24,SUMIF(防護具!$Y$30:$Y$212,S$17&amp;$C23,防護具!$Q$30:$Q$212))-R23,0)</f>
        <v>0</v>
      </c>
      <c r="T24" s="642">
        <f>IFERROR(
SUM(S24,SUMIF(防護具!$Y$30:$Y$212,T$17&amp;$C23,防護具!$Q$30:$Q$212))-S23,0)</f>
        <v>0</v>
      </c>
      <c r="U24" s="642">
        <f>IFERROR(
SUM(T24,SUMIF(防護具!$Y$30:$Y$212,U$17&amp;$C23,防護具!$Q$30:$Q$212))-T23,0)</f>
        <v>0</v>
      </c>
      <c r="V24" s="642">
        <f>IFERROR(
SUM(U24,SUMIF(防護具!$Y$30:$Y$212,V$17&amp;$C23,防護具!$Q$30:$Q$212))-U23,0)</f>
        <v>0</v>
      </c>
      <c r="W24" s="642">
        <f>IFERROR(
SUM(V24,SUMIF(防護具!$Y$30:$Y$212,W$17&amp;$C23,防護具!$Q$30:$Q$212))-V23,0)</f>
        <v>0</v>
      </c>
      <c r="X24" s="642">
        <f>IFERROR(
SUM(W24,SUMIF(防護具!$Y$30:$Y$212,X$17&amp;$C23,防護具!$Q$30:$Q$212))-W23,0)</f>
        <v>0</v>
      </c>
      <c r="Y24" s="642">
        <f>IFERROR(
SUM(X24,SUMIF(防護具!$Y$30:$Y$212,Y$17&amp;$C23,防護具!$Q$30:$Q$212))-X23,0)</f>
        <v>0</v>
      </c>
      <c r="Z24" s="642">
        <f>IFERROR(
SUM(Y24,SUMIF(防護具!$Y$30:$Y$212,Z$17&amp;$C23,防護具!$Q$30:$Q$212))-Y23,0)</f>
        <v>0</v>
      </c>
      <c r="AA24" s="642">
        <f>IFERROR(
SUM(Z24,SUMIF(防護具!$Y$30:$Y$212,AA$17&amp;$C23,防護具!$Q$30:$Q$212))-Z23,0)</f>
        <v>0</v>
      </c>
      <c r="AB24" s="642">
        <f>IFERROR(
SUM(AA24,SUMIF(防護具!$Y$30:$Y$212,AB$17&amp;$C23,防護具!$Q$30:$Q$212))-AA23,0)</f>
        <v>0</v>
      </c>
      <c r="AC24" s="642">
        <f>IFERROR(
SUM(AB24,SUMIF(防護具!$Y$30:$Y$212,AC$17&amp;$C23,防護具!$Q$30:$Q$212))-AB23,0)</f>
        <v>0</v>
      </c>
      <c r="AD24" s="642">
        <f>IFERROR(
SUM(AC24,SUMIF(防護具!$Y$30:$Y$212,AD$17&amp;$C23,防護具!$Q$30:$Q$212))-AC23,0)</f>
        <v>0</v>
      </c>
      <c r="AE24" s="642">
        <f>IFERROR(
SUM(AD24,SUMIF(防護具!$Y$30:$Y$212,AE$17&amp;$C23,防護具!$Q$30:$Q$212))-AD23,0)</f>
        <v>0</v>
      </c>
      <c r="AF24" s="642">
        <f>IFERROR(
SUM(AE24,SUMIF(防護具!$Y$30:$Y$212,AF$17&amp;$C23,防護具!$Q$30:$Q$212))-AE23,0)</f>
        <v>0</v>
      </c>
      <c r="AG24" s="642">
        <f>IFERROR(
SUM(AF24,SUMIF(防護具!$Y$30:$Y$212,AG$17&amp;$C23,防護具!$Q$30:$Q$212))-AF23,0)</f>
        <v>0</v>
      </c>
      <c r="AH24" s="642">
        <f>IFERROR(
SUM(AG24,SUMIF(防護具!$Y$30:$Y$212,AH$17&amp;$C23,防護具!$Q$30:$Q$212))-AG23,0)</f>
        <v>0</v>
      </c>
      <c r="AI24" s="642">
        <f>IFERROR(
SUM(AH24,SUMIF(防護具!$Y$30:$Y$212,AI$17&amp;$C23,防護具!$Q$30:$Q$212))-AH23,0)</f>
        <v>0</v>
      </c>
      <c r="AJ24" s="642">
        <f>IFERROR(
SUM(AI24,SUMIF(防護具!$Y$30:$Y$212,AJ$17&amp;$C23,防護具!$Q$30:$Q$212))-AI23,0)</f>
        <v>0</v>
      </c>
      <c r="AK24" s="642">
        <f>IFERROR(
SUM(AJ24,SUMIF(防護具!$Y$30:$Y$212,AK$17&amp;$C23,防護具!$Q$30:$Q$212))-AJ23,0)</f>
        <v>0</v>
      </c>
      <c r="AL24" s="642">
        <f>IFERROR(
SUM(AK24,SUMIF(防護具!$Y$30:$Y$212,AL$17&amp;$C23,防護具!$Q$30:$Q$212))-AK23,0)</f>
        <v>0</v>
      </c>
      <c r="AM24" s="642">
        <f>IFERROR(
SUM(AL24,SUMIF(防護具!$Y$30:$Y$212,AM$17&amp;$C23,防護具!$Q$30:$Q$212))-AL23,0)</f>
        <v>0</v>
      </c>
      <c r="AN24" s="642">
        <f>IFERROR(
SUM(AM24,SUMIF(防護具!$Y$30:$Y$212,AN$17&amp;$C23,防護具!$Q$30:$Q$212))-AM23,0)</f>
        <v>0</v>
      </c>
      <c r="AO24" s="642">
        <f>IFERROR(
SUM(AN24,SUMIF(防護具!$Y$30:$Y$212,AO$17&amp;$C23,防護具!$Q$30:$Q$212))-AN23,0)</f>
        <v>0</v>
      </c>
      <c r="AP24" s="642">
        <f>IFERROR(
SUM(AO24,SUMIF(防護具!$Y$30:$Y$212,AP$17&amp;$C23,防護具!$Q$30:$Q$212))-AO23,0)</f>
        <v>0</v>
      </c>
      <c r="AQ24" s="642">
        <f>IFERROR(
SUM(AP24,SUMIF(防護具!$Y$30:$Y$212,AQ$17&amp;$C23,防護具!$Q$30:$Q$212))-AP23,0)</f>
        <v>0</v>
      </c>
      <c r="AR24" s="642">
        <f>IFERROR(
SUM(AQ24,SUMIF(防護具!$Y$30:$Y$212,AR$17&amp;$C23,防護具!$Q$30:$Q$212))-AQ23,0)</f>
        <v>0</v>
      </c>
      <c r="AS24" s="642">
        <f>IFERROR(
SUM(AR24,SUMIF(防護具!$Y$30:$Y$212,AS$17&amp;$C23,防護具!$Q$30:$Q$212))-AR23,0)</f>
        <v>0</v>
      </c>
      <c r="AT24" s="642">
        <f>IFERROR(
SUM(AS24,SUMIF(防護具!$Y$30:$Y$212,AT$17&amp;$C23,防護具!$Q$30:$Q$212))-AS23,0)</f>
        <v>0</v>
      </c>
      <c r="AU24" s="642">
        <f>IFERROR(
SUM(AT24,SUMIF(防護具!$Y$30:$Y$212,AU$17&amp;$C23,防護具!$Q$30:$Q$212))-AT23,0)</f>
        <v>0</v>
      </c>
      <c r="AV24" s="642">
        <f>IFERROR(
SUM(AU24,SUMIF(防護具!$Y$30:$Y$212,AV$17&amp;$C23,防護具!$Q$30:$Q$212))-AU23,0)</f>
        <v>0</v>
      </c>
      <c r="AW24" s="642">
        <f>IFERROR(
SUM(AV24,SUMIF(防護具!$Y$30:$Y$212,AW$17&amp;$C23,防護具!$Q$30:$Q$212))-AV23,0)</f>
        <v>0</v>
      </c>
      <c r="AX24" s="642">
        <f>IFERROR(
SUM(AW24,SUMIF(防護具!$Y$30:$Y$212,AX$17&amp;$C23,防護具!$Q$30:$Q$212))-AW23,0)</f>
        <v>0</v>
      </c>
      <c r="AY24" s="642">
        <f>IFERROR(
SUM(AX24,SUMIF(防護具!$Y$30:$Y$212,AY$17&amp;$C23,防護具!$Q$30:$Q$212))-AX23,0)</f>
        <v>0</v>
      </c>
      <c r="AZ24" s="642">
        <f>IFERROR(
SUM(AY24,SUMIF(防護具!$Y$30:$Y$212,AZ$17&amp;$C23,防護具!$Q$30:$Q$212))-AY23,0)</f>
        <v>0</v>
      </c>
      <c r="BA24" s="642">
        <f>IFERROR(
SUM(AZ24,SUMIF(防護具!$Y$30:$Y$212,BA$17&amp;$C23,防護具!$Q$30:$Q$212))-AZ23,0)</f>
        <v>0</v>
      </c>
      <c r="BB24" s="642">
        <f>IFERROR(
SUM(BA24,SUMIF(防護具!$Y$30:$Y$212,BB$17&amp;$C23,防護具!$Q$30:$Q$212))-BA23,0)</f>
        <v>0</v>
      </c>
      <c r="BC24" s="642">
        <f>IFERROR(
SUM(BB24,SUMIF(防護具!$Y$30:$Y$212,BC$17&amp;$C23,防護具!$Q$30:$Q$212))-BB23,0)</f>
        <v>0</v>
      </c>
      <c r="BD24" s="642">
        <f>IFERROR(
SUM(BC24,SUMIF(防護具!$Y$30:$Y$212,BD$17&amp;$C23,防護具!$Q$30:$Q$212))-BC23,0)</f>
        <v>0</v>
      </c>
      <c r="BE24" s="642">
        <f>IFERROR(
SUM(BD24,SUMIF(防護具!$Y$30:$Y$212,BE$17&amp;$C23,防護具!$Q$30:$Q$212))-BD23,0)</f>
        <v>0</v>
      </c>
      <c r="BF24" s="642">
        <f>IFERROR(
SUM(BE24,SUMIF(防護具!$Y$30:$Y$212,BF$17&amp;$C23,防護具!$Q$30:$Q$212))-BE23,0)</f>
        <v>0</v>
      </c>
      <c r="BG24" s="642">
        <f>IFERROR(
SUM(BF24,SUMIF(防護具!$Y$30:$Y$212,BG$17&amp;$C23,防護具!$Q$30:$Q$212))-BF23,0)</f>
        <v>0</v>
      </c>
      <c r="BH24" s="642">
        <f>IFERROR(
SUM(BG24,SUMIF(防護具!$Y$30:$Y$212,BH$17&amp;$C23,防護具!$Q$30:$Q$212))-BG23,0)</f>
        <v>0</v>
      </c>
      <c r="BI24" s="642">
        <f>IFERROR(
SUM(BH24,SUMIF(防護具!$Y$30:$Y$212,BI$17&amp;$C23,防護具!$Q$30:$Q$212))-BH23,0)</f>
        <v>0</v>
      </c>
      <c r="BJ24" s="642">
        <f>IFERROR(
SUM(BI24,SUMIF(防護具!$Y$30:$Y$212,BJ$17&amp;$C23,防護具!$Q$30:$Q$212))-BI23,0)</f>
        <v>0</v>
      </c>
      <c r="BK24" s="642">
        <f>IFERROR(
SUM(BJ24,SUMIF(防護具!$Y$30:$Y$212,BK$17&amp;$C23,防護具!$Q$30:$Q$212))-BJ23,0)</f>
        <v>0</v>
      </c>
      <c r="BL24" s="642">
        <f>IFERROR(
SUM(BK24,SUMIF(防護具!$Y$30:$Y$212,BL$17&amp;$C23,防護具!$Q$30:$Q$212))-BK23,0)</f>
        <v>0</v>
      </c>
      <c r="BM24" s="642">
        <f>IFERROR(
SUM(BL24,SUMIF(防護具!$Y$30:$Y$212,BM$17&amp;$C23,防護具!$Q$30:$Q$212))-BL23,0)</f>
        <v>0</v>
      </c>
      <c r="BN24" s="642">
        <f>IFERROR(
SUM(BM24,SUMIF(防護具!$Y$30:$Y$212,BN$17&amp;$C23,防護具!$Q$30:$Q$212))-BM23,0)</f>
        <v>0</v>
      </c>
      <c r="BO24" s="642">
        <f>IFERROR(
SUM(BN24,SUMIF(防護具!$Y$30:$Y$212,BO$17&amp;$C23,防護具!$Q$30:$Q$212))-BN23,0)</f>
        <v>0</v>
      </c>
      <c r="BP24" s="642">
        <f>IFERROR(
SUM(BO24,SUMIF(防護具!$Y$30:$Y$212,BP$17&amp;$C23,防護具!$Q$30:$Q$212))-BO23,0)</f>
        <v>0</v>
      </c>
      <c r="BQ24" s="642">
        <f>IFERROR(
SUM(BP24,SUMIF(防護具!$Y$30:$Y$212,BQ$17&amp;$C23,防護具!$Q$30:$Q$212))-BP23,0)</f>
        <v>0</v>
      </c>
      <c r="BR24" s="642">
        <f>IFERROR(
SUM(BQ24,SUMIF(防護具!$Y$30:$Y$212,BR$17&amp;$C23,防護具!$Q$30:$Q$212))-BQ23,0)</f>
        <v>0</v>
      </c>
      <c r="BS24" s="642">
        <f>IFERROR(
SUM(BR24,SUMIF(防護具!$Y$30:$Y$212,BS$17&amp;$C23,防護具!$Q$30:$Q$212))-BR23,0)</f>
        <v>0</v>
      </c>
      <c r="BT24" s="642">
        <f>IFERROR(
SUM(BS24,SUMIF(防護具!$Y$30:$Y$212,BT$17&amp;$C23,防護具!$Q$30:$Q$212))-BS23,0)</f>
        <v>0</v>
      </c>
      <c r="BU24" s="642">
        <f>IFERROR(
SUM(BT24,SUMIF(防護具!$Y$30:$Y$212,BU$17&amp;$C23,防護具!$Q$30:$Q$212))-BT23,0)</f>
        <v>0</v>
      </c>
      <c r="BV24" s="642">
        <f>IFERROR(
SUM(BU24,SUMIF(防護具!$Y$30:$Y$212,BV$17&amp;$C23,防護具!$Q$30:$Q$212))-BU23,0)</f>
        <v>0</v>
      </c>
      <c r="BW24" s="642">
        <f>IFERROR(
SUM(BV24,SUMIF(防護具!$Y$30:$Y$212,BW$17&amp;$C23,防護具!$Q$30:$Q$212))-BV23,0)</f>
        <v>0</v>
      </c>
      <c r="BX24" s="642">
        <f>IFERROR(
SUM(BW24,SUMIF(防護具!$Y$30:$Y$212,BX$17&amp;$C23,防護具!$Q$30:$Q$212))-BW23,0)</f>
        <v>0</v>
      </c>
      <c r="BY24" s="642">
        <f>IFERROR(
SUM(BX24,SUMIF(防護具!$Y$30:$Y$212,BY$17&amp;$C23,防護具!$Q$30:$Q$212))-BX23,0)</f>
        <v>0</v>
      </c>
      <c r="BZ24" s="642">
        <f>IFERROR(
SUM(BY24,SUMIF(防護具!$Y$30:$Y$212,BZ$17&amp;$C23,防護具!$Q$30:$Q$212))-BY23,0)</f>
        <v>0</v>
      </c>
      <c r="CA24" s="642">
        <f>IFERROR(
SUM(BZ24,SUMIF(防護具!$Y$30:$Y$212,CA$17&amp;$C23,防護具!$Q$30:$Q$212))-BZ23,0)</f>
        <v>0</v>
      </c>
      <c r="CB24" s="642">
        <f>IFERROR(
SUM(CA24,SUMIF(防護具!$Y$30:$Y$212,CB$17&amp;$C23,防護具!$Q$30:$Q$212))-CA23,0)</f>
        <v>0</v>
      </c>
      <c r="CC24" s="642">
        <f>IFERROR(
SUM(CB24,SUMIF(防護具!$Y$30:$Y$212,CC$17&amp;$C23,防護具!$Q$30:$Q$212))-CB23,0)</f>
        <v>0</v>
      </c>
      <c r="CD24" s="642">
        <f>IFERROR(
SUM(CC24,SUMIF(防護具!$Y$30:$Y$212,CD$17&amp;$C23,防護具!$Q$30:$Q$212))-CC23,0)</f>
        <v>0</v>
      </c>
      <c r="CE24" s="642">
        <f>IFERROR(
SUM(CD24,SUMIF(防護具!$Y$30:$Y$212,CE$17&amp;$C23,防護具!$Q$30:$Q$212))-CD23,0)</f>
        <v>0</v>
      </c>
      <c r="CF24" s="642">
        <f>IFERROR(
SUM(CE24,SUMIF(防護具!$Y$30:$Y$212,CF$17&amp;$C23,防護具!$Q$30:$Q$212))-CE23,0)</f>
        <v>0</v>
      </c>
      <c r="CG24" s="642">
        <f>IFERROR(
SUM(CF24,SUMIF(防護具!$Y$30:$Y$212,CG$17&amp;$C23,防護具!$Q$30:$Q$212))-CF23,0)</f>
        <v>0</v>
      </c>
      <c r="CH24" s="642">
        <f>IFERROR(
SUM(CG24,SUMIF(防護具!$Y$30:$Y$212,CH$17&amp;$C23,防護具!$Q$30:$Q$212))-CG23,0)</f>
        <v>0</v>
      </c>
      <c r="CI24" s="642">
        <f>IFERROR(
SUM(CH24,SUMIF(防護具!$Y$30:$Y$212,CI$17&amp;$C23,防護具!$Q$30:$Q$212))-CH23,0)</f>
        <v>0</v>
      </c>
      <c r="CJ24" s="642">
        <f>IFERROR(
SUM(CI24,SUMIF(防護具!$Y$30:$Y$212,CJ$17&amp;$C23,防護具!$Q$30:$Q$212))-CI23,0)</f>
        <v>0</v>
      </c>
      <c r="CK24" s="642">
        <f>IFERROR(
SUM(CJ24,SUMIF(防護具!$Y$30:$Y$212,CK$17&amp;$C23,防護具!$Q$30:$Q$212))-CJ23,0)</f>
        <v>0</v>
      </c>
      <c r="CL24" s="642">
        <f>IFERROR(
SUM(CK24,SUMIF(防護具!$Y$30:$Y$212,CL$17&amp;$C23,防護具!$Q$30:$Q$212))-CK23,0)</f>
        <v>0</v>
      </c>
      <c r="CM24" s="642">
        <f>IFERROR(
SUM(CL24,SUMIF(防護具!$Y$30:$Y$212,CM$17&amp;$C23,防護具!$Q$30:$Q$212))-CL23,0)</f>
        <v>0</v>
      </c>
      <c r="CN24" s="642">
        <f>IFERROR(
SUM(CM24,SUMIF(防護具!$Y$30:$Y$212,CN$17&amp;$C23,防護具!$Q$30:$Q$212))-CM23,0)</f>
        <v>0</v>
      </c>
      <c r="CO24" s="642">
        <f>IFERROR(
SUM(CN24,SUMIF(防護具!$Y$30:$Y$212,CO$17&amp;$C23,防護具!$Q$30:$Q$212))-CN23,0)</f>
        <v>0</v>
      </c>
      <c r="CP24" s="642">
        <f>IFERROR(
SUM(CO24,SUMIF(防護具!$Y$30:$Y$212,CP$17&amp;$C23,防護具!$Q$30:$Q$212))-CO23,0)</f>
        <v>0</v>
      </c>
      <c r="CQ24" s="642">
        <f>IFERROR(
SUM(CP24,SUMIF(防護具!$Y$30:$Y$212,CQ$17&amp;$C23,防護具!$Q$30:$Q$212))-CP23,0)</f>
        <v>0</v>
      </c>
      <c r="CR24" s="642">
        <f>IFERROR(
SUM(CQ24,SUMIF(防護具!$Y$30:$Y$212,CR$17&amp;$C23,防護具!$Q$30:$Q$212))-CQ23,0)</f>
        <v>0</v>
      </c>
      <c r="CS24" s="642">
        <f>IFERROR(
SUM(CR24,SUMIF(防護具!$Y$30:$Y$212,CS$17&amp;$C23,防護具!$Q$30:$Q$212))-CR23,0)</f>
        <v>0</v>
      </c>
      <c r="CT24" s="642">
        <f>IFERROR(
SUM(CS24,SUMIF(防護具!$Y$30:$Y$212,CT$17&amp;$C23,防護具!$Q$30:$Q$212))-CS23,0)</f>
        <v>0</v>
      </c>
      <c r="CU24" s="642">
        <f>IFERROR(
SUM(CT24,SUMIF(防護具!$Y$30:$Y$212,CU$17&amp;$C23,防護具!$Q$30:$Q$212))-CT23,0)</f>
        <v>0</v>
      </c>
      <c r="CV24" s="642">
        <f>IFERROR(
SUM(CU24,SUMIF(防護具!$Y$30:$Y$212,CV$17&amp;$C23,防護具!$Q$30:$Q$212))-CU23,0)</f>
        <v>0</v>
      </c>
      <c r="CW24" s="642">
        <f>IFERROR(
SUM(CV24,SUMIF(防護具!$Y$30:$Y$212,CW$17&amp;$C23,防護具!$Q$30:$Q$212))-CV23,0)</f>
        <v>0</v>
      </c>
      <c r="CX24" s="642">
        <f>IFERROR(
SUM(CW24,SUMIF(防護具!$Y$30:$Y$212,CX$17&amp;$C23,防護具!$Q$30:$Q$212))-CW23,0)</f>
        <v>0</v>
      </c>
      <c r="CY24" s="642">
        <f>IFERROR(
SUM(CX24,SUMIF(防護具!$Y$30:$Y$212,CY$17&amp;$C23,防護具!$Q$30:$Q$212))-CX23,0)</f>
        <v>0</v>
      </c>
      <c r="CZ24" s="642">
        <f>IFERROR(
SUM(CY24,SUMIF(防護具!$Y$30:$Y$212,CZ$17&amp;$C23,防護具!$Q$30:$Q$212))-CY23,0)</f>
        <v>0</v>
      </c>
      <c r="DA24" s="642">
        <f>IFERROR(
SUM(CZ24,SUMIF(防護具!$Y$30:$Y$212,DA$17&amp;$C23,防護具!$Q$30:$Q$212))-CZ23,0)</f>
        <v>0</v>
      </c>
      <c r="DB24" s="642">
        <f>IFERROR(
SUM(DA24,SUMIF(防護具!$Y$30:$Y$212,DB$17&amp;$C23,防護具!$Q$30:$Q$212))-DA23,0)</f>
        <v>0</v>
      </c>
      <c r="DC24" s="642">
        <f>IFERROR(
SUM(DB24,SUMIF(防護具!$Y$30:$Y$212,DC$17&amp;$C23,防護具!$Q$30:$Q$212))-DB23,0)</f>
        <v>0</v>
      </c>
      <c r="DD24" s="642">
        <f>IFERROR(
SUM(DC24,SUMIF(防護具!$Y$30:$Y$212,DD$17&amp;$C23,防護具!$Q$30:$Q$212))-DC23,0)</f>
        <v>0</v>
      </c>
      <c r="DE24" s="642">
        <f>IFERROR(
SUM(DD24,SUMIF(防護具!$Y$30:$Y$212,DE$17&amp;$C23,防護具!$Q$30:$Q$212))-DD23,0)</f>
        <v>0</v>
      </c>
      <c r="DF24" s="642">
        <f>IFERROR(
SUM(DE24,SUMIF(防護具!$Y$30:$Y$212,DF$17&amp;$C23,防護具!$Q$30:$Q$212))-DE23,0)</f>
        <v>0</v>
      </c>
      <c r="DG24" s="642">
        <f>IFERROR(
SUM(DF24,SUMIF(防護具!$Y$30:$Y$212,DG$17&amp;$C23,防護具!$Q$30:$Q$212))-DF23,0)</f>
        <v>0</v>
      </c>
      <c r="DH24" s="642">
        <f>IFERROR(
SUM(DG24,SUMIF(防護具!$Y$30:$Y$212,DH$17&amp;$C23,防護具!$Q$30:$Q$212))-DG23,0)</f>
        <v>0</v>
      </c>
      <c r="DI24" s="642">
        <f>IFERROR(
SUM(DH24,SUMIF(防護具!$Y$30:$Y$212,DI$17&amp;$C23,防護具!$Q$30:$Q$212))-DH23,0)</f>
        <v>0</v>
      </c>
      <c r="DJ24" s="642">
        <f>IFERROR(
SUM(DI24,SUMIF(防護具!$Y$30:$Y$212,DJ$17&amp;$C23,防護具!$Q$30:$Q$212))-DI23,0)</f>
        <v>0</v>
      </c>
      <c r="DK24" s="642">
        <f>IFERROR(
SUM(DJ24,SUMIF(防護具!$Y$30:$Y$212,DK$17&amp;$C23,防護具!$Q$30:$Q$212))-DJ23,0)</f>
        <v>0</v>
      </c>
      <c r="DL24" s="642">
        <f>IFERROR(
SUM(DK24,SUMIF(防護具!$Y$30:$Y$212,DL$17&amp;$C23,防護具!$Q$30:$Q$212))-DK23,0)</f>
        <v>0</v>
      </c>
      <c r="DM24" s="642">
        <f>IFERROR(
SUM(DL24,SUMIF(防護具!$Y$30:$Y$212,DM$17&amp;$C23,防護具!$Q$30:$Q$212))-DL23,0)</f>
        <v>0</v>
      </c>
      <c r="DN24" s="642">
        <f>IFERROR(
SUM(DM24,SUMIF(防護具!$Y$30:$Y$212,DN$17&amp;$C23,防護具!$Q$30:$Q$212))-DM23,0)</f>
        <v>0</v>
      </c>
      <c r="DO24" s="642">
        <f>IFERROR(
SUM(DN24,SUMIF(防護具!$Y$30:$Y$212,DO$17&amp;$C23,防護具!$Q$30:$Q$212))-DN23,0)</f>
        <v>0</v>
      </c>
      <c r="DP24" s="642">
        <f>IFERROR(
SUM(DO24,SUMIF(防護具!$Y$30:$Y$212,DP$17&amp;$C23,防護具!$Q$30:$Q$212))-DO23,0)</f>
        <v>0</v>
      </c>
      <c r="DQ24" s="642">
        <f>IFERROR(
SUM(DP24,SUMIF(防護具!$Y$30:$Y$212,DQ$17&amp;$C23,防護具!$Q$30:$Q$212))-DP23,0)</f>
        <v>0</v>
      </c>
      <c r="DR24" s="642">
        <f>IFERROR(
SUM(DQ24,SUMIF(防護具!$Y$30:$Y$212,DR$17&amp;$C23,防護具!$Q$30:$Q$212))-DQ23,0)</f>
        <v>0</v>
      </c>
      <c r="DS24" s="642">
        <f>IFERROR(
SUM(DR24,SUMIF(防護具!$Y$30:$Y$212,DS$17&amp;$C23,防護具!$Q$30:$Q$212))-DR23,0)</f>
        <v>0</v>
      </c>
      <c r="DT24" s="642">
        <f>IFERROR(
SUM(DS24,SUMIF(防護具!$Y$30:$Y$212,DT$17&amp;$C23,防護具!$Q$30:$Q$212))-DS23,0)</f>
        <v>0</v>
      </c>
      <c r="DU24" s="642">
        <f>IFERROR(
SUM(DT24,SUMIF(防護具!$Y$30:$Y$212,DU$17&amp;$C23,防護具!$Q$30:$Q$212))-DT23,0)</f>
        <v>0</v>
      </c>
      <c r="DV24" s="642">
        <f>IFERROR(
SUM(DU24,SUMIF(防護具!$Y$30:$Y$212,DV$17&amp;$C23,防護具!$Q$30:$Q$212))-DU23,0)</f>
        <v>0</v>
      </c>
      <c r="DW24" s="642">
        <f>IFERROR(
SUM(DV24,SUMIF(防護具!$Y$30:$Y$212,DW$17&amp;$C23,防護具!$Q$30:$Q$212))-DV23,0)</f>
        <v>0</v>
      </c>
      <c r="DX24" s="642">
        <f>IFERROR(
SUM(DW24,SUMIF(防護具!$Y$30:$Y$212,DX$17&amp;$C23,防護具!$Q$30:$Q$212))-DW23,0)</f>
        <v>0</v>
      </c>
      <c r="DY24" s="642">
        <f>IFERROR(
SUM(DX24,SUMIF(防護具!$Y$30:$Y$212,DY$17&amp;$C23,防護具!$Q$30:$Q$212))-DX23,0)</f>
        <v>0</v>
      </c>
      <c r="DZ24" s="642">
        <f>IFERROR(
SUM(DY24,SUMIF(防護具!$Y$30:$Y$212,DZ$17&amp;$C23,防護具!$Q$30:$Q$212))-DY23,0)</f>
        <v>0</v>
      </c>
      <c r="EA24" s="642">
        <f>IFERROR(
SUM(DZ24,SUMIF(防護具!$Y$30:$Y$212,EA$17&amp;$C23,防護具!$Q$30:$Q$212))-DZ23,0)</f>
        <v>0</v>
      </c>
      <c r="EB24" s="642">
        <f>IFERROR(
SUM(EA24,SUMIF(防護具!$Y$30:$Y$212,EB$17&amp;$C23,防護具!$Q$30:$Q$212))-EA23,0)</f>
        <v>0</v>
      </c>
      <c r="EC24" s="642">
        <f>IFERROR(
SUM(EB24,SUMIF(防護具!$Y$30:$Y$212,EC$17&amp;$C23,防護具!$Q$30:$Q$212))-EB23,0)</f>
        <v>0</v>
      </c>
      <c r="ED24" s="642">
        <f>IFERROR(
SUM(EC24,SUMIF(防護具!$Y$30:$Y$212,ED$17&amp;$C23,防護具!$Q$30:$Q$212))-EC23,0)</f>
        <v>0</v>
      </c>
      <c r="EE24" s="642">
        <f>IFERROR(
SUM(ED24,SUMIF(防護具!$Y$30:$Y$212,EE$17&amp;$C23,防護具!$Q$30:$Q$212))-ED23,0)</f>
        <v>0</v>
      </c>
      <c r="EF24" s="642">
        <f>IFERROR(
SUM(EE24,SUMIF(防護具!$Y$30:$Y$212,EF$17&amp;$C23,防護具!$Q$30:$Q$212))-EE23,0)</f>
        <v>0</v>
      </c>
      <c r="EG24" s="642">
        <f>IFERROR(
SUM(EF24,SUMIF(防護具!$Y$30:$Y$212,EG$17&amp;$C23,防護具!$Q$30:$Q$212))-EF23,0)</f>
        <v>0</v>
      </c>
      <c r="EH24" s="642">
        <f>IFERROR(
SUM(EG24,SUMIF(防護具!$Y$30:$Y$212,EH$17&amp;$C23,防護具!$Q$30:$Q$212))-EG23,0)</f>
        <v>0</v>
      </c>
      <c r="EI24" s="642">
        <f>IFERROR(
SUM(EH24,SUMIF(防護具!$Y$30:$Y$212,EI$17&amp;$C23,防護具!$Q$30:$Q$212))-EH23,0)</f>
        <v>0</v>
      </c>
      <c r="EJ24" s="642">
        <f>IFERROR(
SUM(EI24,SUMIF(防護具!$Y$30:$Y$212,EJ$17&amp;$C23,防護具!$Q$30:$Q$212))-EI23,0)</f>
        <v>0</v>
      </c>
      <c r="EK24" s="642">
        <f>IFERROR(
SUM(EJ24,SUMIF(防護具!$Y$30:$Y$212,EK$17&amp;$C23,防護具!$Q$30:$Q$212))-EJ23,0)</f>
        <v>0</v>
      </c>
      <c r="EL24" s="642">
        <f>IFERROR(
SUM(EK24,SUMIF(防護具!$Y$30:$Y$212,EL$17&amp;$C23,防護具!$Q$30:$Q$212))-EK23,0)</f>
        <v>0</v>
      </c>
      <c r="EM24" s="642">
        <f>IFERROR(
SUM(EL24,SUMIF(防護具!$Y$30:$Y$212,EM$17&amp;$C23,防護具!$Q$30:$Q$212))-EL23,0)</f>
        <v>0</v>
      </c>
      <c r="EN24" s="642">
        <f>IFERROR(
SUM(EM24,SUMIF(防護具!$Y$30:$Y$212,EN$17&amp;$C23,防護具!$Q$30:$Q$212))-EM23,0)</f>
        <v>0</v>
      </c>
      <c r="EO24" s="642">
        <f>IFERROR(
SUM(EN24,SUMIF(防護具!$Y$30:$Y$212,EO$17&amp;$C23,防護具!$Q$30:$Q$212))-EN23,0)</f>
        <v>0</v>
      </c>
      <c r="EP24" s="642">
        <f>IFERROR(
SUM(EO24,SUMIF(防護具!$Y$30:$Y$212,EP$17&amp;$C23,防護具!$Q$30:$Q$212))-EO23,0)</f>
        <v>0</v>
      </c>
      <c r="EQ24" s="642">
        <f>IFERROR(
SUM(EP24,SUMIF(防護具!$Y$30:$Y$212,EQ$17&amp;$C23,防護具!$Q$30:$Q$212))-EP23,0)</f>
        <v>0</v>
      </c>
      <c r="ER24" s="642">
        <f>IFERROR(
SUM(EQ24,SUMIF(防護具!$Y$30:$Y$212,ER$17&amp;$C23,防護具!$Q$30:$Q$212))-EQ23,0)</f>
        <v>0</v>
      </c>
      <c r="ES24" s="642">
        <f>IFERROR(
SUM(ER24,SUMIF(防護具!$Y$30:$Y$212,ES$17&amp;$C23,防護具!$Q$30:$Q$212))-ER23,0)</f>
        <v>0</v>
      </c>
      <c r="ET24" s="642">
        <f>IFERROR(
SUM(ES24,SUMIF(防護具!$Y$30:$Y$212,ET$17&amp;$C23,防護具!$Q$30:$Q$212))-ES23,0)</f>
        <v>0</v>
      </c>
      <c r="EU24" s="642">
        <f>IFERROR(
SUM(ET24,SUMIF(防護具!$Y$30:$Y$212,EU$17&amp;$C23,防護具!$Q$30:$Q$212))-ET23,0)</f>
        <v>0</v>
      </c>
      <c r="EV24" s="642">
        <f>IFERROR(
SUM(EU24,SUMIF(防護具!$Y$30:$Y$212,EV$17&amp;$C23,防護具!$Q$30:$Q$212))-EU23,0)</f>
        <v>0</v>
      </c>
      <c r="EW24" s="642">
        <f>IFERROR(
SUM(EV24,SUMIF(防護具!$Y$30:$Y$212,EW$17&amp;$C23,防護具!$Q$30:$Q$212))-EV23,0)</f>
        <v>0</v>
      </c>
      <c r="EX24" s="642">
        <f>IFERROR(
SUM(EW24,SUMIF(防護具!$Y$30:$Y$212,EX$17&amp;$C23,防護具!$Q$30:$Q$212))-EW23,0)</f>
        <v>0</v>
      </c>
      <c r="EY24" s="642">
        <f>IFERROR(
SUM(EX24,SUMIF(防護具!$Y$30:$Y$212,EY$17&amp;$C23,防護具!$Q$30:$Q$212))-EX23,0)</f>
        <v>0</v>
      </c>
      <c r="EZ24" s="642">
        <f>IFERROR(
SUM(EY24,SUMIF(防護具!$Y$30:$Y$212,EZ$17&amp;$C23,防護具!$Q$30:$Q$212))-EY23,0)</f>
        <v>0</v>
      </c>
      <c r="FA24" s="642">
        <f>IFERROR(
SUM(EZ24,SUMIF(防護具!$Y$30:$Y$212,FA$17&amp;$C23,防護具!$Q$30:$Q$212))-EZ23,0)</f>
        <v>0</v>
      </c>
      <c r="FB24" s="642">
        <f>IFERROR(
SUM(FA24,SUMIF(防護具!$Y$30:$Y$212,FB$17&amp;$C23,防護具!$Q$30:$Q$212))-FA23,0)</f>
        <v>0</v>
      </c>
      <c r="FC24" s="642">
        <f>IFERROR(
SUM(FB24,SUMIF(防護具!$Y$30:$Y$212,FC$17&amp;$C23,防護具!$Q$30:$Q$212))-FB23,0)</f>
        <v>0</v>
      </c>
      <c r="FD24" s="642">
        <f>IFERROR(
SUM(FC24,SUMIF(防護具!$Y$30:$Y$212,FD$17&amp;$C23,防護具!$Q$30:$Q$212))-FC23,0)</f>
        <v>0</v>
      </c>
      <c r="FE24" s="642">
        <f>IFERROR(
SUM(FD24,SUMIF(防護具!$Y$30:$Y$212,FE$17&amp;$C23,防護具!$Q$30:$Q$212))-FD23,0)</f>
        <v>0</v>
      </c>
      <c r="FF24" s="642">
        <f>IFERROR(
SUM(FE24,SUMIF(防護具!$Y$30:$Y$212,FF$17&amp;$C23,防護具!$Q$30:$Q$212))-FE23,0)</f>
        <v>0</v>
      </c>
      <c r="FG24" s="642">
        <f>IFERROR(
SUM(FF24,SUMIF(防護具!$Y$30:$Y$212,FG$17&amp;$C23,防護具!$Q$30:$Q$212))-FF23,0)</f>
        <v>0</v>
      </c>
      <c r="FH24" s="642">
        <f>IFERROR(
SUM(FG24,SUMIF(防護具!$Y$30:$Y$212,FH$17&amp;$C23,防護具!$Q$30:$Q$212))-FG23,0)</f>
        <v>0</v>
      </c>
      <c r="FI24" s="642">
        <f>IFERROR(
SUM(FH24,SUMIF(防護具!$Y$30:$Y$212,FI$17&amp;$C23,防護具!$Q$30:$Q$212))-FH23,0)</f>
        <v>0</v>
      </c>
      <c r="FJ24" s="642">
        <f>IFERROR(
SUM(FI24,SUMIF(防護具!$Y$30:$Y$212,FJ$17&amp;$C23,防護具!$Q$30:$Q$212))-FI23,0)</f>
        <v>0</v>
      </c>
      <c r="FK24" s="642">
        <f>IFERROR(
SUM(FJ24,SUMIF(防護具!$Y$30:$Y$212,FK$17&amp;$C23,防護具!$Q$30:$Q$212))-FJ23,0)</f>
        <v>0</v>
      </c>
      <c r="FL24" s="642">
        <f>IFERROR(
SUM(FK24,SUMIF(防護具!$Y$30:$Y$212,FL$17&amp;$C23,防護具!$Q$30:$Q$212))-FK23,0)</f>
        <v>0</v>
      </c>
      <c r="FM24" s="642">
        <f>IFERROR(
SUM(FL24,SUMIF(防護具!$Y$30:$Y$212,FM$17&amp;$C23,防護具!$Q$30:$Q$212))-FL23,0)</f>
        <v>0</v>
      </c>
      <c r="FN24" s="642">
        <f>IFERROR(
SUM(FM24,SUMIF(防護具!$Y$30:$Y$212,FN$17&amp;$C23,防護具!$Q$30:$Q$212))-FM23,0)</f>
        <v>0</v>
      </c>
      <c r="FO24" s="642">
        <f>IFERROR(
SUM(FN24,SUMIF(防護具!$Y$30:$Y$212,FO$17&amp;$C23,防護具!$Q$30:$Q$212))-FN23,0)</f>
        <v>0</v>
      </c>
      <c r="FP24" s="642">
        <f>IFERROR(
SUM(FO24,SUMIF(防護具!$Y$30:$Y$212,FP$17&amp;$C23,防護具!$Q$30:$Q$212))-FO23,0)</f>
        <v>0</v>
      </c>
      <c r="FQ24" s="642">
        <f>IFERROR(
SUM(FP24,SUMIF(防護具!$Y$30:$Y$212,FQ$17&amp;$C23,防護具!$Q$30:$Q$212))-FP23,0)</f>
        <v>0</v>
      </c>
      <c r="FR24" s="642">
        <f>IFERROR(
SUM(FQ24,SUMIF(防護具!$Y$30:$Y$212,FR$17&amp;$C23,防護具!$Q$30:$Q$212))-FQ23,0)</f>
        <v>0</v>
      </c>
      <c r="FS24" s="642">
        <f>IFERROR(
SUM(FR24,SUMIF(防護具!$Y$30:$Y$212,FS$17&amp;$C23,防護具!$Q$30:$Q$212))-FR23,0)</f>
        <v>0</v>
      </c>
      <c r="FT24" s="642">
        <f>IFERROR(
SUM(FS24,SUMIF(防護具!$Y$30:$Y$212,FT$17&amp;$C23,防護具!$Q$30:$Q$212))-FS23,0)</f>
        <v>0</v>
      </c>
      <c r="FU24" s="642">
        <f>IFERROR(
SUM(FT24,SUMIF(防護具!$Y$30:$Y$212,FU$17&amp;$C23,防護具!$Q$30:$Q$212))-FT23,0)</f>
        <v>0</v>
      </c>
      <c r="FV24" s="642">
        <f>IFERROR(
SUM(FU24,SUMIF(防護具!$Y$30:$Y$212,FV$17&amp;$C23,防護具!$Q$30:$Q$212))-FU23,0)</f>
        <v>0</v>
      </c>
      <c r="FW24" s="642">
        <f>IFERROR(
SUM(FV24,SUMIF(防護具!$Y$30:$Y$212,FW$17&amp;$C23,防護具!$Q$30:$Q$212))-FV23,0)</f>
        <v>0</v>
      </c>
      <c r="FX24" s="642">
        <f>IFERROR(
SUM(FW24,SUMIF(防護具!$Y$30:$Y$212,FX$17&amp;$C23,防護具!$Q$30:$Q$212))-FW23,0)</f>
        <v>0</v>
      </c>
      <c r="FY24" s="642">
        <f>IFERROR(
SUM(FX24,SUMIF(防護具!$Y$30:$Y$212,FY$17&amp;$C23,防護具!$Q$30:$Q$212))-FX23,0)</f>
        <v>0</v>
      </c>
      <c r="FZ24" s="642">
        <f>IFERROR(
SUM(FY24,SUMIF(防護具!$Y$30:$Y$212,FZ$17&amp;$C23,防護具!$Q$30:$Q$212))-FY23,0)</f>
        <v>0</v>
      </c>
      <c r="GA24" s="642">
        <f>IFERROR(
SUM(FZ24,SUMIF(防護具!$Y$30:$Y$212,GA$17&amp;$C23,防護具!$Q$30:$Q$212))-FZ23,0)</f>
        <v>0</v>
      </c>
      <c r="GB24" s="642">
        <f>IFERROR(
SUM(GA24,SUMIF(防護具!$Y$30:$Y$212,GB$17&amp;$C23,防護具!$Q$30:$Q$212))-GA23,0)</f>
        <v>0</v>
      </c>
      <c r="GC24" s="642">
        <f>IFERROR(
SUM(GB24,SUMIF(防護具!$Y$30:$Y$212,GC$17&amp;$C23,防護具!$Q$30:$Q$212))-GB23,0)</f>
        <v>0</v>
      </c>
      <c r="GD24" s="642">
        <f>IFERROR(
SUM(GC24,SUMIF(防護具!$Y$30:$Y$212,GD$17&amp;$C23,防護具!$Q$30:$Q$212))-GC23,0)</f>
        <v>0</v>
      </c>
      <c r="GE24" s="642">
        <f>IFERROR(
SUM(GD24,SUMIF(防護具!$Y$30:$Y$212,GE$17&amp;$C23,防護具!$Q$30:$Q$212))-GD23,0)</f>
        <v>0</v>
      </c>
      <c r="GF24" s="642">
        <f>IFERROR(
SUM(GE24,SUMIF(防護具!$Y$30:$Y$212,GF$17&amp;$C23,防護具!$Q$30:$Q$212))-GE23,0)</f>
        <v>0</v>
      </c>
      <c r="GG24" s="642">
        <f>IFERROR(
SUM(GF24,SUMIF(防護具!$Y$30:$Y$212,GG$17&amp;$C23,防護具!$Q$30:$Q$212))-GF23,0)</f>
        <v>0</v>
      </c>
      <c r="GH24" s="642">
        <f>IFERROR(
SUM(GG24,SUMIF(防護具!$Y$30:$Y$212,GH$17&amp;$C23,防護具!$Q$30:$Q$212))-GG23,0)</f>
        <v>0</v>
      </c>
      <c r="GI24" s="642">
        <f>IFERROR(
SUM(GH24,SUMIF(防護具!$Y$30:$Y$212,GI$17&amp;$C23,防護具!$Q$30:$Q$212))-GH23,0)</f>
        <v>0</v>
      </c>
      <c r="GJ24" s="642">
        <f>IFERROR(
SUM(GI24,SUMIF(防護具!$Y$30:$Y$212,GJ$17&amp;$C23,防護具!$Q$30:$Q$212))-GI23,0)</f>
        <v>0</v>
      </c>
    </row>
    <row r="25" spans="2:192" s="655" customFormat="1">
      <c r="B25" s="656"/>
      <c r="C25" s="641"/>
      <c r="D25" s="768" t="s">
        <v>1468</v>
      </c>
      <c r="E25" s="773"/>
      <c r="F25" s="706"/>
      <c r="G25" s="642">
        <f>SUMIF(防護具!$Y$13:$Y$29,G$17&amp;PPE差引簿!C23,防護具!$Q$13:$Q$29)</f>
        <v>1000</v>
      </c>
      <c r="H25" s="642">
        <f xml:space="preserve">
IF(G25-VLOOKUP($C23,$C$3:$D$15,2,FALSE)*H$21&lt;0,0,G25-VLOOKUP($C23,$C$3:$D$15,2,FALSE)*H$21)</f>
        <v>1000</v>
      </c>
      <c r="I25" s="642">
        <f t="shared" ref="I25:BT25" si="346" xml:space="preserve">
IF(H25-VLOOKUP($C23,$C$3:$D$15,2,FALSE)*I$21&lt;0,0,H25-VLOOKUP($C23,$C$3:$D$15,2,FALSE)*I$21)</f>
        <v>1000</v>
      </c>
      <c r="J25" s="642">
        <f t="shared" si="346"/>
        <v>1000</v>
      </c>
      <c r="K25" s="642">
        <f t="shared" si="346"/>
        <v>1000</v>
      </c>
      <c r="L25" s="642">
        <f t="shared" si="346"/>
        <v>1000</v>
      </c>
      <c r="M25" s="642">
        <f t="shared" si="346"/>
        <v>1000</v>
      </c>
      <c r="N25" s="642">
        <f t="shared" si="346"/>
        <v>1000</v>
      </c>
      <c r="O25" s="642">
        <f t="shared" si="346"/>
        <v>1000</v>
      </c>
      <c r="P25" s="642">
        <f t="shared" si="346"/>
        <v>1000</v>
      </c>
      <c r="Q25" s="642">
        <f t="shared" si="346"/>
        <v>1000</v>
      </c>
      <c r="R25" s="642">
        <f t="shared" si="346"/>
        <v>1000</v>
      </c>
      <c r="S25" s="642">
        <f t="shared" si="346"/>
        <v>1000</v>
      </c>
      <c r="T25" s="642">
        <f t="shared" si="346"/>
        <v>1000</v>
      </c>
      <c r="U25" s="642">
        <f t="shared" si="346"/>
        <v>1000</v>
      </c>
      <c r="V25" s="642">
        <f t="shared" si="346"/>
        <v>1000</v>
      </c>
      <c r="W25" s="642">
        <f t="shared" si="346"/>
        <v>1000</v>
      </c>
      <c r="X25" s="642">
        <f t="shared" si="346"/>
        <v>1000</v>
      </c>
      <c r="Y25" s="642">
        <f t="shared" si="346"/>
        <v>1000</v>
      </c>
      <c r="Z25" s="642">
        <f t="shared" si="346"/>
        <v>1000</v>
      </c>
      <c r="AA25" s="642">
        <f t="shared" si="346"/>
        <v>1000</v>
      </c>
      <c r="AB25" s="642">
        <f t="shared" si="346"/>
        <v>1000</v>
      </c>
      <c r="AC25" s="642">
        <f t="shared" si="346"/>
        <v>1000</v>
      </c>
      <c r="AD25" s="642">
        <f t="shared" si="346"/>
        <v>1000</v>
      </c>
      <c r="AE25" s="642">
        <f t="shared" si="346"/>
        <v>1000</v>
      </c>
      <c r="AF25" s="642">
        <f t="shared" si="346"/>
        <v>1000</v>
      </c>
      <c r="AG25" s="642">
        <f t="shared" si="346"/>
        <v>1000</v>
      </c>
      <c r="AH25" s="642">
        <f t="shared" si="346"/>
        <v>1000</v>
      </c>
      <c r="AI25" s="642">
        <f t="shared" si="346"/>
        <v>1000</v>
      </c>
      <c r="AJ25" s="642">
        <f t="shared" si="346"/>
        <v>1000</v>
      </c>
      <c r="AK25" s="642">
        <f t="shared" si="346"/>
        <v>1000</v>
      </c>
      <c r="AL25" s="642">
        <f t="shared" si="346"/>
        <v>1000</v>
      </c>
      <c r="AM25" s="642">
        <f t="shared" si="346"/>
        <v>1000</v>
      </c>
      <c r="AN25" s="642">
        <f t="shared" si="346"/>
        <v>1000</v>
      </c>
      <c r="AO25" s="642">
        <f t="shared" si="346"/>
        <v>1000</v>
      </c>
      <c r="AP25" s="642">
        <f t="shared" si="346"/>
        <v>1000</v>
      </c>
      <c r="AQ25" s="642">
        <f t="shared" si="346"/>
        <v>1000</v>
      </c>
      <c r="AR25" s="642">
        <f t="shared" si="346"/>
        <v>1000</v>
      </c>
      <c r="AS25" s="642">
        <f t="shared" si="346"/>
        <v>1000</v>
      </c>
      <c r="AT25" s="642">
        <f t="shared" si="346"/>
        <v>1000</v>
      </c>
      <c r="AU25" s="642">
        <f t="shared" si="346"/>
        <v>1000</v>
      </c>
      <c r="AV25" s="642">
        <f t="shared" si="346"/>
        <v>1000</v>
      </c>
      <c r="AW25" s="642">
        <f t="shared" si="346"/>
        <v>1000</v>
      </c>
      <c r="AX25" s="642">
        <f t="shared" si="346"/>
        <v>1000</v>
      </c>
      <c r="AY25" s="642">
        <f t="shared" si="346"/>
        <v>1000</v>
      </c>
      <c r="AZ25" s="642">
        <f t="shared" si="346"/>
        <v>1000</v>
      </c>
      <c r="BA25" s="642">
        <f t="shared" si="346"/>
        <v>1000</v>
      </c>
      <c r="BB25" s="642">
        <f t="shared" si="346"/>
        <v>1000</v>
      </c>
      <c r="BC25" s="642">
        <f t="shared" si="346"/>
        <v>1000</v>
      </c>
      <c r="BD25" s="642">
        <f t="shared" si="346"/>
        <v>1000</v>
      </c>
      <c r="BE25" s="642">
        <f t="shared" si="346"/>
        <v>1000</v>
      </c>
      <c r="BF25" s="642">
        <f t="shared" si="346"/>
        <v>1000</v>
      </c>
      <c r="BG25" s="642">
        <f t="shared" si="346"/>
        <v>1000</v>
      </c>
      <c r="BH25" s="642">
        <f t="shared" si="346"/>
        <v>1000</v>
      </c>
      <c r="BI25" s="642">
        <f t="shared" si="346"/>
        <v>1000</v>
      </c>
      <c r="BJ25" s="642">
        <f t="shared" si="346"/>
        <v>1000</v>
      </c>
      <c r="BK25" s="642">
        <f t="shared" si="346"/>
        <v>1000</v>
      </c>
      <c r="BL25" s="642">
        <f t="shared" si="346"/>
        <v>1000</v>
      </c>
      <c r="BM25" s="642">
        <f t="shared" si="346"/>
        <v>1000</v>
      </c>
      <c r="BN25" s="642">
        <f t="shared" si="346"/>
        <v>1000</v>
      </c>
      <c r="BO25" s="642">
        <f t="shared" si="346"/>
        <v>1000</v>
      </c>
      <c r="BP25" s="642">
        <f t="shared" si="346"/>
        <v>1000</v>
      </c>
      <c r="BQ25" s="642">
        <f t="shared" si="346"/>
        <v>1000</v>
      </c>
      <c r="BR25" s="642">
        <f t="shared" si="346"/>
        <v>1000</v>
      </c>
      <c r="BS25" s="642">
        <f t="shared" si="346"/>
        <v>1000</v>
      </c>
      <c r="BT25" s="642">
        <f t="shared" si="346"/>
        <v>1000</v>
      </c>
      <c r="BU25" s="642">
        <f t="shared" ref="BU25:EF25" si="347" xml:space="preserve">
IF(BT25-VLOOKUP($C23,$C$3:$D$15,2,FALSE)*BU$21&lt;0,0,BT25-VLOOKUP($C23,$C$3:$D$15,2,FALSE)*BU$21)</f>
        <v>1000</v>
      </c>
      <c r="BV25" s="642">
        <f t="shared" si="347"/>
        <v>1000</v>
      </c>
      <c r="BW25" s="642">
        <f t="shared" si="347"/>
        <v>1000</v>
      </c>
      <c r="BX25" s="642">
        <f t="shared" si="347"/>
        <v>1000</v>
      </c>
      <c r="BY25" s="642">
        <f t="shared" si="347"/>
        <v>1000</v>
      </c>
      <c r="BZ25" s="642">
        <f t="shared" si="347"/>
        <v>1000</v>
      </c>
      <c r="CA25" s="642">
        <f t="shared" si="347"/>
        <v>1000</v>
      </c>
      <c r="CB25" s="642">
        <f t="shared" si="347"/>
        <v>1000</v>
      </c>
      <c r="CC25" s="642">
        <f t="shared" si="347"/>
        <v>1000</v>
      </c>
      <c r="CD25" s="642">
        <f t="shared" si="347"/>
        <v>1000</v>
      </c>
      <c r="CE25" s="642">
        <f t="shared" si="347"/>
        <v>1000</v>
      </c>
      <c r="CF25" s="642">
        <f t="shared" si="347"/>
        <v>1000</v>
      </c>
      <c r="CG25" s="642">
        <f t="shared" si="347"/>
        <v>1000</v>
      </c>
      <c r="CH25" s="642">
        <f t="shared" si="347"/>
        <v>1000</v>
      </c>
      <c r="CI25" s="642">
        <f t="shared" si="347"/>
        <v>1000</v>
      </c>
      <c r="CJ25" s="642">
        <f t="shared" si="347"/>
        <v>1000</v>
      </c>
      <c r="CK25" s="642">
        <f t="shared" si="347"/>
        <v>1000</v>
      </c>
      <c r="CL25" s="642">
        <f t="shared" si="347"/>
        <v>1000</v>
      </c>
      <c r="CM25" s="642">
        <f t="shared" si="347"/>
        <v>1000</v>
      </c>
      <c r="CN25" s="642">
        <f t="shared" si="347"/>
        <v>1000</v>
      </c>
      <c r="CO25" s="642">
        <f t="shared" si="347"/>
        <v>1000</v>
      </c>
      <c r="CP25" s="642">
        <f t="shared" si="347"/>
        <v>1000</v>
      </c>
      <c r="CQ25" s="642">
        <f t="shared" si="347"/>
        <v>1000</v>
      </c>
      <c r="CR25" s="642">
        <f t="shared" si="347"/>
        <v>1000</v>
      </c>
      <c r="CS25" s="642">
        <f t="shared" si="347"/>
        <v>1000</v>
      </c>
      <c r="CT25" s="642">
        <f t="shared" si="347"/>
        <v>1000</v>
      </c>
      <c r="CU25" s="642">
        <f t="shared" si="347"/>
        <v>1000</v>
      </c>
      <c r="CV25" s="642">
        <f t="shared" si="347"/>
        <v>1000</v>
      </c>
      <c r="CW25" s="642">
        <f t="shared" si="347"/>
        <v>1000</v>
      </c>
      <c r="CX25" s="642">
        <f t="shared" si="347"/>
        <v>1000</v>
      </c>
      <c r="CY25" s="642">
        <f t="shared" si="347"/>
        <v>1000</v>
      </c>
      <c r="CZ25" s="642">
        <f t="shared" si="347"/>
        <v>1000</v>
      </c>
      <c r="DA25" s="642">
        <f t="shared" si="347"/>
        <v>1000</v>
      </c>
      <c r="DB25" s="642">
        <f t="shared" si="347"/>
        <v>1000</v>
      </c>
      <c r="DC25" s="642">
        <f t="shared" si="347"/>
        <v>1000</v>
      </c>
      <c r="DD25" s="642">
        <f t="shared" si="347"/>
        <v>1000</v>
      </c>
      <c r="DE25" s="642">
        <f t="shared" si="347"/>
        <v>1000</v>
      </c>
      <c r="DF25" s="642">
        <f t="shared" si="347"/>
        <v>1000</v>
      </c>
      <c r="DG25" s="642">
        <f t="shared" si="347"/>
        <v>1000</v>
      </c>
      <c r="DH25" s="642">
        <f t="shared" si="347"/>
        <v>1000</v>
      </c>
      <c r="DI25" s="642">
        <f t="shared" si="347"/>
        <v>1000</v>
      </c>
      <c r="DJ25" s="642">
        <f t="shared" si="347"/>
        <v>1000</v>
      </c>
      <c r="DK25" s="642">
        <f t="shared" si="347"/>
        <v>1000</v>
      </c>
      <c r="DL25" s="642">
        <f t="shared" si="347"/>
        <v>1000</v>
      </c>
      <c r="DM25" s="642">
        <f t="shared" si="347"/>
        <v>1000</v>
      </c>
      <c r="DN25" s="642">
        <f t="shared" si="347"/>
        <v>1000</v>
      </c>
      <c r="DO25" s="642">
        <f t="shared" si="347"/>
        <v>1000</v>
      </c>
      <c r="DP25" s="642">
        <f t="shared" si="347"/>
        <v>1000</v>
      </c>
      <c r="DQ25" s="642">
        <f t="shared" si="347"/>
        <v>1000</v>
      </c>
      <c r="DR25" s="642">
        <f t="shared" si="347"/>
        <v>1000</v>
      </c>
      <c r="DS25" s="642">
        <f t="shared" si="347"/>
        <v>1000</v>
      </c>
      <c r="DT25" s="642">
        <f t="shared" si="347"/>
        <v>1000</v>
      </c>
      <c r="DU25" s="642">
        <f t="shared" si="347"/>
        <v>1000</v>
      </c>
      <c r="DV25" s="642">
        <f t="shared" si="347"/>
        <v>1000</v>
      </c>
      <c r="DW25" s="642">
        <f t="shared" si="347"/>
        <v>1000</v>
      </c>
      <c r="DX25" s="642">
        <f t="shared" si="347"/>
        <v>1000</v>
      </c>
      <c r="DY25" s="642">
        <f t="shared" si="347"/>
        <v>1000</v>
      </c>
      <c r="DZ25" s="642">
        <f t="shared" si="347"/>
        <v>1000</v>
      </c>
      <c r="EA25" s="642">
        <f t="shared" si="347"/>
        <v>1000</v>
      </c>
      <c r="EB25" s="642">
        <f t="shared" si="347"/>
        <v>1000</v>
      </c>
      <c r="EC25" s="642">
        <f t="shared" si="347"/>
        <v>1000</v>
      </c>
      <c r="ED25" s="642">
        <f t="shared" si="347"/>
        <v>1000</v>
      </c>
      <c r="EE25" s="642">
        <f t="shared" si="347"/>
        <v>1000</v>
      </c>
      <c r="EF25" s="642">
        <f t="shared" si="347"/>
        <v>1000</v>
      </c>
      <c r="EG25" s="642">
        <f t="shared" ref="EG25:GJ25" si="348" xml:space="preserve">
IF(EF25-VLOOKUP($C23,$C$3:$D$15,2,FALSE)*EG$21&lt;0,0,EF25-VLOOKUP($C23,$C$3:$D$15,2,FALSE)*EG$21)</f>
        <v>1000</v>
      </c>
      <c r="EH25" s="642">
        <f t="shared" si="348"/>
        <v>1000</v>
      </c>
      <c r="EI25" s="642">
        <f t="shared" si="348"/>
        <v>1000</v>
      </c>
      <c r="EJ25" s="642">
        <f t="shared" si="348"/>
        <v>1000</v>
      </c>
      <c r="EK25" s="642">
        <f t="shared" si="348"/>
        <v>1000</v>
      </c>
      <c r="EL25" s="642">
        <f t="shared" si="348"/>
        <v>1000</v>
      </c>
      <c r="EM25" s="642">
        <f t="shared" si="348"/>
        <v>1000</v>
      </c>
      <c r="EN25" s="642">
        <f t="shared" si="348"/>
        <v>1000</v>
      </c>
      <c r="EO25" s="642">
        <f t="shared" si="348"/>
        <v>1000</v>
      </c>
      <c r="EP25" s="642">
        <f t="shared" si="348"/>
        <v>1000</v>
      </c>
      <c r="EQ25" s="642">
        <f t="shared" si="348"/>
        <v>1000</v>
      </c>
      <c r="ER25" s="642">
        <f t="shared" si="348"/>
        <v>1000</v>
      </c>
      <c r="ES25" s="642">
        <f t="shared" si="348"/>
        <v>1000</v>
      </c>
      <c r="ET25" s="642">
        <f t="shared" si="348"/>
        <v>1000</v>
      </c>
      <c r="EU25" s="642">
        <f t="shared" si="348"/>
        <v>1000</v>
      </c>
      <c r="EV25" s="642">
        <f t="shared" si="348"/>
        <v>1000</v>
      </c>
      <c r="EW25" s="642">
        <f t="shared" si="348"/>
        <v>1000</v>
      </c>
      <c r="EX25" s="642">
        <f t="shared" si="348"/>
        <v>1000</v>
      </c>
      <c r="EY25" s="642">
        <f t="shared" si="348"/>
        <v>1000</v>
      </c>
      <c r="EZ25" s="642">
        <f t="shared" si="348"/>
        <v>1000</v>
      </c>
      <c r="FA25" s="642">
        <f t="shared" si="348"/>
        <v>1000</v>
      </c>
      <c r="FB25" s="642">
        <f t="shared" si="348"/>
        <v>1000</v>
      </c>
      <c r="FC25" s="642">
        <f t="shared" si="348"/>
        <v>1000</v>
      </c>
      <c r="FD25" s="642">
        <f t="shared" si="348"/>
        <v>1000</v>
      </c>
      <c r="FE25" s="642">
        <f t="shared" si="348"/>
        <v>1000</v>
      </c>
      <c r="FF25" s="642">
        <f t="shared" si="348"/>
        <v>1000</v>
      </c>
      <c r="FG25" s="642">
        <f t="shared" si="348"/>
        <v>1000</v>
      </c>
      <c r="FH25" s="642">
        <f t="shared" si="348"/>
        <v>1000</v>
      </c>
      <c r="FI25" s="642">
        <f t="shared" si="348"/>
        <v>1000</v>
      </c>
      <c r="FJ25" s="642">
        <f t="shared" si="348"/>
        <v>1000</v>
      </c>
      <c r="FK25" s="642">
        <f t="shared" si="348"/>
        <v>1000</v>
      </c>
      <c r="FL25" s="642">
        <f t="shared" si="348"/>
        <v>1000</v>
      </c>
      <c r="FM25" s="642">
        <f t="shared" si="348"/>
        <v>1000</v>
      </c>
      <c r="FN25" s="642">
        <f t="shared" si="348"/>
        <v>1000</v>
      </c>
      <c r="FO25" s="642">
        <f t="shared" si="348"/>
        <v>1000</v>
      </c>
      <c r="FP25" s="642">
        <f t="shared" si="348"/>
        <v>1000</v>
      </c>
      <c r="FQ25" s="642">
        <f t="shared" si="348"/>
        <v>1000</v>
      </c>
      <c r="FR25" s="642">
        <f t="shared" si="348"/>
        <v>1000</v>
      </c>
      <c r="FS25" s="642">
        <f t="shared" si="348"/>
        <v>1000</v>
      </c>
      <c r="FT25" s="642">
        <f t="shared" si="348"/>
        <v>1000</v>
      </c>
      <c r="FU25" s="642">
        <f t="shared" si="348"/>
        <v>1000</v>
      </c>
      <c r="FV25" s="642">
        <f t="shared" si="348"/>
        <v>1000</v>
      </c>
      <c r="FW25" s="642">
        <f t="shared" si="348"/>
        <v>1000</v>
      </c>
      <c r="FX25" s="642">
        <f t="shared" si="348"/>
        <v>1000</v>
      </c>
      <c r="FY25" s="642">
        <f t="shared" si="348"/>
        <v>1000</v>
      </c>
      <c r="FZ25" s="642">
        <f t="shared" si="348"/>
        <v>1000</v>
      </c>
      <c r="GA25" s="642">
        <f t="shared" si="348"/>
        <v>1000</v>
      </c>
      <c r="GB25" s="642">
        <f t="shared" si="348"/>
        <v>1000</v>
      </c>
      <c r="GC25" s="642">
        <f t="shared" si="348"/>
        <v>1000</v>
      </c>
      <c r="GD25" s="642">
        <f t="shared" si="348"/>
        <v>1000</v>
      </c>
      <c r="GE25" s="642">
        <f t="shared" si="348"/>
        <v>1000</v>
      </c>
      <c r="GF25" s="642">
        <f t="shared" si="348"/>
        <v>1000</v>
      </c>
      <c r="GG25" s="642">
        <f t="shared" si="348"/>
        <v>1000</v>
      </c>
      <c r="GH25" s="642">
        <f t="shared" si="348"/>
        <v>1000</v>
      </c>
      <c r="GI25" s="642">
        <f t="shared" si="348"/>
        <v>1000</v>
      </c>
      <c r="GJ25" s="642">
        <f t="shared" si="348"/>
        <v>1000</v>
      </c>
    </row>
    <row r="26" spans="2:192" s="645" customFormat="1">
      <c r="B26" s="654"/>
      <c r="C26" s="643" t="s">
        <v>1256</v>
      </c>
      <c r="D26" s="769" t="s">
        <v>1466</v>
      </c>
      <c r="E26" s="774"/>
      <c r="F26" s="707"/>
      <c r="G26" s="644">
        <f xml:space="preserve">
MIN(G27,
IF((VLOOKUP($C26,$C$3:$D$15,2,FALSE)*G$21-G28)&lt;0,0,VLOOKUP($C26,$C$3:$D$15,2,FALSE)*G$21-G28))</f>
        <v>0</v>
      </c>
      <c r="H26" s="644">
        <f t="shared" ref="H26" si="349" xml:space="preserve">
IF(G28&gt;=VLOOKUP($C26,$C$3:$D$15,2,FALSE)*H$21,0,
IF(AND(G28&lt;VLOOKUP($C26,$C$3:$D$15,2,FALSE)*H$21,H27&lt;=VLOOKUP($C26,$C$3:$D$15,2,FALSE)*H$21),IF(H27-G28&lt;0,0,H27-G28),
IF(AND(G28&lt;VLOOKUP($C26,$C$3:$D$15,2,FALSE)*H$21,H27&gt;VLOOKUP($C26,$C$3:$D$15,2,FALSE)*H$21),VLOOKUP($C26,$C$3:$D$15,2,FALSE)*H$21-G28)))</f>
        <v>0</v>
      </c>
      <c r="I26" s="644">
        <f t="shared" ref="I26" si="350" xml:space="preserve">
IF(H28&gt;=VLOOKUP($C26,$C$3:$D$15,2,FALSE)*I$21,0,
IF(AND(H28&lt;VLOOKUP($C26,$C$3:$D$15,2,FALSE)*I$21,I27&lt;=VLOOKUP($C26,$C$3:$D$15,2,FALSE)*I$21),IF(I27-H28&lt;0,0,I27-H28),
IF(AND(H28&lt;VLOOKUP($C26,$C$3:$D$15,2,FALSE)*I$21,I27&gt;VLOOKUP($C26,$C$3:$D$15,2,FALSE)*I$21),VLOOKUP($C26,$C$3:$D$15,2,FALSE)*I$21-H28)))</f>
        <v>0</v>
      </c>
      <c r="J26" s="644">
        <f t="shared" ref="J26" si="351" xml:space="preserve">
IF(I28&gt;=VLOOKUP($C26,$C$3:$D$15,2,FALSE)*J$21,0,
IF(AND(I28&lt;VLOOKUP($C26,$C$3:$D$15,2,FALSE)*J$21,J27&lt;=VLOOKUP($C26,$C$3:$D$15,2,FALSE)*J$21),IF(J27-I28&lt;0,0,J27-I28),
IF(AND(I28&lt;VLOOKUP($C26,$C$3:$D$15,2,FALSE)*J$21,J27&gt;VLOOKUP($C26,$C$3:$D$15,2,FALSE)*J$21),VLOOKUP($C26,$C$3:$D$15,2,FALSE)*J$21-I28)))</f>
        <v>0</v>
      </c>
      <c r="K26" s="644">
        <f t="shared" ref="K26" si="352" xml:space="preserve">
IF(J28&gt;=VLOOKUP($C26,$C$3:$D$15,2,FALSE)*K$21,0,
IF(AND(J28&lt;VLOOKUP($C26,$C$3:$D$15,2,FALSE)*K$21,K27&lt;=VLOOKUP($C26,$C$3:$D$15,2,FALSE)*K$21),IF(K27-J28&lt;0,0,K27-J28),
IF(AND(J28&lt;VLOOKUP($C26,$C$3:$D$15,2,FALSE)*K$21,K27&gt;VLOOKUP($C26,$C$3:$D$15,2,FALSE)*K$21),VLOOKUP($C26,$C$3:$D$15,2,FALSE)*K$21-J28)))</f>
        <v>0</v>
      </c>
      <c r="L26" s="644">
        <f t="shared" ref="L26" si="353" xml:space="preserve">
IF(K28&gt;=VLOOKUP($C26,$C$3:$D$15,2,FALSE)*L$21,0,
IF(AND(K28&lt;VLOOKUP($C26,$C$3:$D$15,2,FALSE)*L$21,L27&lt;=VLOOKUP($C26,$C$3:$D$15,2,FALSE)*L$21),IF(L27-K28&lt;0,0,L27-K28),
IF(AND(K28&lt;VLOOKUP($C26,$C$3:$D$15,2,FALSE)*L$21,L27&gt;VLOOKUP($C26,$C$3:$D$15,2,FALSE)*L$21),VLOOKUP($C26,$C$3:$D$15,2,FALSE)*L$21-K28)))</f>
        <v>0</v>
      </c>
      <c r="M26" s="644">
        <f t="shared" ref="M26" si="354" xml:space="preserve">
IF(L28&gt;=VLOOKUP($C26,$C$3:$D$15,2,FALSE)*M$21,0,
IF(AND(L28&lt;VLOOKUP($C26,$C$3:$D$15,2,FALSE)*M$21,M27&lt;=VLOOKUP($C26,$C$3:$D$15,2,FALSE)*M$21),IF(M27-L28&lt;0,0,M27-L28),
IF(AND(L28&lt;VLOOKUP($C26,$C$3:$D$15,2,FALSE)*M$21,M27&gt;VLOOKUP($C26,$C$3:$D$15,2,FALSE)*M$21),VLOOKUP($C26,$C$3:$D$15,2,FALSE)*M$21-L28)))</f>
        <v>0</v>
      </c>
      <c r="N26" s="644">
        <f t="shared" ref="N26" si="355" xml:space="preserve">
IF(M28&gt;=VLOOKUP($C26,$C$3:$D$15,2,FALSE)*N$21,0,
IF(AND(M28&lt;VLOOKUP($C26,$C$3:$D$15,2,FALSE)*N$21,N27&lt;=VLOOKUP($C26,$C$3:$D$15,2,FALSE)*N$21),IF(N27-M28&lt;0,0,N27-M28),
IF(AND(M28&lt;VLOOKUP($C26,$C$3:$D$15,2,FALSE)*N$21,N27&gt;VLOOKUP($C26,$C$3:$D$15,2,FALSE)*N$21),VLOOKUP($C26,$C$3:$D$15,2,FALSE)*N$21-M28)))</f>
        <v>0</v>
      </c>
      <c r="O26" s="644">
        <f t="shared" ref="O26" si="356" xml:space="preserve">
IF(N28&gt;=VLOOKUP($C26,$C$3:$D$15,2,FALSE)*O$21,0,
IF(AND(N28&lt;VLOOKUP($C26,$C$3:$D$15,2,FALSE)*O$21,O27&lt;=VLOOKUP($C26,$C$3:$D$15,2,FALSE)*O$21),IF(O27-N28&lt;0,0,O27-N28),
IF(AND(N28&lt;VLOOKUP($C26,$C$3:$D$15,2,FALSE)*O$21,O27&gt;VLOOKUP($C26,$C$3:$D$15,2,FALSE)*O$21),VLOOKUP($C26,$C$3:$D$15,2,FALSE)*O$21-N28)))</f>
        <v>0</v>
      </c>
      <c r="P26" s="644">
        <f t="shared" ref="P26" si="357" xml:space="preserve">
IF(O28&gt;=VLOOKUP($C26,$C$3:$D$15,2,FALSE)*P$21,0,
IF(AND(O28&lt;VLOOKUP($C26,$C$3:$D$15,2,FALSE)*P$21,P27&lt;=VLOOKUP($C26,$C$3:$D$15,2,FALSE)*P$21),IF(P27-O28&lt;0,0,P27-O28),
IF(AND(O28&lt;VLOOKUP($C26,$C$3:$D$15,2,FALSE)*P$21,P27&gt;VLOOKUP($C26,$C$3:$D$15,2,FALSE)*P$21),VLOOKUP($C26,$C$3:$D$15,2,FALSE)*P$21-O28)))</f>
        <v>0</v>
      </c>
      <c r="Q26" s="644">
        <f t="shared" ref="Q26" si="358" xml:space="preserve">
IF(P28&gt;=VLOOKUP($C26,$C$3:$D$15,2,FALSE)*Q$21,0,
IF(AND(P28&lt;VLOOKUP($C26,$C$3:$D$15,2,FALSE)*Q$21,Q27&lt;=VLOOKUP($C26,$C$3:$D$15,2,FALSE)*Q$21),IF(Q27-P28&lt;0,0,Q27-P28),
IF(AND(P28&lt;VLOOKUP($C26,$C$3:$D$15,2,FALSE)*Q$21,Q27&gt;VLOOKUP($C26,$C$3:$D$15,2,FALSE)*Q$21),VLOOKUP($C26,$C$3:$D$15,2,FALSE)*Q$21-P28)))</f>
        <v>0</v>
      </c>
      <c r="R26" s="644">
        <f t="shared" ref="R26" si="359" xml:space="preserve">
IF(Q28&gt;=VLOOKUP($C26,$C$3:$D$15,2,FALSE)*R$21,0,
IF(AND(Q28&lt;VLOOKUP($C26,$C$3:$D$15,2,FALSE)*R$21,R27&lt;=VLOOKUP($C26,$C$3:$D$15,2,FALSE)*R$21),IF(R27-Q28&lt;0,0,R27-Q28),
IF(AND(Q28&lt;VLOOKUP($C26,$C$3:$D$15,2,FALSE)*R$21,R27&gt;VLOOKUP($C26,$C$3:$D$15,2,FALSE)*R$21),VLOOKUP($C26,$C$3:$D$15,2,FALSE)*R$21-Q28)))</f>
        <v>0</v>
      </c>
      <c r="S26" s="644">
        <f t="shared" ref="S26" si="360" xml:space="preserve">
IF(R28&gt;=VLOOKUP($C26,$C$3:$D$15,2,FALSE)*S$21,0,
IF(AND(R28&lt;VLOOKUP($C26,$C$3:$D$15,2,FALSE)*S$21,S27&lt;=VLOOKUP($C26,$C$3:$D$15,2,FALSE)*S$21),IF(S27-R28&lt;0,0,S27-R28),
IF(AND(R28&lt;VLOOKUP($C26,$C$3:$D$15,2,FALSE)*S$21,S27&gt;VLOOKUP($C26,$C$3:$D$15,2,FALSE)*S$21),VLOOKUP($C26,$C$3:$D$15,2,FALSE)*S$21-R28)))</f>
        <v>0</v>
      </c>
      <c r="T26" s="644">
        <f t="shared" ref="T26" si="361" xml:space="preserve">
IF(S28&gt;=VLOOKUP($C26,$C$3:$D$15,2,FALSE)*T$21,0,
IF(AND(S28&lt;VLOOKUP($C26,$C$3:$D$15,2,FALSE)*T$21,T27&lt;=VLOOKUP($C26,$C$3:$D$15,2,FALSE)*T$21),IF(T27-S28&lt;0,0,T27-S28),
IF(AND(S28&lt;VLOOKUP($C26,$C$3:$D$15,2,FALSE)*T$21,T27&gt;VLOOKUP($C26,$C$3:$D$15,2,FALSE)*T$21),VLOOKUP($C26,$C$3:$D$15,2,FALSE)*T$21-S28)))</f>
        <v>0</v>
      </c>
      <c r="U26" s="644">
        <f t="shared" ref="U26" si="362" xml:space="preserve">
IF(T28&gt;=VLOOKUP($C26,$C$3:$D$15,2,FALSE)*U$21,0,
IF(AND(T28&lt;VLOOKUP($C26,$C$3:$D$15,2,FALSE)*U$21,U27&lt;=VLOOKUP($C26,$C$3:$D$15,2,FALSE)*U$21),IF(U27-T28&lt;0,0,U27-T28),
IF(AND(T28&lt;VLOOKUP($C26,$C$3:$D$15,2,FALSE)*U$21,U27&gt;VLOOKUP($C26,$C$3:$D$15,2,FALSE)*U$21),VLOOKUP($C26,$C$3:$D$15,2,FALSE)*U$21-T28)))</f>
        <v>0</v>
      </c>
      <c r="V26" s="644">
        <f t="shared" ref="V26" si="363" xml:space="preserve">
IF(U28&gt;=VLOOKUP($C26,$C$3:$D$15,2,FALSE)*V$21,0,
IF(AND(U28&lt;VLOOKUP($C26,$C$3:$D$15,2,FALSE)*V$21,V27&lt;=VLOOKUP($C26,$C$3:$D$15,2,FALSE)*V$21),IF(V27-U28&lt;0,0,V27-U28),
IF(AND(U28&lt;VLOOKUP($C26,$C$3:$D$15,2,FALSE)*V$21,V27&gt;VLOOKUP($C26,$C$3:$D$15,2,FALSE)*V$21),VLOOKUP($C26,$C$3:$D$15,2,FALSE)*V$21-U28)))</f>
        <v>0</v>
      </c>
      <c r="W26" s="644">
        <f t="shared" ref="W26" si="364" xml:space="preserve">
IF(V28&gt;=VLOOKUP($C26,$C$3:$D$15,2,FALSE)*W$21,0,
IF(AND(V28&lt;VLOOKUP($C26,$C$3:$D$15,2,FALSE)*W$21,W27&lt;=VLOOKUP($C26,$C$3:$D$15,2,FALSE)*W$21),IF(W27-V28&lt;0,0,W27-V28),
IF(AND(V28&lt;VLOOKUP($C26,$C$3:$D$15,2,FALSE)*W$21,W27&gt;VLOOKUP($C26,$C$3:$D$15,2,FALSE)*W$21),VLOOKUP($C26,$C$3:$D$15,2,FALSE)*W$21-V28)))</f>
        <v>0</v>
      </c>
      <c r="X26" s="644">
        <f t="shared" ref="X26" si="365" xml:space="preserve">
IF(W28&gt;=VLOOKUP($C26,$C$3:$D$15,2,FALSE)*X$21,0,
IF(AND(W28&lt;VLOOKUP($C26,$C$3:$D$15,2,FALSE)*X$21,X27&lt;=VLOOKUP($C26,$C$3:$D$15,2,FALSE)*X$21),IF(X27-W28&lt;0,0,X27-W28),
IF(AND(W28&lt;VLOOKUP($C26,$C$3:$D$15,2,FALSE)*X$21,X27&gt;VLOOKUP($C26,$C$3:$D$15,2,FALSE)*X$21),VLOOKUP($C26,$C$3:$D$15,2,FALSE)*X$21-W28)))</f>
        <v>0</v>
      </c>
      <c r="Y26" s="644">
        <f t="shared" ref="Y26" si="366" xml:space="preserve">
IF(X28&gt;=VLOOKUP($C26,$C$3:$D$15,2,FALSE)*Y$21,0,
IF(AND(X28&lt;VLOOKUP($C26,$C$3:$D$15,2,FALSE)*Y$21,Y27&lt;=VLOOKUP($C26,$C$3:$D$15,2,FALSE)*Y$21),IF(Y27-X28&lt;0,0,Y27-X28),
IF(AND(X28&lt;VLOOKUP($C26,$C$3:$D$15,2,FALSE)*Y$21,Y27&gt;VLOOKUP($C26,$C$3:$D$15,2,FALSE)*Y$21),VLOOKUP($C26,$C$3:$D$15,2,FALSE)*Y$21-X28)))</f>
        <v>0</v>
      </c>
      <c r="Z26" s="644">
        <f t="shared" ref="Z26" si="367" xml:space="preserve">
IF(Y28&gt;=VLOOKUP($C26,$C$3:$D$15,2,FALSE)*Z$21,0,
IF(AND(Y28&lt;VLOOKUP($C26,$C$3:$D$15,2,FALSE)*Z$21,Z27&lt;=VLOOKUP($C26,$C$3:$D$15,2,FALSE)*Z$21),IF(Z27-Y28&lt;0,0,Z27-Y28),
IF(AND(Y28&lt;VLOOKUP($C26,$C$3:$D$15,2,FALSE)*Z$21,Z27&gt;VLOOKUP($C26,$C$3:$D$15,2,FALSE)*Z$21),VLOOKUP($C26,$C$3:$D$15,2,FALSE)*Z$21-Y28)))</f>
        <v>0</v>
      </c>
      <c r="AA26" s="644">
        <f t="shared" ref="AA26" si="368" xml:space="preserve">
IF(Z28&gt;=VLOOKUP($C26,$C$3:$D$15,2,FALSE)*AA$21,0,
IF(AND(Z28&lt;VLOOKUP($C26,$C$3:$D$15,2,FALSE)*AA$21,AA27&lt;=VLOOKUP($C26,$C$3:$D$15,2,FALSE)*AA$21),IF(AA27-Z28&lt;0,0,AA27-Z28),
IF(AND(Z28&lt;VLOOKUP($C26,$C$3:$D$15,2,FALSE)*AA$21,AA27&gt;VLOOKUP($C26,$C$3:$D$15,2,FALSE)*AA$21),VLOOKUP($C26,$C$3:$D$15,2,FALSE)*AA$21-Z28)))</f>
        <v>0</v>
      </c>
      <c r="AB26" s="644">
        <f t="shared" ref="AB26" si="369" xml:space="preserve">
IF(AA28&gt;=VLOOKUP($C26,$C$3:$D$15,2,FALSE)*AB$21,0,
IF(AND(AA28&lt;VLOOKUP($C26,$C$3:$D$15,2,FALSE)*AB$21,AB27&lt;=VLOOKUP($C26,$C$3:$D$15,2,FALSE)*AB$21),IF(AB27-AA28&lt;0,0,AB27-AA28),
IF(AND(AA28&lt;VLOOKUP($C26,$C$3:$D$15,2,FALSE)*AB$21,AB27&gt;VLOOKUP($C26,$C$3:$D$15,2,FALSE)*AB$21),VLOOKUP($C26,$C$3:$D$15,2,FALSE)*AB$21-AA28)))</f>
        <v>0</v>
      </c>
      <c r="AC26" s="644">
        <f t="shared" ref="AC26" si="370" xml:space="preserve">
IF(AB28&gt;=VLOOKUP($C26,$C$3:$D$15,2,FALSE)*AC$21,0,
IF(AND(AB28&lt;VLOOKUP($C26,$C$3:$D$15,2,FALSE)*AC$21,AC27&lt;=VLOOKUP($C26,$C$3:$D$15,2,FALSE)*AC$21),IF(AC27-AB28&lt;0,0,AC27-AB28),
IF(AND(AB28&lt;VLOOKUP($C26,$C$3:$D$15,2,FALSE)*AC$21,AC27&gt;VLOOKUP($C26,$C$3:$D$15,2,FALSE)*AC$21),VLOOKUP($C26,$C$3:$D$15,2,FALSE)*AC$21-AB28)))</f>
        <v>0</v>
      </c>
      <c r="AD26" s="644">
        <f t="shared" ref="AD26" si="371" xml:space="preserve">
IF(AC28&gt;=VLOOKUP($C26,$C$3:$D$15,2,FALSE)*AD$21,0,
IF(AND(AC28&lt;VLOOKUP($C26,$C$3:$D$15,2,FALSE)*AD$21,AD27&lt;=VLOOKUP($C26,$C$3:$D$15,2,FALSE)*AD$21),IF(AD27-AC28&lt;0,0,AD27-AC28),
IF(AND(AC28&lt;VLOOKUP($C26,$C$3:$D$15,2,FALSE)*AD$21,AD27&gt;VLOOKUP($C26,$C$3:$D$15,2,FALSE)*AD$21),VLOOKUP($C26,$C$3:$D$15,2,FALSE)*AD$21-AC28)))</f>
        <v>0</v>
      </c>
      <c r="AE26" s="644">
        <f t="shared" ref="AE26" si="372" xml:space="preserve">
IF(AD28&gt;=VLOOKUP($C26,$C$3:$D$15,2,FALSE)*AE$21,0,
IF(AND(AD28&lt;VLOOKUP($C26,$C$3:$D$15,2,FALSE)*AE$21,AE27&lt;=VLOOKUP($C26,$C$3:$D$15,2,FALSE)*AE$21),IF(AE27-AD28&lt;0,0,AE27-AD28),
IF(AND(AD28&lt;VLOOKUP($C26,$C$3:$D$15,2,FALSE)*AE$21,AE27&gt;VLOOKUP($C26,$C$3:$D$15,2,FALSE)*AE$21),VLOOKUP($C26,$C$3:$D$15,2,FALSE)*AE$21-AD28)))</f>
        <v>0</v>
      </c>
      <c r="AF26" s="644">
        <f t="shared" ref="AF26" si="373" xml:space="preserve">
IF(AE28&gt;=VLOOKUP($C26,$C$3:$D$15,2,FALSE)*AF$21,0,
IF(AND(AE28&lt;VLOOKUP($C26,$C$3:$D$15,2,FALSE)*AF$21,AF27&lt;=VLOOKUP($C26,$C$3:$D$15,2,FALSE)*AF$21),IF(AF27-AE28&lt;0,0,AF27-AE28),
IF(AND(AE28&lt;VLOOKUP($C26,$C$3:$D$15,2,FALSE)*AF$21,AF27&gt;VLOOKUP($C26,$C$3:$D$15,2,FALSE)*AF$21),VLOOKUP($C26,$C$3:$D$15,2,FALSE)*AF$21-AE28)))</f>
        <v>0</v>
      </c>
      <c r="AG26" s="644">
        <f t="shared" ref="AG26" si="374" xml:space="preserve">
IF(AF28&gt;=VLOOKUP($C26,$C$3:$D$15,2,FALSE)*AG$21,0,
IF(AND(AF28&lt;VLOOKUP($C26,$C$3:$D$15,2,FALSE)*AG$21,AG27&lt;=VLOOKUP($C26,$C$3:$D$15,2,FALSE)*AG$21),IF(AG27-AF28&lt;0,0,AG27-AF28),
IF(AND(AF28&lt;VLOOKUP($C26,$C$3:$D$15,2,FALSE)*AG$21,AG27&gt;VLOOKUP($C26,$C$3:$D$15,2,FALSE)*AG$21),VLOOKUP($C26,$C$3:$D$15,2,FALSE)*AG$21-AF28)))</f>
        <v>0</v>
      </c>
      <c r="AH26" s="644">
        <f t="shared" ref="AH26" si="375" xml:space="preserve">
IF(AG28&gt;=VLOOKUP($C26,$C$3:$D$15,2,FALSE)*AH$21,0,
IF(AND(AG28&lt;VLOOKUP($C26,$C$3:$D$15,2,FALSE)*AH$21,AH27&lt;=VLOOKUP($C26,$C$3:$D$15,2,FALSE)*AH$21),IF(AH27-AG28&lt;0,0,AH27-AG28),
IF(AND(AG28&lt;VLOOKUP($C26,$C$3:$D$15,2,FALSE)*AH$21,AH27&gt;VLOOKUP($C26,$C$3:$D$15,2,FALSE)*AH$21),VLOOKUP($C26,$C$3:$D$15,2,FALSE)*AH$21-AG28)))</f>
        <v>0</v>
      </c>
      <c r="AI26" s="644">
        <f t="shared" ref="AI26" si="376" xml:space="preserve">
IF(AH28&gt;=VLOOKUP($C26,$C$3:$D$15,2,FALSE)*AI$21,0,
IF(AND(AH28&lt;VLOOKUP($C26,$C$3:$D$15,2,FALSE)*AI$21,AI27&lt;=VLOOKUP($C26,$C$3:$D$15,2,FALSE)*AI$21),IF(AI27-AH28&lt;0,0,AI27-AH28),
IF(AND(AH28&lt;VLOOKUP($C26,$C$3:$D$15,2,FALSE)*AI$21,AI27&gt;VLOOKUP($C26,$C$3:$D$15,2,FALSE)*AI$21),VLOOKUP($C26,$C$3:$D$15,2,FALSE)*AI$21-AH28)))</f>
        <v>0</v>
      </c>
      <c r="AJ26" s="644">
        <f t="shared" ref="AJ26" si="377" xml:space="preserve">
IF(AI28&gt;=VLOOKUP($C26,$C$3:$D$15,2,FALSE)*AJ$21,0,
IF(AND(AI28&lt;VLOOKUP($C26,$C$3:$D$15,2,FALSE)*AJ$21,AJ27&lt;=VLOOKUP($C26,$C$3:$D$15,2,FALSE)*AJ$21),IF(AJ27-AI28&lt;0,0,AJ27-AI28),
IF(AND(AI28&lt;VLOOKUP($C26,$C$3:$D$15,2,FALSE)*AJ$21,AJ27&gt;VLOOKUP($C26,$C$3:$D$15,2,FALSE)*AJ$21),VLOOKUP($C26,$C$3:$D$15,2,FALSE)*AJ$21-AI28)))</f>
        <v>0</v>
      </c>
      <c r="AK26" s="644">
        <f t="shared" ref="AK26" si="378" xml:space="preserve">
IF(AJ28&gt;=VLOOKUP($C26,$C$3:$D$15,2,FALSE)*AK$21,0,
IF(AND(AJ28&lt;VLOOKUP($C26,$C$3:$D$15,2,FALSE)*AK$21,AK27&lt;=VLOOKUP($C26,$C$3:$D$15,2,FALSE)*AK$21),IF(AK27-AJ28&lt;0,0,AK27-AJ28),
IF(AND(AJ28&lt;VLOOKUP($C26,$C$3:$D$15,2,FALSE)*AK$21,AK27&gt;VLOOKUP($C26,$C$3:$D$15,2,FALSE)*AK$21),VLOOKUP($C26,$C$3:$D$15,2,FALSE)*AK$21-AJ28)))</f>
        <v>0</v>
      </c>
      <c r="AL26" s="644">
        <f t="shared" ref="AL26" si="379" xml:space="preserve">
IF(AK28&gt;=VLOOKUP($C26,$C$3:$D$15,2,FALSE)*AL$21,0,
IF(AND(AK28&lt;VLOOKUP($C26,$C$3:$D$15,2,FALSE)*AL$21,AL27&lt;=VLOOKUP($C26,$C$3:$D$15,2,FALSE)*AL$21),IF(AL27-AK28&lt;0,0,AL27-AK28),
IF(AND(AK28&lt;VLOOKUP($C26,$C$3:$D$15,2,FALSE)*AL$21,AL27&gt;VLOOKUP($C26,$C$3:$D$15,2,FALSE)*AL$21),VLOOKUP($C26,$C$3:$D$15,2,FALSE)*AL$21-AK28)))</f>
        <v>0</v>
      </c>
      <c r="AM26" s="644">
        <f t="shared" ref="AM26" si="380" xml:space="preserve">
IF(AL28&gt;=VLOOKUP($C26,$C$3:$D$15,2,FALSE)*AM$21,0,
IF(AND(AL28&lt;VLOOKUP($C26,$C$3:$D$15,2,FALSE)*AM$21,AM27&lt;=VLOOKUP($C26,$C$3:$D$15,2,FALSE)*AM$21),IF(AM27-AL28&lt;0,0,AM27-AL28),
IF(AND(AL28&lt;VLOOKUP($C26,$C$3:$D$15,2,FALSE)*AM$21,AM27&gt;VLOOKUP($C26,$C$3:$D$15,2,FALSE)*AM$21),VLOOKUP($C26,$C$3:$D$15,2,FALSE)*AM$21-AL28)))</f>
        <v>0</v>
      </c>
      <c r="AN26" s="644">
        <f t="shared" ref="AN26" si="381" xml:space="preserve">
IF(AM28&gt;=VLOOKUP($C26,$C$3:$D$15,2,FALSE)*AN$21,0,
IF(AND(AM28&lt;VLOOKUP($C26,$C$3:$D$15,2,FALSE)*AN$21,AN27&lt;=VLOOKUP($C26,$C$3:$D$15,2,FALSE)*AN$21),IF(AN27-AM28&lt;0,0,AN27-AM28),
IF(AND(AM28&lt;VLOOKUP($C26,$C$3:$D$15,2,FALSE)*AN$21,AN27&gt;VLOOKUP($C26,$C$3:$D$15,2,FALSE)*AN$21),VLOOKUP($C26,$C$3:$D$15,2,FALSE)*AN$21-AM28)))</f>
        <v>0</v>
      </c>
      <c r="AO26" s="644">
        <f t="shared" ref="AO26" si="382" xml:space="preserve">
IF(AN28&gt;=VLOOKUP($C26,$C$3:$D$15,2,FALSE)*AO$21,0,
IF(AND(AN28&lt;VLOOKUP($C26,$C$3:$D$15,2,FALSE)*AO$21,AO27&lt;=VLOOKUP($C26,$C$3:$D$15,2,FALSE)*AO$21),IF(AO27-AN28&lt;0,0,AO27-AN28),
IF(AND(AN28&lt;VLOOKUP($C26,$C$3:$D$15,2,FALSE)*AO$21,AO27&gt;VLOOKUP($C26,$C$3:$D$15,2,FALSE)*AO$21),VLOOKUP($C26,$C$3:$D$15,2,FALSE)*AO$21-AN28)))</f>
        <v>0</v>
      </c>
      <c r="AP26" s="644">
        <f t="shared" ref="AP26" si="383" xml:space="preserve">
IF(AO28&gt;=VLOOKUP($C26,$C$3:$D$15,2,FALSE)*AP$21,0,
IF(AND(AO28&lt;VLOOKUP($C26,$C$3:$D$15,2,FALSE)*AP$21,AP27&lt;=VLOOKUP($C26,$C$3:$D$15,2,FALSE)*AP$21),IF(AP27-AO28&lt;0,0,AP27-AO28),
IF(AND(AO28&lt;VLOOKUP($C26,$C$3:$D$15,2,FALSE)*AP$21,AP27&gt;VLOOKUP($C26,$C$3:$D$15,2,FALSE)*AP$21),VLOOKUP($C26,$C$3:$D$15,2,FALSE)*AP$21-AO28)))</f>
        <v>0</v>
      </c>
      <c r="AQ26" s="644">
        <f t="shared" ref="AQ26" si="384" xml:space="preserve">
IF(AP28&gt;=VLOOKUP($C26,$C$3:$D$15,2,FALSE)*AQ$21,0,
IF(AND(AP28&lt;VLOOKUP($C26,$C$3:$D$15,2,FALSE)*AQ$21,AQ27&lt;=VLOOKUP($C26,$C$3:$D$15,2,FALSE)*AQ$21),IF(AQ27-AP28&lt;0,0,AQ27-AP28),
IF(AND(AP28&lt;VLOOKUP($C26,$C$3:$D$15,2,FALSE)*AQ$21,AQ27&gt;VLOOKUP($C26,$C$3:$D$15,2,FALSE)*AQ$21),VLOOKUP($C26,$C$3:$D$15,2,FALSE)*AQ$21-AP28)))</f>
        <v>0</v>
      </c>
      <c r="AR26" s="644">
        <f t="shared" ref="AR26" si="385" xml:space="preserve">
IF(AQ28&gt;=VLOOKUP($C26,$C$3:$D$15,2,FALSE)*AR$21,0,
IF(AND(AQ28&lt;VLOOKUP($C26,$C$3:$D$15,2,FALSE)*AR$21,AR27&lt;=VLOOKUP($C26,$C$3:$D$15,2,FALSE)*AR$21),IF(AR27-AQ28&lt;0,0,AR27-AQ28),
IF(AND(AQ28&lt;VLOOKUP($C26,$C$3:$D$15,2,FALSE)*AR$21,AR27&gt;VLOOKUP($C26,$C$3:$D$15,2,FALSE)*AR$21),VLOOKUP($C26,$C$3:$D$15,2,FALSE)*AR$21-AQ28)))</f>
        <v>0</v>
      </c>
      <c r="AS26" s="644">
        <f t="shared" ref="AS26" si="386" xml:space="preserve">
IF(AR28&gt;=VLOOKUP($C26,$C$3:$D$15,2,FALSE)*AS$21,0,
IF(AND(AR28&lt;VLOOKUP($C26,$C$3:$D$15,2,FALSE)*AS$21,AS27&lt;=VLOOKUP($C26,$C$3:$D$15,2,FALSE)*AS$21),IF(AS27-AR28&lt;0,0,AS27-AR28),
IF(AND(AR28&lt;VLOOKUP($C26,$C$3:$D$15,2,FALSE)*AS$21,AS27&gt;VLOOKUP($C26,$C$3:$D$15,2,FALSE)*AS$21),VLOOKUP($C26,$C$3:$D$15,2,FALSE)*AS$21-AR28)))</f>
        <v>0</v>
      </c>
      <c r="AT26" s="644">
        <f t="shared" ref="AT26" si="387" xml:space="preserve">
IF(AS28&gt;=VLOOKUP($C26,$C$3:$D$15,2,FALSE)*AT$21,0,
IF(AND(AS28&lt;VLOOKUP($C26,$C$3:$D$15,2,FALSE)*AT$21,AT27&lt;=VLOOKUP($C26,$C$3:$D$15,2,FALSE)*AT$21),IF(AT27-AS28&lt;0,0,AT27-AS28),
IF(AND(AS28&lt;VLOOKUP($C26,$C$3:$D$15,2,FALSE)*AT$21,AT27&gt;VLOOKUP($C26,$C$3:$D$15,2,FALSE)*AT$21),VLOOKUP($C26,$C$3:$D$15,2,FALSE)*AT$21-AS28)))</f>
        <v>0</v>
      </c>
      <c r="AU26" s="644">
        <f t="shared" ref="AU26" si="388" xml:space="preserve">
IF(AT28&gt;=VLOOKUP($C26,$C$3:$D$15,2,FALSE)*AU$21,0,
IF(AND(AT28&lt;VLOOKUP($C26,$C$3:$D$15,2,FALSE)*AU$21,AU27&lt;=VLOOKUP($C26,$C$3:$D$15,2,FALSE)*AU$21),IF(AU27-AT28&lt;0,0,AU27-AT28),
IF(AND(AT28&lt;VLOOKUP($C26,$C$3:$D$15,2,FALSE)*AU$21,AU27&gt;VLOOKUP($C26,$C$3:$D$15,2,FALSE)*AU$21),VLOOKUP($C26,$C$3:$D$15,2,FALSE)*AU$21-AT28)))</f>
        <v>0</v>
      </c>
      <c r="AV26" s="644">
        <f t="shared" ref="AV26" si="389" xml:space="preserve">
IF(AU28&gt;=VLOOKUP($C26,$C$3:$D$15,2,FALSE)*AV$21,0,
IF(AND(AU28&lt;VLOOKUP($C26,$C$3:$D$15,2,FALSE)*AV$21,AV27&lt;=VLOOKUP($C26,$C$3:$D$15,2,FALSE)*AV$21),IF(AV27-AU28&lt;0,0,AV27-AU28),
IF(AND(AU28&lt;VLOOKUP($C26,$C$3:$D$15,2,FALSE)*AV$21,AV27&gt;VLOOKUP($C26,$C$3:$D$15,2,FALSE)*AV$21),VLOOKUP($C26,$C$3:$D$15,2,FALSE)*AV$21-AU28)))</f>
        <v>0</v>
      </c>
      <c r="AW26" s="644">
        <f t="shared" ref="AW26" si="390" xml:space="preserve">
IF(AV28&gt;=VLOOKUP($C26,$C$3:$D$15,2,FALSE)*AW$21,0,
IF(AND(AV28&lt;VLOOKUP($C26,$C$3:$D$15,2,FALSE)*AW$21,AW27&lt;=VLOOKUP($C26,$C$3:$D$15,2,FALSE)*AW$21),IF(AW27-AV28&lt;0,0,AW27-AV28),
IF(AND(AV28&lt;VLOOKUP($C26,$C$3:$D$15,2,FALSE)*AW$21,AW27&gt;VLOOKUP($C26,$C$3:$D$15,2,FALSE)*AW$21),VLOOKUP($C26,$C$3:$D$15,2,FALSE)*AW$21-AV28)))</f>
        <v>0</v>
      </c>
      <c r="AX26" s="644">
        <f t="shared" ref="AX26" si="391" xml:space="preserve">
IF(AW28&gt;=VLOOKUP($C26,$C$3:$D$15,2,FALSE)*AX$21,0,
IF(AND(AW28&lt;VLOOKUP($C26,$C$3:$D$15,2,FALSE)*AX$21,AX27&lt;=VLOOKUP($C26,$C$3:$D$15,2,FALSE)*AX$21),IF(AX27-AW28&lt;0,0,AX27-AW28),
IF(AND(AW28&lt;VLOOKUP($C26,$C$3:$D$15,2,FALSE)*AX$21,AX27&gt;VLOOKUP($C26,$C$3:$D$15,2,FALSE)*AX$21),VLOOKUP($C26,$C$3:$D$15,2,FALSE)*AX$21-AW28)))</f>
        <v>0</v>
      </c>
      <c r="AY26" s="644">
        <f t="shared" ref="AY26" si="392" xml:space="preserve">
IF(AX28&gt;=VLOOKUP($C26,$C$3:$D$15,2,FALSE)*AY$21,0,
IF(AND(AX28&lt;VLOOKUP($C26,$C$3:$D$15,2,FALSE)*AY$21,AY27&lt;=VLOOKUP($C26,$C$3:$D$15,2,FALSE)*AY$21),IF(AY27-AX28&lt;0,0,AY27-AX28),
IF(AND(AX28&lt;VLOOKUP($C26,$C$3:$D$15,2,FALSE)*AY$21,AY27&gt;VLOOKUP($C26,$C$3:$D$15,2,FALSE)*AY$21),VLOOKUP($C26,$C$3:$D$15,2,FALSE)*AY$21-AX28)))</f>
        <v>0</v>
      </c>
      <c r="AZ26" s="644">
        <f t="shared" ref="AZ26" si="393" xml:space="preserve">
IF(AY28&gt;=VLOOKUP($C26,$C$3:$D$15,2,FALSE)*AZ$21,0,
IF(AND(AY28&lt;VLOOKUP($C26,$C$3:$D$15,2,FALSE)*AZ$21,AZ27&lt;=VLOOKUP($C26,$C$3:$D$15,2,FALSE)*AZ$21),IF(AZ27-AY28&lt;0,0,AZ27-AY28),
IF(AND(AY28&lt;VLOOKUP($C26,$C$3:$D$15,2,FALSE)*AZ$21,AZ27&gt;VLOOKUP($C26,$C$3:$D$15,2,FALSE)*AZ$21),VLOOKUP($C26,$C$3:$D$15,2,FALSE)*AZ$21-AY28)))</f>
        <v>0</v>
      </c>
      <c r="BA26" s="644">
        <f t="shared" ref="BA26" si="394" xml:space="preserve">
IF(AZ28&gt;=VLOOKUP($C26,$C$3:$D$15,2,FALSE)*BA$21,0,
IF(AND(AZ28&lt;VLOOKUP($C26,$C$3:$D$15,2,FALSE)*BA$21,BA27&lt;=VLOOKUP($C26,$C$3:$D$15,2,FALSE)*BA$21),IF(BA27-AZ28&lt;0,0,BA27-AZ28),
IF(AND(AZ28&lt;VLOOKUP($C26,$C$3:$D$15,2,FALSE)*BA$21,BA27&gt;VLOOKUP($C26,$C$3:$D$15,2,FALSE)*BA$21),VLOOKUP($C26,$C$3:$D$15,2,FALSE)*BA$21-AZ28)))</f>
        <v>0</v>
      </c>
      <c r="BB26" s="644">
        <f t="shared" ref="BB26" si="395" xml:space="preserve">
IF(BA28&gt;=VLOOKUP($C26,$C$3:$D$15,2,FALSE)*BB$21,0,
IF(AND(BA28&lt;VLOOKUP($C26,$C$3:$D$15,2,FALSE)*BB$21,BB27&lt;=VLOOKUP($C26,$C$3:$D$15,2,FALSE)*BB$21),IF(BB27-BA28&lt;0,0,BB27-BA28),
IF(AND(BA28&lt;VLOOKUP($C26,$C$3:$D$15,2,FALSE)*BB$21,BB27&gt;VLOOKUP($C26,$C$3:$D$15,2,FALSE)*BB$21),VLOOKUP($C26,$C$3:$D$15,2,FALSE)*BB$21-BA28)))</f>
        <v>0</v>
      </c>
      <c r="BC26" s="644">
        <f t="shared" ref="BC26" si="396" xml:space="preserve">
IF(BB28&gt;=VLOOKUP($C26,$C$3:$D$15,2,FALSE)*BC$21,0,
IF(AND(BB28&lt;VLOOKUP($C26,$C$3:$D$15,2,FALSE)*BC$21,BC27&lt;=VLOOKUP($C26,$C$3:$D$15,2,FALSE)*BC$21),IF(BC27-BB28&lt;0,0,BC27-BB28),
IF(AND(BB28&lt;VLOOKUP($C26,$C$3:$D$15,2,FALSE)*BC$21,BC27&gt;VLOOKUP($C26,$C$3:$D$15,2,FALSE)*BC$21),VLOOKUP($C26,$C$3:$D$15,2,FALSE)*BC$21-BB28)))</f>
        <v>0</v>
      </c>
      <c r="BD26" s="644">
        <f t="shared" ref="BD26" si="397" xml:space="preserve">
IF(BC28&gt;=VLOOKUP($C26,$C$3:$D$15,2,FALSE)*BD$21,0,
IF(AND(BC28&lt;VLOOKUP($C26,$C$3:$D$15,2,FALSE)*BD$21,BD27&lt;=VLOOKUP($C26,$C$3:$D$15,2,FALSE)*BD$21),IF(BD27-BC28&lt;0,0,BD27-BC28),
IF(AND(BC28&lt;VLOOKUP($C26,$C$3:$D$15,2,FALSE)*BD$21,BD27&gt;VLOOKUP($C26,$C$3:$D$15,2,FALSE)*BD$21),VLOOKUP($C26,$C$3:$D$15,2,FALSE)*BD$21-BC28)))</f>
        <v>0</v>
      </c>
      <c r="BE26" s="644">
        <f t="shared" ref="BE26" si="398" xml:space="preserve">
IF(BD28&gt;=VLOOKUP($C26,$C$3:$D$15,2,FALSE)*BE$21,0,
IF(AND(BD28&lt;VLOOKUP($C26,$C$3:$D$15,2,FALSE)*BE$21,BE27&lt;=VLOOKUP($C26,$C$3:$D$15,2,FALSE)*BE$21),IF(BE27-BD28&lt;0,0,BE27-BD28),
IF(AND(BD28&lt;VLOOKUP($C26,$C$3:$D$15,2,FALSE)*BE$21,BE27&gt;VLOOKUP($C26,$C$3:$D$15,2,FALSE)*BE$21),VLOOKUP($C26,$C$3:$D$15,2,FALSE)*BE$21-BD28)))</f>
        <v>0</v>
      </c>
      <c r="BF26" s="644">
        <f t="shared" ref="BF26" si="399" xml:space="preserve">
IF(BE28&gt;=VLOOKUP($C26,$C$3:$D$15,2,FALSE)*BF$21,0,
IF(AND(BE28&lt;VLOOKUP($C26,$C$3:$D$15,2,FALSE)*BF$21,BF27&lt;=VLOOKUP($C26,$C$3:$D$15,2,FALSE)*BF$21),IF(BF27-BE28&lt;0,0,BF27-BE28),
IF(AND(BE28&lt;VLOOKUP($C26,$C$3:$D$15,2,FALSE)*BF$21,BF27&gt;VLOOKUP($C26,$C$3:$D$15,2,FALSE)*BF$21),VLOOKUP($C26,$C$3:$D$15,2,FALSE)*BF$21-BE28)))</f>
        <v>0</v>
      </c>
      <c r="BG26" s="644">
        <f t="shared" ref="BG26" si="400" xml:space="preserve">
IF(BF28&gt;=VLOOKUP($C26,$C$3:$D$15,2,FALSE)*BG$21,0,
IF(AND(BF28&lt;VLOOKUP($C26,$C$3:$D$15,2,FALSE)*BG$21,BG27&lt;=VLOOKUP($C26,$C$3:$D$15,2,FALSE)*BG$21),IF(BG27-BF28&lt;0,0,BG27-BF28),
IF(AND(BF28&lt;VLOOKUP($C26,$C$3:$D$15,2,FALSE)*BG$21,BG27&gt;VLOOKUP($C26,$C$3:$D$15,2,FALSE)*BG$21),VLOOKUP($C26,$C$3:$D$15,2,FALSE)*BG$21-BF28)))</f>
        <v>0</v>
      </c>
      <c r="BH26" s="644">
        <f t="shared" ref="BH26" si="401" xml:space="preserve">
IF(BG28&gt;=VLOOKUP($C26,$C$3:$D$15,2,FALSE)*BH$21,0,
IF(AND(BG28&lt;VLOOKUP($C26,$C$3:$D$15,2,FALSE)*BH$21,BH27&lt;=VLOOKUP($C26,$C$3:$D$15,2,FALSE)*BH$21),IF(BH27-BG28&lt;0,0,BH27-BG28),
IF(AND(BG28&lt;VLOOKUP($C26,$C$3:$D$15,2,FALSE)*BH$21,BH27&gt;VLOOKUP($C26,$C$3:$D$15,2,FALSE)*BH$21),VLOOKUP($C26,$C$3:$D$15,2,FALSE)*BH$21-BG28)))</f>
        <v>0</v>
      </c>
      <c r="BI26" s="644">
        <f t="shared" ref="BI26" si="402" xml:space="preserve">
IF(BH28&gt;=VLOOKUP($C26,$C$3:$D$15,2,FALSE)*BI$21,0,
IF(AND(BH28&lt;VLOOKUP($C26,$C$3:$D$15,2,FALSE)*BI$21,BI27&lt;=VLOOKUP($C26,$C$3:$D$15,2,FALSE)*BI$21),IF(BI27-BH28&lt;0,0,BI27-BH28),
IF(AND(BH28&lt;VLOOKUP($C26,$C$3:$D$15,2,FALSE)*BI$21,BI27&gt;VLOOKUP($C26,$C$3:$D$15,2,FALSE)*BI$21),VLOOKUP($C26,$C$3:$D$15,2,FALSE)*BI$21-BH28)))</f>
        <v>0</v>
      </c>
      <c r="BJ26" s="644">
        <f t="shared" ref="BJ26" si="403" xml:space="preserve">
IF(BI28&gt;=VLOOKUP($C26,$C$3:$D$15,2,FALSE)*BJ$21,0,
IF(AND(BI28&lt;VLOOKUP($C26,$C$3:$D$15,2,FALSE)*BJ$21,BJ27&lt;=VLOOKUP($C26,$C$3:$D$15,2,FALSE)*BJ$21),IF(BJ27-BI28&lt;0,0,BJ27-BI28),
IF(AND(BI28&lt;VLOOKUP($C26,$C$3:$D$15,2,FALSE)*BJ$21,BJ27&gt;VLOOKUP($C26,$C$3:$D$15,2,FALSE)*BJ$21),VLOOKUP($C26,$C$3:$D$15,2,FALSE)*BJ$21-BI28)))</f>
        <v>0</v>
      </c>
      <c r="BK26" s="644">
        <f t="shared" ref="BK26" si="404" xml:space="preserve">
IF(BJ28&gt;=VLOOKUP($C26,$C$3:$D$15,2,FALSE)*BK$21,0,
IF(AND(BJ28&lt;VLOOKUP($C26,$C$3:$D$15,2,FALSE)*BK$21,BK27&lt;=VLOOKUP($C26,$C$3:$D$15,2,FALSE)*BK$21),IF(BK27-BJ28&lt;0,0,BK27-BJ28),
IF(AND(BJ28&lt;VLOOKUP($C26,$C$3:$D$15,2,FALSE)*BK$21,BK27&gt;VLOOKUP($C26,$C$3:$D$15,2,FALSE)*BK$21),VLOOKUP($C26,$C$3:$D$15,2,FALSE)*BK$21-BJ28)))</f>
        <v>0</v>
      </c>
      <c r="BL26" s="644">
        <f t="shared" ref="BL26" si="405" xml:space="preserve">
IF(BK28&gt;=VLOOKUP($C26,$C$3:$D$15,2,FALSE)*BL$21,0,
IF(AND(BK28&lt;VLOOKUP($C26,$C$3:$D$15,2,FALSE)*BL$21,BL27&lt;=VLOOKUP($C26,$C$3:$D$15,2,FALSE)*BL$21),IF(BL27-BK28&lt;0,0,BL27-BK28),
IF(AND(BK28&lt;VLOOKUP($C26,$C$3:$D$15,2,FALSE)*BL$21,BL27&gt;VLOOKUP($C26,$C$3:$D$15,2,FALSE)*BL$21),VLOOKUP($C26,$C$3:$D$15,2,FALSE)*BL$21-BK28)))</f>
        <v>0</v>
      </c>
      <c r="BM26" s="644">
        <f t="shared" ref="BM26" si="406" xml:space="preserve">
IF(BL28&gt;=VLOOKUP($C26,$C$3:$D$15,2,FALSE)*BM$21,0,
IF(AND(BL28&lt;VLOOKUP($C26,$C$3:$D$15,2,FALSE)*BM$21,BM27&lt;=VLOOKUP($C26,$C$3:$D$15,2,FALSE)*BM$21),IF(BM27-BL28&lt;0,0,BM27-BL28),
IF(AND(BL28&lt;VLOOKUP($C26,$C$3:$D$15,2,FALSE)*BM$21,BM27&gt;VLOOKUP($C26,$C$3:$D$15,2,FALSE)*BM$21),VLOOKUP($C26,$C$3:$D$15,2,FALSE)*BM$21-BL28)))</f>
        <v>0</v>
      </c>
      <c r="BN26" s="644">
        <f t="shared" ref="BN26" si="407" xml:space="preserve">
IF(BM28&gt;=VLOOKUP($C26,$C$3:$D$15,2,FALSE)*BN$21,0,
IF(AND(BM28&lt;VLOOKUP($C26,$C$3:$D$15,2,FALSE)*BN$21,BN27&lt;=VLOOKUP($C26,$C$3:$D$15,2,FALSE)*BN$21),IF(BN27-BM28&lt;0,0,BN27-BM28),
IF(AND(BM28&lt;VLOOKUP($C26,$C$3:$D$15,2,FALSE)*BN$21,BN27&gt;VLOOKUP($C26,$C$3:$D$15,2,FALSE)*BN$21),VLOOKUP($C26,$C$3:$D$15,2,FALSE)*BN$21-BM28)))</f>
        <v>0</v>
      </c>
      <c r="BO26" s="644">
        <f t="shared" ref="BO26" si="408" xml:space="preserve">
IF(BN28&gt;=VLOOKUP($C26,$C$3:$D$15,2,FALSE)*BO$21,0,
IF(AND(BN28&lt;VLOOKUP($C26,$C$3:$D$15,2,FALSE)*BO$21,BO27&lt;=VLOOKUP($C26,$C$3:$D$15,2,FALSE)*BO$21),IF(BO27-BN28&lt;0,0,BO27-BN28),
IF(AND(BN28&lt;VLOOKUP($C26,$C$3:$D$15,2,FALSE)*BO$21,BO27&gt;VLOOKUP($C26,$C$3:$D$15,2,FALSE)*BO$21),VLOOKUP($C26,$C$3:$D$15,2,FALSE)*BO$21-BN28)))</f>
        <v>0</v>
      </c>
      <c r="BP26" s="644">
        <f t="shared" ref="BP26" si="409" xml:space="preserve">
IF(BO28&gt;=VLOOKUP($C26,$C$3:$D$15,2,FALSE)*BP$21,0,
IF(AND(BO28&lt;VLOOKUP($C26,$C$3:$D$15,2,FALSE)*BP$21,BP27&lt;=VLOOKUP($C26,$C$3:$D$15,2,FALSE)*BP$21),IF(BP27-BO28&lt;0,0,BP27-BO28),
IF(AND(BO28&lt;VLOOKUP($C26,$C$3:$D$15,2,FALSE)*BP$21,BP27&gt;VLOOKUP($C26,$C$3:$D$15,2,FALSE)*BP$21),VLOOKUP($C26,$C$3:$D$15,2,FALSE)*BP$21-BO28)))</f>
        <v>0</v>
      </c>
      <c r="BQ26" s="644">
        <f t="shared" ref="BQ26" si="410" xml:space="preserve">
IF(BP28&gt;=VLOOKUP($C26,$C$3:$D$15,2,FALSE)*BQ$21,0,
IF(AND(BP28&lt;VLOOKUP($C26,$C$3:$D$15,2,FALSE)*BQ$21,BQ27&lt;=VLOOKUP($C26,$C$3:$D$15,2,FALSE)*BQ$21),IF(BQ27-BP28&lt;0,0,BQ27-BP28),
IF(AND(BP28&lt;VLOOKUP($C26,$C$3:$D$15,2,FALSE)*BQ$21,BQ27&gt;VLOOKUP($C26,$C$3:$D$15,2,FALSE)*BQ$21),VLOOKUP($C26,$C$3:$D$15,2,FALSE)*BQ$21-BP28)))</f>
        <v>0</v>
      </c>
      <c r="BR26" s="644">
        <f t="shared" ref="BR26" si="411" xml:space="preserve">
IF(BQ28&gt;=VLOOKUP($C26,$C$3:$D$15,2,FALSE)*BR$21,0,
IF(AND(BQ28&lt;VLOOKUP($C26,$C$3:$D$15,2,FALSE)*BR$21,BR27&lt;=VLOOKUP($C26,$C$3:$D$15,2,FALSE)*BR$21),IF(BR27-BQ28&lt;0,0,BR27-BQ28),
IF(AND(BQ28&lt;VLOOKUP($C26,$C$3:$D$15,2,FALSE)*BR$21,BR27&gt;VLOOKUP($C26,$C$3:$D$15,2,FALSE)*BR$21),VLOOKUP($C26,$C$3:$D$15,2,FALSE)*BR$21-BQ28)))</f>
        <v>0</v>
      </c>
      <c r="BS26" s="644">
        <f t="shared" ref="BS26" si="412" xml:space="preserve">
IF(BR28&gt;=VLOOKUP($C26,$C$3:$D$15,2,FALSE)*BS$21,0,
IF(AND(BR28&lt;VLOOKUP($C26,$C$3:$D$15,2,FALSE)*BS$21,BS27&lt;=VLOOKUP($C26,$C$3:$D$15,2,FALSE)*BS$21),IF(BS27-BR28&lt;0,0,BS27-BR28),
IF(AND(BR28&lt;VLOOKUP($C26,$C$3:$D$15,2,FALSE)*BS$21,BS27&gt;VLOOKUP($C26,$C$3:$D$15,2,FALSE)*BS$21),VLOOKUP($C26,$C$3:$D$15,2,FALSE)*BS$21-BR28)))</f>
        <v>0</v>
      </c>
      <c r="BT26" s="644">
        <f t="shared" ref="BT26" si="413" xml:space="preserve">
IF(BS28&gt;=VLOOKUP($C26,$C$3:$D$15,2,FALSE)*BT$21,0,
IF(AND(BS28&lt;VLOOKUP($C26,$C$3:$D$15,2,FALSE)*BT$21,BT27&lt;=VLOOKUP($C26,$C$3:$D$15,2,FALSE)*BT$21),IF(BT27-BS28&lt;0,0,BT27-BS28),
IF(AND(BS28&lt;VLOOKUP($C26,$C$3:$D$15,2,FALSE)*BT$21,BT27&gt;VLOOKUP($C26,$C$3:$D$15,2,FALSE)*BT$21),VLOOKUP($C26,$C$3:$D$15,2,FALSE)*BT$21-BS28)))</f>
        <v>0</v>
      </c>
      <c r="BU26" s="644">
        <f t="shared" ref="BU26" si="414" xml:space="preserve">
IF(BT28&gt;=VLOOKUP($C26,$C$3:$D$15,2,FALSE)*BU$21,0,
IF(AND(BT28&lt;VLOOKUP($C26,$C$3:$D$15,2,FALSE)*BU$21,BU27&lt;=VLOOKUP($C26,$C$3:$D$15,2,FALSE)*BU$21),IF(BU27-BT28&lt;0,0,BU27-BT28),
IF(AND(BT28&lt;VLOOKUP($C26,$C$3:$D$15,2,FALSE)*BU$21,BU27&gt;VLOOKUP($C26,$C$3:$D$15,2,FALSE)*BU$21),VLOOKUP($C26,$C$3:$D$15,2,FALSE)*BU$21-BT28)))</f>
        <v>0</v>
      </c>
      <c r="BV26" s="644">
        <f t="shared" ref="BV26" si="415" xml:space="preserve">
IF(BU28&gt;=VLOOKUP($C26,$C$3:$D$15,2,FALSE)*BV$21,0,
IF(AND(BU28&lt;VLOOKUP($C26,$C$3:$D$15,2,FALSE)*BV$21,BV27&lt;=VLOOKUP($C26,$C$3:$D$15,2,FALSE)*BV$21),IF(BV27-BU28&lt;0,0,BV27-BU28),
IF(AND(BU28&lt;VLOOKUP($C26,$C$3:$D$15,2,FALSE)*BV$21,BV27&gt;VLOOKUP($C26,$C$3:$D$15,2,FALSE)*BV$21),VLOOKUP($C26,$C$3:$D$15,2,FALSE)*BV$21-BU28)))</f>
        <v>0</v>
      </c>
      <c r="BW26" s="644">
        <f t="shared" ref="BW26" si="416" xml:space="preserve">
IF(BV28&gt;=VLOOKUP($C26,$C$3:$D$15,2,FALSE)*BW$21,0,
IF(AND(BV28&lt;VLOOKUP($C26,$C$3:$D$15,2,FALSE)*BW$21,BW27&lt;=VLOOKUP($C26,$C$3:$D$15,2,FALSE)*BW$21),IF(BW27-BV28&lt;0,0,BW27-BV28),
IF(AND(BV28&lt;VLOOKUP($C26,$C$3:$D$15,2,FALSE)*BW$21,BW27&gt;VLOOKUP($C26,$C$3:$D$15,2,FALSE)*BW$21),VLOOKUP($C26,$C$3:$D$15,2,FALSE)*BW$21-BV28)))</f>
        <v>0</v>
      </c>
      <c r="BX26" s="644">
        <f t="shared" ref="BX26" si="417" xml:space="preserve">
IF(BW28&gt;=VLOOKUP($C26,$C$3:$D$15,2,FALSE)*BX$21,0,
IF(AND(BW28&lt;VLOOKUP($C26,$C$3:$D$15,2,FALSE)*BX$21,BX27&lt;=VLOOKUP($C26,$C$3:$D$15,2,FALSE)*BX$21),IF(BX27-BW28&lt;0,0,BX27-BW28),
IF(AND(BW28&lt;VLOOKUP($C26,$C$3:$D$15,2,FALSE)*BX$21,BX27&gt;VLOOKUP($C26,$C$3:$D$15,2,FALSE)*BX$21),VLOOKUP($C26,$C$3:$D$15,2,FALSE)*BX$21-BW28)))</f>
        <v>0</v>
      </c>
      <c r="BY26" s="644">
        <f t="shared" ref="BY26" si="418" xml:space="preserve">
IF(BX28&gt;=VLOOKUP($C26,$C$3:$D$15,2,FALSE)*BY$21,0,
IF(AND(BX28&lt;VLOOKUP($C26,$C$3:$D$15,2,FALSE)*BY$21,BY27&lt;=VLOOKUP($C26,$C$3:$D$15,2,FALSE)*BY$21),IF(BY27-BX28&lt;0,0,BY27-BX28),
IF(AND(BX28&lt;VLOOKUP($C26,$C$3:$D$15,2,FALSE)*BY$21,BY27&gt;VLOOKUP($C26,$C$3:$D$15,2,FALSE)*BY$21),VLOOKUP($C26,$C$3:$D$15,2,FALSE)*BY$21-BX28)))</f>
        <v>0</v>
      </c>
      <c r="BZ26" s="644">
        <f t="shared" ref="BZ26" si="419" xml:space="preserve">
IF(BY28&gt;=VLOOKUP($C26,$C$3:$D$15,2,FALSE)*BZ$21,0,
IF(AND(BY28&lt;VLOOKUP($C26,$C$3:$D$15,2,FALSE)*BZ$21,BZ27&lt;=VLOOKUP($C26,$C$3:$D$15,2,FALSE)*BZ$21),IF(BZ27-BY28&lt;0,0,BZ27-BY28),
IF(AND(BY28&lt;VLOOKUP($C26,$C$3:$D$15,2,FALSE)*BZ$21,BZ27&gt;VLOOKUP($C26,$C$3:$D$15,2,FALSE)*BZ$21),VLOOKUP($C26,$C$3:$D$15,2,FALSE)*BZ$21-BY28)))</f>
        <v>0</v>
      </c>
      <c r="CA26" s="644">
        <f t="shared" ref="CA26" si="420" xml:space="preserve">
IF(BZ28&gt;=VLOOKUP($C26,$C$3:$D$15,2,FALSE)*CA$21,0,
IF(AND(BZ28&lt;VLOOKUP($C26,$C$3:$D$15,2,FALSE)*CA$21,CA27&lt;=VLOOKUP($C26,$C$3:$D$15,2,FALSE)*CA$21),IF(CA27-BZ28&lt;0,0,CA27-BZ28),
IF(AND(BZ28&lt;VLOOKUP($C26,$C$3:$D$15,2,FALSE)*CA$21,CA27&gt;VLOOKUP($C26,$C$3:$D$15,2,FALSE)*CA$21),VLOOKUP($C26,$C$3:$D$15,2,FALSE)*CA$21-BZ28)))</f>
        <v>0</v>
      </c>
      <c r="CB26" s="644">
        <f t="shared" ref="CB26" si="421" xml:space="preserve">
IF(CA28&gt;=VLOOKUP($C26,$C$3:$D$15,2,FALSE)*CB$21,0,
IF(AND(CA28&lt;VLOOKUP($C26,$C$3:$D$15,2,FALSE)*CB$21,CB27&lt;=VLOOKUP($C26,$C$3:$D$15,2,FALSE)*CB$21),IF(CB27-CA28&lt;0,0,CB27-CA28),
IF(AND(CA28&lt;VLOOKUP($C26,$C$3:$D$15,2,FALSE)*CB$21,CB27&gt;VLOOKUP($C26,$C$3:$D$15,2,FALSE)*CB$21),VLOOKUP($C26,$C$3:$D$15,2,FALSE)*CB$21-CA28)))</f>
        <v>0</v>
      </c>
      <c r="CC26" s="644">
        <f t="shared" ref="CC26" si="422" xml:space="preserve">
IF(CB28&gt;=VLOOKUP($C26,$C$3:$D$15,2,FALSE)*CC$21,0,
IF(AND(CB28&lt;VLOOKUP($C26,$C$3:$D$15,2,FALSE)*CC$21,CC27&lt;=VLOOKUP($C26,$C$3:$D$15,2,FALSE)*CC$21),IF(CC27-CB28&lt;0,0,CC27-CB28),
IF(AND(CB28&lt;VLOOKUP($C26,$C$3:$D$15,2,FALSE)*CC$21,CC27&gt;VLOOKUP($C26,$C$3:$D$15,2,FALSE)*CC$21),VLOOKUP($C26,$C$3:$D$15,2,FALSE)*CC$21-CB28)))</f>
        <v>0</v>
      </c>
      <c r="CD26" s="644">
        <f t="shared" ref="CD26" si="423" xml:space="preserve">
IF(CC28&gt;=VLOOKUP($C26,$C$3:$D$15,2,FALSE)*CD$21,0,
IF(AND(CC28&lt;VLOOKUP($C26,$C$3:$D$15,2,FALSE)*CD$21,CD27&lt;=VLOOKUP($C26,$C$3:$D$15,2,FALSE)*CD$21),IF(CD27-CC28&lt;0,0,CD27-CC28),
IF(AND(CC28&lt;VLOOKUP($C26,$C$3:$D$15,2,FALSE)*CD$21,CD27&gt;VLOOKUP($C26,$C$3:$D$15,2,FALSE)*CD$21),VLOOKUP($C26,$C$3:$D$15,2,FALSE)*CD$21-CC28)))</f>
        <v>0</v>
      </c>
      <c r="CE26" s="644">
        <f t="shared" ref="CE26" si="424" xml:space="preserve">
IF(CD28&gt;=VLOOKUP($C26,$C$3:$D$15,2,FALSE)*CE$21,0,
IF(AND(CD28&lt;VLOOKUP($C26,$C$3:$D$15,2,FALSE)*CE$21,CE27&lt;=VLOOKUP($C26,$C$3:$D$15,2,FALSE)*CE$21),IF(CE27-CD28&lt;0,0,CE27-CD28),
IF(AND(CD28&lt;VLOOKUP($C26,$C$3:$D$15,2,FALSE)*CE$21,CE27&gt;VLOOKUP($C26,$C$3:$D$15,2,FALSE)*CE$21),VLOOKUP($C26,$C$3:$D$15,2,FALSE)*CE$21-CD28)))</f>
        <v>0</v>
      </c>
      <c r="CF26" s="644">
        <f t="shared" ref="CF26" si="425" xml:space="preserve">
IF(CE28&gt;=VLOOKUP($C26,$C$3:$D$15,2,FALSE)*CF$21,0,
IF(AND(CE28&lt;VLOOKUP($C26,$C$3:$D$15,2,FALSE)*CF$21,CF27&lt;=VLOOKUP($C26,$C$3:$D$15,2,FALSE)*CF$21),IF(CF27-CE28&lt;0,0,CF27-CE28),
IF(AND(CE28&lt;VLOOKUP($C26,$C$3:$D$15,2,FALSE)*CF$21,CF27&gt;VLOOKUP($C26,$C$3:$D$15,2,FALSE)*CF$21),VLOOKUP($C26,$C$3:$D$15,2,FALSE)*CF$21-CE28)))</f>
        <v>0</v>
      </c>
      <c r="CG26" s="644">
        <f t="shared" ref="CG26" si="426" xml:space="preserve">
IF(CF28&gt;=VLOOKUP($C26,$C$3:$D$15,2,FALSE)*CG$21,0,
IF(AND(CF28&lt;VLOOKUP($C26,$C$3:$D$15,2,FALSE)*CG$21,CG27&lt;=VLOOKUP($C26,$C$3:$D$15,2,FALSE)*CG$21),IF(CG27-CF28&lt;0,0,CG27-CF28),
IF(AND(CF28&lt;VLOOKUP($C26,$C$3:$D$15,2,FALSE)*CG$21,CG27&gt;VLOOKUP($C26,$C$3:$D$15,2,FALSE)*CG$21),VLOOKUP($C26,$C$3:$D$15,2,FALSE)*CG$21-CF28)))</f>
        <v>0</v>
      </c>
      <c r="CH26" s="644">
        <f t="shared" ref="CH26" si="427" xml:space="preserve">
IF(CG28&gt;=VLOOKUP($C26,$C$3:$D$15,2,FALSE)*CH$21,0,
IF(AND(CG28&lt;VLOOKUP($C26,$C$3:$D$15,2,FALSE)*CH$21,CH27&lt;=VLOOKUP($C26,$C$3:$D$15,2,FALSE)*CH$21),IF(CH27-CG28&lt;0,0,CH27-CG28),
IF(AND(CG28&lt;VLOOKUP($C26,$C$3:$D$15,2,FALSE)*CH$21,CH27&gt;VLOOKUP($C26,$C$3:$D$15,2,FALSE)*CH$21),VLOOKUP($C26,$C$3:$D$15,2,FALSE)*CH$21-CG28)))</f>
        <v>0</v>
      </c>
      <c r="CI26" s="644">
        <f t="shared" ref="CI26" si="428" xml:space="preserve">
IF(CH28&gt;=VLOOKUP($C26,$C$3:$D$15,2,FALSE)*CI$21,0,
IF(AND(CH28&lt;VLOOKUP($C26,$C$3:$D$15,2,FALSE)*CI$21,CI27&lt;=VLOOKUP($C26,$C$3:$D$15,2,FALSE)*CI$21),IF(CI27-CH28&lt;0,0,CI27-CH28),
IF(AND(CH28&lt;VLOOKUP($C26,$C$3:$D$15,2,FALSE)*CI$21,CI27&gt;VLOOKUP($C26,$C$3:$D$15,2,FALSE)*CI$21),VLOOKUP($C26,$C$3:$D$15,2,FALSE)*CI$21-CH28)))</f>
        <v>0</v>
      </c>
      <c r="CJ26" s="644">
        <f t="shared" ref="CJ26" si="429" xml:space="preserve">
IF(CI28&gt;=VLOOKUP($C26,$C$3:$D$15,2,FALSE)*CJ$21,0,
IF(AND(CI28&lt;VLOOKUP($C26,$C$3:$D$15,2,FALSE)*CJ$21,CJ27&lt;=VLOOKUP($C26,$C$3:$D$15,2,FALSE)*CJ$21),IF(CJ27-CI28&lt;0,0,CJ27-CI28),
IF(AND(CI28&lt;VLOOKUP($C26,$C$3:$D$15,2,FALSE)*CJ$21,CJ27&gt;VLOOKUP($C26,$C$3:$D$15,2,FALSE)*CJ$21),VLOOKUP($C26,$C$3:$D$15,2,FALSE)*CJ$21-CI28)))</f>
        <v>0</v>
      </c>
      <c r="CK26" s="644">
        <f t="shared" ref="CK26" si="430" xml:space="preserve">
IF(CJ28&gt;=VLOOKUP($C26,$C$3:$D$15,2,FALSE)*CK$21,0,
IF(AND(CJ28&lt;VLOOKUP($C26,$C$3:$D$15,2,FALSE)*CK$21,CK27&lt;=VLOOKUP($C26,$C$3:$D$15,2,FALSE)*CK$21),IF(CK27-CJ28&lt;0,0,CK27-CJ28),
IF(AND(CJ28&lt;VLOOKUP($C26,$C$3:$D$15,2,FALSE)*CK$21,CK27&gt;VLOOKUP($C26,$C$3:$D$15,2,FALSE)*CK$21),VLOOKUP($C26,$C$3:$D$15,2,FALSE)*CK$21-CJ28)))</f>
        <v>0</v>
      </c>
      <c r="CL26" s="644">
        <f t="shared" ref="CL26" si="431" xml:space="preserve">
IF(CK28&gt;=VLOOKUP($C26,$C$3:$D$15,2,FALSE)*CL$21,0,
IF(AND(CK28&lt;VLOOKUP($C26,$C$3:$D$15,2,FALSE)*CL$21,CL27&lt;=VLOOKUP($C26,$C$3:$D$15,2,FALSE)*CL$21),IF(CL27-CK28&lt;0,0,CL27-CK28),
IF(AND(CK28&lt;VLOOKUP($C26,$C$3:$D$15,2,FALSE)*CL$21,CL27&gt;VLOOKUP($C26,$C$3:$D$15,2,FALSE)*CL$21),VLOOKUP($C26,$C$3:$D$15,2,FALSE)*CL$21-CK28)))</f>
        <v>0</v>
      </c>
      <c r="CM26" s="644">
        <f t="shared" ref="CM26" si="432" xml:space="preserve">
IF(CL28&gt;=VLOOKUP($C26,$C$3:$D$15,2,FALSE)*CM$21,0,
IF(AND(CL28&lt;VLOOKUP($C26,$C$3:$D$15,2,FALSE)*CM$21,CM27&lt;=VLOOKUP($C26,$C$3:$D$15,2,FALSE)*CM$21),IF(CM27-CL28&lt;0,0,CM27-CL28),
IF(AND(CL28&lt;VLOOKUP($C26,$C$3:$D$15,2,FALSE)*CM$21,CM27&gt;VLOOKUP($C26,$C$3:$D$15,2,FALSE)*CM$21),VLOOKUP($C26,$C$3:$D$15,2,FALSE)*CM$21-CL28)))</f>
        <v>0</v>
      </c>
      <c r="CN26" s="644">
        <f t="shared" ref="CN26" si="433" xml:space="preserve">
IF(CM28&gt;=VLOOKUP($C26,$C$3:$D$15,2,FALSE)*CN$21,0,
IF(AND(CM28&lt;VLOOKUP($C26,$C$3:$D$15,2,FALSE)*CN$21,CN27&lt;=VLOOKUP($C26,$C$3:$D$15,2,FALSE)*CN$21),IF(CN27-CM28&lt;0,0,CN27-CM28),
IF(AND(CM28&lt;VLOOKUP($C26,$C$3:$D$15,2,FALSE)*CN$21,CN27&gt;VLOOKUP($C26,$C$3:$D$15,2,FALSE)*CN$21),VLOOKUP($C26,$C$3:$D$15,2,FALSE)*CN$21-CM28)))</f>
        <v>0</v>
      </c>
      <c r="CO26" s="644">
        <f t="shared" ref="CO26" si="434" xml:space="preserve">
IF(CN28&gt;=VLOOKUP($C26,$C$3:$D$15,2,FALSE)*CO$21,0,
IF(AND(CN28&lt;VLOOKUP($C26,$C$3:$D$15,2,FALSE)*CO$21,CO27&lt;=VLOOKUP($C26,$C$3:$D$15,2,FALSE)*CO$21),IF(CO27-CN28&lt;0,0,CO27-CN28),
IF(AND(CN28&lt;VLOOKUP($C26,$C$3:$D$15,2,FALSE)*CO$21,CO27&gt;VLOOKUP($C26,$C$3:$D$15,2,FALSE)*CO$21),VLOOKUP($C26,$C$3:$D$15,2,FALSE)*CO$21-CN28)))</f>
        <v>0</v>
      </c>
      <c r="CP26" s="644">
        <f t="shared" ref="CP26" si="435" xml:space="preserve">
IF(CO28&gt;=VLOOKUP($C26,$C$3:$D$15,2,FALSE)*CP$21,0,
IF(AND(CO28&lt;VLOOKUP($C26,$C$3:$D$15,2,FALSE)*CP$21,CP27&lt;=VLOOKUP($C26,$C$3:$D$15,2,FALSE)*CP$21),IF(CP27-CO28&lt;0,0,CP27-CO28),
IF(AND(CO28&lt;VLOOKUP($C26,$C$3:$D$15,2,FALSE)*CP$21,CP27&gt;VLOOKUP($C26,$C$3:$D$15,2,FALSE)*CP$21),VLOOKUP($C26,$C$3:$D$15,2,FALSE)*CP$21-CO28)))</f>
        <v>0</v>
      </c>
      <c r="CQ26" s="644">
        <f t="shared" ref="CQ26" si="436" xml:space="preserve">
IF(CP28&gt;=VLOOKUP($C26,$C$3:$D$15,2,FALSE)*CQ$21,0,
IF(AND(CP28&lt;VLOOKUP($C26,$C$3:$D$15,2,FALSE)*CQ$21,CQ27&lt;=VLOOKUP($C26,$C$3:$D$15,2,FALSE)*CQ$21),IF(CQ27-CP28&lt;0,0,CQ27-CP28),
IF(AND(CP28&lt;VLOOKUP($C26,$C$3:$D$15,2,FALSE)*CQ$21,CQ27&gt;VLOOKUP($C26,$C$3:$D$15,2,FALSE)*CQ$21),VLOOKUP($C26,$C$3:$D$15,2,FALSE)*CQ$21-CP28)))</f>
        <v>0</v>
      </c>
      <c r="CR26" s="644">
        <f t="shared" ref="CR26" si="437" xml:space="preserve">
IF(CQ28&gt;=VLOOKUP($C26,$C$3:$D$15,2,FALSE)*CR$21,0,
IF(AND(CQ28&lt;VLOOKUP($C26,$C$3:$D$15,2,FALSE)*CR$21,CR27&lt;=VLOOKUP($C26,$C$3:$D$15,2,FALSE)*CR$21),IF(CR27-CQ28&lt;0,0,CR27-CQ28),
IF(AND(CQ28&lt;VLOOKUP($C26,$C$3:$D$15,2,FALSE)*CR$21,CR27&gt;VLOOKUP($C26,$C$3:$D$15,2,FALSE)*CR$21),VLOOKUP($C26,$C$3:$D$15,2,FALSE)*CR$21-CQ28)))</f>
        <v>0</v>
      </c>
      <c r="CS26" s="644">
        <f t="shared" ref="CS26" si="438" xml:space="preserve">
IF(CR28&gt;=VLOOKUP($C26,$C$3:$D$15,2,FALSE)*CS$21,0,
IF(AND(CR28&lt;VLOOKUP($C26,$C$3:$D$15,2,FALSE)*CS$21,CS27&lt;=VLOOKUP($C26,$C$3:$D$15,2,FALSE)*CS$21),IF(CS27-CR28&lt;0,0,CS27-CR28),
IF(AND(CR28&lt;VLOOKUP($C26,$C$3:$D$15,2,FALSE)*CS$21,CS27&gt;VLOOKUP($C26,$C$3:$D$15,2,FALSE)*CS$21),VLOOKUP($C26,$C$3:$D$15,2,FALSE)*CS$21-CR28)))</f>
        <v>0</v>
      </c>
      <c r="CT26" s="644">
        <f t="shared" ref="CT26" si="439" xml:space="preserve">
IF(CS28&gt;=VLOOKUP($C26,$C$3:$D$15,2,FALSE)*CT$21,0,
IF(AND(CS28&lt;VLOOKUP($C26,$C$3:$D$15,2,FALSE)*CT$21,CT27&lt;=VLOOKUP($C26,$C$3:$D$15,2,FALSE)*CT$21),IF(CT27-CS28&lt;0,0,CT27-CS28),
IF(AND(CS28&lt;VLOOKUP($C26,$C$3:$D$15,2,FALSE)*CT$21,CT27&gt;VLOOKUP($C26,$C$3:$D$15,2,FALSE)*CT$21),VLOOKUP($C26,$C$3:$D$15,2,FALSE)*CT$21-CS28)))</f>
        <v>0</v>
      </c>
      <c r="CU26" s="644">
        <f t="shared" ref="CU26" si="440" xml:space="preserve">
IF(CT28&gt;=VLOOKUP($C26,$C$3:$D$15,2,FALSE)*CU$21,0,
IF(AND(CT28&lt;VLOOKUP($C26,$C$3:$D$15,2,FALSE)*CU$21,CU27&lt;=VLOOKUP($C26,$C$3:$D$15,2,FALSE)*CU$21),IF(CU27-CT28&lt;0,0,CU27-CT28),
IF(AND(CT28&lt;VLOOKUP($C26,$C$3:$D$15,2,FALSE)*CU$21,CU27&gt;VLOOKUP($C26,$C$3:$D$15,2,FALSE)*CU$21),VLOOKUP($C26,$C$3:$D$15,2,FALSE)*CU$21-CT28)))</f>
        <v>0</v>
      </c>
      <c r="CV26" s="644">
        <f t="shared" ref="CV26" si="441" xml:space="preserve">
IF(CU28&gt;=VLOOKUP($C26,$C$3:$D$15,2,FALSE)*CV$21,0,
IF(AND(CU28&lt;VLOOKUP($C26,$C$3:$D$15,2,FALSE)*CV$21,CV27&lt;=VLOOKUP($C26,$C$3:$D$15,2,FALSE)*CV$21),IF(CV27-CU28&lt;0,0,CV27-CU28),
IF(AND(CU28&lt;VLOOKUP($C26,$C$3:$D$15,2,FALSE)*CV$21,CV27&gt;VLOOKUP($C26,$C$3:$D$15,2,FALSE)*CV$21),VLOOKUP($C26,$C$3:$D$15,2,FALSE)*CV$21-CU28)))</f>
        <v>0</v>
      </c>
      <c r="CW26" s="644">
        <f t="shared" ref="CW26" si="442" xml:space="preserve">
IF(CV28&gt;=VLOOKUP($C26,$C$3:$D$15,2,FALSE)*CW$21,0,
IF(AND(CV28&lt;VLOOKUP($C26,$C$3:$D$15,2,FALSE)*CW$21,CW27&lt;=VLOOKUP($C26,$C$3:$D$15,2,FALSE)*CW$21),IF(CW27-CV28&lt;0,0,CW27-CV28),
IF(AND(CV28&lt;VLOOKUP($C26,$C$3:$D$15,2,FALSE)*CW$21,CW27&gt;VLOOKUP($C26,$C$3:$D$15,2,FALSE)*CW$21),VLOOKUP($C26,$C$3:$D$15,2,FALSE)*CW$21-CV28)))</f>
        <v>0</v>
      </c>
      <c r="CX26" s="644">
        <f t="shared" ref="CX26" si="443" xml:space="preserve">
IF(CW28&gt;=VLOOKUP($C26,$C$3:$D$15,2,FALSE)*CX$21,0,
IF(AND(CW28&lt;VLOOKUP($C26,$C$3:$D$15,2,FALSE)*CX$21,CX27&lt;=VLOOKUP($C26,$C$3:$D$15,2,FALSE)*CX$21),IF(CX27-CW28&lt;0,0,CX27-CW28),
IF(AND(CW28&lt;VLOOKUP($C26,$C$3:$D$15,2,FALSE)*CX$21,CX27&gt;VLOOKUP($C26,$C$3:$D$15,2,FALSE)*CX$21),VLOOKUP($C26,$C$3:$D$15,2,FALSE)*CX$21-CW28)))</f>
        <v>0</v>
      </c>
      <c r="CY26" s="644">
        <f t="shared" ref="CY26" si="444" xml:space="preserve">
IF(CX28&gt;=VLOOKUP($C26,$C$3:$D$15,2,FALSE)*CY$21,0,
IF(AND(CX28&lt;VLOOKUP($C26,$C$3:$D$15,2,FALSE)*CY$21,CY27&lt;=VLOOKUP($C26,$C$3:$D$15,2,FALSE)*CY$21),IF(CY27-CX28&lt;0,0,CY27-CX28),
IF(AND(CX28&lt;VLOOKUP($C26,$C$3:$D$15,2,FALSE)*CY$21,CY27&gt;VLOOKUP($C26,$C$3:$D$15,2,FALSE)*CY$21),VLOOKUP($C26,$C$3:$D$15,2,FALSE)*CY$21-CX28)))</f>
        <v>0</v>
      </c>
      <c r="CZ26" s="644">
        <f t="shared" ref="CZ26" si="445" xml:space="preserve">
IF(CY28&gt;=VLOOKUP($C26,$C$3:$D$15,2,FALSE)*CZ$21,0,
IF(AND(CY28&lt;VLOOKUP($C26,$C$3:$D$15,2,FALSE)*CZ$21,CZ27&lt;=VLOOKUP($C26,$C$3:$D$15,2,FALSE)*CZ$21),IF(CZ27-CY28&lt;0,0,CZ27-CY28),
IF(AND(CY28&lt;VLOOKUP($C26,$C$3:$D$15,2,FALSE)*CZ$21,CZ27&gt;VLOOKUP($C26,$C$3:$D$15,2,FALSE)*CZ$21),VLOOKUP($C26,$C$3:$D$15,2,FALSE)*CZ$21-CY28)))</f>
        <v>0</v>
      </c>
      <c r="DA26" s="644">
        <f t="shared" ref="DA26" si="446" xml:space="preserve">
IF(CZ28&gt;=VLOOKUP($C26,$C$3:$D$15,2,FALSE)*DA$21,0,
IF(AND(CZ28&lt;VLOOKUP($C26,$C$3:$D$15,2,FALSE)*DA$21,DA27&lt;=VLOOKUP($C26,$C$3:$D$15,2,FALSE)*DA$21),IF(DA27-CZ28&lt;0,0,DA27-CZ28),
IF(AND(CZ28&lt;VLOOKUP($C26,$C$3:$D$15,2,FALSE)*DA$21,DA27&gt;VLOOKUP($C26,$C$3:$D$15,2,FALSE)*DA$21),VLOOKUP($C26,$C$3:$D$15,2,FALSE)*DA$21-CZ28)))</f>
        <v>0</v>
      </c>
      <c r="DB26" s="644">
        <f t="shared" ref="DB26" si="447" xml:space="preserve">
IF(DA28&gt;=VLOOKUP($C26,$C$3:$D$15,2,FALSE)*DB$21,0,
IF(AND(DA28&lt;VLOOKUP($C26,$C$3:$D$15,2,FALSE)*DB$21,DB27&lt;=VLOOKUP($C26,$C$3:$D$15,2,FALSE)*DB$21),IF(DB27-DA28&lt;0,0,DB27-DA28),
IF(AND(DA28&lt;VLOOKUP($C26,$C$3:$D$15,2,FALSE)*DB$21,DB27&gt;VLOOKUP($C26,$C$3:$D$15,2,FALSE)*DB$21),VLOOKUP($C26,$C$3:$D$15,2,FALSE)*DB$21-DA28)))</f>
        <v>0</v>
      </c>
      <c r="DC26" s="644">
        <f t="shared" ref="DC26" si="448" xml:space="preserve">
IF(DB28&gt;=VLOOKUP($C26,$C$3:$D$15,2,FALSE)*DC$21,0,
IF(AND(DB28&lt;VLOOKUP($C26,$C$3:$D$15,2,FALSE)*DC$21,DC27&lt;=VLOOKUP($C26,$C$3:$D$15,2,FALSE)*DC$21),IF(DC27-DB28&lt;0,0,DC27-DB28),
IF(AND(DB28&lt;VLOOKUP($C26,$C$3:$D$15,2,FALSE)*DC$21,DC27&gt;VLOOKUP($C26,$C$3:$D$15,2,FALSE)*DC$21),VLOOKUP($C26,$C$3:$D$15,2,FALSE)*DC$21-DB28)))</f>
        <v>0</v>
      </c>
      <c r="DD26" s="644">
        <f t="shared" ref="DD26" si="449" xml:space="preserve">
IF(DC28&gt;=VLOOKUP($C26,$C$3:$D$15,2,FALSE)*DD$21,0,
IF(AND(DC28&lt;VLOOKUP($C26,$C$3:$D$15,2,FALSE)*DD$21,DD27&lt;=VLOOKUP($C26,$C$3:$D$15,2,FALSE)*DD$21),IF(DD27-DC28&lt;0,0,DD27-DC28),
IF(AND(DC28&lt;VLOOKUP($C26,$C$3:$D$15,2,FALSE)*DD$21,DD27&gt;VLOOKUP($C26,$C$3:$D$15,2,FALSE)*DD$21),VLOOKUP($C26,$C$3:$D$15,2,FALSE)*DD$21-DC28)))</f>
        <v>0</v>
      </c>
      <c r="DE26" s="644">
        <f t="shared" ref="DE26" si="450" xml:space="preserve">
IF(DD28&gt;=VLOOKUP($C26,$C$3:$D$15,2,FALSE)*DE$21,0,
IF(AND(DD28&lt;VLOOKUP($C26,$C$3:$D$15,2,FALSE)*DE$21,DE27&lt;=VLOOKUP($C26,$C$3:$D$15,2,FALSE)*DE$21),IF(DE27-DD28&lt;0,0,DE27-DD28),
IF(AND(DD28&lt;VLOOKUP($C26,$C$3:$D$15,2,FALSE)*DE$21,DE27&gt;VLOOKUP($C26,$C$3:$D$15,2,FALSE)*DE$21),VLOOKUP($C26,$C$3:$D$15,2,FALSE)*DE$21-DD28)))</f>
        <v>0</v>
      </c>
      <c r="DF26" s="644">
        <f t="shared" ref="DF26" si="451" xml:space="preserve">
IF(DE28&gt;=VLOOKUP($C26,$C$3:$D$15,2,FALSE)*DF$21,0,
IF(AND(DE28&lt;VLOOKUP($C26,$C$3:$D$15,2,FALSE)*DF$21,DF27&lt;=VLOOKUP($C26,$C$3:$D$15,2,FALSE)*DF$21),IF(DF27-DE28&lt;0,0,DF27-DE28),
IF(AND(DE28&lt;VLOOKUP($C26,$C$3:$D$15,2,FALSE)*DF$21,DF27&gt;VLOOKUP($C26,$C$3:$D$15,2,FALSE)*DF$21),VLOOKUP($C26,$C$3:$D$15,2,FALSE)*DF$21-DE28)))</f>
        <v>0</v>
      </c>
      <c r="DG26" s="644">
        <f t="shared" ref="DG26" si="452" xml:space="preserve">
IF(DF28&gt;=VLOOKUP($C26,$C$3:$D$15,2,FALSE)*DG$21,0,
IF(AND(DF28&lt;VLOOKUP($C26,$C$3:$D$15,2,FALSE)*DG$21,DG27&lt;=VLOOKUP($C26,$C$3:$D$15,2,FALSE)*DG$21),IF(DG27-DF28&lt;0,0,DG27-DF28),
IF(AND(DF28&lt;VLOOKUP($C26,$C$3:$D$15,2,FALSE)*DG$21,DG27&gt;VLOOKUP($C26,$C$3:$D$15,2,FALSE)*DG$21),VLOOKUP($C26,$C$3:$D$15,2,FALSE)*DG$21-DF28)))</f>
        <v>0</v>
      </c>
      <c r="DH26" s="644">
        <f t="shared" ref="DH26" si="453" xml:space="preserve">
IF(DG28&gt;=VLOOKUP($C26,$C$3:$D$15,2,FALSE)*DH$21,0,
IF(AND(DG28&lt;VLOOKUP($C26,$C$3:$D$15,2,FALSE)*DH$21,DH27&lt;=VLOOKUP($C26,$C$3:$D$15,2,FALSE)*DH$21),IF(DH27-DG28&lt;0,0,DH27-DG28),
IF(AND(DG28&lt;VLOOKUP($C26,$C$3:$D$15,2,FALSE)*DH$21,DH27&gt;VLOOKUP($C26,$C$3:$D$15,2,FALSE)*DH$21),VLOOKUP($C26,$C$3:$D$15,2,FALSE)*DH$21-DG28)))</f>
        <v>0</v>
      </c>
      <c r="DI26" s="644">
        <f t="shared" ref="DI26" si="454" xml:space="preserve">
IF(DH28&gt;=VLOOKUP($C26,$C$3:$D$15,2,FALSE)*DI$21,0,
IF(AND(DH28&lt;VLOOKUP($C26,$C$3:$D$15,2,FALSE)*DI$21,DI27&lt;=VLOOKUP($C26,$C$3:$D$15,2,FALSE)*DI$21),IF(DI27-DH28&lt;0,0,DI27-DH28),
IF(AND(DH28&lt;VLOOKUP($C26,$C$3:$D$15,2,FALSE)*DI$21,DI27&gt;VLOOKUP($C26,$C$3:$D$15,2,FALSE)*DI$21),VLOOKUP($C26,$C$3:$D$15,2,FALSE)*DI$21-DH28)))</f>
        <v>0</v>
      </c>
      <c r="DJ26" s="644">
        <f t="shared" ref="DJ26" si="455" xml:space="preserve">
IF(DI28&gt;=VLOOKUP($C26,$C$3:$D$15,2,FALSE)*DJ$21,0,
IF(AND(DI28&lt;VLOOKUP($C26,$C$3:$D$15,2,FALSE)*DJ$21,DJ27&lt;=VLOOKUP($C26,$C$3:$D$15,2,FALSE)*DJ$21),IF(DJ27-DI28&lt;0,0,DJ27-DI28),
IF(AND(DI28&lt;VLOOKUP($C26,$C$3:$D$15,2,FALSE)*DJ$21,DJ27&gt;VLOOKUP($C26,$C$3:$D$15,2,FALSE)*DJ$21),VLOOKUP($C26,$C$3:$D$15,2,FALSE)*DJ$21-DI28)))</f>
        <v>0</v>
      </c>
      <c r="DK26" s="644">
        <f t="shared" ref="DK26" si="456" xml:space="preserve">
IF(DJ28&gt;=VLOOKUP($C26,$C$3:$D$15,2,FALSE)*DK$21,0,
IF(AND(DJ28&lt;VLOOKUP($C26,$C$3:$D$15,2,FALSE)*DK$21,DK27&lt;=VLOOKUP($C26,$C$3:$D$15,2,FALSE)*DK$21),IF(DK27-DJ28&lt;0,0,DK27-DJ28),
IF(AND(DJ28&lt;VLOOKUP($C26,$C$3:$D$15,2,FALSE)*DK$21,DK27&gt;VLOOKUP($C26,$C$3:$D$15,2,FALSE)*DK$21),VLOOKUP($C26,$C$3:$D$15,2,FALSE)*DK$21-DJ28)))</f>
        <v>0</v>
      </c>
      <c r="DL26" s="644">
        <f t="shared" ref="DL26" si="457" xml:space="preserve">
IF(DK28&gt;=VLOOKUP($C26,$C$3:$D$15,2,FALSE)*DL$21,0,
IF(AND(DK28&lt;VLOOKUP($C26,$C$3:$D$15,2,FALSE)*DL$21,DL27&lt;=VLOOKUP($C26,$C$3:$D$15,2,FALSE)*DL$21),IF(DL27-DK28&lt;0,0,DL27-DK28),
IF(AND(DK28&lt;VLOOKUP($C26,$C$3:$D$15,2,FALSE)*DL$21,DL27&gt;VLOOKUP($C26,$C$3:$D$15,2,FALSE)*DL$21),VLOOKUP($C26,$C$3:$D$15,2,FALSE)*DL$21-DK28)))</f>
        <v>0</v>
      </c>
      <c r="DM26" s="644">
        <f t="shared" ref="DM26" si="458" xml:space="preserve">
IF(DL28&gt;=VLOOKUP($C26,$C$3:$D$15,2,FALSE)*DM$21,0,
IF(AND(DL28&lt;VLOOKUP($C26,$C$3:$D$15,2,FALSE)*DM$21,DM27&lt;=VLOOKUP($C26,$C$3:$D$15,2,FALSE)*DM$21),IF(DM27-DL28&lt;0,0,DM27-DL28),
IF(AND(DL28&lt;VLOOKUP($C26,$C$3:$D$15,2,FALSE)*DM$21,DM27&gt;VLOOKUP($C26,$C$3:$D$15,2,FALSE)*DM$21),VLOOKUP($C26,$C$3:$D$15,2,FALSE)*DM$21-DL28)))</f>
        <v>0</v>
      </c>
      <c r="DN26" s="644">
        <f t="shared" ref="DN26" si="459" xml:space="preserve">
IF(DM28&gt;=VLOOKUP($C26,$C$3:$D$15,2,FALSE)*DN$21,0,
IF(AND(DM28&lt;VLOOKUP($C26,$C$3:$D$15,2,FALSE)*DN$21,DN27&lt;=VLOOKUP($C26,$C$3:$D$15,2,FALSE)*DN$21),IF(DN27-DM28&lt;0,0,DN27-DM28),
IF(AND(DM28&lt;VLOOKUP($C26,$C$3:$D$15,2,FALSE)*DN$21,DN27&gt;VLOOKUP($C26,$C$3:$D$15,2,FALSE)*DN$21),VLOOKUP($C26,$C$3:$D$15,2,FALSE)*DN$21-DM28)))</f>
        <v>0</v>
      </c>
      <c r="DO26" s="644">
        <f t="shared" ref="DO26" si="460" xml:space="preserve">
IF(DN28&gt;=VLOOKUP($C26,$C$3:$D$15,2,FALSE)*DO$21,0,
IF(AND(DN28&lt;VLOOKUP($C26,$C$3:$D$15,2,FALSE)*DO$21,DO27&lt;=VLOOKUP($C26,$C$3:$D$15,2,FALSE)*DO$21),IF(DO27-DN28&lt;0,0,DO27-DN28),
IF(AND(DN28&lt;VLOOKUP($C26,$C$3:$D$15,2,FALSE)*DO$21,DO27&gt;VLOOKUP($C26,$C$3:$D$15,2,FALSE)*DO$21),VLOOKUP($C26,$C$3:$D$15,2,FALSE)*DO$21-DN28)))</f>
        <v>0</v>
      </c>
      <c r="DP26" s="644">
        <f t="shared" ref="DP26" si="461" xml:space="preserve">
IF(DO28&gt;=VLOOKUP($C26,$C$3:$D$15,2,FALSE)*DP$21,0,
IF(AND(DO28&lt;VLOOKUP($C26,$C$3:$D$15,2,FALSE)*DP$21,DP27&lt;=VLOOKUP($C26,$C$3:$D$15,2,FALSE)*DP$21),IF(DP27-DO28&lt;0,0,DP27-DO28),
IF(AND(DO28&lt;VLOOKUP($C26,$C$3:$D$15,2,FALSE)*DP$21,DP27&gt;VLOOKUP($C26,$C$3:$D$15,2,FALSE)*DP$21),VLOOKUP($C26,$C$3:$D$15,2,FALSE)*DP$21-DO28)))</f>
        <v>0</v>
      </c>
      <c r="DQ26" s="644">
        <f t="shared" ref="DQ26" si="462" xml:space="preserve">
IF(DP28&gt;=VLOOKUP($C26,$C$3:$D$15,2,FALSE)*DQ$21,0,
IF(AND(DP28&lt;VLOOKUP($C26,$C$3:$D$15,2,FALSE)*DQ$21,DQ27&lt;=VLOOKUP($C26,$C$3:$D$15,2,FALSE)*DQ$21),IF(DQ27-DP28&lt;0,0,DQ27-DP28),
IF(AND(DP28&lt;VLOOKUP($C26,$C$3:$D$15,2,FALSE)*DQ$21,DQ27&gt;VLOOKUP($C26,$C$3:$D$15,2,FALSE)*DQ$21),VLOOKUP($C26,$C$3:$D$15,2,FALSE)*DQ$21-DP28)))</f>
        <v>0</v>
      </c>
      <c r="DR26" s="644">
        <f t="shared" ref="DR26" si="463" xml:space="preserve">
IF(DQ28&gt;=VLOOKUP($C26,$C$3:$D$15,2,FALSE)*DR$21,0,
IF(AND(DQ28&lt;VLOOKUP($C26,$C$3:$D$15,2,FALSE)*DR$21,DR27&lt;=VLOOKUP($C26,$C$3:$D$15,2,FALSE)*DR$21),IF(DR27-DQ28&lt;0,0,DR27-DQ28),
IF(AND(DQ28&lt;VLOOKUP($C26,$C$3:$D$15,2,FALSE)*DR$21,DR27&gt;VLOOKUP($C26,$C$3:$D$15,2,FALSE)*DR$21),VLOOKUP($C26,$C$3:$D$15,2,FALSE)*DR$21-DQ28)))</f>
        <v>0</v>
      </c>
      <c r="DS26" s="644">
        <f t="shared" ref="DS26" si="464" xml:space="preserve">
IF(DR28&gt;=VLOOKUP($C26,$C$3:$D$15,2,FALSE)*DS$21,0,
IF(AND(DR28&lt;VLOOKUP($C26,$C$3:$D$15,2,FALSE)*DS$21,DS27&lt;=VLOOKUP($C26,$C$3:$D$15,2,FALSE)*DS$21),IF(DS27-DR28&lt;0,0,DS27-DR28),
IF(AND(DR28&lt;VLOOKUP($C26,$C$3:$D$15,2,FALSE)*DS$21,DS27&gt;VLOOKUP($C26,$C$3:$D$15,2,FALSE)*DS$21),VLOOKUP($C26,$C$3:$D$15,2,FALSE)*DS$21-DR28)))</f>
        <v>0</v>
      </c>
      <c r="DT26" s="644">
        <f t="shared" ref="DT26" si="465" xml:space="preserve">
IF(DS28&gt;=VLOOKUP($C26,$C$3:$D$15,2,FALSE)*DT$21,0,
IF(AND(DS28&lt;VLOOKUP($C26,$C$3:$D$15,2,FALSE)*DT$21,DT27&lt;=VLOOKUP($C26,$C$3:$D$15,2,FALSE)*DT$21),IF(DT27-DS28&lt;0,0,DT27-DS28),
IF(AND(DS28&lt;VLOOKUP($C26,$C$3:$D$15,2,FALSE)*DT$21,DT27&gt;VLOOKUP($C26,$C$3:$D$15,2,FALSE)*DT$21),VLOOKUP($C26,$C$3:$D$15,2,FALSE)*DT$21-DS28)))</f>
        <v>0</v>
      </c>
      <c r="DU26" s="644">
        <f t="shared" ref="DU26" si="466" xml:space="preserve">
IF(DT28&gt;=VLOOKUP($C26,$C$3:$D$15,2,FALSE)*DU$21,0,
IF(AND(DT28&lt;VLOOKUP($C26,$C$3:$D$15,2,FALSE)*DU$21,DU27&lt;=VLOOKUP($C26,$C$3:$D$15,2,FALSE)*DU$21),IF(DU27-DT28&lt;0,0,DU27-DT28),
IF(AND(DT28&lt;VLOOKUP($C26,$C$3:$D$15,2,FALSE)*DU$21,DU27&gt;VLOOKUP($C26,$C$3:$D$15,2,FALSE)*DU$21),VLOOKUP($C26,$C$3:$D$15,2,FALSE)*DU$21-DT28)))</f>
        <v>0</v>
      </c>
      <c r="DV26" s="644">
        <f t="shared" ref="DV26" si="467" xml:space="preserve">
IF(DU28&gt;=VLOOKUP($C26,$C$3:$D$15,2,FALSE)*DV$21,0,
IF(AND(DU28&lt;VLOOKUP($C26,$C$3:$D$15,2,FALSE)*DV$21,DV27&lt;=VLOOKUP($C26,$C$3:$D$15,2,FALSE)*DV$21),IF(DV27-DU28&lt;0,0,DV27-DU28),
IF(AND(DU28&lt;VLOOKUP($C26,$C$3:$D$15,2,FALSE)*DV$21,DV27&gt;VLOOKUP($C26,$C$3:$D$15,2,FALSE)*DV$21),VLOOKUP($C26,$C$3:$D$15,2,FALSE)*DV$21-DU28)))</f>
        <v>0</v>
      </c>
      <c r="DW26" s="644">
        <f t="shared" ref="DW26" si="468" xml:space="preserve">
IF(DV28&gt;=VLOOKUP($C26,$C$3:$D$15,2,FALSE)*DW$21,0,
IF(AND(DV28&lt;VLOOKUP($C26,$C$3:$D$15,2,FALSE)*DW$21,DW27&lt;=VLOOKUP($C26,$C$3:$D$15,2,FALSE)*DW$21),IF(DW27-DV28&lt;0,0,DW27-DV28),
IF(AND(DV28&lt;VLOOKUP($C26,$C$3:$D$15,2,FALSE)*DW$21,DW27&gt;VLOOKUP($C26,$C$3:$D$15,2,FALSE)*DW$21),VLOOKUP($C26,$C$3:$D$15,2,FALSE)*DW$21-DV28)))</f>
        <v>0</v>
      </c>
      <c r="DX26" s="644">
        <f t="shared" ref="DX26" si="469" xml:space="preserve">
IF(DW28&gt;=VLOOKUP($C26,$C$3:$D$15,2,FALSE)*DX$21,0,
IF(AND(DW28&lt;VLOOKUP($C26,$C$3:$D$15,2,FALSE)*DX$21,DX27&lt;=VLOOKUP($C26,$C$3:$D$15,2,FALSE)*DX$21),IF(DX27-DW28&lt;0,0,DX27-DW28),
IF(AND(DW28&lt;VLOOKUP($C26,$C$3:$D$15,2,FALSE)*DX$21,DX27&gt;VLOOKUP($C26,$C$3:$D$15,2,FALSE)*DX$21),VLOOKUP($C26,$C$3:$D$15,2,FALSE)*DX$21-DW28)))</f>
        <v>0</v>
      </c>
      <c r="DY26" s="644">
        <f t="shared" ref="DY26" si="470" xml:space="preserve">
IF(DX28&gt;=VLOOKUP($C26,$C$3:$D$15,2,FALSE)*DY$21,0,
IF(AND(DX28&lt;VLOOKUP($C26,$C$3:$D$15,2,FALSE)*DY$21,DY27&lt;=VLOOKUP($C26,$C$3:$D$15,2,FALSE)*DY$21),IF(DY27-DX28&lt;0,0,DY27-DX28),
IF(AND(DX28&lt;VLOOKUP($C26,$C$3:$D$15,2,FALSE)*DY$21,DY27&gt;VLOOKUP($C26,$C$3:$D$15,2,FALSE)*DY$21),VLOOKUP($C26,$C$3:$D$15,2,FALSE)*DY$21-DX28)))</f>
        <v>0</v>
      </c>
      <c r="DZ26" s="644">
        <f t="shared" ref="DZ26" si="471" xml:space="preserve">
IF(DY28&gt;=VLOOKUP($C26,$C$3:$D$15,2,FALSE)*DZ$21,0,
IF(AND(DY28&lt;VLOOKUP($C26,$C$3:$D$15,2,FALSE)*DZ$21,DZ27&lt;=VLOOKUP($C26,$C$3:$D$15,2,FALSE)*DZ$21),IF(DZ27-DY28&lt;0,0,DZ27-DY28),
IF(AND(DY28&lt;VLOOKUP($C26,$C$3:$D$15,2,FALSE)*DZ$21,DZ27&gt;VLOOKUP($C26,$C$3:$D$15,2,FALSE)*DZ$21),VLOOKUP($C26,$C$3:$D$15,2,FALSE)*DZ$21-DY28)))</f>
        <v>0</v>
      </c>
      <c r="EA26" s="644">
        <f t="shared" ref="EA26" si="472" xml:space="preserve">
IF(DZ28&gt;=VLOOKUP($C26,$C$3:$D$15,2,FALSE)*EA$21,0,
IF(AND(DZ28&lt;VLOOKUP($C26,$C$3:$D$15,2,FALSE)*EA$21,EA27&lt;=VLOOKUP($C26,$C$3:$D$15,2,FALSE)*EA$21),IF(EA27-DZ28&lt;0,0,EA27-DZ28),
IF(AND(DZ28&lt;VLOOKUP($C26,$C$3:$D$15,2,FALSE)*EA$21,EA27&gt;VLOOKUP($C26,$C$3:$D$15,2,FALSE)*EA$21),VLOOKUP($C26,$C$3:$D$15,2,FALSE)*EA$21-DZ28)))</f>
        <v>0</v>
      </c>
      <c r="EB26" s="644">
        <f t="shared" ref="EB26" si="473" xml:space="preserve">
IF(EA28&gt;=VLOOKUP($C26,$C$3:$D$15,2,FALSE)*EB$21,0,
IF(AND(EA28&lt;VLOOKUP($C26,$C$3:$D$15,2,FALSE)*EB$21,EB27&lt;=VLOOKUP($C26,$C$3:$D$15,2,FALSE)*EB$21),IF(EB27-EA28&lt;0,0,EB27-EA28),
IF(AND(EA28&lt;VLOOKUP($C26,$C$3:$D$15,2,FALSE)*EB$21,EB27&gt;VLOOKUP($C26,$C$3:$D$15,2,FALSE)*EB$21),VLOOKUP($C26,$C$3:$D$15,2,FALSE)*EB$21-EA28)))</f>
        <v>0</v>
      </c>
      <c r="EC26" s="644">
        <f t="shared" ref="EC26" si="474" xml:space="preserve">
IF(EB28&gt;=VLOOKUP($C26,$C$3:$D$15,2,FALSE)*EC$21,0,
IF(AND(EB28&lt;VLOOKUP($C26,$C$3:$D$15,2,FALSE)*EC$21,EC27&lt;=VLOOKUP($C26,$C$3:$D$15,2,FALSE)*EC$21),IF(EC27-EB28&lt;0,0,EC27-EB28),
IF(AND(EB28&lt;VLOOKUP($C26,$C$3:$D$15,2,FALSE)*EC$21,EC27&gt;VLOOKUP($C26,$C$3:$D$15,2,FALSE)*EC$21),VLOOKUP($C26,$C$3:$D$15,2,FALSE)*EC$21-EB28)))</f>
        <v>0</v>
      </c>
      <c r="ED26" s="644">
        <f t="shared" ref="ED26" si="475" xml:space="preserve">
IF(EC28&gt;=VLOOKUP($C26,$C$3:$D$15,2,FALSE)*ED$21,0,
IF(AND(EC28&lt;VLOOKUP($C26,$C$3:$D$15,2,FALSE)*ED$21,ED27&lt;=VLOOKUP($C26,$C$3:$D$15,2,FALSE)*ED$21),IF(ED27-EC28&lt;0,0,ED27-EC28),
IF(AND(EC28&lt;VLOOKUP($C26,$C$3:$D$15,2,FALSE)*ED$21,ED27&gt;VLOOKUP($C26,$C$3:$D$15,2,FALSE)*ED$21),VLOOKUP($C26,$C$3:$D$15,2,FALSE)*ED$21-EC28)))</f>
        <v>0</v>
      </c>
      <c r="EE26" s="644">
        <f t="shared" ref="EE26" si="476" xml:space="preserve">
IF(ED28&gt;=VLOOKUP($C26,$C$3:$D$15,2,FALSE)*EE$21,0,
IF(AND(ED28&lt;VLOOKUP($C26,$C$3:$D$15,2,FALSE)*EE$21,EE27&lt;=VLOOKUP($C26,$C$3:$D$15,2,FALSE)*EE$21),IF(EE27-ED28&lt;0,0,EE27-ED28),
IF(AND(ED28&lt;VLOOKUP($C26,$C$3:$D$15,2,FALSE)*EE$21,EE27&gt;VLOOKUP($C26,$C$3:$D$15,2,FALSE)*EE$21),VLOOKUP($C26,$C$3:$D$15,2,FALSE)*EE$21-ED28)))</f>
        <v>0</v>
      </c>
      <c r="EF26" s="644">
        <f t="shared" ref="EF26" si="477" xml:space="preserve">
IF(EE28&gt;=VLOOKUP($C26,$C$3:$D$15,2,FALSE)*EF$21,0,
IF(AND(EE28&lt;VLOOKUP($C26,$C$3:$D$15,2,FALSE)*EF$21,EF27&lt;=VLOOKUP($C26,$C$3:$D$15,2,FALSE)*EF$21),IF(EF27-EE28&lt;0,0,EF27-EE28),
IF(AND(EE28&lt;VLOOKUP($C26,$C$3:$D$15,2,FALSE)*EF$21,EF27&gt;VLOOKUP($C26,$C$3:$D$15,2,FALSE)*EF$21),VLOOKUP($C26,$C$3:$D$15,2,FALSE)*EF$21-EE28)))</f>
        <v>0</v>
      </c>
      <c r="EG26" s="644">
        <f t="shared" ref="EG26" si="478" xml:space="preserve">
IF(EF28&gt;=VLOOKUP($C26,$C$3:$D$15,2,FALSE)*EG$21,0,
IF(AND(EF28&lt;VLOOKUP($C26,$C$3:$D$15,2,FALSE)*EG$21,EG27&lt;=VLOOKUP($C26,$C$3:$D$15,2,FALSE)*EG$21),IF(EG27-EF28&lt;0,0,EG27-EF28),
IF(AND(EF28&lt;VLOOKUP($C26,$C$3:$D$15,2,FALSE)*EG$21,EG27&gt;VLOOKUP($C26,$C$3:$D$15,2,FALSE)*EG$21),VLOOKUP($C26,$C$3:$D$15,2,FALSE)*EG$21-EF28)))</f>
        <v>0</v>
      </c>
      <c r="EH26" s="644">
        <f t="shared" ref="EH26" si="479" xml:space="preserve">
IF(EG28&gt;=VLOOKUP($C26,$C$3:$D$15,2,FALSE)*EH$21,0,
IF(AND(EG28&lt;VLOOKUP($C26,$C$3:$D$15,2,FALSE)*EH$21,EH27&lt;=VLOOKUP($C26,$C$3:$D$15,2,FALSE)*EH$21),IF(EH27-EG28&lt;0,0,EH27-EG28),
IF(AND(EG28&lt;VLOOKUP($C26,$C$3:$D$15,2,FALSE)*EH$21,EH27&gt;VLOOKUP($C26,$C$3:$D$15,2,FALSE)*EH$21),VLOOKUP($C26,$C$3:$D$15,2,FALSE)*EH$21-EG28)))</f>
        <v>0</v>
      </c>
      <c r="EI26" s="644">
        <f t="shared" ref="EI26" si="480" xml:space="preserve">
IF(EH28&gt;=VLOOKUP($C26,$C$3:$D$15,2,FALSE)*EI$21,0,
IF(AND(EH28&lt;VLOOKUP($C26,$C$3:$D$15,2,FALSE)*EI$21,EI27&lt;=VLOOKUP($C26,$C$3:$D$15,2,FALSE)*EI$21),IF(EI27-EH28&lt;0,0,EI27-EH28),
IF(AND(EH28&lt;VLOOKUP($C26,$C$3:$D$15,2,FALSE)*EI$21,EI27&gt;VLOOKUP($C26,$C$3:$D$15,2,FALSE)*EI$21),VLOOKUP($C26,$C$3:$D$15,2,FALSE)*EI$21-EH28)))</f>
        <v>0</v>
      </c>
      <c r="EJ26" s="644">
        <f t="shared" ref="EJ26" si="481" xml:space="preserve">
IF(EI28&gt;=VLOOKUP($C26,$C$3:$D$15,2,FALSE)*EJ$21,0,
IF(AND(EI28&lt;VLOOKUP($C26,$C$3:$D$15,2,FALSE)*EJ$21,EJ27&lt;=VLOOKUP($C26,$C$3:$D$15,2,FALSE)*EJ$21),IF(EJ27-EI28&lt;0,0,EJ27-EI28),
IF(AND(EI28&lt;VLOOKUP($C26,$C$3:$D$15,2,FALSE)*EJ$21,EJ27&gt;VLOOKUP($C26,$C$3:$D$15,2,FALSE)*EJ$21),VLOOKUP($C26,$C$3:$D$15,2,FALSE)*EJ$21-EI28)))</f>
        <v>0</v>
      </c>
      <c r="EK26" s="644">
        <f t="shared" ref="EK26" si="482" xml:space="preserve">
IF(EJ28&gt;=VLOOKUP($C26,$C$3:$D$15,2,FALSE)*EK$21,0,
IF(AND(EJ28&lt;VLOOKUP($C26,$C$3:$D$15,2,FALSE)*EK$21,EK27&lt;=VLOOKUP($C26,$C$3:$D$15,2,FALSE)*EK$21),IF(EK27-EJ28&lt;0,0,EK27-EJ28),
IF(AND(EJ28&lt;VLOOKUP($C26,$C$3:$D$15,2,FALSE)*EK$21,EK27&gt;VLOOKUP($C26,$C$3:$D$15,2,FALSE)*EK$21),VLOOKUP($C26,$C$3:$D$15,2,FALSE)*EK$21-EJ28)))</f>
        <v>0</v>
      </c>
      <c r="EL26" s="644">
        <f t="shared" ref="EL26" si="483" xml:space="preserve">
IF(EK28&gt;=VLOOKUP($C26,$C$3:$D$15,2,FALSE)*EL$21,0,
IF(AND(EK28&lt;VLOOKUP($C26,$C$3:$D$15,2,FALSE)*EL$21,EL27&lt;=VLOOKUP($C26,$C$3:$D$15,2,FALSE)*EL$21),IF(EL27-EK28&lt;0,0,EL27-EK28),
IF(AND(EK28&lt;VLOOKUP($C26,$C$3:$D$15,2,FALSE)*EL$21,EL27&gt;VLOOKUP($C26,$C$3:$D$15,2,FALSE)*EL$21),VLOOKUP($C26,$C$3:$D$15,2,FALSE)*EL$21-EK28)))</f>
        <v>0</v>
      </c>
      <c r="EM26" s="644">
        <f t="shared" ref="EM26" si="484" xml:space="preserve">
IF(EL28&gt;=VLOOKUP($C26,$C$3:$D$15,2,FALSE)*EM$21,0,
IF(AND(EL28&lt;VLOOKUP($C26,$C$3:$D$15,2,FALSE)*EM$21,EM27&lt;=VLOOKUP($C26,$C$3:$D$15,2,FALSE)*EM$21),IF(EM27-EL28&lt;0,0,EM27-EL28),
IF(AND(EL28&lt;VLOOKUP($C26,$C$3:$D$15,2,FALSE)*EM$21,EM27&gt;VLOOKUP($C26,$C$3:$D$15,2,FALSE)*EM$21),VLOOKUP($C26,$C$3:$D$15,2,FALSE)*EM$21-EL28)))</f>
        <v>0</v>
      </c>
      <c r="EN26" s="644">
        <f t="shared" ref="EN26" si="485" xml:space="preserve">
IF(EM28&gt;=VLOOKUP($C26,$C$3:$D$15,2,FALSE)*EN$21,0,
IF(AND(EM28&lt;VLOOKUP($C26,$C$3:$D$15,2,FALSE)*EN$21,EN27&lt;=VLOOKUP($C26,$C$3:$D$15,2,FALSE)*EN$21),IF(EN27-EM28&lt;0,0,EN27-EM28),
IF(AND(EM28&lt;VLOOKUP($C26,$C$3:$D$15,2,FALSE)*EN$21,EN27&gt;VLOOKUP($C26,$C$3:$D$15,2,FALSE)*EN$21),VLOOKUP($C26,$C$3:$D$15,2,FALSE)*EN$21-EM28)))</f>
        <v>0</v>
      </c>
      <c r="EO26" s="644">
        <f t="shared" ref="EO26" si="486" xml:space="preserve">
IF(EN28&gt;=VLOOKUP($C26,$C$3:$D$15,2,FALSE)*EO$21,0,
IF(AND(EN28&lt;VLOOKUP($C26,$C$3:$D$15,2,FALSE)*EO$21,EO27&lt;=VLOOKUP($C26,$C$3:$D$15,2,FALSE)*EO$21),IF(EO27-EN28&lt;0,0,EO27-EN28),
IF(AND(EN28&lt;VLOOKUP($C26,$C$3:$D$15,2,FALSE)*EO$21,EO27&gt;VLOOKUP($C26,$C$3:$D$15,2,FALSE)*EO$21),VLOOKUP($C26,$C$3:$D$15,2,FALSE)*EO$21-EN28)))</f>
        <v>0</v>
      </c>
      <c r="EP26" s="644">
        <f t="shared" ref="EP26" si="487" xml:space="preserve">
IF(EO28&gt;=VLOOKUP($C26,$C$3:$D$15,2,FALSE)*EP$21,0,
IF(AND(EO28&lt;VLOOKUP($C26,$C$3:$D$15,2,FALSE)*EP$21,EP27&lt;=VLOOKUP($C26,$C$3:$D$15,2,FALSE)*EP$21),IF(EP27-EO28&lt;0,0,EP27-EO28),
IF(AND(EO28&lt;VLOOKUP($C26,$C$3:$D$15,2,FALSE)*EP$21,EP27&gt;VLOOKUP($C26,$C$3:$D$15,2,FALSE)*EP$21),VLOOKUP($C26,$C$3:$D$15,2,FALSE)*EP$21-EO28)))</f>
        <v>0</v>
      </c>
      <c r="EQ26" s="644">
        <f t="shared" ref="EQ26" si="488" xml:space="preserve">
IF(EP28&gt;=VLOOKUP($C26,$C$3:$D$15,2,FALSE)*EQ$21,0,
IF(AND(EP28&lt;VLOOKUP($C26,$C$3:$D$15,2,FALSE)*EQ$21,EQ27&lt;=VLOOKUP($C26,$C$3:$D$15,2,FALSE)*EQ$21),IF(EQ27-EP28&lt;0,0,EQ27-EP28),
IF(AND(EP28&lt;VLOOKUP($C26,$C$3:$D$15,2,FALSE)*EQ$21,EQ27&gt;VLOOKUP($C26,$C$3:$D$15,2,FALSE)*EQ$21),VLOOKUP($C26,$C$3:$D$15,2,FALSE)*EQ$21-EP28)))</f>
        <v>0</v>
      </c>
      <c r="ER26" s="644">
        <f t="shared" ref="ER26" si="489" xml:space="preserve">
IF(EQ28&gt;=VLOOKUP($C26,$C$3:$D$15,2,FALSE)*ER$21,0,
IF(AND(EQ28&lt;VLOOKUP($C26,$C$3:$D$15,2,FALSE)*ER$21,ER27&lt;=VLOOKUP($C26,$C$3:$D$15,2,FALSE)*ER$21),IF(ER27-EQ28&lt;0,0,ER27-EQ28),
IF(AND(EQ28&lt;VLOOKUP($C26,$C$3:$D$15,2,FALSE)*ER$21,ER27&gt;VLOOKUP($C26,$C$3:$D$15,2,FALSE)*ER$21),VLOOKUP($C26,$C$3:$D$15,2,FALSE)*ER$21-EQ28)))</f>
        <v>0</v>
      </c>
      <c r="ES26" s="644">
        <f t="shared" ref="ES26" si="490" xml:space="preserve">
IF(ER28&gt;=VLOOKUP($C26,$C$3:$D$15,2,FALSE)*ES$21,0,
IF(AND(ER28&lt;VLOOKUP($C26,$C$3:$D$15,2,FALSE)*ES$21,ES27&lt;=VLOOKUP($C26,$C$3:$D$15,2,FALSE)*ES$21),IF(ES27-ER28&lt;0,0,ES27-ER28),
IF(AND(ER28&lt;VLOOKUP($C26,$C$3:$D$15,2,FALSE)*ES$21,ES27&gt;VLOOKUP($C26,$C$3:$D$15,2,FALSE)*ES$21),VLOOKUP($C26,$C$3:$D$15,2,FALSE)*ES$21-ER28)))</f>
        <v>0</v>
      </c>
      <c r="ET26" s="644">
        <f t="shared" ref="ET26" si="491" xml:space="preserve">
IF(ES28&gt;=VLOOKUP($C26,$C$3:$D$15,2,FALSE)*ET$21,0,
IF(AND(ES28&lt;VLOOKUP($C26,$C$3:$D$15,2,FALSE)*ET$21,ET27&lt;=VLOOKUP($C26,$C$3:$D$15,2,FALSE)*ET$21),IF(ET27-ES28&lt;0,0,ET27-ES28),
IF(AND(ES28&lt;VLOOKUP($C26,$C$3:$D$15,2,FALSE)*ET$21,ET27&gt;VLOOKUP($C26,$C$3:$D$15,2,FALSE)*ET$21),VLOOKUP($C26,$C$3:$D$15,2,FALSE)*ET$21-ES28)))</f>
        <v>0</v>
      </c>
      <c r="EU26" s="644">
        <f t="shared" ref="EU26" si="492" xml:space="preserve">
IF(ET28&gt;=VLOOKUP($C26,$C$3:$D$15,2,FALSE)*EU$21,0,
IF(AND(ET28&lt;VLOOKUP($C26,$C$3:$D$15,2,FALSE)*EU$21,EU27&lt;=VLOOKUP($C26,$C$3:$D$15,2,FALSE)*EU$21),IF(EU27-ET28&lt;0,0,EU27-ET28),
IF(AND(ET28&lt;VLOOKUP($C26,$C$3:$D$15,2,FALSE)*EU$21,EU27&gt;VLOOKUP($C26,$C$3:$D$15,2,FALSE)*EU$21),VLOOKUP($C26,$C$3:$D$15,2,FALSE)*EU$21-ET28)))</f>
        <v>0</v>
      </c>
      <c r="EV26" s="644">
        <f t="shared" ref="EV26" si="493" xml:space="preserve">
IF(EU28&gt;=VLOOKUP($C26,$C$3:$D$15,2,FALSE)*EV$21,0,
IF(AND(EU28&lt;VLOOKUP($C26,$C$3:$D$15,2,FALSE)*EV$21,EV27&lt;=VLOOKUP($C26,$C$3:$D$15,2,FALSE)*EV$21),IF(EV27-EU28&lt;0,0,EV27-EU28),
IF(AND(EU28&lt;VLOOKUP($C26,$C$3:$D$15,2,FALSE)*EV$21,EV27&gt;VLOOKUP($C26,$C$3:$D$15,2,FALSE)*EV$21),VLOOKUP($C26,$C$3:$D$15,2,FALSE)*EV$21-EU28)))</f>
        <v>0</v>
      </c>
      <c r="EW26" s="644">
        <f t="shared" ref="EW26" si="494" xml:space="preserve">
IF(EV28&gt;=VLOOKUP($C26,$C$3:$D$15,2,FALSE)*EW$21,0,
IF(AND(EV28&lt;VLOOKUP($C26,$C$3:$D$15,2,FALSE)*EW$21,EW27&lt;=VLOOKUP($C26,$C$3:$D$15,2,FALSE)*EW$21),IF(EW27-EV28&lt;0,0,EW27-EV28),
IF(AND(EV28&lt;VLOOKUP($C26,$C$3:$D$15,2,FALSE)*EW$21,EW27&gt;VLOOKUP($C26,$C$3:$D$15,2,FALSE)*EW$21),VLOOKUP($C26,$C$3:$D$15,2,FALSE)*EW$21-EV28)))</f>
        <v>0</v>
      </c>
      <c r="EX26" s="644">
        <f t="shared" ref="EX26" si="495" xml:space="preserve">
IF(EW28&gt;=VLOOKUP($C26,$C$3:$D$15,2,FALSE)*EX$21,0,
IF(AND(EW28&lt;VLOOKUP($C26,$C$3:$D$15,2,FALSE)*EX$21,EX27&lt;=VLOOKUP($C26,$C$3:$D$15,2,FALSE)*EX$21),IF(EX27-EW28&lt;0,0,EX27-EW28),
IF(AND(EW28&lt;VLOOKUP($C26,$C$3:$D$15,2,FALSE)*EX$21,EX27&gt;VLOOKUP($C26,$C$3:$D$15,2,FALSE)*EX$21),VLOOKUP($C26,$C$3:$D$15,2,FALSE)*EX$21-EW28)))</f>
        <v>0</v>
      </c>
      <c r="EY26" s="644">
        <f t="shared" ref="EY26" si="496" xml:space="preserve">
IF(EX28&gt;=VLOOKUP($C26,$C$3:$D$15,2,FALSE)*EY$21,0,
IF(AND(EX28&lt;VLOOKUP($C26,$C$3:$D$15,2,FALSE)*EY$21,EY27&lt;=VLOOKUP($C26,$C$3:$D$15,2,FALSE)*EY$21),IF(EY27-EX28&lt;0,0,EY27-EX28),
IF(AND(EX28&lt;VLOOKUP($C26,$C$3:$D$15,2,FALSE)*EY$21,EY27&gt;VLOOKUP($C26,$C$3:$D$15,2,FALSE)*EY$21),VLOOKUP($C26,$C$3:$D$15,2,FALSE)*EY$21-EX28)))</f>
        <v>0</v>
      </c>
      <c r="EZ26" s="644">
        <f t="shared" ref="EZ26" si="497" xml:space="preserve">
IF(EY28&gt;=VLOOKUP($C26,$C$3:$D$15,2,FALSE)*EZ$21,0,
IF(AND(EY28&lt;VLOOKUP($C26,$C$3:$D$15,2,FALSE)*EZ$21,EZ27&lt;=VLOOKUP($C26,$C$3:$D$15,2,FALSE)*EZ$21),IF(EZ27-EY28&lt;0,0,EZ27-EY28),
IF(AND(EY28&lt;VLOOKUP($C26,$C$3:$D$15,2,FALSE)*EZ$21,EZ27&gt;VLOOKUP($C26,$C$3:$D$15,2,FALSE)*EZ$21),VLOOKUP($C26,$C$3:$D$15,2,FALSE)*EZ$21-EY28)))</f>
        <v>0</v>
      </c>
      <c r="FA26" s="644">
        <f t="shared" ref="FA26" si="498" xml:space="preserve">
IF(EZ28&gt;=VLOOKUP($C26,$C$3:$D$15,2,FALSE)*FA$21,0,
IF(AND(EZ28&lt;VLOOKUP($C26,$C$3:$D$15,2,FALSE)*FA$21,FA27&lt;=VLOOKUP($C26,$C$3:$D$15,2,FALSE)*FA$21),IF(FA27-EZ28&lt;0,0,FA27-EZ28),
IF(AND(EZ28&lt;VLOOKUP($C26,$C$3:$D$15,2,FALSE)*FA$21,FA27&gt;VLOOKUP($C26,$C$3:$D$15,2,FALSE)*FA$21),VLOOKUP($C26,$C$3:$D$15,2,FALSE)*FA$21-EZ28)))</f>
        <v>0</v>
      </c>
      <c r="FB26" s="644">
        <f t="shared" ref="FB26" si="499" xml:space="preserve">
IF(FA28&gt;=VLOOKUP($C26,$C$3:$D$15,2,FALSE)*FB$21,0,
IF(AND(FA28&lt;VLOOKUP($C26,$C$3:$D$15,2,FALSE)*FB$21,FB27&lt;=VLOOKUP($C26,$C$3:$D$15,2,FALSE)*FB$21),IF(FB27-FA28&lt;0,0,FB27-FA28),
IF(AND(FA28&lt;VLOOKUP($C26,$C$3:$D$15,2,FALSE)*FB$21,FB27&gt;VLOOKUP($C26,$C$3:$D$15,2,FALSE)*FB$21),VLOOKUP($C26,$C$3:$D$15,2,FALSE)*FB$21-FA28)))</f>
        <v>0</v>
      </c>
      <c r="FC26" s="644">
        <f t="shared" ref="FC26" si="500" xml:space="preserve">
IF(FB28&gt;=VLOOKUP($C26,$C$3:$D$15,2,FALSE)*FC$21,0,
IF(AND(FB28&lt;VLOOKUP($C26,$C$3:$D$15,2,FALSE)*FC$21,FC27&lt;=VLOOKUP($C26,$C$3:$D$15,2,FALSE)*FC$21),IF(FC27-FB28&lt;0,0,FC27-FB28),
IF(AND(FB28&lt;VLOOKUP($C26,$C$3:$D$15,2,FALSE)*FC$21,FC27&gt;VLOOKUP($C26,$C$3:$D$15,2,FALSE)*FC$21),VLOOKUP($C26,$C$3:$D$15,2,FALSE)*FC$21-FB28)))</f>
        <v>0</v>
      </c>
      <c r="FD26" s="644">
        <f t="shared" ref="FD26" si="501" xml:space="preserve">
IF(FC28&gt;=VLOOKUP($C26,$C$3:$D$15,2,FALSE)*FD$21,0,
IF(AND(FC28&lt;VLOOKUP($C26,$C$3:$D$15,2,FALSE)*FD$21,FD27&lt;=VLOOKUP($C26,$C$3:$D$15,2,FALSE)*FD$21),IF(FD27-FC28&lt;0,0,FD27-FC28),
IF(AND(FC28&lt;VLOOKUP($C26,$C$3:$D$15,2,FALSE)*FD$21,FD27&gt;VLOOKUP($C26,$C$3:$D$15,2,FALSE)*FD$21),VLOOKUP($C26,$C$3:$D$15,2,FALSE)*FD$21-FC28)))</f>
        <v>0</v>
      </c>
      <c r="FE26" s="644">
        <f t="shared" ref="FE26" si="502" xml:space="preserve">
IF(FD28&gt;=VLOOKUP($C26,$C$3:$D$15,2,FALSE)*FE$21,0,
IF(AND(FD28&lt;VLOOKUP($C26,$C$3:$D$15,2,FALSE)*FE$21,FE27&lt;=VLOOKUP($C26,$C$3:$D$15,2,FALSE)*FE$21),IF(FE27-FD28&lt;0,0,FE27-FD28),
IF(AND(FD28&lt;VLOOKUP($C26,$C$3:$D$15,2,FALSE)*FE$21,FE27&gt;VLOOKUP($C26,$C$3:$D$15,2,FALSE)*FE$21),VLOOKUP($C26,$C$3:$D$15,2,FALSE)*FE$21-FD28)))</f>
        <v>0</v>
      </c>
      <c r="FF26" s="644">
        <f t="shared" ref="FF26" si="503" xml:space="preserve">
IF(FE28&gt;=VLOOKUP($C26,$C$3:$D$15,2,FALSE)*FF$21,0,
IF(AND(FE28&lt;VLOOKUP($C26,$C$3:$D$15,2,FALSE)*FF$21,FF27&lt;=VLOOKUP($C26,$C$3:$D$15,2,FALSE)*FF$21),IF(FF27-FE28&lt;0,0,FF27-FE28),
IF(AND(FE28&lt;VLOOKUP($C26,$C$3:$D$15,2,FALSE)*FF$21,FF27&gt;VLOOKUP($C26,$C$3:$D$15,2,FALSE)*FF$21),VLOOKUP($C26,$C$3:$D$15,2,FALSE)*FF$21-FE28)))</f>
        <v>0</v>
      </c>
      <c r="FG26" s="644">
        <f t="shared" ref="FG26" si="504" xml:space="preserve">
IF(FF28&gt;=VLOOKUP($C26,$C$3:$D$15,2,FALSE)*FG$21,0,
IF(AND(FF28&lt;VLOOKUP($C26,$C$3:$D$15,2,FALSE)*FG$21,FG27&lt;=VLOOKUP($C26,$C$3:$D$15,2,FALSE)*FG$21),IF(FG27-FF28&lt;0,0,FG27-FF28),
IF(AND(FF28&lt;VLOOKUP($C26,$C$3:$D$15,2,FALSE)*FG$21,FG27&gt;VLOOKUP($C26,$C$3:$D$15,2,FALSE)*FG$21),VLOOKUP($C26,$C$3:$D$15,2,FALSE)*FG$21-FF28)))</f>
        <v>0</v>
      </c>
      <c r="FH26" s="644">
        <f t="shared" ref="FH26" si="505" xml:space="preserve">
IF(FG28&gt;=VLOOKUP($C26,$C$3:$D$15,2,FALSE)*FH$21,0,
IF(AND(FG28&lt;VLOOKUP($C26,$C$3:$D$15,2,FALSE)*FH$21,FH27&lt;=VLOOKUP($C26,$C$3:$D$15,2,FALSE)*FH$21),IF(FH27-FG28&lt;0,0,FH27-FG28),
IF(AND(FG28&lt;VLOOKUP($C26,$C$3:$D$15,2,FALSE)*FH$21,FH27&gt;VLOOKUP($C26,$C$3:$D$15,2,FALSE)*FH$21),VLOOKUP($C26,$C$3:$D$15,2,FALSE)*FH$21-FG28)))</f>
        <v>0</v>
      </c>
      <c r="FI26" s="644">
        <f t="shared" ref="FI26" si="506" xml:space="preserve">
IF(FH28&gt;=VLOOKUP($C26,$C$3:$D$15,2,FALSE)*FI$21,0,
IF(AND(FH28&lt;VLOOKUP($C26,$C$3:$D$15,2,FALSE)*FI$21,FI27&lt;=VLOOKUP($C26,$C$3:$D$15,2,FALSE)*FI$21),IF(FI27-FH28&lt;0,0,FI27-FH28),
IF(AND(FH28&lt;VLOOKUP($C26,$C$3:$D$15,2,FALSE)*FI$21,FI27&gt;VLOOKUP($C26,$C$3:$D$15,2,FALSE)*FI$21),VLOOKUP($C26,$C$3:$D$15,2,FALSE)*FI$21-FH28)))</f>
        <v>0</v>
      </c>
      <c r="FJ26" s="644">
        <f t="shared" ref="FJ26" si="507" xml:space="preserve">
IF(FI28&gt;=VLOOKUP($C26,$C$3:$D$15,2,FALSE)*FJ$21,0,
IF(AND(FI28&lt;VLOOKUP($C26,$C$3:$D$15,2,FALSE)*FJ$21,FJ27&lt;=VLOOKUP($C26,$C$3:$D$15,2,FALSE)*FJ$21),IF(FJ27-FI28&lt;0,0,FJ27-FI28),
IF(AND(FI28&lt;VLOOKUP($C26,$C$3:$D$15,2,FALSE)*FJ$21,FJ27&gt;VLOOKUP($C26,$C$3:$D$15,2,FALSE)*FJ$21),VLOOKUP($C26,$C$3:$D$15,2,FALSE)*FJ$21-FI28)))</f>
        <v>0</v>
      </c>
      <c r="FK26" s="644">
        <f t="shared" ref="FK26" si="508" xml:space="preserve">
IF(FJ28&gt;=VLOOKUP($C26,$C$3:$D$15,2,FALSE)*FK$21,0,
IF(AND(FJ28&lt;VLOOKUP($C26,$C$3:$D$15,2,FALSE)*FK$21,FK27&lt;=VLOOKUP($C26,$C$3:$D$15,2,FALSE)*FK$21),IF(FK27-FJ28&lt;0,0,FK27-FJ28),
IF(AND(FJ28&lt;VLOOKUP($C26,$C$3:$D$15,2,FALSE)*FK$21,FK27&gt;VLOOKUP($C26,$C$3:$D$15,2,FALSE)*FK$21),VLOOKUP($C26,$C$3:$D$15,2,FALSE)*FK$21-FJ28)))</f>
        <v>0</v>
      </c>
      <c r="FL26" s="644">
        <f t="shared" ref="FL26" si="509" xml:space="preserve">
IF(FK28&gt;=VLOOKUP($C26,$C$3:$D$15,2,FALSE)*FL$21,0,
IF(AND(FK28&lt;VLOOKUP($C26,$C$3:$D$15,2,FALSE)*FL$21,FL27&lt;=VLOOKUP($C26,$C$3:$D$15,2,FALSE)*FL$21),IF(FL27-FK28&lt;0,0,FL27-FK28),
IF(AND(FK28&lt;VLOOKUP($C26,$C$3:$D$15,2,FALSE)*FL$21,FL27&gt;VLOOKUP($C26,$C$3:$D$15,2,FALSE)*FL$21),VLOOKUP($C26,$C$3:$D$15,2,FALSE)*FL$21-FK28)))</f>
        <v>0</v>
      </c>
      <c r="FM26" s="644">
        <f t="shared" ref="FM26" si="510" xml:space="preserve">
IF(FL28&gt;=VLOOKUP($C26,$C$3:$D$15,2,FALSE)*FM$21,0,
IF(AND(FL28&lt;VLOOKUP($C26,$C$3:$D$15,2,FALSE)*FM$21,FM27&lt;=VLOOKUP($C26,$C$3:$D$15,2,FALSE)*FM$21),IF(FM27-FL28&lt;0,0,FM27-FL28),
IF(AND(FL28&lt;VLOOKUP($C26,$C$3:$D$15,2,FALSE)*FM$21,FM27&gt;VLOOKUP($C26,$C$3:$D$15,2,FALSE)*FM$21),VLOOKUP($C26,$C$3:$D$15,2,FALSE)*FM$21-FL28)))</f>
        <v>0</v>
      </c>
      <c r="FN26" s="644">
        <f t="shared" ref="FN26" si="511" xml:space="preserve">
IF(FM28&gt;=VLOOKUP($C26,$C$3:$D$15,2,FALSE)*FN$21,0,
IF(AND(FM28&lt;VLOOKUP($C26,$C$3:$D$15,2,FALSE)*FN$21,FN27&lt;=VLOOKUP($C26,$C$3:$D$15,2,FALSE)*FN$21),IF(FN27-FM28&lt;0,0,FN27-FM28),
IF(AND(FM28&lt;VLOOKUP($C26,$C$3:$D$15,2,FALSE)*FN$21,FN27&gt;VLOOKUP($C26,$C$3:$D$15,2,FALSE)*FN$21),VLOOKUP($C26,$C$3:$D$15,2,FALSE)*FN$21-FM28)))</f>
        <v>0</v>
      </c>
      <c r="FO26" s="644">
        <f t="shared" ref="FO26" si="512" xml:space="preserve">
IF(FN28&gt;=VLOOKUP($C26,$C$3:$D$15,2,FALSE)*FO$21,0,
IF(AND(FN28&lt;VLOOKUP($C26,$C$3:$D$15,2,FALSE)*FO$21,FO27&lt;=VLOOKUP($C26,$C$3:$D$15,2,FALSE)*FO$21),IF(FO27-FN28&lt;0,0,FO27-FN28),
IF(AND(FN28&lt;VLOOKUP($C26,$C$3:$D$15,2,FALSE)*FO$21,FO27&gt;VLOOKUP($C26,$C$3:$D$15,2,FALSE)*FO$21),VLOOKUP($C26,$C$3:$D$15,2,FALSE)*FO$21-FN28)))</f>
        <v>0</v>
      </c>
      <c r="FP26" s="644">
        <f t="shared" ref="FP26" si="513" xml:space="preserve">
IF(FO28&gt;=VLOOKUP($C26,$C$3:$D$15,2,FALSE)*FP$21,0,
IF(AND(FO28&lt;VLOOKUP($C26,$C$3:$D$15,2,FALSE)*FP$21,FP27&lt;=VLOOKUP($C26,$C$3:$D$15,2,FALSE)*FP$21),IF(FP27-FO28&lt;0,0,FP27-FO28),
IF(AND(FO28&lt;VLOOKUP($C26,$C$3:$D$15,2,FALSE)*FP$21,FP27&gt;VLOOKUP($C26,$C$3:$D$15,2,FALSE)*FP$21),VLOOKUP($C26,$C$3:$D$15,2,FALSE)*FP$21-FO28)))</f>
        <v>0</v>
      </c>
      <c r="FQ26" s="644">
        <f t="shared" ref="FQ26" si="514" xml:space="preserve">
IF(FP28&gt;=VLOOKUP($C26,$C$3:$D$15,2,FALSE)*FQ$21,0,
IF(AND(FP28&lt;VLOOKUP($C26,$C$3:$D$15,2,FALSE)*FQ$21,FQ27&lt;=VLOOKUP($C26,$C$3:$D$15,2,FALSE)*FQ$21),IF(FQ27-FP28&lt;0,0,FQ27-FP28),
IF(AND(FP28&lt;VLOOKUP($C26,$C$3:$D$15,2,FALSE)*FQ$21,FQ27&gt;VLOOKUP($C26,$C$3:$D$15,2,FALSE)*FQ$21),VLOOKUP($C26,$C$3:$D$15,2,FALSE)*FQ$21-FP28)))</f>
        <v>0</v>
      </c>
      <c r="FR26" s="644">
        <f t="shared" ref="FR26" si="515" xml:space="preserve">
IF(FQ28&gt;=VLOOKUP($C26,$C$3:$D$15,2,FALSE)*FR$21,0,
IF(AND(FQ28&lt;VLOOKUP($C26,$C$3:$D$15,2,FALSE)*FR$21,FR27&lt;=VLOOKUP($C26,$C$3:$D$15,2,FALSE)*FR$21),IF(FR27-FQ28&lt;0,0,FR27-FQ28),
IF(AND(FQ28&lt;VLOOKUP($C26,$C$3:$D$15,2,FALSE)*FR$21,FR27&gt;VLOOKUP($C26,$C$3:$D$15,2,FALSE)*FR$21),VLOOKUP($C26,$C$3:$D$15,2,FALSE)*FR$21-FQ28)))</f>
        <v>0</v>
      </c>
      <c r="FS26" s="644">
        <f t="shared" ref="FS26" si="516" xml:space="preserve">
IF(FR28&gt;=VLOOKUP($C26,$C$3:$D$15,2,FALSE)*FS$21,0,
IF(AND(FR28&lt;VLOOKUP($C26,$C$3:$D$15,2,FALSE)*FS$21,FS27&lt;=VLOOKUP($C26,$C$3:$D$15,2,FALSE)*FS$21),IF(FS27-FR28&lt;0,0,FS27-FR28),
IF(AND(FR28&lt;VLOOKUP($C26,$C$3:$D$15,2,FALSE)*FS$21,FS27&gt;VLOOKUP($C26,$C$3:$D$15,2,FALSE)*FS$21),VLOOKUP($C26,$C$3:$D$15,2,FALSE)*FS$21-FR28)))</f>
        <v>0</v>
      </c>
      <c r="FT26" s="644">
        <f t="shared" ref="FT26" si="517" xml:space="preserve">
IF(FS28&gt;=VLOOKUP($C26,$C$3:$D$15,2,FALSE)*FT$21,0,
IF(AND(FS28&lt;VLOOKUP($C26,$C$3:$D$15,2,FALSE)*FT$21,FT27&lt;=VLOOKUP($C26,$C$3:$D$15,2,FALSE)*FT$21),IF(FT27-FS28&lt;0,0,FT27-FS28),
IF(AND(FS28&lt;VLOOKUP($C26,$C$3:$D$15,2,FALSE)*FT$21,FT27&gt;VLOOKUP($C26,$C$3:$D$15,2,FALSE)*FT$21),VLOOKUP($C26,$C$3:$D$15,2,FALSE)*FT$21-FS28)))</f>
        <v>0</v>
      </c>
      <c r="FU26" s="644">
        <f t="shared" ref="FU26" si="518" xml:space="preserve">
IF(FT28&gt;=VLOOKUP($C26,$C$3:$D$15,2,FALSE)*FU$21,0,
IF(AND(FT28&lt;VLOOKUP($C26,$C$3:$D$15,2,FALSE)*FU$21,FU27&lt;=VLOOKUP($C26,$C$3:$D$15,2,FALSE)*FU$21),IF(FU27-FT28&lt;0,0,FU27-FT28),
IF(AND(FT28&lt;VLOOKUP($C26,$C$3:$D$15,2,FALSE)*FU$21,FU27&gt;VLOOKUP($C26,$C$3:$D$15,2,FALSE)*FU$21),VLOOKUP($C26,$C$3:$D$15,2,FALSE)*FU$21-FT28)))</f>
        <v>0</v>
      </c>
      <c r="FV26" s="644">
        <f t="shared" ref="FV26" si="519" xml:space="preserve">
IF(FU28&gt;=VLOOKUP($C26,$C$3:$D$15,2,FALSE)*FV$21,0,
IF(AND(FU28&lt;VLOOKUP($C26,$C$3:$D$15,2,FALSE)*FV$21,FV27&lt;=VLOOKUP($C26,$C$3:$D$15,2,FALSE)*FV$21),IF(FV27-FU28&lt;0,0,FV27-FU28),
IF(AND(FU28&lt;VLOOKUP($C26,$C$3:$D$15,2,FALSE)*FV$21,FV27&gt;VLOOKUP($C26,$C$3:$D$15,2,FALSE)*FV$21),VLOOKUP($C26,$C$3:$D$15,2,FALSE)*FV$21-FU28)))</f>
        <v>0</v>
      </c>
      <c r="FW26" s="644">
        <f t="shared" ref="FW26" si="520" xml:space="preserve">
IF(FV28&gt;=VLOOKUP($C26,$C$3:$D$15,2,FALSE)*FW$21,0,
IF(AND(FV28&lt;VLOOKUP($C26,$C$3:$D$15,2,FALSE)*FW$21,FW27&lt;=VLOOKUP($C26,$C$3:$D$15,2,FALSE)*FW$21),IF(FW27-FV28&lt;0,0,FW27-FV28),
IF(AND(FV28&lt;VLOOKUP($C26,$C$3:$D$15,2,FALSE)*FW$21,FW27&gt;VLOOKUP($C26,$C$3:$D$15,2,FALSE)*FW$21),VLOOKUP($C26,$C$3:$D$15,2,FALSE)*FW$21-FV28)))</f>
        <v>0</v>
      </c>
      <c r="FX26" s="644">
        <f t="shared" ref="FX26" si="521" xml:space="preserve">
IF(FW28&gt;=VLOOKUP($C26,$C$3:$D$15,2,FALSE)*FX$21,0,
IF(AND(FW28&lt;VLOOKUP($C26,$C$3:$D$15,2,FALSE)*FX$21,FX27&lt;=VLOOKUP($C26,$C$3:$D$15,2,FALSE)*FX$21),IF(FX27-FW28&lt;0,0,FX27-FW28),
IF(AND(FW28&lt;VLOOKUP($C26,$C$3:$D$15,2,FALSE)*FX$21,FX27&gt;VLOOKUP($C26,$C$3:$D$15,2,FALSE)*FX$21),VLOOKUP($C26,$C$3:$D$15,2,FALSE)*FX$21-FW28)))</f>
        <v>0</v>
      </c>
      <c r="FY26" s="644">
        <f t="shared" ref="FY26" si="522" xml:space="preserve">
IF(FX28&gt;=VLOOKUP($C26,$C$3:$D$15,2,FALSE)*FY$21,0,
IF(AND(FX28&lt;VLOOKUP($C26,$C$3:$D$15,2,FALSE)*FY$21,FY27&lt;=VLOOKUP($C26,$C$3:$D$15,2,FALSE)*FY$21),IF(FY27-FX28&lt;0,0,FY27-FX28),
IF(AND(FX28&lt;VLOOKUP($C26,$C$3:$D$15,2,FALSE)*FY$21,FY27&gt;VLOOKUP($C26,$C$3:$D$15,2,FALSE)*FY$21),VLOOKUP($C26,$C$3:$D$15,2,FALSE)*FY$21-FX28)))</f>
        <v>0</v>
      </c>
      <c r="FZ26" s="644">
        <f t="shared" ref="FZ26" si="523" xml:space="preserve">
IF(FY28&gt;=VLOOKUP($C26,$C$3:$D$15,2,FALSE)*FZ$21,0,
IF(AND(FY28&lt;VLOOKUP($C26,$C$3:$D$15,2,FALSE)*FZ$21,FZ27&lt;=VLOOKUP($C26,$C$3:$D$15,2,FALSE)*FZ$21),IF(FZ27-FY28&lt;0,0,FZ27-FY28),
IF(AND(FY28&lt;VLOOKUP($C26,$C$3:$D$15,2,FALSE)*FZ$21,FZ27&gt;VLOOKUP($C26,$C$3:$D$15,2,FALSE)*FZ$21),VLOOKUP($C26,$C$3:$D$15,2,FALSE)*FZ$21-FY28)))</f>
        <v>0</v>
      </c>
      <c r="GA26" s="644">
        <f t="shared" ref="GA26" si="524" xml:space="preserve">
IF(FZ28&gt;=VLOOKUP($C26,$C$3:$D$15,2,FALSE)*GA$21,0,
IF(AND(FZ28&lt;VLOOKUP($C26,$C$3:$D$15,2,FALSE)*GA$21,GA27&lt;=VLOOKUP($C26,$C$3:$D$15,2,FALSE)*GA$21),IF(GA27-FZ28&lt;0,0,GA27-FZ28),
IF(AND(FZ28&lt;VLOOKUP($C26,$C$3:$D$15,2,FALSE)*GA$21,GA27&gt;VLOOKUP($C26,$C$3:$D$15,2,FALSE)*GA$21),VLOOKUP($C26,$C$3:$D$15,2,FALSE)*GA$21-FZ28)))</f>
        <v>0</v>
      </c>
      <c r="GB26" s="644">
        <f t="shared" ref="GB26" si="525" xml:space="preserve">
IF(GA28&gt;=VLOOKUP($C26,$C$3:$D$15,2,FALSE)*GB$21,0,
IF(AND(GA28&lt;VLOOKUP($C26,$C$3:$D$15,2,FALSE)*GB$21,GB27&lt;=VLOOKUP($C26,$C$3:$D$15,2,FALSE)*GB$21),IF(GB27-GA28&lt;0,0,GB27-GA28),
IF(AND(GA28&lt;VLOOKUP($C26,$C$3:$D$15,2,FALSE)*GB$21,GB27&gt;VLOOKUP($C26,$C$3:$D$15,2,FALSE)*GB$21),VLOOKUP($C26,$C$3:$D$15,2,FALSE)*GB$21-GA28)))</f>
        <v>0</v>
      </c>
      <c r="GC26" s="644">
        <f t="shared" ref="GC26" si="526" xml:space="preserve">
IF(GB28&gt;=VLOOKUP($C26,$C$3:$D$15,2,FALSE)*GC$21,0,
IF(AND(GB28&lt;VLOOKUP($C26,$C$3:$D$15,2,FALSE)*GC$21,GC27&lt;=VLOOKUP($C26,$C$3:$D$15,2,FALSE)*GC$21),IF(GC27-GB28&lt;0,0,GC27-GB28),
IF(AND(GB28&lt;VLOOKUP($C26,$C$3:$D$15,2,FALSE)*GC$21,GC27&gt;VLOOKUP($C26,$C$3:$D$15,2,FALSE)*GC$21),VLOOKUP($C26,$C$3:$D$15,2,FALSE)*GC$21-GB28)))</f>
        <v>0</v>
      </c>
      <c r="GD26" s="644">
        <f t="shared" ref="GD26" si="527" xml:space="preserve">
IF(GC28&gt;=VLOOKUP($C26,$C$3:$D$15,2,FALSE)*GD$21,0,
IF(AND(GC28&lt;VLOOKUP($C26,$C$3:$D$15,2,FALSE)*GD$21,GD27&lt;=VLOOKUP($C26,$C$3:$D$15,2,FALSE)*GD$21),IF(GD27-GC28&lt;0,0,GD27-GC28),
IF(AND(GC28&lt;VLOOKUP($C26,$C$3:$D$15,2,FALSE)*GD$21,GD27&gt;VLOOKUP($C26,$C$3:$D$15,2,FALSE)*GD$21),VLOOKUP($C26,$C$3:$D$15,2,FALSE)*GD$21-GC28)))</f>
        <v>0</v>
      </c>
      <c r="GE26" s="644">
        <f t="shared" ref="GE26" si="528" xml:space="preserve">
IF(GD28&gt;=VLOOKUP($C26,$C$3:$D$15,2,FALSE)*GE$21,0,
IF(AND(GD28&lt;VLOOKUP($C26,$C$3:$D$15,2,FALSE)*GE$21,GE27&lt;=VLOOKUP($C26,$C$3:$D$15,2,FALSE)*GE$21),IF(GE27-GD28&lt;0,0,GE27-GD28),
IF(AND(GD28&lt;VLOOKUP($C26,$C$3:$D$15,2,FALSE)*GE$21,GE27&gt;VLOOKUP($C26,$C$3:$D$15,2,FALSE)*GE$21),VLOOKUP($C26,$C$3:$D$15,2,FALSE)*GE$21-GD28)))</f>
        <v>0</v>
      </c>
      <c r="GF26" s="644">
        <f t="shared" ref="GF26" si="529" xml:space="preserve">
IF(GE28&gt;=VLOOKUP($C26,$C$3:$D$15,2,FALSE)*GF$21,0,
IF(AND(GE28&lt;VLOOKUP($C26,$C$3:$D$15,2,FALSE)*GF$21,GF27&lt;=VLOOKUP($C26,$C$3:$D$15,2,FALSE)*GF$21),IF(GF27-GE28&lt;0,0,GF27-GE28),
IF(AND(GE28&lt;VLOOKUP($C26,$C$3:$D$15,2,FALSE)*GF$21,GF27&gt;VLOOKUP($C26,$C$3:$D$15,2,FALSE)*GF$21),VLOOKUP($C26,$C$3:$D$15,2,FALSE)*GF$21-GE28)))</f>
        <v>0</v>
      </c>
      <c r="GG26" s="644">
        <f t="shared" ref="GG26" si="530" xml:space="preserve">
IF(GF28&gt;=VLOOKUP($C26,$C$3:$D$15,2,FALSE)*GG$21,0,
IF(AND(GF28&lt;VLOOKUP($C26,$C$3:$D$15,2,FALSE)*GG$21,GG27&lt;=VLOOKUP($C26,$C$3:$D$15,2,FALSE)*GG$21),IF(GG27-GF28&lt;0,0,GG27-GF28),
IF(AND(GF28&lt;VLOOKUP($C26,$C$3:$D$15,2,FALSE)*GG$21,GG27&gt;VLOOKUP($C26,$C$3:$D$15,2,FALSE)*GG$21),VLOOKUP($C26,$C$3:$D$15,2,FALSE)*GG$21-GF28)))</f>
        <v>0</v>
      </c>
      <c r="GH26" s="644">
        <f t="shared" ref="GH26" si="531" xml:space="preserve">
IF(GG28&gt;=VLOOKUP($C26,$C$3:$D$15,2,FALSE)*GH$21,0,
IF(AND(GG28&lt;VLOOKUP($C26,$C$3:$D$15,2,FALSE)*GH$21,GH27&lt;=VLOOKUP($C26,$C$3:$D$15,2,FALSE)*GH$21),IF(GH27-GG28&lt;0,0,GH27-GG28),
IF(AND(GG28&lt;VLOOKUP($C26,$C$3:$D$15,2,FALSE)*GH$21,GH27&gt;VLOOKUP($C26,$C$3:$D$15,2,FALSE)*GH$21),VLOOKUP($C26,$C$3:$D$15,2,FALSE)*GH$21-GG28)))</f>
        <v>0</v>
      </c>
      <c r="GI26" s="644">
        <f t="shared" ref="GI26" si="532" xml:space="preserve">
IF(GH28&gt;=VLOOKUP($C26,$C$3:$D$15,2,FALSE)*GI$21,0,
IF(AND(GH28&lt;VLOOKUP($C26,$C$3:$D$15,2,FALSE)*GI$21,GI27&lt;=VLOOKUP($C26,$C$3:$D$15,2,FALSE)*GI$21),IF(GI27-GH28&lt;0,0,GI27-GH28),
IF(AND(GH28&lt;VLOOKUP($C26,$C$3:$D$15,2,FALSE)*GI$21,GI27&gt;VLOOKUP($C26,$C$3:$D$15,2,FALSE)*GI$21),VLOOKUP($C26,$C$3:$D$15,2,FALSE)*GI$21-GH28)))</f>
        <v>0</v>
      </c>
      <c r="GJ26" s="644">
        <f t="shared" ref="GJ26" si="533" xml:space="preserve">
IF(GI28&gt;=VLOOKUP($C26,$C$3:$D$15,2,FALSE)*GJ$21,0,
IF(AND(GI28&lt;VLOOKUP($C26,$C$3:$D$15,2,FALSE)*GJ$21,GJ27&lt;=VLOOKUP($C26,$C$3:$D$15,2,FALSE)*GJ$21),IF(GJ27-GI28&lt;0,0,GJ27-GI28),
IF(AND(GI28&lt;VLOOKUP($C26,$C$3:$D$15,2,FALSE)*GJ$21,GJ27&gt;VLOOKUP($C26,$C$3:$D$15,2,FALSE)*GJ$21),VLOOKUP($C26,$C$3:$D$15,2,FALSE)*GJ$21-GI28)))</f>
        <v>0</v>
      </c>
    </row>
    <row r="27" spans="2:192" s="645" customFormat="1">
      <c r="B27" s="654"/>
      <c r="C27" s="643"/>
      <c r="D27" s="769" t="s">
        <v>1467</v>
      </c>
      <c r="E27" s="774"/>
      <c r="F27" s="707"/>
      <c r="G27" s="644">
        <f>SUMIF(防護具!$Y$30:$Y$212,G$17&amp;$C26,防護具!$Q$30:$Q$212)</f>
        <v>0</v>
      </c>
      <c r="H27" s="644">
        <f>IFERROR(
SUM(G27,SUMIF(防護具!$Y$30:$Y$212,H$17&amp;$C26,防護具!$Q$30:$Q$212))-G26,0)</f>
        <v>0</v>
      </c>
      <c r="I27" s="644">
        <f>IFERROR(
SUM(H27,SUMIF(防護具!$Y$30:$Y$212,I$17&amp;$C26,防護具!$Q$30:$Q$212))-H26,0)</f>
        <v>0</v>
      </c>
      <c r="J27" s="644">
        <f>IFERROR(
SUM(I27,SUMIF(防護具!$Y$30:$Y$212,J$17&amp;$C26,防護具!$Q$30:$Q$212))-I26,0)</f>
        <v>0</v>
      </c>
      <c r="K27" s="644">
        <f>IFERROR(
SUM(J27,SUMIF(防護具!$Y$30:$Y$212,K$17&amp;$C26,防護具!$Q$30:$Q$212))-J26,0)</f>
        <v>0</v>
      </c>
      <c r="L27" s="644">
        <f>IFERROR(
SUM(K27,SUMIF(防護具!$Y$30:$Y$212,L$17&amp;$C26,防護具!$Q$30:$Q$212))-K26,0)</f>
        <v>0</v>
      </c>
      <c r="M27" s="644">
        <f>IFERROR(
SUM(L27,SUMIF(防護具!$Y$30:$Y$212,M$17&amp;$C26,防護具!$Q$30:$Q$212))-L26,0)</f>
        <v>0</v>
      </c>
      <c r="N27" s="644">
        <f>IFERROR(
SUM(M27,SUMIF(防護具!$Y$30:$Y$212,N$17&amp;$C26,防護具!$Q$30:$Q$212))-M26,0)</f>
        <v>0</v>
      </c>
      <c r="O27" s="644">
        <f>IFERROR(
SUM(N27,SUMIF(防護具!$Y$30:$Y$212,O$17&amp;$C26,防護具!$Q$30:$Q$212))-N26,0)</f>
        <v>0</v>
      </c>
      <c r="P27" s="644">
        <f>IFERROR(
SUM(O27,SUMIF(防護具!$Y$30:$Y$212,P$17&amp;$C26,防護具!$Q$30:$Q$212))-O26,0)</f>
        <v>0</v>
      </c>
      <c r="Q27" s="644">
        <f>IFERROR(
SUM(P27,SUMIF(防護具!$Y$30:$Y$212,Q$17&amp;$C26,防護具!$Q$30:$Q$212))-P26,0)</f>
        <v>0</v>
      </c>
      <c r="R27" s="644">
        <f>IFERROR(
SUM(Q27,SUMIF(防護具!$Y$30:$Y$212,R$17&amp;$C26,防護具!$Q$30:$Q$212))-Q26,0)</f>
        <v>0</v>
      </c>
      <c r="S27" s="644">
        <f>IFERROR(
SUM(R27,SUMIF(防護具!$Y$30:$Y$212,S$17&amp;$C26,防護具!$Q$30:$Q$212))-R26,0)</f>
        <v>0</v>
      </c>
      <c r="T27" s="644">
        <f>IFERROR(
SUM(S27,SUMIF(防護具!$Y$30:$Y$212,T$17&amp;$C26,防護具!$Q$30:$Q$212))-S26,0)</f>
        <v>0</v>
      </c>
      <c r="U27" s="644">
        <f>IFERROR(
SUM(T27,SUMIF(防護具!$Y$30:$Y$212,U$17&amp;$C26,防護具!$Q$30:$Q$212))-T26,0)</f>
        <v>0</v>
      </c>
      <c r="V27" s="644">
        <f>IFERROR(
SUM(U27,SUMIF(防護具!$Y$30:$Y$212,V$17&amp;$C26,防護具!$Q$30:$Q$212))-U26,0)</f>
        <v>0</v>
      </c>
      <c r="W27" s="644">
        <f>IFERROR(
SUM(V27,SUMIF(防護具!$Y$30:$Y$212,W$17&amp;$C26,防護具!$Q$30:$Q$212))-V26,0)</f>
        <v>0</v>
      </c>
      <c r="X27" s="644">
        <f>IFERROR(
SUM(W27,SUMIF(防護具!$Y$30:$Y$212,X$17&amp;$C26,防護具!$Q$30:$Q$212))-W26,0)</f>
        <v>0</v>
      </c>
      <c r="Y27" s="644">
        <f>IFERROR(
SUM(X27,SUMIF(防護具!$Y$30:$Y$212,Y$17&amp;$C26,防護具!$Q$30:$Q$212))-X26,0)</f>
        <v>0</v>
      </c>
      <c r="Z27" s="644">
        <f>IFERROR(
SUM(Y27,SUMIF(防護具!$Y$30:$Y$212,Z$17&amp;$C26,防護具!$Q$30:$Q$212))-Y26,0)</f>
        <v>0</v>
      </c>
      <c r="AA27" s="644">
        <f>IFERROR(
SUM(Z27,SUMIF(防護具!$Y$30:$Y$212,AA$17&amp;$C26,防護具!$Q$30:$Q$212))-Z26,0)</f>
        <v>0</v>
      </c>
      <c r="AB27" s="644">
        <f>IFERROR(
SUM(AA27,SUMIF(防護具!$Y$30:$Y$212,AB$17&amp;$C26,防護具!$Q$30:$Q$212))-AA26,0)</f>
        <v>0</v>
      </c>
      <c r="AC27" s="644">
        <f>IFERROR(
SUM(AB27,SUMIF(防護具!$Y$30:$Y$212,AC$17&amp;$C26,防護具!$Q$30:$Q$212))-AB26,0)</f>
        <v>0</v>
      </c>
      <c r="AD27" s="644">
        <f>IFERROR(
SUM(AC27,SUMIF(防護具!$Y$30:$Y$212,AD$17&amp;$C26,防護具!$Q$30:$Q$212))-AC26,0)</f>
        <v>0</v>
      </c>
      <c r="AE27" s="644">
        <f>IFERROR(
SUM(AD27,SUMIF(防護具!$Y$30:$Y$212,AE$17&amp;$C26,防護具!$Q$30:$Q$212))-AD26,0)</f>
        <v>0</v>
      </c>
      <c r="AF27" s="644">
        <f>IFERROR(
SUM(AE27,SUMIF(防護具!$Y$30:$Y$212,AF$17&amp;$C26,防護具!$Q$30:$Q$212))-AE26,0)</f>
        <v>0</v>
      </c>
      <c r="AG27" s="644">
        <f>IFERROR(
SUM(AF27,SUMIF(防護具!$Y$30:$Y$212,AG$17&amp;$C26,防護具!$Q$30:$Q$212))-AF26,0)</f>
        <v>0</v>
      </c>
      <c r="AH27" s="644">
        <f>IFERROR(
SUM(AG27,SUMIF(防護具!$Y$30:$Y$212,AH$17&amp;$C26,防護具!$Q$30:$Q$212))-AG26,0)</f>
        <v>0</v>
      </c>
      <c r="AI27" s="644">
        <f>IFERROR(
SUM(AH27,SUMIF(防護具!$Y$30:$Y$212,AI$17&amp;$C26,防護具!$Q$30:$Q$212))-AH26,0)</f>
        <v>0</v>
      </c>
      <c r="AJ27" s="644">
        <f>IFERROR(
SUM(AI27,SUMIF(防護具!$Y$30:$Y$212,AJ$17&amp;$C26,防護具!$Q$30:$Q$212))-AI26,0)</f>
        <v>0</v>
      </c>
      <c r="AK27" s="644">
        <f>IFERROR(
SUM(AJ27,SUMIF(防護具!$Y$30:$Y$212,AK$17&amp;$C26,防護具!$Q$30:$Q$212))-AJ26,0)</f>
        <v>0</v>
      </c>
      <c r="AL27" s="644">
        <f>IFERROR(
SUM(AK27,SUMIF(防護具!$Y$30:$Y$212,AL$17&amp;$C26,防護具!$Q$30:$Q$212))-AK26,0)</f>
        <v>0</v>
      </c>
      <c r="AM27" s="644">
        <f>IFERROR(
SUM(AL27,SUMIF(防護具!$Y$30:$Y$212,AM$17&amp;$C26,防護具!$Q$30:$Q$212))-AL26,0)</f>
        <v>0</v>
      </c>
      <c r="AN27" s="644">
        <f>IFERROR(
SUM(AM27,SUMIF(防護具!$Y$30:$Y$212,AN$17&amp;$C26,防護具!$Q$30:$Q$212))-AM26,0)</f>
        <v>0</v>
      </c>
      <c r="AO27" s="644">
        <f>IFERROR(
SUM(AN27,SUMIF(防護具!$Y$30:$Y$212,AO$17&amp;$C26,防護具!$Q$30:$Q$212))-AN26,0)</f>
        <v>0</v>
      </c>
      <c r="AP27" s="644">
        <f>IFERROR(
SUM(AO27,SUMIF(防護具!$Y$30:$Y$212,AP$17&amp;$C26,防護具!$Q$30:$Q$212))-AO26,0)</f>
        <v>0</v>
      </c>
      <c r="AQ27" s="644">
        <f>IFERROR(
SUM(AP27,SUMIF(防護具!$Y$30:$Y$212,AQ$17&amp;$C26,防護具!$Q$30:$Q$212))-AP26,0)</f>
        <v>0</v>
      </c>
      <c r="AR27" s="644">
        <f>IFERROR(
SUM(AQ27,SUMIF(防護具!$Y$30:$Y$212,AR$17&amp;$C26,防護具!$Q$30:$Q$212))-AQ26,0)</f>
        <v>0</v>
      </c>
      <c r="AS27" s="644">
        <f>IFERROR(
SUM(AR27,SUMIF(防護具!$Y$30:$Y$212,AS$17&amp;$C26,防護具!$Q$30:$Q$212))-AR26,0)</f>
        <v>0</v>
      </c>
      <c r="AT27" s="644">
        <f>IFERROR(
SUM(AS27,SUMIF(防護具!$Y$30:$Y$212,AT$17&amp;$C26,防護具!$Q$30:$Q$212))-AS26,0)</f>
        <v>0</v>
      </c>
      <c r="AU27" s="644">
        <f>IFERROR(
SUM(AT27,SUMIF(防護具!$Y$30:$Y$212,AU$17&amp;$C26,防護具!$Q$30:$Q$212))-AT26,0)</f>
        <v>0</v>
      </c>
      <c r="AV27" s="644">
        <f>IFERROR(
SUM(AU27,SUMIF(防護具!$Y$30:$Y$212,AV$17&amp;$C26,防護具!$Q$30:$Q$212))-AU26,0)</f>
        <v>0</v>
      </c>
      <c r="AW27" s="644">
        <f>IFERROR(
SUM(AV27,SUMIF(防護具!$Y$30:$Y$212,AW$17&amp;$C26,防護具!$Q$30:$Q$212))-AV26,0)</f>
        <v>0</v>
      </c>
      <c r="AX27" s="644">
        <f>IFERROR(
SUM(AW27,SUMIF(防護具!$Y$30:$Y$212,AX$17&amp;$C26,防護具!$Q$30:$Q$212))-AW26,0)</f>
        <v>0</v>
      </c>
      <c r="AY27" s="644">
        <f>IFERROR(
SUM(AX27,SUMIF(防護具!$Y$30:$Y$212,AY$17&amp;$C26,防護具!$Q$30:$Q$212))-AX26,0)</f>
        <v>0</v>
      </c>
      <c r="AZ27" s="644">
        <f>IFERROR(
SUM(AY27,SUMIF(防護具!$Y$30:$Y$212,AZ$17&amp;$C26,防護具!$Q$30:$Q$212))-AY26,0)</f>
        <v>0</v>
      </c>
      <c r="BA27" s="644">
        <f>IFERROR(
SUM(AZ27,SUMIF(防護具!$Y$30:$Y$212,BA$17&amp;$C26,防護具!$Q$30:$Q$212))-AZ26,0)</f>
        <v>0</v>
      </c>
      <c r="BB27" s="644">
        <f>IFERROR(
SUM(BA27,SUMIF(防護具!$Y$30:$Y$212,BB$17&amp;$C26,防護具!$Q$30:$Q$212))-BA26,0)</f>
        <v>0</v>
      </c>
      <c r="BC27" s="644">
        <f>IFERROR(
SUM(BB27,SUMIF(防護具!$Y$30:$Y$212,BC$17&amp;$C26,防護具!$Q$30:$Q$212))-BB26,0)</f>
        <v>0</v>
      </c>
      <c r="BD27" s="644">
        <f>IFERROR(
SUM(BC27,SUMIF(防護具!$Y$30:$Y$212,BD$17&amp;$C26,防護具!$Q$30:$Q$212))-BC26,0)</f>
        <v>0</v>
      </c>
      <c r="BE27" s="644">
        <f>IFERROR(
SUM(BD27,SUMIF(防護具!$Y$30:$Y$212,BE$17&amp;$C26,防護具!$Q$30:$Q$212))-BD26,0)</f>
        <v>0</v>
      </c>
      <c r="BF27" s="644">
        <f>IFERROR(
SUM(BE27,SUMIF(防護具!$Y$30:$Y$212,BF$17&amp;$C26,防護具!$Q$30:$Q$212))-BE26,0)</f>
        <v>0</v>
      </c>
      <c r="BG27" s="644">
        <f>IFERROR(
SUM(BF27,SUMIF(防護具!$Y$30:$Y$212,BG$17&amp;$C26,防護具!$Q$30:$Q$212))-BF26,0)</f>
        <v>0</v>
      </c>
      <c r="BH27" s="644">
        <f>IFERROR(
SUM(BG27,SUMIF(防護具!$Y$30:$Y$212,BH$17&amp;$C26,防護具!$Q$30:$Q$212))-BG26,0)</f>
        <v>0</v>
      </c>
      <c r="BI27" s="644">
        <f>IFERROR(
SUM(BH27,SUMIF(防護具!$Y$30:$Y$212,BI$17&amp;$C26,防護具!$Q$30:$Q$212))-BH26,0)</f>
        <v>0</v>
      </c>
      <c r="BJ27" s="644">
        <f>IFERROR(
SUM(BI27,SUMIF(防護具!$Y$30:$Y$212,BJ$17&amp;$C26,防護具!$Q$30:$Q$212))-BI26,0)</f>
        <v>0</v>
      </c>
      <c r="BK27" s="644">
        <f>IFERROR(
SUM(BJ27,SUMIF(防護具!$Y$30:$Y$212,BK$17&amp;$C26,防護具!$Q$30:$Q$212))-BJ26,0)</f>
        <v>0</v>
      </c>
      <c r="BL27" s="644">
        <f>IFERROR(
SUM(BK27,SUMIF(防護具!$Y$30:$Y$212,BL$17&amp;$C26,防護具!$Q$30:$Q$212))-BK26,0)</f>
        <v>0</v>
      </c>
      <c r="BM27" s="644">
        <f>IFERROR(
SUM(BL27,SUMIF(防護具!$Y$30:$Y$212,BM$17&amp;$C26,防護具!$Q$30:$Q$212))-BL26,0)</f>
        <v>0</v>
      </c>
      <c r="BN27" s="644">
        <f>IFERROR(
SUM(BM27,SUMIF(防護具!$Y$30:$Y$212,BN$17&amp;$C26,防護具!$Q$30:$Q$212))-BM26,0)</f>
        <v>0</v>
      </c>
      <c r="BO27" s="644">
        <f>IFERROR(
SUM(BN27,SUMIF(防護具!$Y$30:$Y$212,BO$17&amp;$C26,防護具!$Q$30:$Q$212))-BN26,0)</f>
        <v>0</v>
      </c>
      <c r="BP27" s="644">
        <f>IFERROR(
SUM(BO27,SUMIF(防護具!$Y$30:$Y$212,BP$17&amp;$C26,防護具!$Q$30:$Q$212))-BO26,0)</f>
        <v>0</v>
      </c>
      <c r="BQ27" s="644">
        <f>IFERROR(
SUM(BP27,SUMIF(防護具!$Y$30:$Y$212,BQ$17&amp;$C26,防護具!$Q$30:$Q$212))-BP26,0)</f>
        <v>0</v>
      </c>
      <c r="BR27" s="644">
        <f>IFERROR(
SUM(BQ27,SUMIF(防護具!$Y$30:$Y$212,BR$17&amp;$C26,防護具!$Q$30:$Q$212))-BQ26,0)</f>
        <v>0</v>
      </c>
      <c r="BS27" s="644">
        <f>IFERROR(
SUM(BR27,SUMIF(防護具!$Y$30:$Y$212,BS$17&amp;$C26,防護具!$Q$30:$Q$212))-BR26,0)</f>
        <v>0</v>
      </c>
      <c r="BT27" s="644">
        <f>IFERROR(
SUM(BS27,SUMIF(防護具!$Y$30:$Y$212,BT$17&amp;$C26,防護具!$Q$30:$Q$212))-BS26,0)</f>
        <v>0</v>
      </c>
      <c r="BU27" s="644">
        <f>IFERROR(
SUM(BT27,SUMIF(防護具!$Y$30:$Y$212,BU$17&amp;$C26,防護具!$Q$30:$Q$212))-BT26,0)</f>
        <v>0</v>
      </c>
      <c r="BV27" s="644">
        <f>IFERROR(
SUM(BU27,SUMIF(防護具!$Y$30:$Y$212,BV$17&amp;$C26,防護具!$Q$30:$Q$212))-BU26,0)</f>
        <v>0</v>
      </c>
      <c r="BW27" s="644">
        <f>IFERROR(
SUM(BV27,SUMIF(防護具!$Y$30:$Y$212,BW$17&amp;$C26,防護具!$Q$30:$Q$212))-BV26,0)</f>
        <v>0</v>
      </c>
      <c r="BX27" s="644">
        <f>IFERROR(
SUM(BW27,SUMIF(防護具!$Y$30:$Y$212,BX$17&amp;$C26,防護具!$Q$30:$Q$212))-BW26,0)</f>
        <v>0</v>
      </c>
      <c r="BY27" s="644">
        <f>IFERROR(
SUM(BX27,SUMIF(防護具!$Y$30:$Y$212,BY$17&amp;$C26,防護具!$Q$30:$Q$212))-BX26,0)</f>
        <v>0</v>
      </c>
      <c r="BZ27" s="644">
        <f>IFERROR(
SUM(BY27,SUMIF(防護具!$Y$30:$Y$212,BZ$17&amp;$C26,防護具!$Q$30:$Q$212))-BY26,0)</f>
        <v>0</v>
      </c>
      <c r="CA27" s="644">
        <f>IFERROR(
SUM(BZ27,SUMIF(防護具!$Y$30:$Y$212,CA$17&amp;$C26,防護具!$Q$30:$Q$212))-BZ26,0)</f>
        <v>0</v>
      </c>
      <c r="CB27" s="644">
        <f>IFERROR(
SUM(CA27,SUMIF(防護具!$Y$30:$Y$212,CB$17&amp;$C26,防護具!$Q$30:$Q$212))-CA26,0)</f>
        <v>0</v>
      </c>
      <c r="CC27" s="644">
        <f>IFERROR(
SUM(CB27,SUMIF(防護具!$Y$30:$Y$212,CC$17&amp;$C26,防護具!$Q$30:$Q$212))-CB26,0)</f>
        <v>0</v>
      </c>
      <c r="CD27" s="644">
        <f>IFERROR(
SUM(CC27,SUMIF(防護具!$Y$30:$Y$212,CD$17&amp;$C26,防護具!$Q$30:$Q$212))-CC26,0)</f>
        <v>0</v>
      </c>
      <c r="CE27" s="644">
        <f>IFERROR(
SUM(CD27,SUMIF(防護具!$Y$30:$Y$212,CE$17&amp;$C26,防護具!$Q$30:$Q$212))-CD26,0)</f>
        <v>0</v>
      </c>
      <c r="CF27" s="644">
        <f>IFERROR(
SUM(CE27,SUMIF(防護具!$Y$30:$Y$212,CF$17&amp;$C26,防護具!$Q$30:$Q$212))-CE26,0)</f>
        <v>0</v>
      </c>
      <c r="CG27" s="644">
        <f>IFERROR(
SUM(CF27,SUMIF(防護具!$Y$30:$Y$212,CG$17&amp;$C26,防護具!$Q$30:$Q$212))-CF26,0)</f>
        <v>0</v>
      </c>
      <c r="CH27" s="644">
        <f>IFERROR(
SUM(CG27,SUMIF(防護具!$Y$30:$Y$212,CH$17&amp;$C26,防護具!$Q$30:$Q$212))-CG26,0)</f>
        <v>0</v>
      </c>
      <c r="CI27" s="644">
        <f>IFERROR(
SUM(CH27,SUMIF(防護具!$Y$30:$Y$212,CI$17&amp;$C26,防護具!$Q$30:$Q$212))-CH26,0)</f>
        <v>0</v>
      </c>
      <c r="CJ27" s="644">
        <f>IFERROR(
SUM(CI27,SUMIF(防護具!$Y$30:$Y$212,CJ$17&amp;$C26,防護具!$Q$30:$Q$212))-CI26,0)</f>
        <v>0</v>
      </c>
      <c r="CK27" s="644">
        <f>IFERROR(
SUM(CJ27,SUMIF(防護具!$Y$30:$Y$212,CK$17&amp;$C26,防護具!$Q$30:$Q$212))-CJ26,0)</f>
        <v>0</v>
      </c>
      <c r="CL27" s="644">
        <f>IFERROR(
SUM(CK27,SUMIF(防護具!$Y$30:$Y$212,CL$17&amp;$C26,防護具!$Q$30:$Q$212))-CK26,0)</f>
        <v>0</v>
      </c>
      <c r="CM27" s="644">
        <f>IFERROR(
SUM(CL27,SUMIF(防護具!$Y$30:$Y$212,CM$17&amp;$C26,防護具!$Q$30:$Q$212))-CL26,0)</f>
        <v>0</v>
      </c>
      <c r="CN27" s="644">
        <f>IFERROR(
SUM(CM27,SUMIF(防護具!$Y$30:$Y$212,CN$17&amp;$C26,防護具!$Q$30:$Q$212))-CM26,0)</f>
        <v>0</v>
      </c>
      <c r="CO27" s="644">
        <f>IFERROR(
SUM(CN27,SUMIF(防護具!$Y$30:$Y$212,CO$17&amp;$C26,防護具!$Q$30:$Q$212))-CN26,0)</f>
        <v>0</v>
      </c>
      <c r="CP27" s="644">
        <f>IFERROR(
SUM(CO27,SUMIF(防護具!$Y$30:$Y$212,CP$17&amp;$C26,防護具!$Q$30:$Q$212))-CO26,0)</f>
        <v>0</v>
      </c>
      <c r="CQ27" s="644">
        <f>IFERROR(
SUM(CP27,SUMIF(防護具!$Y$30:$Y$212,CQ$17&amp;$C26,防護具!$Q$30:$Q$212))-CP26,0)</f>
        <v>0</v>
      </c>
      <c r="CR27" s="644">
        <f>IFERROR(
SUM(CQ27,SUMIF(防護具!$Y$30:$Y$212,CR$17&amp;$C26,防護具!$Q$30:$Q$212))-CQ26,0)</f>
        <v>0</v>
      </c>
      <c r="CS27" s="644">
        <f>IFERROR(
SUM(CR27,SUMIF(防護具!$Y$30:$Y$212,CS$17&amp;$C26,防護具!$Q$30:$Q$212))-CR26,0)</f>
        <v>0</v>
      </c>
      <c r="CT27" s="644">
        <f>IFERROR(
SUM(CS27,SUMIF(防護具!$Y$30:$Y$212,CT$17&amp;$C26,防護具!$Q$30:$Q$212))-CS26,0)</f>
        <v>0</v>
      </c>
      <c r="CU27" s="644">
        <f>IFERROR(
SUM(CT27,SUMIF(防護具!$Y$30:$Y$212,CU$17&amp;$C26,防護具!$Q$30:$Q$212))-CT26,0)</f>
        <v>0</v>
      </c>
      <c r="CV27" s="644">
        <f>IFERROR(
SUM(CU27,SUMIF(防護具!$Y$30:$Y$212,CV$17&amp;$C26,防護具!$Q$30:$Q$212))-CU26,0)</f>
        <v>0</v>
      </c>
      <c r="CW27" s="644">
        <f>IFERROR(
SUM(CV27,SUMIF(防護具!$Y$30:$Y$212,CW$17&amp;$C26,防護具!$Q$30:$Q$212))-CV26,0)</f>
        <v>0</v>
      </c>
      <c r="CX27" s="644">
        <f>IFERROR(
SUM(CW27,SUMIF(防護具!$Y$30:$Y$212,CX$17&amp;$C26,防護具!$Q$30:$Q$212))-CW26,0)</f>
        <v>0</v>
      </c>
      <c r="CY27" s="644">
        <f>IFERROR(
SUM(CX27,SUMIF(防護具!$Y$30:$Y$212,CY$17&amp;$C26,防護具!$Q$30:$Q$212))-CX26,0)</f>
        <v>0</v>
      </c>
      <c r="CZ27" s="644">
        <f>IFERROR(
SUM(CY27,SUMIF(防護具!$Y$30:$Y$212,CZ$17&amp;$C26,防護具!$Q$30:$Q$212))-CY26,0)</f>
        <v>0</v>
      </c>
      <c r="DA27" s="644">
        <f>IFERROR(
SUM(CZ27,SUMIF(防護具!$Y$30:$Y$212,DA$17&amp;$C26,防護具!$Q$30:$Q$212))-CZ26,0)</f>
        <v>0</v>
      </c>
      <c r="DB27" s="644">
        <f>IFERROR(
SUM(DA27,SUMIF(防護具!$Y$30:$Y$212,DB$17&amp;$C26,防護具!$Q$30:$Q$212))-DA26,0)</f>
        <v>0</v>
      </c>
      <c r="DC27" s="644">
        <f>IFERROR(
SUM(DB27,SUMIF(防護具!$Y$30:$Y$212,DC$17&amp;$C26,防護具!$Q$30:$Q$212))-DB26,0)</f>
        <v>0</v>
      </c>
      <c r="DD27" s="644">
        <f>IFERROR(
SUM(DC27,SUMIF(防護具!$Y$30:$Y$212,DD$17&amp;$C26,防護具!$Q$30:$Q$212))-DC26,0)</f>
        <v>0</v>
      </c>
      <c r="DE27" s="644">
        <f>IFERROR(
SUM(DD27,SUMIF(防護具!$Y$30:$Y$212,DE$17&amp;$C26,防護具!$Q$30:$Q$212))-DD26,0)</f>
        <v>0</v>
      </c>
      <c r="DF27" s="644">
        <f>IFERROR(
SUM(DE27,SUMIF(防護具!$Y$30:$Y$212,DF$17&amp;$C26,防護具!$Q$30:$Q$212))-DE26,0)</f>
        <v>0</v>
      </c>
      <c r="DG27" s="644">
        <f>IFERROR(
SUM(DF27,SUMIF(防護具!$Y$30:$Y$212,DG$17&amp;$C26,防護具!$Q$30:$Q$212))-DF26,0)</f>
        <v>0</v>
      </c>
      <c r="DH27" s="644">
        <f>IFERROR(
SUM(DG27,SUMIF(防護具!$Y$30:$Y$212,DH$17&amp;$C26,防護具!$Q$30:$Q$212))-DG26,0)</f>
        <v>0</v>
      </c>
      <c r="DI27" s="644">
        <f>IFERROR(
SUM(DH27,SUMIF(防護具!$Y$30:$Y$212,DI$17&amp;$C26,防護具!$Q$30:$Q$212))-DH26,0)</f>
        <v>0</v>
      </c>
      <c r="DJ27" s="644">
        <f>IFERROR(
SUM(DI27,SUMIF(防護具!$Y$30:$Y$212,DJ$17&amp;$C26,防護具!$Q$30:$Q$212))-DI26,0)</f>
        <v>0</v>
      </c>
      <c r="DK27" s="644">
        <f>IFERROR(
SUM(DJ27,SUMIF(防護具!$Y$30:$Y$212,DK$17&amp;$C26,防護具!$Q$30:$Q$212))-DJ26,0)</f>
        <v>0</v>
      </c>
      <c r="DL27" s="644">
        <f>IFERROR(
SUM(DK27,SUMIF(防護具!$Y$30:$Y$212,DL$17&amp;$C26,防護具!$Q$30:$Q$212))-DK26,0)</f>
        <v>0</v>
      </c>
      <c r="DM27" s="644">
        <f>IFERROR(
SUM(DL27,SUMIF(防護具!$Y$30:$Y$212,DM$17&amp;$C26,防護具!$Q$30:$Q$212))-DL26,0)</f>
        <v>0</v>
      </c>
      <c r="DN27" s="644">
        <f>IFERROR(
SUM(DM27,SUMIF(防護具!$Y$30:$Y$212,DN$17&amp;$C26,防護具!$Q$30:$Q$212))-DM26,0)</f>
        <v>0</v>
      </c>
      <c r="DO27" s="644">
        <f>IFERROR(
SUM(DN27,SUMIF(防護具!$Y$30:$Y$212,DO$17&amp;$C26,防護具!$Q$30:$Q$212))-DN26,0)</f>
        <v>0</v>
      </c>
      <c r="DP27" s="644">
        <f>IFERROR(
SUM(DO27,SUMIF(防護具!$Y$30:$Y$212,DP$17&amp;$C26,防護具!$Q$30:$Q$212))-DO26,0)</f>
        <v>0</v>
      </c>
      <c r="DQ27" s="644">
        <f>IFERROR(
SUM(DP27,SUMIF(防護具!$Y$30:$Y$212,DQ$17&amp;$C26,防護具!$Q$30:$Q$212))-DP26,0)</f>
        <v>0</v>
      </c>
      <c r="DR27" s="644">
        <f>IFERROR(
SUM(DQ27,SUMIF(防護具!$Y$30:$Y$212,DR$17&amp;$C26,防護具!$Q$30:$Q$212))-DQ26,0)</f>
        <v>0</v>
      </c>
      <c r="DS27" s="644">
        <f>IFERROR(
SUM(DR27,SUMIF(防護具!$Y$30:$Y$212,DS$17&amp;$C26,防護具!$Q$30:$Q$212))-DR26,0)</f>
        <v>0</v>
      </c>
      <c r="DT27" s="644">
        <f>IFERROR(
SUM(DS27,SUMIF(防護具!$Y$30:$Y$212,DT$17&amp;$C26,防護具!$Q$30:$Q$212))-DS26,0)</f>
        <v>0</v>
      </c>
      <c r="DU27" s="644">
        <f>IFERROR(
SUM(DT27,SUMIF(防護具!$Y$30:$Y$212,DU$17&amp;$C26,防護具!$Q$30:$Q$212))-DT26,0)</f>
        <v>0</v>
      </c>
      <c r="DV27" s="644">
        <f>IFERROR(
SUM(DU27,SUMIF(防護具!$Y$30:$Y$212,DV$17&amp;$C26,防護具!$Q$30:$Q$212))-DU26,0)</f>
        <v>0</v>
      </c>
      <c r="DW27" s="644">
        <f>IFERROR(
SUM(DV27,SUMIF(防護具!$Y$30:$Y$212,DW$17&amp;$C26,防護具!$Q$30:$Q$212))-DV26,0)</f>
        <v>0</v>
      </c>
      <c r="DX27" s="644">
        <f>IFERROR(
SUM(DW27,SUMIF(防護具!$Y$30:$Y$212,DX$17&amp;$C26,防護具!$Q$30:$Q$212))-DW26,0)</f>
        <v>0</v>
      </c>
      <c r="DY27" s="644">
        <f>IFERROR(
SUM(DX27,SUMIF(防護具!$Y$30:$Y$212,DY$17&amp;$C26,防護具!$Q$30:$Q$212))-DX26,0)</f>
        <v>0</v>
      </c>
      <c r="DZ27" s="644">
        <f>IFERROR(
SUM(DY27,SUMIF(防護具!$Y$30:$Y$212,DZ$17&amp;$C26,防護具!$Q$30:$Q$212))-DY26,0)</f>
        <v>0</v>
      </c>
      <c r="EA27" s="644">
        <f>IFERROR(
SUM(DZ27,SUMIF(防護具!$Y$30:$Y$212,EA$17&amp;$C26,防護具!$Q$30:$Q$212))-DZ26,0)</f>
        <v>0</v>
      </c>
      <c r="EB27" s="644">
        <f>IFERROR(
SUM(EA27,SUMIF(防護具!$Y$30:$Y$212,EB$17&amp;$C26,防護具!$Q$30:$Q$212))-EA26,0)</f>
        <v>0</v>
      </c>
      <c r="EC27" s="644">
        <f>IFERROR(
SUM(EB27,SUMIF(防護具!$Y$30:$Y$212,EC$17&amp;$C26,防護具!$Q$30:$Q$212))-EB26,0)</f>
        <v>0</v>
      </c>
      <c r="ED27" s="644">
        <f>IFERROR(
SUM(EC27,SUMIF(防護具!$Y$30:$Y$212,ED$17&amp;$C26,防護具!$Q$30:$Q$212))-EC26,0)</f>
        <v>0</v>
      </c>
      <c r="EE27" s="644">
        <f>IFERROR(
SUM(ED27,SUMIF(防護具!$Y$30:$Y$212,EE$17&amp;$C26,防護具!$Q$30:$Q$212))-ED26,0)</f>
        <v>0</v>
      </c>
      <c r="EF27" s="644">
        <f>IFERROR(
SUM(EE27,SUMIF(防護具!$Y$30:$Y$212,EF$17&amp;$C26,防護具!$Q$30:$Q$212))-EE26,0)</f>
        <v>0</v>
      </c>
      <c r="EG27" s="644">
        <f>IFERROR(
SUM(EF27,SUMIF(防護具!$Y$30:$Y$212,EG$17&amp;$C26,防護具!$Q$30:$Q$212))-EF26,0)</f>
        <v>0</v>
      </c>
      <c r="EH27" s="644">
        <f>IFERROR(
SUM(EG27,SUMIF(防護具!$Y$30:$Y$212,EH$17&amp;$C26,防護具!$Q$30:$Q$212))-EG26,0)</f>
        <v>0</v>
      </c>
      <c r="EI27" s="644">
        <f>IFERROR(
SUM(EH27,SUMIF(防護具!$Y$30:$Y$212,EI$17&amp;$C26,防護具!$Q$30:$Q$212))-EH26,0)</f>
        <v>0</v>
      </c>
      <c r="EJ27" s="644">
        <f>IFERROR(
SUM(EI27,SUMIF(防護具!$Y$30:$Y$212,EJ$17&amp;$C26,防護具!$Q$30:$Q$212))-EI26,0)</f>
        <v>0</v>
      </c>
      <c r="EK27" s="644">
        <f>IFERROR(
SUM(EJ27,SUMIF(防護具!$Y$30:$Y$212,EK$17&amp;$C26,防護具!$Q$30:$Q$212))-EJ26,0)</f>
        <v>0</v>
      </c>
      <c r="EL27" s="644">
        <f>IFERROR(
SUM(EK27,SUMIF(防護具!$Y$30:$Y$212,EL$17&amp;$C26,防護具!$Q$30:$Q$212))-EK26,0)</f>
        <v>0</v>
      </c>
      <c r="EM27" s="644">
        <f>IFERROR(
SUM(EL27,SUMIF(防護具!$Y$30:$Y$212,EM$17&amp;$C26,防護具!$Q$30:$Q$212))-EL26,0)</f>
        <v>0</v>
      </c>
      <c r="EN27" s="644">
        <f>IFERROR(
SUM(EM27,SUMIF(防護具!$Y$30:$Y$212,EN$17&amp;$C26,防護具!$Q$30:$Q$212))-EM26,0)</f>
        <v>0</v>
      </c>
      <c r="EO27" s="644">
        <f>IFERROR(
SUM(EN27,SUMIF(防護具!$Y$30:$Y$212,EO$17&amp;$C26,防護具!$Q$30:$Q$212))-EN26,0)</f>
        <v>0</v>
      </c>
      <c r="EP27" s="644">
        <f>IFERROR(
SUM(EO27,SUMIF(防護具!$Y$30:$Y$212,EP$17&amp;$C26,防護具!$Q$30:$Q$212))-EO26,0)</f>
        <v>0</v>
      </c>
      <c r="EQ27" s="644">
        <f>IFERROR(
SUM(EP27,SUMIF(防護具!$Y$30:$Y$212,EQ$17&amp;$C26,防護具!$Q$30:$Q$212))-EP26,0)</f>
        <v>0</v>
      </c>
      <c r="ER27" s="644">
        <f>IFERROR(
SUM(EQ27,SUMIF(防護具!$Y$30:$Y$212,ER$17&amp;$C26,防護具!$Q$30:$Q$212))-EQ26,0)</f>
        <v>0</v>
      </c>
      <c r="ES27" s="644">
        <f>IFERROR(
SUM(ER27,SUMIF(防護具!$Y$30:$Y$212,ES$17&amp;$C26,防護具!$Q$30:$Q$212))-ER26,0)</f>
        <v>0</v>
      </c>
      <c r="ET27" s="644">
        <f>IFERROR(
SUM(ES27,SUMIF(防護具!$Y$30:$Y$212,ET$17&amp;$C26,防護具!$Q$30:$Q$212))-ES26,0)</f>
        <v>0</v>
      </c>
      <c r="EU27" s="644">
        <f>IFERROR(
SUM(ET27,SUMIF(防護具!$Y$30:$Y$212,EU$17&amp;$C26,防護具!$Q$30:$Q$212))-ET26,0)</f>
        <v>0</v>
      </c>
      <c r="EV27" s="644">
        <f>IFERROR(
SUM(EU27,SUMIF(防護具!$Y$30:$Y$212,EV$17&amp;$C26,防護具!$Q$30:$Q$212))-EU26,0)</f>
        <v>0</v>
      </c>
      <c r="EW27" s="644">
        <f>IFERROR(
SUM(EV27,SUMIF(防護具!$Y$30:$Y$212,EW$17&amp;$C26,防護具!$Q$30:$Q$212))-EV26,0)</f>
        <v>0</v>
      </c>
      <c r="EX27" s="644">
        <f>IFERROR(
SUM(EW27,SUMIF(防護具!$Y$30:$Y$212,EX$17&amp;$C26,防護具!$Q$30:$Q$212))-EW26,0)</f>
        <v>0</v>
      </c>
      <c r="EY27" s="644">
        <f>IFERROR(
SUM(EX27,SUMIF(防護具!$Y$30:$Y$212,EY$17&amp;$C26,防護具!$Q$30:$Q$212))-EX26,0)</f>
        <v>0</v>
      </c>
      <c r="EZ27" s="644">
        <f>IFERROR(
SUM(EY27,SUMIF(防護具!$Y$30:$Y$212,EZ$17&amp;$C26,防護具!$Q$30:$Q$212))-EY26,0)</f>
        <v>0</v>
      </c>
      <c r="FA27" s="644">
        <f>IFERROR(
SUM(EZ27,SUMIF(防護具!$Y$30:$Y$212,FA$17&amp;$C26,防護具!$Q$30:$Q$212))-EZ26,0)</f>
        <v>0</v>
      </c>
      <c r="FB27" s="644">
        <f>IFERROR(
SUM(FA27,SUMIF(防護具!$Y$30:$Y$212,FB$17&amp;$C26,防護具!$Q$30:$Q$212))-FA26,0)</f>
        <v>0</v>
      </c>
      <c r="FC27" s="644">
        <f>IFERROR(
SUM(FB27,SUMIF(防護具!$Y$30:$Y$212,FC$17&amp;$C26,防護具!$Q$30:$Q$212))-FB26,0)</f>
        <v>0</v>
      </c>
      <c r="FD27" s="644">
        <f>IFERROR(
SUM(FC27,SUMIF(防護具!$Y$30:$Y$212,FD$17&amp;$C26,防護具!$Q$30:$Q$212))-FC26,0)</f>
        <v>0</v>
      </c>
      <c r="FE27" s="644">
        <f>IFERROR(
SUM(FD27,SUMIF(防護具!$Y$30:$Y$212,FE$17&amp;$C26,防護具!$Q$30:$Q$212))-FD26,0)</f>
        <v>0</v>
      </c>
      <c r="FF27" s="644">
        <f>IFERROR(
SUM(FE27,SUMIF(防護具!$Y$30:$Y$212,FF$17&amp;$C26,防護具!$Q$30:$Q$212))-FE26,0)</f>
        <v>0</v>
      </c>
      <c r="FG27" s="644">
        <f>IFERROR(
SUM(FF27,SUMIF(防護具!$Y$30:$Y$212,FG$17&amp;$C26,防護具!$Q$30:$Q$212))-FF26,0)</f>
        <v>0</v>
      </c>
      <c r="FH27" s="644">
        <f>IFERROR(
SUM(FG27,SUMIF(防護具!$Y$30:$Y$212,FH$17&amp;$C26,防護具!$Q$30:$Q$212))-FG26,0)</f>
        <v>0</v>
      </c>
      <c r="FI27" s="644">
        <f>IFERROR(
SUM(FH27,SUMIF(防護具!$Y$30:$Y$212,FI$17&amp;$C26,防護具!$Q$30:$Q$212))-FH26,0)</f>
        <v>0</v>
      </c>
      <c r="FJ27" s="644">
        <f>IFERROR(
SUM(FI27,SUMIF(防護具!$Y$30:$Y$212,FJ$17&amp;$C26,防護具!$Q$30:$Q$212))-FI26,0)</f>
        <v>0</v>
      </c>
      <c r="FK27" s="644">
        <f>IFERROR(
SUM(FJ27,SUMIF(防護具!$Y$30:$Y$212,FK$17&amp;$C26,防護具!$Q$30:$Q$212))-FJ26,0)</f>
        <v>0</v>
      </c>
      <c r="FL27" s="644">
        <f>IFERROR(
SUM(FK27,SUMIF(防護具!$Y$30:$Y$212,FL$17&amp;$C26,防護具!$Q$30:$Q$212))-FK26,0)</f>
        <v>0</v>
      </c>
      <c r="FM27" s="644">
        <f>IFERROR(
SUM(FL27,SUMIF(防護具!$Y$30:$Y$212,FM$17&amp;$C26,防護具!$Q$30:$Q$212))-FL26,0)</f>
        <v>0</v>
      </c>
      <c r="FN27" s="644">
        <f>IFERROR(
SUM(FM27,SUMIF(防護具!$Y$30:$Y$212,FN$17&amp;$C26,防護具!$Q$30:$Q$212))-FM26,0)</f>
        <v>0</v>
      </c>
      <c r="FO27" s="644">
        <f>IFERROR(
SUM(FN27,SUMIF(防護具!$Y$30:$Y$212,FO$17&amp;$C26,防護具!$Q$30:$Q$212))-FN26,0)</f>
        <v>0</v>
      </c>
      <c r="FP27" s="644">
        <f>IFERROR(
SUM(FO27,SUMIF(防護具!$Y$30:$Y$212,FP$17&amp;$C26,防護具!$Q$30:$Q$212))-FO26,0)</f>
        <v>0</v>
      </c>
      <c r="FQ27" s="644">
        <f>IFERROR(
SUM(FP27,SUMIF(防護具!$Y$30:$Y$212,FQ$17&amp;$C26,防護具!$Q$30:$Q$212))-FP26,0)</f>
        <v>0</v>
      </c>
      <c r="FR27" s="644">
        <f>IFERROR(
SUM(FQ27,SUMIF(防護具!$Y$30:$Y$212,FR$17&amp;$C26,防護具!$Q$30:$Q$212))-FQ26,0)</f>
        <v>0</v>
      </c>
      <c r="FS27" s="644">
        <f>IFERROR(
SUM(FR27,SUMIF(防護具!$Y$30:$Y$212,FS$17&amp;$C26,防護具!$Q$30:$Q$212))-FR26,0)</f>
        <v>0</v>
      </c>
      <c r="FT27" s="644">
        <f>IFERROR(
SUM(FS27,SUMIF(防護具!$Y$30:$Y$212,FT$17&amp;$C26,防護具!$Q$30:$Q$212))-FS26,0)</f>
        <v>0</v>
      </c>
      <c r="FU27" s="644">
        <f>IFERROR(
SUM(FT27,SUMIF(防護具!$Y$30:$Y$212,FU$17&amp;$C26,防護具!$Q$30:$Q$212))-FT26,0)</f>
        <v>0</v>
      </c>
      <c r="FV27" s="644">
        <f>IFERROR(
SUM(FU27,SUMIF(防護具!$Y$30:$Y$212,FV$17&amp;$C26,防護具!$Q$30:$Q$212))-FU26,0)</f>
        <v>0</v>
      </c>
      <c r="FW27" s="644">
        <f>IFERROR(
SUM(FV27,SUMIF(防護具!$Y$30:$Y$212,FW$17&amp;$C26,防護具!$Q$30:$Q$212))-FV26,0)</f>
        <v>0</v>
      </c>
      <c r="FX27" s="644">
        <f>IFERROR(
SUM(FW27,SUMIF(防護具!$Y$30:$Y$212,FX$17&amp;$C26,防護具!$Q$30:$Q$212))-FW26,0)</f>
        <v>0</v>
      </c>
      <c r="FY27" s="644">
        <f>IFERROR(
SUM(FX27,SUMIF(防護具!$Y$30:$Y$212,FY$17&amp;$C26,防護具!$Q$30:$Q$212))-FX26,0)</f>
        <v>0</v>
      </c>
      <c r="FZ27" s="644">
        <f>IFERROR(
SUM(FY27,SUMIF(防護具!$Y$30:$Y$212,FZ$17&amp;$C26,防護具!$Q$30:$Q$212))-FY26,0)</f>
        <v>0</v>
      </c>
      <c r="GA27" s="644">
        <f>IFERROR(
SUM(FZ27,SUMIF(防護具!$Y$30:$Y$212,GA$17&amp;$C26,防護具!$Q$30:$Q$212))-FZ26,0)</f>
        <v>0</v>
      </c>
      <c r="GB27" s="644">
        <f>IFERROR(
SUM(GA27,SUMIF(防護具!$Y$30:$Y$212,GB$17&amp;$C26,防護具!$Q$30:$Q$212))-GA26,0)</f>
        <v>0</v>
      </c>
      <c r="GC27" s="644">
        <f>IFERROR(
SUM(GB27,SUMIF(防護具!$Y$30:$Y$212,GC$17&amp;$C26,防護具!$Q$30:$Q$212))-GB26,0)</f>
        <v>0</v>
      </c>
      <c r="GD27" s="644">
        <f>IFERROR(
SUM(GC27,SUMIF(防護具!$Y$30:$Y$212,GD$17&amp;$C26,防護具!$Q$30:$Q$212))-GC26,0)</f>
        <v>0</v>
      </c>
      <c r="GE27" s="644">
        <f>IFERROR(
SUM(GD27,SUMIF(防護具!$Y$30:$Y$212,GE$17&amp;$C26,防護具!$Q$30:$Q$212))-GD26,0)</f>
        <v>0</v>
      </c>
      <c r="GF27" s="644">
        <f>IFERROR(
SUM(GE27,SUMIF(防護具!$Y$30:$Y$212,GF$17&amp;$C26,防護具!$Q$30:$Q$212))-GE26,0)</f>
        <v>0</v>
      </c>
      <c r="GG27" s="644">
        <f>IFERROR(
SUM(GF27,SUMIF(防護具!$Y$30:$Y$212,GG$17&amp;$C26,防護具!$Q$30:$Q$212))-GF26,0)</f>
        <v>0</v>
      </c>
      <c r="GH27" s="644">
        <f>IFERROR(
SUM(GG27,SUMIF(防護具!$Y$30:$Y$212,GH$17&amp;$C26,防護具!$Q$30:$Q$212))-GG26,0)</f>
        <v>0</v>
      </c>
      <c r="GI27" s="644">
        <f>IFERROR(
SUM(GH27,SUMIF(防護具!$Y$30:$Y$212,GI$17&amp;$C26,防護具!$Q$30:$Q$212))-GH26,0)</f>
        <v>0</v>
      </c>
      <c r="GJ27" s="644">
        <f>IFERROR(
SUM(GI27,SUMIF(防護具!$Y$30:$Y$212,GJ$17&amp;$C26,防護具!$Q$30:$Q$212))-GI26,0)</f>
        <v>0</v>
      </c>
    </row>
    <row r="28" spans="2:192" s="645" customFormat="1">
      <c r="B28" s="654"/>
      <c r="C28" s="643"/>
      <c r="D28" s="769" t="s">
        <v>1468</v>
      </c>
      <c r="E28" s="774"/>
      <c r="F28" s="707"/>
      <c r="G28" s="644">
        <f>SUMIF(防護具!$Y$13:$Y$29,G$17&amp;PPE差引簿!C26,防護具!$Q$13:$Q$29)</f>
        <v>2000</v>
      </c>
      <c r="H28" s="644">
        <f xml:space="preserve">
IF(G28-VLOOKUP($C26,$C$3:$D$15,2,FALSE)*H$21&lt;0,0,G28-VLOOKUP($C26,$C$3:$D$15,2,FALSE)*H$21)</f>
        <v>2000</v>
      </c>
      <c r="I28" s="644">
        <f t="shared" ref="I28:BT28" si="534" xml:space="preserve">
IF(H28-VLOOKUP($C26,$C$3:$D$15,2,FALSE)*I$21&lt;0,0,H28-VLOOKUP($C26,$C$3:$D$15,2,FALSE)*I$21)</f>
        <v>2000</v>
      </c>
      <c r="J28" s="644">
        <f t="shared" si="534"/>
        <v>2000</v>
      </c>
      <c r="K28" s="644">
        <f t="shared" si="534"/>
        <v>2000</v>
      </c>
      <c r="L28" s="644">
        <f t="shared" si="534"/>
        <v>2000</v>
      </c>
      <c r="M28" s="644">
        <f t="shared" si="534"/>
        <v>2000</v>
      </c>
      <c r="N28" s="644">
        <f t="shared" si="534"/>
        <v>2000</v>
      </c>
      <c r="O28" s="644">
        <f t="shared" si="534"/>
        <v>2000</v>
      </c>
      <c r="P28" s="644">
        <f t="shared" si="534"/>
        <v>2000</v>
      </c>
      <c r="Q28" s="644">
        <f t="shared" si="534"/>
        <v>2000</v>
      </c>
      <c r="R28" s="644">
        <f t="shared" si="534"/>
        <v>2000</v>
      </c>
      <c r="S28" s="644">
        <f t="shared" si="534"/>
        <v>2000</v>
      </c>
      <c r="T28" s="644">
        <f t="shared" si="534"/>
        <v>2000</v>
      </c>
      <c r="U28" s="644">
        <f t="shared" si="534"/>
        <v>2000</v>
      </c>
      <c r="V28" s="644">
        <f t="shared" si="534"/>
        <v>2000</v>
      </c>
      <c r="W28" s="644">
        <f t="shared" si="534"/>
        <v>2000</v>
      </c>
      <c r="X28" s="644">
        <f t="shared" si="534"/>
        <v>2000</v>
      </c>
      <c r="Y28" s="644">
        <f t="shared" si="534"/>
        <v>2000</v>
      </c>
      <c r="Z28" s="644">
        <f t="shared" si="534"/>
        <v>2000</v>
      </c>
      <c r="AA28" s="644">
        <f t="shared" si="534"/>
        <v>2000</v>
      </c>
      <c r="AB28" s="644">
        <f t="shared" si="534"/>
        <v>2000</v>
      </c>
      <c r="AC28" s="644">
        <f t="shared" si="534"/>
        <v>2000</v>
      </c>
      <c r="AD28" s="644">
        <f t="shared" si="534"/>
        <v>2000</v>
      </c>
      <c r="AE28" s="644">
        <f t="shared" si="534"/>
        <v>2000</v>
      </c>
      <c r="AF28" s="644">
        <f t="shared" si="534"/>
        <v>2000</v>
      </c>
      <c r="AG28" s="644">
        <f t="shared" si="534"/>
        <v>2000</v>
      </c>
      <c r="AH28" s="644">
        <f t="shared" si="534"/>
        <v>2000</v>
      </c>
      <c r="AI28" s="644">
        <f t="shared" si="534"/>
        <v>2000</v>
      </c>
      <c r="AJ28" s="644">
        <f t="shared" si="534"/>
        <v>2000</v>
      </c>
      <c r="AK28" s="644">
        <f t="shared" si="534"/>
        <v>2000</v>
      </c>
      <c r="AL28" s="644">
        <f t="shared" si="534"/>
        <v>2000</v>
      </c>
      <c r="AM28" s="644">
        <f t="shared" si="534"/>
        <v>2000</v>
      </c>
      <c r="AN28" s="644">
        <f t="shared" si="534"/>
        <v>2000</v>
      </c>
      <c r="AO28" s="644">
        <f t="shared" si="534"/>
        <v>2000</v>
      </c>
      <c r="AP28" s="644">
        <f t="shared" si="534"/>
        <v>2000</v>
      </c>
      <c r="AQ28" s="644">
        <f t="shared" si="534"/>
        <v>2000</v>
      </c>
      <c r="AR28" s="644">
        <f t="shared" si="534"/>
        <v>2000</v>
      </c>
      <c r="AS28" s="644">
        <f t="shared" si="534"/>
        <v>2000</v>
      </c>
      <c r="AT28" s="644">
        <f t="shared" si="534"/>
        <v>2000</v>
      </c>
      <c r="AU28" s="644">
        <f t="shared" si="534"/>
        <v>2000</v>
      </c>
      <c r="AV28" s="644">
        <f t="shared" si="534"/>
        <v>2000</v>
      </c>
      <c r="AW28" s="644">
        <f t="shared" si="534"/>
        <v>2000</v>
      </c>
      <c r="AX28" s="644">
        <f t="shared" si="534"/>
        <v>2000</v>
      </c>
      <c r="AY28" s="644">
        <f t="shared" si="534"/>
        <v>2000</v>
      </c>
      <c r="AZ28" s="644">
        <f t="shared" si="534"/>
        <v>2000</v>
      </c>
      <c r="BA28" s="644">
        <f t="shared" si="534"/>
        <v>2000</v>
      </c>
      <c r="BB28" s="644">
        <f t="shared" si="534"/>
        <v>2000</v>
      </c>
      <c r="BC28" s="644">
        <f t="shared" si="534"/>
        <v>2000</v>
      </c>
      <c r="BD28" s="644">
        <f t="shared" si="534"/>
        <v>2000</v>
      </c>
      <c r="BE28" s="644">
        <f t="shared" si="534"/>
        <v>2000</v>
      </c>
      <c r="BF28" s="644">
        <f t="shared" si="534"/>
        <v>2000</v>
      </c>
      <c r="BG28" s="644">
        <f t="shared" si="534"/>
        <v>2000</v>
      </c>
      <c r="BH28" s="644">
        <f t="shared" si="534"/>
        <v>2000</v>
      </c>
      <c r="BI28" s="644">
        <f t="shared" si="534"/>
        <v>2000</v>
      </c>
      <c r="BJ28" s="644">
        <f t="shared" si="534"/>
        <v>2000</v>
      </c>
      <c r="BK28" s="644">
        <f t="shared" si="534"/>
        <v>2000</v>
      </c>
      <c r="BL28" s="644">
        <f t="shared" si="534"/>
        <v>2000</v>
      </c>
      <c r="BM28" s="644">
        <f t="shared" si="534"/>
        <v>2000</v>
      </c>
      <c r="BN28" s="644">
        <f t="shared" si="534"/>
        <v>2000</v>
      </c>
      <c r="BO28" s="644">
        <f t="shared" si="534"/>
        <v>2000</v>
      </c>
      <c r="BP28" s="644">
        <f t="shared" si="534"/>
        <v>2000</v>
      </c>
      <c r="BQ28" s="644">
        <f t="shared" si="534"/>
        <v>2000</v>
      </c>
      <c r="BR28" s="644">
        <f t="shared" si="534"/>
        <v>2000</v>
      </c>
      <c r="BS28" s="644">
        <f t="shared" si="534"/>
        <v>2000</v>
      </c>
      <c r="BT28" s="644">
        <f t="shared" si="534"/>
        <v>2000</v>
      </c>
      <c r="BU28" s="644">
        <f t="shared" ref="BU28:EF28" si="535" xml:space="preserve">
IF(BT28-VLOOKUP($C26,$C$3:$D$15,2,FALSE)*BU$21&lt;0,0,BT28-VLOOKUP($C26,$C$3:$D$15,2,FALSE)*BU$21)</f>
        <v>2000</v>
      </c>
      <c r="BV28" s="644">
        <f t="shared" si="535"/>
        <v>2000</v>
      </c>
      <c r="BW28" s="644">
        <f t="shared" si="535"/>
        <v>2000</v>
      </c>
      <c r="BX28" s="644">
        <f t="shared" si="535"/>
        <v>2000</v>
      </c>
      <c r="BY28" s="644">
        <f t="shared" si="535"/>
        <v>2000</v>
      </c>
      <c r="BZ28" s="644">
        <f t="shared" si="535"/>
        <v>2000</v>
      </c>
      <c r="CA28" s="644">
        <f t="shared" si="535"/>
        <v>2000</v>
      </c>
      <c r="CB28" s="644">
        <f t="shared" si="535"/>
        <v>2000</v>
      </c>
      <c r="CC28" s="644">
        <f t="shared" si="535"/>
        <v>2000</v>
      </c>
      <c r="CD28" s="644">
        <f t="shared" si="535"/>
        <v>2000</v>
      </c>
      <c r="CE28" s="644">
        <f t="shared" si="535"/>
        <v>2000</v>
      </c>
      <c r="CF28" s="644">
        <f t="shared" si="535"/>
        <v>2000</v>
      </c>
      <c r="CG28" s="644">
        <f t="shared" si="535"/>
        <v>2000</v>
      </c>
      <c r="CH28" s="644">
        <f t="shared" si="535"/>
        <v>2000</v>
      </c>
      <c r="CI28" s="644">
        <f t="shared" si="535"/>
        <v>2000</v>
      </c>
      <c r="CJ28" s="644">
        <f t="shared" si="535"/>
        <v>2000</v>
      </c>
      <c r="CK28" s="644">
        <f t="shared" si="535"/>
        <v>2000</v>
      </c>
      <c r="CL28" s="644">
        <f t="shared" si="535"/>
        <v>2000</v>
      </c>
      <c r="CM28" s="644">
        <f t="shared" si="535"/>
        <v>2000</v>
      </c>
      <c r="CN28" s="644">
        <f t="shared" si="535"/>
        <v>2000</v>
      </c>
      <c r="CO28" s="644">
        <f t="shared" si="535"/>
        <v>2000</v>
      </c>
      <c r="CP28" s="644">
        <f t="shared" si="535"/>
        <v>2000</v>
      </c>
      <c r="CQ28" s="644">
        <f t="shared" si="535"/>
        <v>2000</v>
      </c>
      <c r="CR28" s="644">
        <f t="shared" si="535"/>
        <v>2000</v>
      </c>
      <c r="CS28" s="644">
        <f t="shared" si="535"/>
        <v>2000</v>
      </c>
      <c r="CT28" s="644">
        <f t="shared" si="535"/>
        <v>2000</v>
      </c>
      <c r="CU28" s="644">
        <f t="shared" si="535"/>
        <v>2000</v>
      </c>
      <c r="CV28" s="644">
        <f t="shared" si="535"/>
        <v>2000</v>
      </c>
      <c r="CW28" s="644">
        <f t="shared" si="535"/>
        <v>2000</v>
      </c>
      <c r="CX28" s="644">
        <f t="shared" si="535"/>
        <v>2000</v>
      </c>
      <c r="CY28" s="644">
        <f t="shared" si="535"/>
        <v>2000</v>
      </c>
      <c r="CZ28" s="644">
        <f t="shared" si="535"/>
        <v>2000</v>
      </c>
      <c r="DA28" s="644">
        <f t="shared" si="535"/>
        <v>2000</v>
      </c>
      <c r="DB28" s="644">
        <f t="shared" si="535"/>
        <v>2000</v>
      </c>
      <c r="DC28" s="644">
        <f t="shared" si="535"/>
        <v>2000</v>
      </c>
      <c r="DD28" s="644">
        <f t="shared" si="535"/>
        <v>2000</v>
      </c>
      <c r="DE28" s="644">
        <f t="shared" si="535"/>
        <v>2000</v>
      </c>
      <c r="DF28" s="644">
        <f t="shared" si="535"/>
        <v>2000</v>
      </c>
      <c r="DG28" s="644">
        <f t="shared" si="535"/>
        <v>2000</v>
      </c>
      <c r="DH28" s="644">
        <f t="shared" si="535"/>
        <v>2000</v>
      </c>
      <c r="DI28" s="644">
        <f t="shared" si="535"/>
        <v>2000</v>
      </c>
      <c r="DJ28" s="644">
        <f t="shared" si="535"/>
        <v>2000</v>
      </c>
      <c r="DK28" s="644">
        <f t="shared" si="535"/>
        <v>2000</v>
      </c>
      <c r="DL28" s="644">
        <f t="shared" si="535"/>
        <v>2000</v>
      </c>
      <c r="DM28" s="644">
        <f t="shared" si="535"/>
        <v>2000</v>
      </c>
      <c r="DN28" s="644">
        <f t="shared" si="535"/>
        <v>2000</v>
      </c>
      <c r="DO28" s="644">
        <f t="shared" si="535"/>
        <v>2000</v>
      </c>
      <c r="DP28" s="644">
        <f t="shared" si="535"/>
        <v>2000</v>
      </c>
      <c r="DQ28" s="644">
        <f t="shared" si="535"/>
        <v>2000</v>
      </c>
      <c r="DR28" s="644">
        <f t="shared" si="535"/>
        <v>2000</v>
      </c>
      <c r="DS28" s="644">
        <f t="shared" si="535"/>
        <v>2000</v>
      </c>
      <c r="DT28" s="644">
        <f t="shared" si="535"/>
        <v>2000</v>
      </c>
      <c r="DU28" s="644">
        <f t="shared" si="535"/>
        <v>2000</v>
      </c>
      <c r="DV28" s="644">
        <f t="shared" si="535"/>
        <v>2000</v>
      </c>
      <c r="DW28" s="644">
        <f t="shared" si="535"/>
        <v>2000</v>
      </c>
      <c r="DX28" s="644">
        <f t="shared" si="535"/>
        <v>2000</v>
      </c>
      <c r="DY28" s="644">
        <f t="shared" si="535"/>
        <v>2000</v>
      </c>
      <c r="DZ28" s="644">
        <f t="shared" si="535"/>
        <v>2000</v>
      </c>
      <c r="EA28" s="644">
        <f t="shared" si="535"/>
        <v>2000</v>
      </c>
      <c r="EB28" s="644">
        <f t="shared" si="535"/>
        <v>2000</v>
      </c>
      <c r="EC28" s="644">
        <f t="shared" si="535"/>
        <v>2000</v>
      </c>
      <c r="ED28" s="644">
        <f t="shared" si="535"/>
        <v>2000</v>
      </c>
      <c r="EE28" s="644">
        <f t="shared" si="535"/>
        <v>2000</v>
      </c>
      <c r="EF28" s="644">
        <f t="shared" si="535"/>
        <v>2000</v>
      </c>
      <c r="EG28" s="644">
        <f t="shared" ref="EG28:GJ28" si="536" xml:space="preserve">
IF(EF28-VLOOKUP($C26,$C$3:$D$15,2,FALSE)*EG$21&lt;0,0,EF28-VLOOKUP($C26,$C$3:$D$15,2,FALSE)*EG$21)</f>
        <v>2000</v>
      </c>
      <c r="EH28" s="644">
        <f t="shared" si="536"/>
        <v>2000</v>
      </c>
      <c r="EI28" s="644">
        <f t="shared" si="536"/>
        <v>2000</v>
      </c>
      <c r="EJ28" s="644">
        <f t="shared" si="536"/>
        <v>2000</v>
      </c>
      <c r="EK28" s="644">
        <f t="shared" si="536"/>
        <v>2000</v>
      </c>
      <c r="EL28" s="644">
        <f t="shared" si="536"/>
        <v>2000</v>
      </c>
      <c r="EM28" s="644">
        <f t="shared" si="536"/>
        <v>2000</v>
      </c>
      <c r="EN28" s="644">
        <f t="shared" si="536"/>
        <v>2000</v>
      </c>
      <c r="EO28" s="644">
        <f t="shared" si="536"/>
        <v>2000</v>
      </c>
      <c r="EP28" s="644">
        <f t="shared" si="536"/>
        <v>2000</v>
      </c>
      <c r="EQ28" s="644">
        <f t="shared" si="536"/>
        <v>2000</v>
      </c>
      <c r="ER28" s="644">
        <f t="shared" si="536"/>
        <v>2000</v>
      </c>
      <c r="ES28" s="644">
        <f t="shared" si="536"/>
        <v>2000</v>
      </c>
      <c r="ET28" s="644">
        <f t="shared" si="536"/>
        <v>2000</v>
      </c>
      <c r="EU28" s="644">
        <f t="shared" si="536"/>
        <v>2000</v>
      </c>
      <c r="EV28" s="644">
        <f t="shared" si="536"/>
        <v>2000</v>
      </c>
      <c r="EW28" s="644">
        <f t="shared" si="536"/>
        <v>2000</v>
      </c>
      <c r="EX28" s="644">
        <f t="shared" si="536"/>
        <v>2000</v>
      </c>
      <c r="EY28" s="644">
        <f t="shared" si="536"/>
        <v>2000</v>
      </c>
      <c r="EZ28" s="644">
        <f t="shared" si="536"/>
        <v>2000</v>
      </c>
      <c r="FA28" s="644">
        <f t="shared" si="536"/>
        <v>2000</v>
      </c>
      <c r="FB28" s="644">
        <f t="shared" si="536"/>
        <v>2000</v>
      </c>
      <c r="FC28" s="644">
        <f t="shared" si="536"/>
        <v>2000</v>
      </c>
      <c r="FD28" s="644">
        <f t="shared" si="536"/>
        <v>2000</v>
      </c>
      <c r="FE28" s="644">
        <f t="shared" si="536"/>
        <v>2000</v>
      </c>
      <c r="FF28" s="644">
        <f t="shared" si="536"/>
        <v>2000</v>
      </c>
      <c r="FG28" s="644">
        <f t="shared" si="536"/>
        <v>2000</v>
      </c>
      <c r="FH28" s="644">
        <f t="shared" si="536"/>
        <v>2000</v>
      </c>
      <c r="FI28" s="644">
        <f t="shared" si="536"/>
        <v>2000</v>
      </c>
      <c r="FJ28" s="644">
        <f t="shared" si="536"/>
        <v>2000</v>
      </c>
      <c r="FK28" s="644">
        <f t="shared" si="536"/>
        <v>2000</v>
      </c>
      <c r="FL28" s="644">
        <f t="shared" si="536"/>
        <v>2000</v>
      </c>
      <c r="FM28" s="644">
        <f t="shared" si="536"/>
        <v>2000</v>
      </c>
      <c r="FN28" s="644">
        <f t="shared" si="536"/>
        <v>2000</v>
      </c>
      <c r="FO28" s="644">
        <f t="shared" si="536"/>
        <v>2000</v>
      </c>
      <c r="FP28" s="644">
        <f t="shared" si="536"/>
        <v>2000</v>
      </c>
      <c r="FQ28" s="644">
        <f t="shared" si="536"/>
        <v>2000</v>
      </c>
      <c r="FR28" s="644">
        <f t="shared" si="536"/>
        <v>2000</v>
      </c>
      <c r="FS28" s="644">
        <f t="shared" si="536"/>
        <v>2000</v>
      </c>
      <c r="FT28" s="644">
        <f t="shared" si="536"/>
        <v>2000</v>
      </c>
      <c r="FU28" s="644">
        <f t="shared" si="536"/>
        <v>2000</v>
      </c>
      <c r="FV28" s="644">
        <f t="shared" si="536"/>
        <v>2000</v>
      </c>
      <c r="FW28" s="644">
        <f t="shared" si="536"/>
        <v>2000</v>
      </c>
      <c r="FX28" s="644">
        <f t="shared" si="536"/>
        <v>2000</v>
      </c>
      <c r="FY28" s="644">
        <f t="shared" si="536"/>
        <v>2000</v>
      </c>
      <c r="FZ28" s="644">
        <f t="shared" si="536"/>
        <v>2000</v>
      </c>
      <c r="GA28" s="644">
        <f t="shared" si="536"/>
        <v>2000</v>
      </c>
      <c r="GB28" s="644">
        <f t="shared" si="536"/>
        <v>2000</v>
      </c>
      <c r="GC28" s="644">
        <f t="shared" si="536"/>
        <v>2000</v>
      </c>
      <c r="GD28" s="644">
        <f t="shared" si="536"/>
        <v>2000</v>
      </c>
      <c r="GE28" s="644">
        <f t="shared" si="536"/>
        <v>2000</v>
      </c>
      <c r="GF28" s="644">
        <f t="shared" si="536"/>
        <v>2000</v>
      </c>
      <c r="GG28" s="644">
        <f t="shared" si="536"/>
        <v>2000</v>
      </c>
      <c r="GH28" s="644">
        <f t="shared" si="536"/>
        <v>2000</v>
      </c>
      <c r="GI28" s="644">
        <f t="shared" si="536"/>
        <v>2000</v>
      </c>
      <c r="GJ28" s="644">
        <f t="shared" si="536"/>
        <v>2000</v>
      </c>
    </row>
    <row r="29" spans="2:192" s="655" customFormat="1">
      <c r="B29" s="656"/>
      <c r="C29" s="641" t="s">
        <v>1418</v>
      </c>
      <c r="D29" s="768" t="s">
        <v>1466</v>
      </c>
      <c r="E29" s="773"/>
      <c r="F29" s="706"/>
      <c r="G29" s="642">
        <f xml:space="preserve">
MIN(G30,
IF((VLOOKUP($C29,$C$3:$D$15,2,FALSE)*G$22-G31)&lt;0,0,VLOOKUP($C29,$C$3:$D$15,2,FALSE)*G$22-G31))</f>
        <v>0</v>
      </c>
      <c r="H29" s="642">
        <f t="shared" ref="H29" si="537" xml:space="preserve">
IF(G31&gt;=VLOOKUP($C29,$C$3:$D$15,2,FALSE)*H$22,0,
IF(AND(G31&lt;VLOOKUP($C29,$C$3:$D$15,2,FALSE)*H$22,H30&lt;=VLOOKUP($C29,$C$3:$D$15,2,FALSE)*H$22),IF(H30-G31&lt;0,0,H30-G31),
IF(AND(G31&lt;VLOOKUP($C29,$C$3:$D$15,2,FALSE)*H$22,H30&gt;VLOOKUP($C29,$C$3:$D$15,2,FALSE)*H$22),VLOOKUP($C29,$C$3:$D$15,2,FALSE)*H$22-G31)))</f>
        <v>0</v>
      </c>
      <c r="I29" s="642">
        <f t="shared" ref="I29" si="538" xml:space="preserve">
IF(H31&gt;=VLOOKUP($C29,$C$3:$D$15,2,FALSE)*I$22,0,
IF(AND(H31&lt;VLOOKUP($C29,$C$3:$D$15,2,FALSE)*I$22,I30&lt;=VLOOKUP($C29,$C$3:$D$15,2,FALSE)*I$22),IF(I30-H31&lt;0,0,I30-H31),
IF(AND(H31&lt;VLOOKUP($C29,$C$3:$D$15,2,FALSE)*I$22,I30&gt;VLOOKUP($C29,$C$3:$D$15,2,FALSE)*I$22),VLOOKUP($C29,$C$3:$D$15,2,FALSE)*I$22-H31)))</f>
        <v>0</v>
      </c>
      <c r="J29" s="642">
        <f t="shared" ref="J29" si="539" xml:space="preserve">
IF(I31&gt;=VLOOKUP($C29,$C$3:$D$15,2,FALSE)*J$22,0,
IF(AND(I31&lt;VLOOKUP($C29,$C$3:$D$15,2,FALSE)*J$22,J30&lt;=VLOOKUP($C29,$C$3:$D$15,2,FALSE)*J$22),IF(J30-I31&lt;0,0,J30-I31),
IF(AND(I31&lt;VLOOKUP($C29,$C$3:$D$15,2,FALSE)*J$22,J30&gt;VLOOKUP($C29,$C$3:$D$15,2,FALSE)*J$22),VLOOKUP($C29,$C$3:$D$15,2,FALSE)*J$22-I31)))</f>
        <v>0</v>
      </c>
      <c r="K29" s="642">
        <f t="shared" ref="K29" si="540" xml:space="preserve">
IF(J31&gt;=VLOOKUP($C29,$C$3:$D$15,2,FALSE)*K$22,0,
IF(AND(J31&lt;VLOOKUP($C29,$C$3:$D$15,2,FALSE)*K$22,K30&lt;=VLOOKUP($C29,$C$3:$D$15,2,FALSE)*K$22),IF(K30-J31&lt;0,0,K30-J31),
IF(AND(J31&lt;VLOOKUP($C29,$C$3:$D$15,2,FALSE)*K$22,K30&gt;VLOOKUP($C29,$C$3:$D$15,2,FALSE)*K$22),VLOOKUP($C29,$C$3:$D$15,2,FALSE)*K$22-J31)))</f>
        <v>0</v>
      </c>
      <c r="L29" s="642">
        <f t="shared" ref="L29" si="541" xml:space="preserve">
IF(K31&gt;=VLOOKUP($C29,$C$3:$D$15,2,FALSE)*L$22,0,
IF(AND(K31&lt;VLOOKUP($C29,$C$3:$D$15,2,FALSE)*L$22,L30&lt;=VLOOKUP($C29,$C$3:$D$15,2,FALSE)*L$22),IF(L30-K31&lt;0,0,L30-K31),
IF(AND(K31&lt;VLOOKUP($C29,$C$3:$D$15,2,FALSE)*L$22,L30&gt;VLOOKUP($C29,$C$3:$D$15,2,FALSE)*L$22),VLOOKUP($C29,$C$3:$D$15,2,FALSE)*L$22-K31)))</f>
        <v>0</v>
      </c>
      <c r="M29" s="642">
        <f t="shared" ref="M29" si="542" xml:space="preserve">
IF(L31&gt;=VLOOKUP($C29,$C$3:$D$15,2,FALSE)*M$22,0,
IF(AND(L31&lt;VLOOKUP($C29,$C$3:$D$15,2,FALSE)*M$22,M30&lt;=VLOOKUP($C29,$C$3:$D$15,2,FALSE)*M$22),IF(M30-L31&lt;0,0,M30-L31),
IF(AND(L31&lt;VLOOKUP($C29,$C$3:$D$15,2,FALSE)*M$22,M30&gt;VLOOKUP($C29,$C$3:$D$15,2,FALSE)*M$22),VLOOKUP($C29,$C$3:$D$15,2,FALSE)*M$22-L31)))</f>
        <v>0</v>
      </c>
      <c r="N29" s="642">
        <f t="shared" ref="N29" si="543" xml:space="preserve">
IF(M31&gt;=VLOOKUP($C29,$C$3:$D$15,2,FALSE)*N$22,0,
IF(AND(M31&lt;VLOOKUP($C29,$C$3:$D$15,2,FALSE)*N$22,N30&lt;=VLOOKUP($C29,$C$3:$D$15,2,FALSE)*N$22),IF(N30-M31&lt;0,0,N30-M31),
IF(AND(M31&lt;VLOOKUP($C29,$C$3:$D$15,2,FALSE)*N$22,N30&gt;VLOOKUP($C29,$C$3:$D$15,2,FALSE)*N$22),VLOOKUP($C29,$C$3:$D$15,2,FALSE)*N$22-M31)))</f>
        <v>0</v>
      </c>
      <c r="O29" s="642">
        <f t="shared" ref="O29" si="544" xml:space="preserve">
IF(N31&gt;=VLOOKUP($C29,$C$3:$D$15,2,FALSE)*O$22,0,
IF(AND(N31&lt;VLOOKUP($C29,$C$3:$D$15,2,FALSE)*O$22,O30&lt;=VLOOKUP($C29,$C$3:$D$15,2,FALSE)*O$22),IF(O30-N31&lt;0,0,O30-N31),
IF(AND(N31&lt;VLOOKUP($C29,$C$3:$D$15,2,FALSE)*O$22,O30&gt;VLOOKUP($C29,$C$3:$D$15,2,FALSE)*O$22),VLOOKUP($C29,$C$3:$D$15,2,FALSE)*O$22-N31)))</f>
        <v>0</v>
      </c>
      <c r="P29" s="642">
        <f t="shared" ref="P29" si="545" xml:space="preserve">
IF(O31&gt;=VLOOKUP($C29,$C$3:$D$15,2,FALSE)*P$22,0,
IF(AND(O31&lt;VLOOKUP($C29,$C$3:$D$15,2,FALSE)*P$22,P30&lt;=VLOOKUP($C29,$C$3:$D$15,2,FALSE)*P$22),IF(P30-O31&lt;0,0,P30-O31),
IF(AND(O31&lt;VLOOKUP($C29,$C$3:$D$15,2,FALSE)*P$22,P30&gt;VLOOKUP($C29,$C$3:$D$15,2,FALSE)*P$22),VLOOKUP($C29,$C$3:$D$15,2,FALSE)*P$22-O31)))</f>
        <v>0</v>
      </c>
      <c r="Q29" s="642">
        <f t="shared" ref="Q29" si="546" xml:space="preserve">
IF(P31&gt;=VLOOKUP($C29,$C$3:$D$15,2,FALSE)*Q$22,0,
IF(AND(P31&lt;VLOOKUP($C29,$C$3:$D$15,2,FALSE)*Q$22,Q30&lt;=VLOOKUP($C29,$C$3:$D$15,2,FALSE)*Q$22),IF(Q30-P31&lt;0,0,Q30-P31),
IF(AND(P31&lt;VLOOKUP($C29,$C$3:$D$15,2,FALSE)*Q$22,Q30&gt;VLOOKUP($C29,$C$3:$D$15,2,FALSE)*Q$22),VLOOKUP($C29,$C$3:$D$15,2,FALSE)*Q$22-P31)))</f>
        <v>0</v>
      </c>
      <c r="R29" s="642">
        <f t="shared" ref="R29" si="547" xml:space="preserve">
IF(Q31&gt;=VLOOKUP($C29,$C$3:$D$15,2,FALSE)*R$22,0,
IF(AND(Q31&lt;VLOOKUP($C29,$C$3:$D$15,2,FALSE)*R$22,R30&lt;=VLOOKUP($C29,$C$3:$D$15,2,FALSE)*R$22),IF(R30-Q31&lt;0,0,R30-Q31),
IF(AND(Q31&lt;VLOOKUP($C29,$C$3:$D$15,2,FALSE)*R$22,R30&gt;VLOOKUP($C29,$C$3:$D$15,2,FALSE)*R$22),VLOOKUP($C29,$C$3:$D$15,2,FALSE)*R$22-Q31)))</f>
        <v>0</v>
      </c>
      <c r="S29" s="642">
        <f t="shared" ref="S29" si="548" xml:space="preserve">
IF(R31&gt;=VLOOKUP($C29,$C$3:$D$15,2,FALSE)*S$22,0,
IF(AND(R31&lt;VLOOKUP($C29,$C$3:$D$15,2,FALSE)*S$22,S30&lt;=VLOOKUP($C29,$C$3:$D$15,2,FALSE)*S$22),IF(S30-R31&lt;0,0,S30-R31),
IF(AND(R31&lt;VLOOKUP($C29,$C$3:$D$15,2,FALSE)*S$22,S30&gt;VLOOKUP($C29,$C$3:$D$15,2,FALSE)*S$22),VLOOKUP($C29,$C$3:$D$15,2,FALSE)*S$22-R31)))</f>
        <v>0</v>
      </c>
      <c r="T29" s="642">
        <f t="shared" ref="T29" si="549" xml:space="preserve">
IF(S31&gt;=VLOOKUP($C29,$C$3:$D$15,2,FALSE)*T$22,0,
IF(AND(S31&lt;VLOOKUP($C29,$C$3:$D$15,2,FALSE)*T$22,T30&lt;=VLOOKUP($C29,$C$3:$D$15,2,FALSE)*T$22),IF(T30-S31&lt;0,0,T30-S31),
IF(AND(S31&lt;VLOOKUP($C29,$C$3:$D$15,2,FALSE)*T$22,T30&gt;VLOOKUP($C29,$C$3:$D$15,2,FALSE)*T$22),VLOOKUP($C29,$C$3:$D$15,2,FALSE)*T$22-S31)))</f>
        <v>0</v>
      </c>
      <c r="U29" s="642">
        <f t="shared" ref="U29" si="550" xml:space="preserve">
IF(T31&gt;=VLOOKUP($C29,$C$3:$D$15,2,FALSE)*U$22,0,
IF(AND(T31&lt;VLOOKUP($C29,$C$3:$D$15,2,FALSE)*U$22,U30&lt;=VLOOKUP($C29,$C$3:$D$15,2,FALSE)*U$22),IF(U30-T31&lt;0,0,U30-T31),
IF(AND(T31&lt;VLOOKUP($C29,$C$3:$D$15,2,FALSE)*U$22,U30&gt;VLOOKUP($C29,$C$3:$D$15,2,FALSE)*U$22),VLOOKUP($C29,$C$3:$D$15,2,FALSE)*U$22-T31)))</f>
        <v>0</v>
      </c>
      <c r="V29" s="642">
        <f t="shared" ref="V29" si="551" xml:space="preserve">
IF(U31&gt;=VLOOKUP($C29,$C$3:$D$15,2,FALSE)*V$22,0,
IF(AND(U31&lt;VLOOKUP($C29,$C$3:$D$15,2,FALSE)*V$22,V30&lt;=VLOOKUP($C29,$C$3:$D$15,2,FALSE)*V$22),IF(V30-U31&lt;0,0,V30-U31),
IF(AND(U31&lt;VLOOKUP($C29,$C$3:$D$15,2,FALSE)*V$22,V30&gt;VLOOKUP($C29,$C$3:$D$15,2,FALSE)*V$22),VLOOKUP($C29,$C$3:$D$15,2,FALSE)*V$22-U31)))</f>
        <v>0</v>
      </c>
      <c r="W29" s="642">
        <f t="shared" ref="W29" si="552" xml:space="preserve">
IF(V31&gt;=VLOOKUP($C29,$C$3:$D$15,2,FALSE)*W$22,0,
IF(AND(V31&lt;VLOOKUP($C29,$C$3:$D$15,2,FALSE)*W$22,W30&lt;=VLOOKUP($C29,$C$3:$D$15,2,FALSE)*W$22),IF(W30-V31&lt;0,0,W30-V31),
IF(AND(V31&lt;VLOOKUP($C29,$C$3:$D$15,2,FALSE)*W$22,W30&gt;VLOOKUP($C29,$C$3:$D$15,2,FALSE)*W$22),VLOOKUP($C29,$C$3:$D$15,2,FALSE)*W$22-V31)))</f>
        <v>0</v>
      </c>
      <c r="X29" s="642">
        <f t="shared" ref="X29" si="553" xml:space="preserve">
IF(W31&gt;=VLOOKUP($C29,$C$3:$D$15,2,FALSE)*X$22,0,
IF(AND(W31&lt;VLOOKUP($C29,$C$3:$D$15,2,FALSE)*X$22,X30&lt;=VLOOKUP($C29,$C$3:$D$15,2,FALSE)*X$22),IF(X30-W31&lt;0,0,X30-W31),
IF(AND(W31&lt;VLOOKUP($C29,$C$3:$D$15,2,FALSE)*X$22,X30&gt;VLOOKUP($C29,$C$3:$D$15,2,FALSE)*X$22),VLOOKUP($C29,$C$3:$D$15,2,FALSE)*X$22-W31)))</f>
        <v>0</v>
      </c>
      <c r="Y29" s="642">
        <f t="shared" ref="Y29" si="554" xml:space="preserve">
IF(X31&gt;=VLOOKUP($C29,$C$3:$D$15,2,FALSE)*Y$22,0,
IF(AND(X31&lt;VLOOKUP($C29,$C$3:$D$15,2,FALSE)*Y$22,Y30&lt;=VLOOKUP($C29,$C$3:$D$15,2,FALSE)*Y$22),IF(Y30-X31&lt;0,0,Y30-X31),
IF(AND(X31&lt;VLOOKUP($C29,$C$3:$D$15,2,FALSE)*Y$22,Y30&gt;VLOOKUP($C29,$C$3:$D$15,2,FALSE)*Y$22),VLOOKUP($C29,$C$3:$D$15,2,FALSE)*Y$22-X31)))</f>
        <v>0</v>
      </c>
      <c r="Z29" s="642">
        <f t="shared" ref="Z29" si="555" xml:space="preserve">
IF(Y31&gt;=VLOOKUP($C29,$C$3:$D$15,2,FALSE)*Z$22,0,
IF(AND(Y31&lt;VLOOKUP($C29,$C$3:$D$15,2,FALSE)*Z$22,Z30&lt;=VLOOKUP($C29,$C$3:$D$15,2,FALSE)*Z$22),IF(Z30-Y31&lt;0,0,Z30-Y31),
IF(AND(Y31&lt;VLOOKUP($C29,$C$3:$D$15,2,FALSE)*Z$22,Z30&gt;VLOOKUP($C29,$C$3:$D$15,2,FALSE)*Z$22),VLOOKUP($C29,$C$3:$D$15,2,FALSE)*Z$22-Y31)))</f>
        <v>0</v>
      </c>
      <c r="AA29" s="642">
        <f t="shared" ref="AA29" si="556" xml:space="preserve">
IF(Z31&gt;=VLOOKUP($C29,$C$3:$D$15,2,FALSE)*AA$22,0,
IF(AND(Z31&lt;VLOOKUP($C29,$C$3:$D$15,2,FALSE)*AA$22,AA30&lt;=VLOOKUP($C29,$C$3:$D$15,2,FALSE)*AA$22),IF(AA30-Z31&lt;0,0,AA30-Z31),
IF(AND(Z31&lt;VLOOKUP($C29,$C$3:$D$15,2,FALSE)*AA$22,AA30&gt;VLOOKUP($C29,$C$3:$D$15,2,FALSE)*AA$22),VLOOKUP($C29,$C$3:$D$15,2,FALSE)*AA$22-Z31)))</f>
        <v>0</v>
      </c>
      <c r="AB29" s="642">
        <f t="shared" ref="AB29" si="557" xml:space="preserve">
IF(AA31&gt;=VLOOKUP($C29,$C$3:$D$15,2,FALSE)*AB$22,0,
IF(AND(AA31&lt;VLOOKUP($C29,$C$3:$D$15,2,FALSE)*AB$22,AB30&lt;=VLOOKUP($C29,$C$3:$D$15,2,FALSE)*AB$22),IF(AB30-AA31&lt;0,0,AB30-AA31),
IF(AND(AA31&lt;VLOOKUP($C29,$C$3:$D$15,2,FALSE)*AB$22,AB30&gt;VLOOKUP($C29,$C$3:$D$15,2,FALSE)*AB$22),VLOOKUP($C29,$C$3:$D$15,2,FALSE)*AB$22-AA31)))</f>
        <v>0</v>
      </c>
      <c r="AC29" s="642">
        <f t="shared" ref="AC29" si="558" xml:space="preserve">
IF(AB31&gt;=VLOOKUP($C29,$C$3:$D$15,2,FALSE)*AC$22,0,
IF(AND(AB31&lt;VLOOKUP($C29,$C$3:$D$15,2,FALSE)*AC$22,AC30&lt;=VLOOKUP($C29,$C$3:$D$15,2,FALSE)*AC$22),IF(AC30-AB31&lt;0,0,AC30-AB31),
IF(AND(AB31&lt;VLOOKUP($C29,$C$3:$D$15,2,FALSE)*AC$22,AC30&gt;VLOOKUP($C29,$C$3:$D$15,2,FALSE)*AC$22),VLOOKUP($C29,$C$3:$D$15,2,FALSE)*AC$22-AB31)))</f>
        <v>0</v>
      </c>
      <c r="AD29" s="642">
        <f t="shared" ref="AD29" si="559" xml:space="preserve">
IF(AC31&gt;=VLOOKUP($C29,$C$3:$D$15,2,FALSE)*AD$22,0,
IF(AND(AC31&lt;VLOOKUP($C29,$C$3:$D$15,2,FALSE)*AD$22,AD30&lt;=VLOOKUP($C29,$C$3:$D$15,2,FALSE)*AD$22),IF(AD30-AC31&lt;0,0,AD30-AC31),
IF(AND(AC31&lt;VLOOKUP($C29,$C$3:$D$15,2,FALSE)*AD$22,AD30&gt;VLOOKUP($C29,$C$3:$D$15,2,FALSE)*AD$22),VLOOKUP($C29,$C$3:$D$15,2,FALSE)*AD$22-AC31)))</f>
        <v>0</v>
      </c>
      <c r="AE29" s="642">
        <f t="shared" ref="AE29" si="560" xml:space="preserve">
IF(AD31&gt;=VLOOKUP($C29,$C$3:$D$15,2,FALSE)*AE$22,0,
IF(AND(AD31&lt;VLOOKUP($C29,$C$3:$D$15,2,FALSE)*AE$22,AE30&lt;=VLOOKUP($C29,$C$3:$D$15,2,FALSE)*AE$22),IF(AE30-AD31&lt;0,0,AE30-AD31),
IF(AND(AD31&lt;VLOOKUP($C29,$C$3:$D$15,2,FALSE)*AE$22,AE30&gt;VLOOKUP($C29,$C$3:$D$15,2,FALSE)*AE$22),VLOOKUP($C29,$C$3:$D$15,2,FALSE)*AE$22-AD31)))</f>
        <v>0</v>
      </c>
      <c r="AF29" s="642">
        <f t="shared" ref="AF29" si="561" xml:space="preserve">
IF(AE31&gt;=VLOOKUP($C29,$C$3:$D$15,2,FALSE)*AF$22,0,
IF(AND(AE31&lt;VLOOKUP($C29,$C$3:$D$15,2,FALSE)*AF$22,AF30&lt;=VLOOKUP($C29,$C$3:$D$15,2,FALSE)*AF$22),IF(AF30-AE31&lt;0,0,AF30-AE31),
IF(AND(AE31&lt;VLOOKUP($C29,$C$3:$D$15,2,FALSE)*AF$22,AF30&gt;VLOOKUP($C29,$C$3:$D$15,2,FALSE)*AF$22),VLOOKUP($C29,$C$3:$D$15,2,FALSE)*AF$22-AE31)))</f>
        <v>0</v>
      </c>
      <c r="AG29" s="642">
        <f t="shared" ref="AG29" si="562" xml:space="preserve">
IF(AF31&gt;=VLOOKUP($C29,$C$3:$D$15,2,FALSE)*AG$22,0,
IF(AND(AF31&lt;VLOOKUP($C29,$C$3:$D$15,2,FALSE)*AG$22,AG30&lt;=VLOOKUP($C29,$C$3:$D$15,2,FALSE)*AG$22),IF(AG30-AF31&lt;0,0,AG30-AF31),
IF(AND(AF31&lt;VLOOKUP($C29,$C$3:$D$15,2,FALSE)*AG$22,AG30&gt;VLOOKUP($C29,$C$3:$D$15,2,FALSE)*AG$22),VLOOKUP($C29,$C$3:$D$15,2,FALSE)*AG$22-AF31)))</f>
        <v>0</v>
      </c>
      <c r="AH29" s="642">
        <f t="shared" ref="AH29" si="563" xml:space="preserve">
IF(AG31&gt;=VLOOKUP($C29,$C$3:$D$15,2,FALSE)*AH$22,0,
IF(AND(AG31&lt;VLOOKUP($C29,$C$3:$D$15,2,FALSE)*AH$22,AH30&lt;=VLOOKUP($C29,$C$3:$D$15,2,FALSE)*AH$22),IF(AH30-AG31&lt;0,0,AH30-AG31),
IF(AND(AG31&lt;VLOOKUP($C29,$C$3:$D$15,2,FALSE)*AH$22,AH30&gt;VLOOKUP($C29,$C$3:$D$15,2,FALSE)*AH$22),VLOOKUP($C29,$C$3:$D$15,2,FALSE)*AH$22-AG31)))</f>
        <v>0</v>
      </c>
      <c r="AI29" s="642">
        <f t="shared" ref="AI29" si="564" xml:space="preserve">
IF(AH31&gt;=VLOOKUP($C29,$C$3:$D$15,2,FALSE)*AI$22,0,
IF(AND(AH31&lt;VLOOKUP($C29,$C$3:$D$15,2,FALSE)*AI$22,AI30&lt;=VLOOKUP($C29,$C$3:$D$15,2,FALSE)*AI$22),IF(AI30-AH31&lt;0,0,AI30-AH31),
IF(AND(AH31&lt;VLOOKUP($C29,$C$3:$D$15,2,FALSE)*AI$22,AI30&gt;VLOOKUP($C29,$C$3:$D$15,2,FALSE)*AI$22),VLOOKUP($C29,$C$3:$D$15,2,FALSE)*AI$22-AH31)))</f>
        <v>0</v>
      </c>
      <c r="AJ29" s="642">
        <f t="shared" ref="AJ29" si="565" xml:space="preserve">
IF(AI31&gt;=VLOOKUP($C29,$C$3:$D$15,2,FALSE)*AJ$22,0,
IF(AND(AI31&lt;VLOOKUP($C29,$C$3:$D$15,2,FALSE)*AJ$22,AJ30&lt;=VLOOKUP($C29,$C$3:$D$15,2,FALSE)*AJ$22),IF(AJ30-AI31&lt;0,0,AJ30-AI31),
IF(AND(AI31&lt;VLOOKUP($C29,$C$3:$D$15,2,FALSE)*AJ$22,AJ30&gt;VLOOKUP($C29,$C$3:$D$15,2,FALSE)*AJ$22),VLOOKUP($C29,$C$3:$D$15,2,FALSE)*AJ$22-AI31)))</f>
        <v>0</v>
      </c>
      <c r="AK29" s="642">
        <f t="shared" ref="AK29" si="566" xml:space="preserve">
IF(AJ31&gt;=VLOOKUP($C29,$C$3:$D$15,2,FALSE)*AK$22,0,
IF(AND(AJ31&lt;VLOOKUP($C29,$C$3:$D$15,2,FALSE)*AK$22,AK30&lt;=VLOOKUP($C29,$C$3:$D$15,2,FALSE)*AK$22),IF(AK30-AJ31&lt;0,0,AK30-AJ31),
IF(AND(AJ31&lt;VLOOKUP($C29,$C$3:$D$15,2,FALSE)*AK$22,AK30&gt;VLOOKUP($C29,$C$3:$D$15,2,FALSE)*AK$22),VLOOKUP($C29,$C$3:$D$15,2,FALSE)*AK$22-AJ31)))</f>
        <v>0</v>
      </c>
      <c r="AL29" s="642">
        <f t="shared" ref="AL29" si="567" xml:space="preserve">
IF(AK31&gt;=VLOOKUP($C29,$C$3:$D$15,2,FALSE)*AL$22,0,
IF(AND(AK31&lt;VLOOKUP($C29,$C$3:$D$15,2,FALSE)*AL$22,AL30&lt;=VLOOKUP($C29,$C$3:$D$15,2,FALSE)*AL$22),IF(AL30-AK31&lt;0,0,AL30-AK31),
IF(AND(AK31&lt;VLOOKUP($C29,$C$3:$D$15,2,FALSE)*AL$22,AL30&gt;VLOOKUP($C29,$C$3:$D$15,2,FALSE)*AL$22),VLOOKUP($C29,$C$3:$D$15,2,FALSE)*AL$22-AK31)))</f>
        <v>0</v>
      </c>
      <c r="AM29" s="642">
        <f t="shared" ref="AM29" si="568" xml:space="preserve">
IF(AL31&gt;=VLOOKUP($C29,$C$3:$D$15,2,FALSE)*AM$22,0,
IF(AND(AL31&lt;VLOOKUP($C29,$C$3:$D$15,2,FALSE)*AM$22,AM30&lt;=VLOOKUP($C29,$C$3:$D$15,2,FALSE)*AM$22),IF(AM30-AL31&lt;0,0,AM30-AL31),
IF(AND(AL31&lt;VLOOKUP($C29,$C$3:$D$15,2,FALSE)*AM$22,AM30&gt;VLOOKUP($C29,$C$3:$D$15,2,FALSE)*AM$22),VLOOKUP($C29,$C$3:$D$15,2,FALSE)*AM$22-AL31)))</f>
        <v>0</v>
      </c>
      <c r="AN29" s="642">
        <f t="shared" ref="AN29" si="569" xml:space="preserve">
IF(AM31&gt;=VLOOKUP($C29,$C$3:$D$15,2,FALSE)*AN$22,0,
IF(AND(AM31&lt;VLOOKUP($C29,$C$3:$D$15,2,FALSE)*AN$22,AN30&lt;=VLOOKUP($C29,$C$3:$D$15,2,FALSE)*AN$22),IF(AN30-AM31&lt;0,0,AN30-AM31),
IF(AND(AM31&lt;VLOOKUP($C29,$C$3:$D$15,2,FALSE)*AN$22,AN30&gt;VLOOKUP($C29,$C$3:$D$15,2,FALSE)*AN$22),VLOOKUP($C29,$C$3:$D$15,2,FALSE)*AN$22-AM31)))</f>
        <v>0</v>
      </c>
      <c r="AO29" s="642">
        <f t="shared" ref="AO29" si="570" xml:space="preserve">
IF(AN31&gt;=VLOOKUP($C29,$C$3:$D$15,2,FALSE)*AO$22,0,
IF(AND(AN31&lt;VLOOKUP($C29,$C$3:$D$15,2,FALSE)*AO$22,AO30&lt;=VLOOKUP($C29,$C$3:$D$15,2,FALSE)*AO$22),IF(AO30-AN31&lt;0,0,AO30-AN31),
IF(AND(AN31&lt;VLOOKUP($C29,$C$3:$D$15,2,FALSE)*AO$22,AO30&gt;VLOOKUP($C29,$C$3:$D$15,2,FALSE)*AO$22),VLOOKUP($C29,$C$3:$D$15,2,FALSE)*AO$22-AN31)))</f>
        <v>0</v>
      </c>
      <c r="AP29" s="642">
        <f t="shared" ref="AP29" si="571" xml:space="preserve">
IF(AO31&gt;=VLOOKUP($C29,$C$3:$D$15,2,FALSE)*AP$22,0,
IF(AND(AO31&lt;VLOOKUP($C29,$C$3:$D$15,2,FALSE)*AP$22,AP30&lt;=VLOOKUP($C29,$C$3:$D$15,2,FALSE)*AP$22),IF(AP30-AO31&lt;0,0,AP30-AO31),
IF(AND(AO31&lt;VLOOKUP($C29,$C$3:$D$15,2,FALSE)*AP$22,AP30&gt;VLOOKUP($C29,$C$3:$D$15,2,FALSE)*AP$22),VLOOKUP($C29,$C$3:$D$15,2,FALSE)*AP$22-AO31)))</f>
        <v>0</v>
      </c>
      <c r="AQ29" s="642">
        <f t="shared" ref="AQ29" si="572" xml:space="preserve">
IF(AP31&gt;=VLOOKUP($C29,$C$3:$D$15,2,FALSE)*AQ$22,0,
IF(AND(AP31&lt;VLOOKUP($C29,$C$3:$D$15,2,FALSE)*AQ$22,AQ30&lt;=VLOOKUP($C29,$C$3:$D$15,2,FALSE)*AQ$22),IF(AQ30-AP31&lt;0,0,AQ30-AP31),
IF(AND(AP31&lt;VLOOKUP($C29,$C$3:$D$15,2,FALSE)*AQ$22,AQ30&gt;VLOOKUP($C29,$C$3:$D$15,2,FALSE)*AQ$22),VLOOKUP($C29,$C$3:$D$15,2,FALSE)*AQ$22-AP31)))</f>
        <v>0</v>
      </c>
      <c r="AR29" s="642">
        <f t="shared" ref="AR29" si="573" xml:space="preserve">
IF(AQ31&gt;=VLOOKUP($C29,$C$3:$D$15,2,FALSE)*AR$22,0,
IF(AND(AQ31&lt;VLOOKUP($C29,$C$3:$D$15,2,FALSE)*AR$22,AR30&lt;=VLOOKUP($C29,$C$3:$D$15,2,FALSE)*AR$22),IF(AR30-AQ31&lt;0,0,AR30-AQ31),
IF(AND(AQ31&lt;VLOOKUP($C29,$C$3:$D$15,2,FALSE)*AR$22,AR30&gt;VLOOKUP($C29,$C$3:$D$15,2,FALSE)*AR$22),VLOOKUP($C29,$C$3:$D$15,2,FALSE)*AR$22-AQ31)))</f>
        <v>0</v>
      </c>
      <c r="AS29" s="642">
        <f t="shared" ref="AS29" si="574" xml:space="preserve">
IF(AR31&gt;=VLOOKUP($C29,$C$3:$D$15,2,FALSE)*AS$22,0,
IF(AND(AR31&lt;VLOOKUP($C29,$C$3:$D$15,2,FALSE)*AS$22,AS30&lt;=VLOOKUP($C29,$C$3:$D$15,2,FALSE)*AS$22),IF(AS30-AR31&lt;0,0,AS30-AR31),
IF(AND(AR31&lt;VLOOKUP($C29,$C$3:$D$15,2,FALSE)*AS$22,AS30&gt;VLOOKUP($C29,$C$3:$D$15,2,FALSE)*AS$22),VLOOKUP($C29,$C$3:$D$15,2,FALSE)*AS$22-AR31)))</f>
        <v>0</v>
      </c>
      <c r="AT29" s="642">
        <f t="shared" ref="AT29" si="575" xml:space="preserve">
IF(AS31&gt;=VLOOKUP($C29,$C$3:$D$15,2,FALSE)*AT$22,0,
IF(AND(AS31&lt;VLOOKUP($C29,$C$3:$D$15,2,FALSE)*AT$22,AT30&lt;=VLOOKUP($C29,$C$3:$D$15,2,FALSE)*AT$22),IF(AT30-AS31&lt;0,0,AT30-AS31),
IF(AND(AS31&lt;VLOOKUP($C29,$C$3:$D$15,2,FALSE)*AT$22,AT30&gt;VLOOKUP($C29,$C$3:$D$15,2,FALSE)*AT$22),VLOOKUP($C29,$C$3:$D$15,2,FALSE)*AT$22-AS31)))</f>
        <v>0</v>
      </c>
      <c r="AU29" s="642">
        <f t="shared" ref="AU29" si="576" xml:space="preserve">
IF(AT31&gt;=VLOOKUP($C29,$C$3:$D$15,2,FALSE)*AU$22,0,
IF(AND(AT31&lt;VLOOKUP($C29,$C$3:$D$15,2,FALSE)*AU$22,AU30&lt;=VLOOKUP($C29,$C$3:$D$15,2,FALSE)*AU$22),IF(AU30-AT31&lt;0,0,AU30-AT31),
IF(AND(AT31&lt;VLOOKUP($C29,$C$3:$D$15,2,FALSE)*AU$22,AU30&gt;VLOOKUP($C29,$C$3:$D$15,2,FALSE)*AU$22),VLOOKUP($C29,$C$3:$D$15,2,FALSE)*AU$22-AT31)))</f>
        <v>0</v>
      </c>
      <c r="AV29" s="642">
        <f t="shared" ref="AV29" si="577" xml:space="preserve">
IF(AU31&gt;=VLOOKUP($C29,$C$3:$D$15,2,FALSE)*AV$22,0,
IF(AND(AU31&lt;VLOOKUP($C29,$C$3:$D$15,2,FALSE)*AV$22,AV30&lt;=VLOOKUP($C29,$C$3:$D$15,2,FALSE)*AV$22),IF(AV30-AU31&lt;0,0,AV30-AU31),
IF(AND(AU31&lt;VLOOKUP($C29,$C$3:$D$15,2,FALSE)*AV$22,AV30&gt;VLOOKUP($C29,$C$3:$D$15,2,FALSE)*AV$22),VLOOKUP($C29,$C$3:$D$15,2,FALSE)*AV$22-AU31)))</f>
        <v>0</v>
      </c>
      <c r="AW29" s="642">
        <f t="shared" ref="AW29" si="578" xml:space="preserve">
IF(AV31&gt;=VLOOKUP($C29,$C$3:$D$15,2,FALSE)*AW$22,0,
IF(AND(AV31&lt;VLOOKUP($C29,$C$3:$D$15,2,FALSE)*AW$22,AW30&lt;=VLOOKUP($C29,$C$3:$D$15,2,FALSE)*AW$22),IF(AW30-AV31&lt;0,0,AW30-AV31),
IF(AND(AV31&lt;VLOOKUP($C29,$C$3:$D$15,2,FALSE)*AW$22,AW30&gt;VLOOKUP($C29,$C$3:$D$15,2,FALSE)*AW$22),VLOOKUP($C29,$C$3:$D$15,2,FALSE)*AW$22-AV31)))</f>
        <v>0</v>
      </c>
      <c r="AX29" s="642">
        <f t="shared" ref="AX29" si="579" xml:space="preserve">
IF(AW31&gt;=VLOOKUP($C29,$C$3:$D$15,2,FALSE)*AX$22,0,
IF(AND(AW31&lt;VLOOKUP($C29,$C$3:$D$15,2,FALSE)*AX$22,AX30&lt;=VLOOKUP($C29,$C$3:$D$15,2,FALSE)*AX$22),IF(AX30-AW31&lt;0,0,AX30-AW31),
IF(AND(AW31&lt;VLOOKUP($C29,$C$3:$D$15,2,FALSE)*AX$22,AX30&gt;VLOOKUP($C29,$C$3:$D$15,2,FALSE)*AX$22),VLOOKUP($C29,$C$3:$D$15,2,FALSE)*AX$22-AW31)))</f>
        <v>0</v>
      </c>
      <c r="AY29" s="642">
        <f t="shared" ref="AY29" si="580" xml:space="preserve">
IF(AX31&gt;=VLOOKUP($C29,$C$3:$D$15,2,FALSE)*AY$22,0,
IF(AND(AX31&lt;VLOOKUP($C29,$C$3:$D$15,2,FALSE)*AY$22,AY30&lt;=VLOOKUP($C29,$C$3:$D$15,2,FALSE)*AY$22),IF(AY30-AX31&lt;0,0,AY30-AX31),
IF(AND(AX31&lt;VLOOKUP($C29,$C$3:$D$15,2,FALSE)*AY$22,AY30&gt;VLOOKUP($C29,$C$3:$D$15,2,FALSE)*AY$22),VLOOKUP($C29,$C$3:$D$15,2,FALSE)*AY$22-AX31)))</f>
        <v>0</v>
      </c>
      <c r="AZ29" s="642">
        <f t="shared" ref="AZ29" si="581" xml:space="preserve">
IF(AY31&gt;=VLOOKUP($C29,$C$3:$D$15,2,FALSE)*AZ$22,0,
IF(AND(AY31&lt;VLOOKUP($C29,$C$3:$D$15,2,FALSE)*AZ$22,AZ30&lt;=VLOOKUP($C29,$C$3:$D$15,2,FALSE)*AZ$22),IF(AZ30-AY31&lt;0,0,AZ30-AY31),
IF(AND(AY31&lt;VLOOKUP($C29,$C$3:$D$15,2,FALSE)*AZ$22,AZ30&gt;VLOOKUP($C29,$C$3:$D$15,2,FALSE)*AZ$22),VLOOKUP($C29,$C$3:$D$15,2,FALSE)*AZ$22-AY31)))</f>
        <v>0</v>
      </c>
      <c r="BA29" s="642">
        <f t="shared" ref="BA29" si="582" xml:space="preserve">
IF(AZ31&gt;=VLOOKUP($C29,$C$3:$D$15,2,FALSE)*BA$22,0,
IF(AND(AZ31&lt;VLOOKUP($C29,$C$3:$D$15,2,FALSE)*BA$22,BA30&lt;=VLOOKUP($C29,$C$3:$D$15,2,FALSE)*BA$22),IF(BA30-AZ31&lt;0,0,BA30-AZ31),
IF(AND(AZ31&lt;VLOOKUP($C29,$C$3:$D$15,2,FALSE)*BA$22,BA30&gt;VLOOKUP($C29,$C$3:$D$15,2,FALSE)*BA$22),VLOOKUP($C29,$C$3:$D$15,2,FALSE)*BA$22-AZ31)))</f>
        <v>0</v>
      </c>
      <c r="BB29" s="642">
        <f t="shared" ref="BB29" si="583" xml:space="preserve">
IF(BA31&gt;=VLOOKUP($C29,$C$3:$D$15,2,FALSE)*BB$22,0,
IF(AND(BA31&lt;VLOOKUP($C29,$C$3:$D$15,2,FALSE)*BB$22,BB30&lt;=VLOOKUP($C29,$C$3:$D$15,2,FALSE)*BB$22),IF(BB30-BA31&lt;0,0,BB30-BA31),
IF(AND(BA31&lt;VLOOKUP($C29,$C$3:$D$15,2,FALSE)*BB$22,BB30&gt;VLOOKUP($C29,$C$3:$D$15,2,FALSE)*BB$22),VLOOKUP($C29,$C$3:$D$15,2,FALSE)*BB$22-BA31)))</f>
        <v>0</v>
      </c>
      <c r="BC29" s="642">
        <f t="shared" ref="BC29" si="584" xml:space="preserve">
IF(BB31&gt;=VLOOKUP($C29,$C$3:$D$15,2,FALSE)*BC$22,0,
IF(AND(BB31&lt;VLOOKUP($C29,$C$3:$D$15,2,FALSE)*BC$22,BC30&lt;=VLOOKUP($C29,$C$3:$D$15,2,FALSE)*BC$22),IF(BC30-BB31&lt;0,0,BC30-BB31),
IF(AND(BB31&lt;VLOOKUP($C29,$C$3:$D$15,2,FALSE)*BC$22,BC30&gt;VLOOKUP($C29,$C$3:$D$15,2,FALSE)*BC$22),VLOOKUP($C29,$C$3:$D$15,2,FALSE)*BC$22-BB31)))</f>
        <v>0</v>
      </c>
      <c r="BD29" s="642">
        <f t="shared" ref="BD29" si="585" xml:space="preserve">
IF(BC31&gt;=VLOOKUP($C29,$C$3:$D$15,2,FALSE)*BD$22,0,
IF(AND(BC31&lt;VLOOKUP($C29,$C$3:$D$15,2,FALSE)*BD$22,BD30&lt;=VLOOKUP($C29,$C$3:$D$15,2,FALSE)*BD$22),IF(BD30-BC31&lt;0,0,BD30-BC31),
IF(AND(BC31&lt;VLOOKUP($C29,$C$3:$D$15,2,FALSE)*BD$22,BD30&gt;VLOOKUP($C29,$C$3:$D$15,2,FALSE)*BD$22),VLOOKUP($C29,$C$3:$D$15,2,FALSE)*BD$22-BC31)))</f>
        <v>0</v>
      </c>
      <c r="BE29" s="642">
        <f t="shared" ref="BE29" si="586" xml:space="preserve">
IF(BD31&gt;=VLOOKUP($C29,$C$3:$D$15,2,FALSE)*BE$22,0,
IF(AND(BD31&lt;VLOOKUP($C29,$C$3:$D$15,2,FALSE)*BE$22,BE30&lt;=VLOOKUP($C29,$C$3:$D$15,2,FALSE)*BE$22),IF(BE30-BD31&lt;0,0,BE30-BD31),
IF(AND(BD31&lt;VLOOKUP($C29,$C$3:$D$15,2,FALSE)*BE$22,BE30&gt;VLOOKUP($C29,$C$3:$D$15,2,FALSE)*BE$22),VLOOKUP($C29,$C$3:$D$15,2,FALSE)*BE$22-BD31)))</f>
        <v>0</v>
      </c>
      <c r="BF29" s="642">
        <f t="shared" ref="BF29" si="587" xml:space="preserve">
IF(BE31&gt;=VLOOKUP($C29,$C$3:$D$15,2,FALSE)*BF$22,0,
IF(AND(BE31&lt;VLOOKUP($C29,$C$3:$D$15,2,FALSE)*BF$22,BF30&lt;=VLOOKUP($C29,$C$3:$D$15,2,FALSE)*BF$22),IF(BF30-BE31&lt;0,0,BF30-BE31),
IF(AND(BE31&lt;VLOOKUP($C29,$C$3:$D$15,2,FALSE)*BF$22,BF30&gt;VLOOKUP($C29,$C$3:$D$15,2,FALSE)*BF$22),VLOOKUP($C29,$C$3:$D$15,2,FALSE)*BF$22-BE31)))</f>
        <v>0</v>
      </c>
      <c r="BG29" s="642">
        <f t="shared" ref="BG29" si="588" xml:space="preserve">
IF(BF31&gt;=VLOOKUP($C29,$C$3:$D$15,2,FALSE)*BG$22,0,
IF(AND(BF31&lt;VLOOKUP($C29,$C$3:$D$15,2,FALSE)*BG$22,BG30&lt;=VLOOKUP($C29,$C$3:$D$15,2,FALSE)*BG$22),IF(BG30-BF31&lt;0,0,BG30-BF31),
IF(AND(BF31&lt;VLOOKUP($C29,$C$3:$D$15,2,FALSE)*BG$22,BG30&gt;VLOOKUP($C29,$C$3:$D$15,2,FALSE)*BG$22),VLOOKUP($C29,$C$3:$D$15,2,FALSE)*BG$22-BF31)))</f>
        <v>0</v>
      </c>
      <c r="BH29" s="642">
        <f t="shared" ref="BH29" si="589" xml:space="preserve">
IF(BG31&gt;=VLOOKUP($C29,$C$3:$D$15,2,FALSE)*BH$22,0,
IF(AND(BG31&lt;VLOOKUP($C29,$C$3:$D$15,2,FALSE)*BH$22,BH30&lt;=VLOOKUP($C29,$C$3:$D$15,2,FALSE)*BH$22),IF(BH30-BG31&lt;0,0,BH30-BG31),
IF(AND(BG31&lt;VLOOKUP($C29,$C$3:$D$15,2,FALSE)*BH$22,BH30&gt;VLOOKUP($C29,$C$3:$D$15,2,FALSE)*BH$22),VLOOKUP($C29,$C$3:$D$15,2,FALSE)*BH$22-BG31)))</f>
        <v>0</v>
      </c>
      <c r="BI29" s="642">
        <f t="shared" ref="BI29" si="590" xml:space="preserve">
IF(BH31&gt;=VLOOKUP($C29,$C$3:$D$15,2,FALSE)*BI$22,0,
IF(AND(BH31&lt;VLOOKUP($C29,$C$3:$D$15,2,FALSE)*BI$22,BI30&lt;=VLOOKUP($C29,$C$3:$D$15,2,FALSE)*BI$22),IF(BI30-BH31&lt;0,0,BI30-BH31),
IF(AND(BH31&lt;VLOOKUP($C29,$C$3:$D$15,2,FALSE)*BI$22,BI30&gt;VLOOKUP($C29,$C$3:$D$15,2,FALSE)*BI$22),VLOOKUP($C29,$C$3:$D$15,2,FALSE)*BI$22-BH31)))</f>
        <v>0</v>
      </c>
      <c r="BJ29" s="642">
        <f t="shared" ref="BJ29" si="591" xml:space="preserve">
IF(BI31&gt;=VLOOKUP($C29,$C$3:$D$15,2,FALSE)*BJ$22,0,
IF(AND(BI31&lt;VLOOKUP($C29,$C$3:$D$15,2,FALSE)*BJ$22,BJ30&lt;=VLOOKUP($C29,$C$3:$D$15,2,FALSE)*BJ$22),IF(BJ30-BI31&lt;0,0,BJ30-BI31),
IF(AND(BI31&lt;VLOOKUP($C29,$C$3:$D$15,2,FALSE)*BJ$22,BJ30&gt;VLOOKUP($C29,$C$3:$D$15,2,FALSE)*BJ$22),VLOOKUP($C29,$C$3:$D$15,2,FALSE)*BJ$22-BI31)))</f>
        <v>0</v>
      </c>
      <c r="BK29" s="642">
        <f t="shared" ref="BK29" si="592" xml:space="preserve">
IF(BJ31&gt;=VLOOKUP($C29,$C$3:$D$15,2,FALSE)*BK$22,0,
IF(AND(BJ31&lt;VLOOKUP($C29,$C$3:$D$15,2,FALSE)*BK$22,BK30&lt;=VLOOKUP($C29,$C$3:$D$15,2,FALSE)*BK$22),IF(BK30-BJ31&lt;0,0,BK30-BJ31),
IF(AND(BJ31&lt;VLOOKUP($C29,$C$3:$D$15,2,FALSE)*BK$22,BK30&gt;VLOOKUP($C29,$C$3:$D$15,2,FALSE)*BK$22),VLOOKUP($C29,$C$3:$D$15,2,FALSE)*BK$22-BJ31)))</f>
        <v>0</v>
      </c>
      <c r="BL29" s="642">
        <f t="shared" ref="BL29" si="593" xml:space="preserve">
IF(BK31&gt;=VLOOKUP($C29,$C$3:$D$15,2,FALSE)*BL$22,0,
IF(AND(BK31&lt;VLOOKUP($C29,$C$3:$D$15,2,FALSE)*BL$22,BL30&lt;=VLOOKUP($C29,$C$3:$D$15,2,FALSE)*BL$22),IF(BL30-BK31&lt;0,0,BL30-BK31),
IF(AND(BK31&lt;VLOOKUP($C29,$C$3:$D$15,2,FALSE)*BL$22,BL30&gt;VLOOKUP($C29,$C$3:$D$15,2,FALSE)*BL$22),VLOOKUP($C29,$C$3:$D$15,2,FALSE)*BL$22-BK31)))</f>
        <v>0</v>
      </c>
      <c r="BM29" s="642">
        <f t="shared" ref="BM29" si="594" xml:space="preserve">
IF(BL31&gt;=VLOOKUP($C29,$C$3:$D$15,2,FALSE)*BM$22,0,
IF(AND(BL31&lt;VLOOKUP($C29,$C$3:$D$15,2,FALSE)*BM$22,BM30&lt;=VLOOKUP($C29,$C$3:$D$15,2,FALSE)*BM$22),IF(BM30-BL31&lt;0,0,BM30-BL31),
IF(AND(BL31&lt;VLOOKUP($C29,$C$3:$D$15,2,FALSE)*BM$22,BM30&gt;VLOOKUP($C29,$C$3:$D$15,2,FALSE)*BM$22),VLOOKUP($C29,$C$3:$D$15,2,FALSE)*BM$22-BL31)))</f>
        <v>0</v>
      </c>
      <c r="BN29" s="642">
        <f t="shared" ref="BN29" si="595" xml:space="preserve">
IF(BM31&gt;=VLOOKUP($C29,$C$3:$D$15,2,FALSE)*BN$22,0,
IF(AND(BM31&lt;VLOOKUP($C29,$C$3:$D$15,2,FALSE)*BN$22,BN30&lt;=VLOOKUP($C29,$C$3:$D$15,2,FALSE)*BN$22),IF(BN30-BM31&lt;0,0,BN30-BM31),
IF(AND(BM31&lt;VLOOKUP($C29,$C$3:$D$15,2,FALSE)*BN$22,BN30&gt;VLOOKUP($C29,$C$3:$D$15,2,FALSE)*BN$22),VLOOKUP($C29,$C$3:$D$15,2,FALSE)*BN$22-BM31)))</f>
        <v>0</v>
      </c>
      <c r="BO29" s="642">
        <f t="shared" ref="BO29" si="596" xml:space="preserve">
IF(BN31&gt;=VLOOKUP($C29,$C$3:$D$15,2,FALSE)*BO$22,0,
IF(AND(BN31&lt;VLOOKUP($C29,$C$3:$D$15,2,FALSE)*BO$22,BO30&lt;=VLOOKUP($C29,$C$3:$D$15,2,FALSE)*BO$22),IF(BO30-BN31&lt;0,0,BO30-BN31),
IF(AND(BN31&lt;VLOOKUP($C29,$C$3:$D$15,2,FALSE)*BO$22,BO30&gt;VLOOKUP($C29,$C$3:$D$15,2,FALSE)*BO$22),VLOOKUP($C29,$C$3:$D$15,2,FALSE)*BO$22-BN31)))</f>
        <v>0</v>
      </c>
      <c r="BP29" s="642">
        <f t="shared" ref="BP29" si="597" xml:space="preserve">
IF(BO31&gt;=VLOOKUP($C29,$C$3:$D$15,2,FALSE)*BP$22,0,
IF(AND(BO31&lt;VLOOKUP($C29,$C$3:$D$15,2,FALSE)*BP$22,BP30&lt;=VLOOKUP($C29,$C$3:$D$15,2,FALSE)*BP$22),IF(BP30-BO31&lt;0,0,BP30-BO31),
IF(AND(BO31&lt;VLOOKUP($C29,$C$3:$D$15,2,FALSE)*BP$22,BP30&gt;VLOOKUP($C29,$C$3:$D$15,2,FALSE)*BP$22),VLOOKUP($C29,$C$3:$D$15,2,FALSE)*BP$22-BO31)))</f>
        <v>0</v>
      </c>
      <c r="BQ29" s="642">
        <f t="shared" ref="BQ29" si="598" xml:space="preserve">
IF(BP31&gt;=VLOOKUP($C29,$C$3:$D$15,2,FALSE)*BQ$22,0,
IF(AND(BP31&lt;VLOOKUP($C29,$C$3:$D$15,2,FALSE)*BQ$22,BQ30&lt;=VLOOKUP($C29,$C$3:$D$15,2,FALSE)*BQ$22),IF(BQ30-BP31&lt;0,0,BQ30-BP31),
IF(AND(BP31&lt;VLOOKUP($C29,$C$3:$D$15,2,FALSE)*BQ$22,BQ30&gt;VLOOKUP($C29,$C$3:$D$15,2,FALSE)*BQ$22),VLOOKUP($C29,$C$3:$D$15,2,FALSE)*BQ$22-BP31)))</f>
        <v>0</v>
      </c>
      <c r="BR29" s="642">
        <f t="shared" ref="BR29" si="599" xml:space="preserve">
IF(BQ31&gt;=VLOOKUP($C29,$C$3:$D$15,2,FALSE)*BR$22,0,
IF(AND(BQ31&lt;VLOOKUP($C29,$C$3:$D$15,2,FALSE)*BR$22,BR30&lt;=VLOOKUP($C29,$C$3:$D$15,2,FALSE)*BR$22),IF(BR30-BQ31&lt;0,0,BR30-BQ31),
IF(AND(BQ31&lt;VLOOKUP($C29,$C$3:$D$15,2,FALSE)*BR$22,BR30&gt;VLOOKUP($C29,$C$3:$D$15,2,FALSE)*BR$22),VLOOKUP($C29,$C$3:$D$15,2,FALSE)*BR$22-BQ31)))</f>
        <v>0</v>
      </c>
      <c r="BS29" s="642">
        <f t="shared" ref="BS29" si="600" xml:space="preserve">
IF(BR31&gt;=VLOOKUP($C29,$C$3:$D$15,2,FALSE)*BS$22,0,
IF(AND(BR31&lt;VLOOKUP($C29,$C$3:$D$15,2,FALSE)*BS$22,BS30&lt;=VLOOKUP($C29,$C$3:$D$15,2,FALSE)*BS$22),IF(BS30-BR31&lt;0,0,BS30-BR31),
IF(AND(BR31&lt;VLOOKUP($C29,$C$3:$D$15,2,FALSE)*BS$22,BS30&gt;VLOOKUP($C29,$C$3:$D$15,2,FALSE)*BS$22),VLOOKUP($C29,$C$3:$D$15,2,FALSE)*BS$22-BR31)))</f>
        <v>0</v>
      </c>
      <c r="BT29" s="642">
        <f t="shared" ref="BT29" si="601" xml:space="preserve">
IF(BS31&gt;=VLOOKUP($C29,$C$3:$D$15,2,FALSE)*BT$22,0,
IF(AND(BS31&lt;VLOOKUP($C29,$C$3:$D$15,2,FALSE)*BT$22,BT30&lt;=VLOOKUP($C29,$C$3:$D$15,2,FALSE)*BT$22),IF(BT30-BS31&lt;0,0,BT30-BS31),
IF(AND(BS31&lt;VLOOKUP($C29,$C$3:$D$15,2,FALSE)*BT$22,BT30&gt;VLOOKUP($C29,$C$3:$D$15,2,FALSE)*BT$22),VLOOKUP($C29,$C$3:$D$15,2,FALSE)*BT$22-BS31)))</f>
        <v>0</v>
      </c>
      <c r="BU29" s="642">
        <f t="shared" ref="BU29" si="602" xml:space="preserve">
IF(BT31&gt;=VLOOKUP($C29,$C$3:$D$15,2,FALSE)*BU$22,0,
IF(AND(BT31&lt;VLOOKUP($C29,$C$3:$D$15,2,FALSE)*BU$22,BU30&lt;=VLOOKUP($C29,$C$3:$D$15,2,FALSE)*BU$22),IF(BU30-BT31&lt;0,0,BU30-BT31),
IF(AND(BT31&lt;VLOOKUP($C29,$C$3:$D$15,2,FALSE)*BU$22,BU30&gt;VLOOKUP($C29,$C$3:$D$15,2,FALSE)*BU$22),VLOOKUP($C29,$C$3:$D$15,2,FALSE)*BU$22-BT31)))</f>
        <v>0</v>
      </c>
      <c r="BV29" s="642">
        <f t="shared" ref="BV29" si="603" xml:space="preserve">
IF(BU31&gt;=VLOOKUP($C29,$C$3:$D$15,2,FALSE)*BV$22,0,
IF(AND(BU31&lt;VLOOKUP($C29,$C$3:$D$15,2,FALSE)*BV$22,BV30&lt;=VLOOKUP($C29,$C$3:$D$15,2,FALSE)*BV$22),IF(BV30-BU31&lt;0,0,BV30-BU31),
IF(AND(BU31&lt;VLOOKUP($C29,$C$3:$D$15,2,FALSE)*BV$22,BV30&gt;VLOOKUP($C29,$C$3:$D$15,2,FALSE)*BV$22),VLOOKUP($C29,$C$3:$D$15,2,FALSE)*BV$22-BU31)))</f>
        <v>0</v>
      </c>
      <c r="BW29" s="642">
        <f t="shared" ref="BW29" si="604" xml:space="preserve">
IF(BV31&gt;=VLOOKUP($C29,$C$3:$D$15,2,FALSE)*BW$22,0,
IF(AND(BV31&lt;VLOOKUP($C29,$C$3:$D$15,2,FALSE)*BW$22,BW30&lt;=VLOOKUP($C29,$C$3:$D$15,2,FALSE)*BW$22),IF(BW30-BV31&lt;0,0,BW30-BV31),
IF(AND(BV31&lt;VLOOKUP($C29,$C$3:$D$15,2,FALSE)*BW$22,BW30&gt;VLOOKUP($C29,$C$3:$D$15,2,FALSE)*BW$22),VLOOKUP($C29,$C$3:$D$15,2,FALSE)*BW$22-BV31)))</f>
        <v>0</v>
      </c>
      <c r="BX29" s="642">
        <f t="shared" ref="BX29" si="605" xml:space="preserve">
IF(BW31&gt;=VLOOKUP($C29,$C$3:$D$15,2,FALSE)*BX$22,0,
IF(AND(BW31&lt;VLOOKUP($C29,$C$3:$D$15,2,FALSE)*BX$22,BX30&lt;=VLOOKUP($C29,$C$3:$D$15,2,FALSE)*BX$22),IF(BX30-BW31&lt;0,0,BX30-BW31),
IF(AND(BW31&lt;VLOOKUP($C29,$C$3:$D$15,2,FALSE)*BX$22,BX30&gt;VLOOKUP($C29,$C$3:$D$15,2,FALSE)*BX$22),VLOOKUP($C29,$C$3:$D$15,2,FALSE)*BX$22-BW31)))</f>
        <v>0</v>
      </c>
      <c r="BY29" s="642">
        <f t="shared" ref="BY29" si="606" xml:space="preserve">
IF(BX31&gt;=VLOOKUP($C29,$C$3:$D$15,2,FALSE)*BY$22,0,
IF(AND(BX31&lt;VLOOKUP($C29,$C$3:$D$15,2,FALSE)*BY$22,BY30&lt;=VLOOKUP($C29,$C$3:$D$15,2,FALSE)*BY$22),IF(BY30-BX31&lt;0,0,BY30-BX31),
IF(AND(BX31&lt;VLOOKUP($C29,$C$3:$D$15,2,FALSE)*BY$22,BY30&gt;VLOOKUP($C29,$C$3:$D$15,2,FALSE)*BY$22),VLOOKUP($C29,$C$3:$D$15,2,FALSE)*BY$22-BX31)))</f>
        <v>0</v>
      </c>
      <c r="BZ29" s="642">
        <f t="shared" ref="BZ29" si="607" xml:space="preserve">
IF(BY31&gt;=VLOOKUP($C29,$C$3:$D$15,2,FALSE)*BZ$22,0,
IF(AND(BY31&lt;VLOOKUP($C29,$C$3:$D$15,2,FALSE)*BZ$22,BZ30&lt;=VLOOKUP($C29,$C$3:$D$15,2,FALSE)*BZ$22),IF(BZ30-BY31&lt;0,0,BZ30-BY31),
IF(AND(BY31&lt;VLOOKUP($C29,$C$3:$D$15,2,FALSE)*BZ$22,BZ30&gt;VLOOKUP($C29,$C$3:$D$15,2,FALSE)*BZ$22),VLOOKUP($C29,$C$3:$D$15,2,FALSE)*BZ$22-BY31)))</f>
        <v>0</v>
      </c>
      <c r="CA29" s="642">
        <f t="shared" ref="CA29" si="608" xml:space="preserve">
IF(BZ31&gt;=VLOOKUP($C29,$C$3:$D$15,2,FALSE)*CA$22,0,
IF(AND(BZ31&lt;VLOOKUP($C29,$C$3:$D$15,2,FALSE)*CA$22,CA30&lt;=VLOOKUP($C29,$C$3:$D$15,2,FALSE)*CA$22),IF(CA30-BZ31&lt;0,0,CA30-BZ31),
IF(AND(BZ31&lt;VLOOKUP($C29,$C$3:$D$15,2,FALSE)*CA$22,CA30&gt;VLOOKUP($C29,$C$3:$D$15,2,FALSE)*CA$22),VLOOKUP($C29,$C$3:$D$15,2,FALSE)*CA$22-BZ31)))</f>
        <v>0</v>
      </c>
      <c r="CB29" s="642">
        <f t="shared" ref="CB29" si="609" xml:space="preserve">
IF(CA31&gt;=VLOOKUP($C29,$C$3:$D$15,2,FALSE)*CB$22,0,
IF(AND(CA31&lt;VLOOKUP($C29,$C$3:$D$15,2,FALSE)*CB$22,CB30&lt;=VLOOKUP($C29,$C$3:$D$15,2,FALSE)*CB$22),IF(CB30-CA31&lt;0,0,CB30-CA31),
IF(AND(CA31&lt;VLOOKUP($C29,$C$3:$D$15,2,FALSE)*CB$22,CB30&gt;VLOOKUP($C29,$C$3:$D$15,2,FALSE)*CB$22),VLOOKUP($C29,$C$3:$D$15,2,FALSE)*CB$22-CA31)))</f>
        <v>0</v>
      </c>
      <c r="CC29" s="642">
        <f t="shared" ref="CC29" si="610" xml:space="preserve">
IF(CB31&gt;=VLOOKUP($C29,$C$3:$D$15,2,FALSE)*CC$22,0,
IF(AND(CB31&lt;VLOOKUP($C29,$C$3:$D$15,2,FALSE)*CC$22,CC30&lt;=VLOOKUP($C29,$C$3:$D$15,2,FALSE)*CC$22),IF(CC30-CB31&lt;0,0,CC30-CB31),
IF(AND(CB31&lt;VLOOKUP($C29,$C$3:$D$15,2,FALSE)*CC$22,CC30&gt;VLOOKUP($C29,$C$3:$D$15,2,FALSE)*CC$22),VLOOKUP($C29,$C$3:$D$15,2,FALSE)*CC$22-CB31)))</f>
        <v>0</v>
      </c>
      <c r="CD29" s="642">
        <f t="shared" ref="CD29" si="611" xml:space="preserve">
IF(CC31&gt;=VLOOKUP($C29,$C$3:$D$15,2,FALSE)*CD$22,0,
IF(AND(CC31&lt;VLOOKUP($C29,$C$3:$D$15,2,FALSE)*CD$22,CD30&lt;=VLOOKUP($C29,$C$3:$D$15,2,FALSE)*CD$22),IF(CD30-CC31&lt;0,0,CD30-CC31),
IF(AND(CC31&lt;VLOOKUP($C29,$C$3:$D$15,2,FALSE)*CD$22,CD30&gt;VLOOKUP($C29,$C$3:$D$15,2,FALSE)*CD$22),VLOOKUP($C29,$C$3:$D$15,2,FALSE)*CD$22-CC31)))</f>
        <v>0</v>
      </c>
      <c r="CE29" s="642">
        <f t="shared" ref="CE29" si="612" xml:space="preserve">
IF(CD31&gt;=VLOOKUP($C29,$C$3:$D$15,2,FALSE)*CE$22,0,
IF(AND(CD31&lt;VLOOKUP($C29,$C$3:$D$15,2,FALSE)*CE$22,CE30&lt;=VLOOKUP($C29,$C$3:$D$15,2,FALSE)*CE$22),IF(CE30-CD31&lt;0,0,CE30-CD31),
IF(AND(CD31&lt;VLOOKUP($C29,$C$3:$D$15,2,FALSE)*CE$22,CE30&gt;VLOOKUP($C29,$C$3:$D$15,2,FALSE)*CE$22),VLOOKUP($C29,$C$3:$D$15,2,FALSE)*CE$22-CD31)))</f>
        <v>0</v>
      </c>
      <c r="CF29" s="642">
        <f t="shared" ref="CF29" si="613" xml:space="preserve">
IF(CE31&gt;=VLOOKUP($C29,$C$3:$D$15,2,FALSE)*CF$22,0,
IF(AND(CE31&lt;VLOOKUP($C29,$C$3:$D$15,2,FALSE)*CF$22,CF30&lt;=VLOOKUP($C29,$C$3:$D$15,2,FALSE)*CF$22),IF(CF30-CE31&lt;0,0,CF30-CE31),
IF(AND(CE31&lt;VLOOKUP($C29,$C$3:$D$15,2,FALSE)*CF$22,CF30&gt;VLOOKUP($C29,$C$3:$D$15,2,FALSE)*CF$22),VLOOKUP($C29,$C$3:$D$15,2,FALSE)*CF$22-CE31)))</f>
        <v>0</v>
      </c>
      <c r="CG29" s="642">
        <f t="shared" ref="CG29" si="614" xml:space="preserve">
IF(CF31&gt;=VLOOKUP($C29,$C$3:$D$15,2,FALSE)*CG$22,0,
IF(AND(CF31&lt;VLOOKUP($C29,$C$3:$D$15,2,FALSE)*CG$22,CG30&lt;=VLOOKUP($C29,$C$3:$D$15,2,FALSE)*CG$22),IF(CG30-CF31&lt;0,0,CG30-CF31),
IF(AND(CF31&lt;VLOOKUP($C29,$C$3:$D$15,2,FALSE)*CG$22,CG30&gt;VLOOKUP($C29,$C$3:$D$15,2,FALSE)*CG$22),VLOOKUP($C29,$C$3:$D$15,2,FALSE)*CG$22-CF31)))</f>
        <v>0</v>
      </c>
      <c r="CH29" s="642">
        <f t="shared" ref="CH29" si="615" xml:space="preserve">
IF(CG31&gt;=VLOOKUP($C29,$C$3:$D$15,2,FALSE)*CH$22,0,
IF(AND(CG31&lt;VLOOKUP($C29,$C$3:$D$15,2,FALSE)*CH$22,CH30&lt;=VLOOKUP($C29,$C$3:$D$15,2,FALSE)*CH$22),IF(CH30-CG31&lt;0,0,CH30-CG31),
IF(AND(CG31&lt;VLOOKUP($C29,$C$3:$D$15,2,FALSE)*CH$22,CH30&gt;VLOOKUP($C29,$C$3:$D$15,2,FALSE)*CH$22),VLOOKUP($C29,$C$3:$D$15,2,FALSE)*CH$22-CG31)))</f>
        <v>0</v>
      </c>
      <c r="CI29" s="642">
        <f t="shared" ref="CI29" si="616" xml:space="preserve">
IF(CH31&gt;=VLOOKUP($C29,$C$3:$D$15,2,FALSE)*CI$22,0,
IF(AND(CH31&lt;VLOOKUP($C29,$C$3:$D$15,2,FALSE)*CI$22,CI30&lt;=VLOOKUP($C29,$C$3:$D$15,2,FALSE)*CI$22),IF(CI30-CH31&lt;0,0,CI30-CH31),
IF(AND(CH31&lt;VLOOKUP($C29,$C$3:$D$15,2,FALSE)*CI$22,CI30&gt;VLOOKUP($C29,$C$3:$D$15,2,FALSE)*CI$22),VLOOKUP($C29,$C$3:$D$15,2,FALSE)*CI$22-CH31)))</f>
        <v>0</v>
      </c>
      <c r="CJ29" s="642">
        <f t="shared" ref="CJ29" si="617" xml:space="preserve">
IF(CI31&gt;=VLOOKUP($C29,$C$3:$D$15,2,FALSE)*CJ$22,0,
IF(AND(CI31&lt;VLOOKUP($C29,$C$3:$D$15,2,FALSE)*CJ$22,CJ30&lt;=VLOOKUP($C29,$C$3:$D$15,2,FALSE)*CJ$22),IF(CJ30-CI31&lt;0,0,CJ30-CI31),
IF(AND(CI31&lt;VLOOKUP($C29,$C$3:$D$15,2,FALSE)*CJ$22,CJ30&gt;VLOOKUP($C29,$C$3:$D$15,2,FALSE)*CJ$22),VLOOKUP($C29,$C$3:$D$15,2,FALSE)*CJ$22-CI31)))</f>
        <v>0</v>
      </c>
      <c r="CK29" s="642">
        <f t="shared" ref="CK29" si="618" xml:space="preserve">
IF(CJ31&gt;=VLOOKUP($C29,$C$3:$D$15,2,FALSE)*CK$22,0,
IF(AND(CJ31&lt;VLOOKUP($C29,$C$3:$D$15,2,FALSE)*CK$22,CK30&lt;=VLOOKUP($C29,$C$3:$D$15,2,FALSE)*CK$22),IF(CK30-CJ31&lt;0,0,CK30-CJ31),
IF(AND(CJ31&lt;VLOOKUP($C29,$C$3:$D$15,2,FALSE)*CK$22,CK30&gt;VLOOKUP($C29,$C$3:$D$15,2,FALSE)*CK$22),VLOOKUP($C29,$C$3:$D$15,2,FALSE)*CK$22-CJ31)))</f>
        <v>0</v>
      </c>
      <c r="CL29" s="642">
        <f t="shared" ref="CL29" si="619" xml:space="preserve">
IF(CK31&gt;=VLOOKUP($C29,$C$3:$D$15,2,FALSE)*CL$22,0,
IF(AND(CK31&lt;VLOOKUP($C29,$C$3:$D$15,2,FALSE)*CL$22,CL30&lt;=VLOOKUP($C29,$C$3:$D$15,2,FALSE)*CL$22),IF(CL30-CK31&lt;0,0,CL30-CK31),
IF(AND(CK31&lt;VLOOKUP($C29,$C$3:$D$15,2,FALSE)*CL$22,CL30&gt;VLOOKUP($C29,$C$3:$D$15,2,FALSE)*CL$22),VLOOKUP($C29,$C$3:$D$15,2,FALSE)*CL$22-CK31)))</f>
        <v>0</v>
      </c>
      <c r="CM29" s="642">
        <f t="shared" ref="CM29" si="620" xml:space="preserve">
IF(CL31&gt;=VLOOKUP($C29,$C$3:$D$15,2,FALSE)*CM$22,0,
IF(AND(CL31&lt;VLOOKUP($C29,$C$3:$D$15,2,FALSE)*CM$22,CM30&lt;=VLOOKUP($C29,$C$3:$D$15,2,FALSE)*CM$22),IF(CM30-CL31&lt;0,0,CM30-CL31),
IF(AND(CL31&lt;VLOOKUP($C29,$C$3:$D$15,2,FALSE)*CM$22,CM30&gt;VLOOKUP($C29,$C$3:$D$15,2,FALSE)*CM$22),VLOOKUP($C29,$C$3:$D$15,2,FALSE)*CM$22-CL31)))</f>
        <v>0</v>
      </c>
      <c r="CN29" s="642">
        <f t="shared" ref="CN29" si="621" xml:space="preserve">
IF(CM31&gt;=VLOOKUP($C29,$C$3:$D$15,2,FALSE)*CN$22,0,
IF(AND(CM31&lt;VLOOKUP($C29,$C$3:$D$15,2,FALSE)*CN$22,CN30&lt;=VLOOKUP($C29,$C$3:$D$15,2,FALSE)*CN$22),IF(CN30-CM31&lt;0,0,CN30-CM31),
IF(AND(CM31&lt;VLOOKUP($C29,$C$3:$D$15,2,FALSE)*CN$22,CN30&gt;VLOOKUP($C29,$C$3:$D$15,2,FALSE)*CN$22),VLOOKUP($C29,$C$3:$D$15,2,FALSE)*CN$22-CM31)))</f>
        <v>0</v>
      </c>
      <c r="CO29" s="642">
        <f t="shared" ref="CO29" si="622" xml:space="preserve">
IF(CN31&gt;=VLOOKUP($C29,$C$3:$D$15,2,FALSE)*CO$22,0,
IF(AND(CN31&lt;VLOOKUP($C29,$C$3:$D$15,2,FALSE)*CO$22,CO30&lt;=VLOOKUP($C29,$C$3:$D$15,2,FALSE)*CO$22),IF(CO30-CN31&lt;0,0,CO30-CN31),
IF(AND(CN31&lt;VLOOKUP($C29,$C$3:$D$15,2,FALSE)*CO$22,CO30&gt;VLOOKUP($C29,$C$3:$D$15,2,FALSE)*CO$22),VLOOKUP($C29,$C$3:$D$15,2,FALSE)*CO$22-CN31)))</f>
        <v>0</v>
      </c>
      <c r="CP29" s="642">
        <f t="shared" ref="CP29" si="623" xml:space="preserve">
IF(CO31&gt;=VLOOKUP($C29,$C$3:$D$15,2,FALSE)*CP$22,0,
IF(AND(CO31&lt;VLOOKUP($C29,$C$3:$D$15,2,FALSE)*CP$22,CP30&lt;=VLOOKUP($C29,$C$3:$D$15,2,FALSE)*CP$22),IF(CP30-CO31&lt;0,0,CP30-CO31),
IF(AND(CO31&lt;VLOOKUP($C29,$C$3:$D$15,2,FALSE)*CP$22,CP30&gt;VLOOKUP($C29,$C$3:$D$15,2,FALSE)*CP$22),VLOOKUP($C29,$C$3:$D$15,2,FALSE)*CP$22-CO31)))</f>
        <v>0</v>
      </c>
      <c r="CQ29" s="642">
        <f t="shared" ref="CQ29" si="624" xml:space="preserve">
IF(CP31&gt;=VLOOKUP($C29,$C$3:$D$15,2,FALSE)*CQ$22,0,
IF(AND(CP31&lt;VLOOKUP($C29,$C$3:$D$15,2,FALSE)*CQ$22,CQ30&lt;=VLOOKUP($C29,$C$3:$D$15,2,FALSE)*CQ$22),IF(CQ30-CP31&lt;0,0,CQ30-CP31),
IF(AND(CP31&lt;VLOOKUP($C29,$C$3:$D$15,2,FALSE)*CQ$22,CQ30&gt;VLOOKUP($C29,$C$3:$D$15,2,FALSE)*CQ$22),VLOOKUP($C29,$C$3:$D$15,2,FALSE)*CQ$22-CP31)))</f>
        <v>0</v>
      </c>
      <c r="CR29" s="642">
        <f t="shared" ref="CR29" si="625" xml:space="preserve">
IF(CQ31&gt;=VLOOKUP($C29,$C$3:$D$15,2,FALSE)*CR$22,0,
IF(AND(CQ31&lt;VLOOKUP($C29,$C$3:$D$15,2,FALSE)*CR$22,CR30&lt;=VLOOKUP($C29,$C$3:$D$15,2,FALSE)*CR$22),IF(CR30-CQ31&lt;0,0,CR30-CQ31),
IF(AND(CQ31&lt;VLOOKUP($C29,$C$3:$D$15,2,FALSE)*CR$22,CR30&gt;VLOOKUP($C29,$C$3:$D$15,2,FALSE)*CR$22),VLOOKUP($C29,$C$3:$D$15,2,FALSE)*CR$22-CQ31)))</f>
        <v>0</v>
      </c>
      <c r="CS29" s="642">
        <f t="shared" ref="CS29" si="626" xml:space="preserve">
IF(CR31&gt;=VLOOKUP($C29,$C$3:$D$15,2,FALSE)*CS$22,0,
IF(AND(CR31&lt;VLOOKUP($C29,$C$3:$D$15,2,FALSE)*CS$22,CS30&lt;=VLOOKUP($C29,$C$3:$D$15,2,FALSE)*CS$22),IF(CS30-CR31&lt;0,0,CS30-CR31),
IF(AND(CR31&lt;VLOOKUP($C29,$C$3:$D$15,2,FALSE)*CS$22,CS30&gt;VLOOKUP($C29,$C$3:$D$15,2,FALSE)*CS$22),VLOOKUP($C29,$C$3:$D$15,2,FALSE)*CS$22-CR31)))</f>
        <v>0</v>
      </c>
      <c r="CT29" s="642">
        <f t="shared" ref="CT29" si="627" xml:space="preserve">
IF(CS31&gt;=VLOOKUP($C29,$C$3:$D$15,2,FALSE)*CT$22,0,
IF(AND(CS31&lt;VLOOKUP($C29,$C$3:$D$15,2,FALSE)*CT$22,CT30&lt;=VLOOKUP($C29,$C$3:$D$15,2,FALSE)*CT$22),IF(CT30-CS31&lt;0,0,CT30-CS31),
IF(AND(CS31&lt;VLOOKUP($C29,$C$3:$D$15,2,FALSE)*CT$22,CT30&gt;VLOOKUP($C29,$C$3:$D$15,2,FALSE)*CT$22),VLOOKUP($C29,$C$3:$D$15,2,FALSE)*CT$22-CS31)))</f>
        <v>0</v>
      </c>
      <c r="CU29" s="642">
        <f t="shared" ref="CU29" si="628" xml:space="preserve">
IF(CT31&gt;=VLOOKUP($C29,$C$3:$D$15,2,FALSE)*CU$22,0,
IF(AND(CT31&lt;VLOOKUP($C29,$C$3:$D$15,2,FALSE)*CU$22,CU30&lt;=VLOOKUP($C29,$C$3:$D$15,2,FALSE)*CU$22),IF(CU30-CT31&lt;0,0,CU30-CT31),
IF(AND(CT31&lt;VLOOKUP($C29,$C$3:$D$15,2,FALSE)*CU$22,CU30&gt;VLOOKUP($C29,$C$3:$D$15,2,FALSE)*CU$22),VLOOKUP($C29,$C$3:$D$15,2,FALSE)*CU$22-CT31)))</f>
        <v>0</v>
      </c>
      <c r="CV29" s="642">
        <f t="shared" ref="CV29" si="629" xml:space="preserve">
IF(CU31&gt;=VLOOKUP($C29,$C$3:$D$15,2,FALSE)*CV$22,0,
IF(AND(CU31&lt;VLOOKUP($C29,$C$3:$D$15,2,FALSE)*CV$22,CV30&lt;=VLOOKUP($C29,$C$3:$D$15,2,FALSE)*CV$22),IF(CV30-CU31&lt;0,0,CV30-CU31),
IF(AND(CU31&lt;VLOOKUP($C29,$C$3:$D$15,2,FALSE)*CV$22,CV30&gt;VLOOKUP($C29,$C$3:$D$15,2,FALSE)*CV$22),VLOOKUP($C29,$C$3:$D$15,2,FALSE)*CV$22-CU31)))</f>
        <v>0</v>
      </c>
      <c r="CW29" s="642">
        <f t="shared" ref="CW29" si="630" xml:space="preserve">
IF(CV31&gt;=VLOOKUP($C29,$C$3:$D$15,2,FALSE)*CW$22,0,
IF(AND(CV31&lt;VLOOKUP($C29,$C$3:$D$15,2,FALSE)*CW$22,CW30&lt;=VLOOKUP($C29,$C$3:$D$15,2,FALSE)*CW$22),IF(CW30-CV31&lt;0,0,CW30-CV31),
IF(AND(CV31&lt;VLOOKUP($C29,$C$3:$D$15,2,FALSE)*CW$22,CW30&gt;VLOOKUP($C29,$C$3:$D$15,2,FALSE)*CW$22),VLOOKUP($C29,$C$3:$D$15,2,FALSE)*CW$22-CV31)))</f>
        <v>0</v>
      </c>
      <c r="CX29" s="642">
        <f t="shared" ref="CX29" si="631" xml:space="preserve">
IF(CW31&gt;=VLOOKUP($C29,$C$3:$D$15,2,FALSE)*CX$22,0,
IF(AND(CW31&lt;VLOOKUP($C29,$C$3:$D$15,2,FALSE)*CX$22,CX30&lt;=VLOOKUP($C29,$C$3:$D$15,2,FALSE)*CX$22),IF(CX30-CW31&lt;0,0,CX30-CW31),
IF(AND(CW31&lt;VLOOKUP($C29,$C$3:$D$15,2,FALSE)*CX$22,CX30&gt;VLOOKUP($C29,$C$3:$D$15,2,FALSE)*CX$22),VLOOKUP($C29,$C$3:$D$15,2,FALSE)*CX$22-CW31)))</f>
        <v>0</v>
      </c>
      <c r="CY29" s="642">
        <f t="shared" ref="CY29" si="632" xml:space="preserve">
IF(CX31&gt;=VLOOKUP($C29,$C$3:$D$15,2,FALSE)*CY$22,0,
IF(AND(CX31&lt;VLOOKUP($C29,$C$3:$D$15,2,FALSE)*CY$22,CY30&lt;=VLOOKUP($C29,$C$3:$D$15,2,FALSE)*CY$22),IF(CY30-CX31&lt;0,0,CY30-CX31),
IF(AND(CX31&lt;VLOOKUP($C29,$C$3:$D$15,2,FALSE)*CY$22,CY30&gt;VLOOKUP($C29,$C$3:$D$15,2,FALSE)*CY$22),VLOOKUP($C29,$C$3:$D$15,2,FALSE)*CY$22-CX31)))</f>
        <v>0</v>
      </c>
      <c r="CZ29" s="642">
        <f t="shared" ref="CZ29" si="633" xml:space="preserve">
IF(CY31&gt;=VLOOKUP($C29,$C$3:$D$15,2,FALSE)*CZ$22,0,
IF(AND(CY31&lt;VLOOKUP($C29,$C$3:$D$15,2,FALSE)*CZ$22,CZ30&lt;=VLOOKUP($C29,$C$3:$D$15,2,FALSE)*CZ$22),IF(CZ30-CY31&lt;0,0,CZ30-CY31),
IF(AND(CY31&lt;VLOOKUP($C29,$C$3:$D$15,2,FALSE)*CZ$22,CZ30&gt;VLOOKUP($C29,$C$3:$D$15,2,FALSE)*CZ$22),VLOOKUP($C29,$C$3:$D$15,2,FALSE)*CZ$22-CY31)))</f>
        <v>0</v>
      </c>
      <c r="DA29" s="642">
        <f t="shared" ref="DA29" si="634" xml:space="preserve">
IF(CZ31&gt;=VLOOKUP($C29,$C$3:$D$15,2,FALSE)*DA$22,0,
IF(AND(CZ31&lt;VLOOKUP($C29,$C$3:$D$15,2,FALSE)*DA$22,DA30&lt;=VLOOKUP($C29,$C$3:$D$15,2,FALSE)*DA$22),IF(DA30-CZ31&lt;0,0,DA30-CZ31),
IF(AND(CZ31&lt;VLOOKUP($C29,$C$3:$D$15,2,FALSE)*DA$22,DA30&gt;VLOOKUP($C29,$C$3:$D$15,2,FALSE)*DA$22),VLOOKUP($C29,$C$3:$D$15,2,FALSE)*DA$22-CZ31)))</f>
        <v>0</v>
      </c>
      <c r="DB29" s="642">
        <f t="shared" ref="DB29" si="635" xml:space="preserve">
IF(DA31&gt;=VLOOKUP($C29,$C$3:$D$15,2,FALSE)*DB$22,0,
IF(AND(DA31&lt;VLOOKUP($C29,$C$3:$D$15,2,FALSE)*DB$22,DB30&lt;=VLOOKUP($C29,$C$3:$D$15,2,FALSE)*DB$22),IF(DB30-DA31&lt;0,0,DB30-DA31),
IF(AND(DA31&lt;VLOOKUP($C29,$C$3:$D$15,2,FALSE)*DB$22,DB30&gt;VLOOKUP($C29,$C$3:$D$15,2,FALSE)*DB$22),VLOOKUP($C29,$C$3:$D$15,2,FALSE)*DB$22-DA31)))</f>
        <v>0</v>
      </c>
      <c r="DC29" s="642">
        <f t="shared" ref="DC29" si="636" xml:space="preserve">
IF(DB31&gt;=VLOOKUP($C29,$C$3:$D$15,2,FALSE)*DC$22,0,
IF(AND(DB31&lt;VLOOKUP($C29,$C$3:$D$15,2,FALSE)*DC$22,DC30&lt;=VLOOKUP($C29,$C$3:$D$15,2,FALSE)*DC$22),IF(DC30-DB31&lt;0,0,DC30-DB31),
IF(AND(DB31&lt;VLOOKUP($C29,$C$3:$D$15,2,FALSE)*DC$22,DC30&gt;VLOOKUP($C29,$C$3:$D$15,2,FALSE)*DC$22),VLOOKUP($C29,$C$3:$D$15,2,FALSE)*DC$22-DB31)))</f>
        <v>0</v>
      </c>
      <c r="DD29" s="642">
        <f t="shared" ref="DD29" si="637" xml:space="preserve">
IF(DC31&gt;=VLOOKUP($C29,$C$3:$D$15,2,FALSE)*DD$22,0,
IF(AND(DC31&lt;VLOOKUP($C29,$C$3:$D$15,2,FALSE)*DD$22,DD30&lt;=VLOOKUP($C29,$C$3:$D$15,2,FALSE)*DD$22),IF(DD30-DC31&lt;0,0,DD30-DC31),
IF(AND(DC31&lt;VLOOKUP($C29,$C$3:$D$15,2,FALSE)*DD$22,DD30&gt;VLOOKUP($C29,$C$3:$D$15,2,FALSE)*DD$22),VLOOKUP($C29,$C$3:$D$15,2,FALSE)*DD$22-DC31)))</f>
        <v>0</v>
      </c>
      <c r="DE29" s="642">
        <f t="shared" ref="DE29" si="638" xml:space="preserve">
IF(DD31&gt;=VLOOKUP($C29,$C$3:$D$15,2,FALSE)*DE$22,0,
IF(AND(DD31&lt;VLOOKUP($C29,$C$3:$D$15,2,FALSE)*DE$22,DE30&lt;=VLOOKUP($C29,$C$3:$D$15,2,FALSE)*DE$22),IF(DE30-DD31&lt;0,0,DE30-DD31),
IF(AND(DD31&lt;VLOOKUP($C29,$C$3:$D$15,2,FALSE)*DE$22,DE30&gt;VLOOKUP($C29,$C$3:$D$15,2,FALSE)*DE$22),VLOOKUP($C29,$C$3:$D$15,2,FALSE)*DE$22-DD31)))</f>
        <v>0</v>
      </c>
      <c r="DF29" s="642">
        <f t="shared" ref="DF29" si="639" xml:space="preserve">
IF(DE31&gt;=VLOOKUP($C29,$C$3:$D$15,2,FALSE)*DF$22,0,
IF(AND(DE31&lt;VLOOKUP($C29,$C$3:$D$15,2,FALSE)*DF$22,DF30&lt;=VLOOKUP($C29,$C$3:$D$15,2,FALSE)*DF$22),IF(DF30-DE31&lt;0,0,DF30-DE31),
IF(AND(DE31&lt;VLOOKUP($C29,$C$3:$D$15,2,FALSE)*DF$22,DF30&gt;VLOOKUP($C29,$C$3:$D$15,2,FALSE)*DF$22),VLOOKUP($C29,$C$3:$D$15,2,FALSE)*DF$22-DE31)))</f>
        <v>0</v>
      </c>
      <c r="DG29" s="642">
        <f t="shared" ref="DG29" si="640" xml:space="preserve">
IF(DF31&gt;=VLOOKUP($C29,$C$3:$D$15,2,FALSE)*DG$22,0,
IF(AND(DF31&lt;VLOOKUP($C29,$C$3:$D$15,2,FALSE)*DG$22,DG30&lt;=VLOOKUP($C29,$C$3:$D$15,2,FALSE)*DG$22),IF(DG30-DF31&lt;0,0,DG30-DF31),
IF(AND(DF31&lt;VLOOKUP($C29,$C$3:$D$15,2,FALSE)*DG$22,DG30&gt;VLOOKUP($C29,$C$3:$D$15,2,FALSE)*DG$22),VLOOKUP($C29,$C$3:$D$15,2,FALSE)*DG$22-DF31)))</f>
        <v>0</v>
      </c>
      <c r="DH29" s="642">
        <f t="shared" ref="DH29" si="641" xml:space="preserve">
IF(DG31&gt;=VLOOKUP($C29,$C$3:$D$15,2,FALSE)*DH$22,0,
IF(AND(DG31&lt;VLOOKUP($C29,$C$3:$D$15,2,FALSE)*DH$22,DH30&lt;=VLOOKUP($C29,$C$3:$D$15,2,FALSE)*DH$22),IF(DH30-DG31&lt;0,0,DH30-DG31),
IF(AND(DG31&lt;VLOOKUP($C29,$C$3:$D$15,2,FALSE)*DH$22,DH30&gt;VLOOKUP($C29,$C$3:$D$15,2,FALSE)*DH$22),VLOOKUP($C29,$C$3:$D$15,2,FALSE)*DH$22-DG31)))</f>
        <v>0</v>
      </c>
      <c r="DI29" s="642">
        <f t="shared" ref="DI29" si="642" xml:space="preserve">
IF(DH31&gt;=VLOOKUP($C29,$C$3:$D$15,2,FALSE)*DI$22,0,
IF(AND(DH31&lt;VLOOKUP($C29,$C$3:$D$15,2,FALSE)*DI$22,DI30&lt;=VLOOKUP($C29,$C$3:$D$15,2,FALSE)*DI$22),IF(DI30-DH31&lt;0,0,DI30-DH31),
IF(AND(DH31&lt;VLOOKUP($C29,$C$3:$D$15,2,FALSE)*DI$22,DI30&gt;VLOOKUP($C29,$C$3:$D$15,2,FALSE)*DI$22),VLOOKUP($C29,$C$3:$D$15,2,FALSE)*DI$22-DH31)))</f>
        <v>0</v>
      </c>
      <c r="DJ29" s="642">
        <f t="shared" ref="DJ29" si="643" xml:space="preserve">
IF(DI31&gt;=VLOOKUP($C29,$C$3:$D$15,2,FALSE)*DJ$22,0,
IF(AND(DI31&lt;VLOOKUP($C29,$C$3:$D$15,2,FALSE)*DJ$22,DJ30&lt;=VLOOKUP($C29,$C$3:$D$15,2,FALSE)*DJ$22),IF(DJ30-DI31&lt;0,0,DJ30-DI31),
IF(AND(DI31&lt;VLOOKUP($C29,$C$3:$D$15,2,FALSE)*DJ$22,DJ30&gt;VLOOKUP($C29,$C$3:$D$15,2,FALSE)*DJ$22),VLOOKUP($C29,$C$3:$D$15,2,FALSE)*DJ$22-DI31)))</f>
        <v>0</v>
      </c>
      <c r="DK29" s="642">
        <f t="shared" ref="DK29" si="644" xml:space="preserve">
IF(DJ31&gt;=VLOOKUP($C29,$C$3:$D$15,2,FALSE)*DK$22,0,
IF(AND(DJ31&lt;VLOOKUP($C29,$C$3:$D$15,2,FALSE)*DK$22,DK30&lt;=VLOOKUP($C29,$C$3:$D$15,2,FALSE)*DK$22),IF(DK30-DJ31&lt;0,0,DK30-DJ31),
IF(AND(DJ31&lt;VLOOKUP($C29,$C$3:$D$15,2,FALSE)*DK$22,DK30&gt;VLOOKUP($C29,$C$3:$D$15,2,FALSE)*DK$22),VLOOKUP($C29,$C$3:$D$15,2,FALSE)*DK$22-DJ31)))</f>
        <v>0</v>
      </c>
      <c r="DL29" s="642">
        <f t="shared" ref="DL29" si="645" xml:space="preserve">
IF(DK31&gt;=VLOOKUP($C29,$C$3:$D$15,2,FALSE)*DL$22,0,
IF(AND(DK31&lt;VLOOKUP($C29,$C$3:$D$15,2,FALSE)*DL$22,DL30&lt;=VLOOKUP($C29,$C$3:$D$15,2,FALSE)*DL$22),IF(DL30-DK31&lt;0,0,DL30-DK31),
IF(AND(DK31&lt;VLOOKUP($C29,$C$3:$D$15,2,FALSE)*DL$22,DL30&gt;VLOOKUP($C29,$C$3:$D$15,2,FALSE)*DL$22),VLOOKUP($C29,$C$3:$D$15,2,FALSE)*DL$22-DK31)))</f>
        <v>0</v>
      </c>
      <c r="DM29" s="642">
        <f t="shared" ref="DM29" si="646" xml:space="preserve">
IF(DL31&gt;=VLOOKUP($C29,$C$3:$D$15,2,FALSE)*DM$22,0,
IF(AND(DL31&lt;VLOOKUP($C29,$C$3:$D$15,2,FALSE)*DM$22,DM30&lt;=VLOOKUP($C29,$C$3:$D$15,2,FALSE)*DM$22),IF(DM30-DL31&lt;0,0,DM30-DL31),
IF(AND(DL31&lt;VLOOKUP($C29,$C$3:$D$15,2,FALSE)*DM$22,DM30&gt;VLOOKUP($C29,$C$3:$D$15,2,FALSE)*DM$22),VLOOKUP($C29,$C$3:$D$15,2,FALSE)*DM$22-DL31)))</f>
        <v>0</v>
      </c>
      <c r="DN29" s="642">
        <f t="shared" ref="DN29" si="647" xml:space="preserve">
IF(DM31&gt;=VLOOKUP($C29,$C$3:$D$15,2,FALSE)*DN$22,0,
IF(AND(DM31&lt;VLOOKUP($C29,$C$3:$D$15,2,FALSE)*DN$22,DN30&lt;=VLOOKUP($C29,$C$3:$D$15,2,FALSE)*DN$22),IF(DN30-DM31&lt;0,0,DN30-DM31),
IF(AND(DM31&lt;VLOOKUP($C29,$C$3:$D$15,2,FALSE)*DN$22,DN30&gt;VLOOKUP($C29,$C$3:$D$15,2,FALSE)*DN$22),VLOOKUP($C29,$C$3:$D$15,2,FALSE)*DN$22-DM31)))</f>
        <v>0</v>
      </c>
      <c r="DO29" s="642">
        <f t="shared" ref="DO29" si="648" xml:space="preserve">
IF(DN31&gt;=VLOOKUP($C29,$C$3:$D$15,2,FALSE)*DO$22,0,
IF(AND(DN31&lt;VLOOKUP($C29,$C$3:$D$15,2,FALSE)*DO$22,DO30&lt;=VLOOKUP($C29,$C$3:$D$15,2,FALSE)*DO$22),IF(DO30-DN31&lt;0,0,DO30-DN31),
IF(AND(DN31&lt;VLOOKUP($C29,$C$3:$D$15,2,FALSE)*DO$22,DO30&gt;VLOOKUP($C29,$C$3:$D$15,2,FALSE)*DO$22),VLOOKUP($C29,$C$3:$D$15,2,FALSE)*DO$22-DN31)))</f>
        <v>0</v>
      </c>
      <c r="DP29" s="642">
        <f t="shared" ref="DP29" si="649" xml:space="preserve">
IF(DO31&gt;=VLOOKUP($C29,$C$3:$D$15,2,FALSE)*DP$22,0,
IF(AND(DO31&lt;VLOOKUP($C29,$C$3:$D$15,2,FALSE)*DP$22,DP30&lt;=VLOOKUP($C29,$C$3:$D$15,2,FALSE)*DP$22),IF(DP30-DO31&lt;0,0,DP30-DO31),
IF(AND(DO31&lt;VLOOKUP($C29,$C$3:$D$15,2,FALSE)*DP$22,DP30&gt;VLOOKUP($C29,$C$3:$D$15,2,FALSE)*DP$22),VLOOKUP($C29,$C$3:$D$15,2,FALSE)*DP$22-DO31)))</f>
        <v>0</v>
      </c>
      <c r="DQ29" s="642">
        <f t="shared" ref="DQ29" si="650" xml:space="preserve">
IF(DP31&gt;=VLOOKUP($C29,$C$3:$D$15,2,FALSE)*DQ$22,0,
IF(AND(DP31&lt;VLOOKUP($C29,$C$3:$D$15,2,FALSE)*DQ$22,DQ30&lt;=VLOOKUP($C29,$C$3:$D$15,2,FALSE)*DQ$22),IF(DQ30-DP31&lt;0,0,DQ30-DP31),
IF(AND(DP31&lt;VLOOKUP($C29,$C$3:$D$15,2,FALSE)*DQ$22,DQ30&gt;VLOOKUP($C29,$C$3:$D$15,2,FALSE)*DQ$22),VLOOKUP($C29,$C$3:$D$15,2,FALSE)*DQ$22-DP31)))</f>
        <v>0</v>
      </c>
      <c r="DR29" s="642">
        <f t="shared" ref="DR29" si="651" xml:space="preserve">
IF(DQ31&gt;=VLOOKUP($C29,$C$3:$D$15,2,FALSE)*DR$22,0,
IF(AND(DQ31&lt;VLOOKUP($C29,$C$3:$D$15,2,FALSE)*DR$22,DR30&lt;=VLOOKUP($C29,$C$3:$D$15,2,FALSE)*DR$22),IF(DR30-DQ31&lt;0,0,DR30-DQ31),
IF(AND(DQ31&lt;VLOOKUP($C29,$C$3:$D$15,2,FALSE)*DR$22,DR30&gt;VLOOKUP($C29,$C$3:$D$15,2,FALSE)*DR$22),VLOOKUP($C29,$C$3:$D$15,2,FALSE)*DR$22-DQ31)))</f>
        <v>0</v>
      </c>
      <c r="DS29" s="642">
        <f t="shared" ref="DS29" si="652" xml:space="preserve">
IF(DR31&gt;=VLOOKUP($C29,$C$3:$D$15,2,FALSE)*DS$22,0,
IF(AND(DR31&lt;VLOOKUP($C29,$C$3:$D$15,2,FALSE)*DS$22,DS30&lt;=VLOOKUP($C29,$C$3:$D$15,2,FALSE)*DS$22),IF(DS30-DR31&lt;0,0,DS30-DR31),
IF(AND(DR31&lt;VLOOKUP($C29,$C$3:$D$15,2,FALSE)*DS$22,DS30&gt;VLOOKUP($C29,$C$3:$D$15,2,FALSE)*DS$22),VLOOKUP($C29,$C$3:$D$15,2,FALSE)*DS$22-DR31)))</f>
        <v>0</v>
      </c>
      <c r="DT29" s="642">
        <f t="shared" ref="DT29" si="653" xml:space="preserve">
IF(DS31&gt;=VLOOKUP($C29,$C$3:$D$15,2,FALSE)*DT$22,0,
IF(AND(DS31&lt;VLOOKUP($C29,$C$3:$D$15,2,FALSE)*DT$22,DT30&lt;=VLOOKUP($C29,$C$3:$D$15,2,FALSE)*DT$22),IF(DT30-DS31&lt;0,0,DT30-DS31),
IF(AND(DS31&lt;VLOOKUP($C29,$C$3:$D$15,2,FALSE)*DT$22,DT30&gt;VLOOKUP($C29,$C$3:$D$15,2,FALSE)*DT$22),VLOOKUP($C29,$C$3:$D$15,2,FALSE)*DT$22-DS31)))</f>
        <v>0</v>
      </c>
      <c r="DU29" s="642">
        <f t="shared" ref="DU29" si="654" xml:space="preserve">
IF(DT31&gt;=VLOOKUP($C29,$C$3:$D$15,2,FALSE)*DU$22,0,
IF(AND(DT31&lt;VLOOKUP($C29,$C$3:$D$15,2,FALSE)*DU$22,DU30&lt;=VLOOKUP($C29,$C$3:$D$15,2,FALSE)*DU$22),IF(DU30-DT31&lt;0,0,DU30-DT31),
IF(AND(DT31&lt;VLOOKUP($C29,$C$3:$D$15,2,FALSE)*DU$22,DU30&gt;VLOOKUP($C29,$C$3:$D$15,2,FALSE)*DU$22),VLOOKUP($C29,$C$3:$D$15,2,FALSE)*DU$22-DT31)))</f>
        <v>0</v>
      </c>
      <c r="DV29" s="642">
        <f t="shared" ref="DV29" si="655" xml:space="preserve">
IF(DU31&gt;=VLOOKUP($C29,$C$3:$D$15,2,FALSE)*DV$22,0,
IF(AND(DU31&lt;VLOOKUP($C29,$C$3:$D$15,2,FALSE)*DV$22,DV30&lt;=VLOOKUP($C29,$C$3:$D$15,2,FALSE)*DV$22),IF(DV30-DU31&lt;0,0,DV30-DU31),
IF(AND(DU31&lt;VLOOKUP($C29,$C$3:$D$15,2,FALSE)*DV$22,DV30&gt;VLOOKUP($C29,$C$3:$D$15,2,FALSE)*DV$22),VLOOKUP($C29,$C$3:$D$15,2,FALSE)*DV$22-DU31)))</f>
        <v>0</v>
      </c>
      <c r="DW29" s="642">
        <f t="shared" ref="DW29" si="656" xml:space="preserve">
IF(DV31&gt;=VLOOKUP($C29,$C$3:$D$15,2,FALSE)*DW$22,0,
IF(AND(DV31&lt;VLOOKUP($C29,$C$3:$D$15,2,FALSE)*DW$22,DW30&lt;=VLOOKUP($C29,$C$3:$D$15,2,FALSE)*DW$22),IF(DW30-DV31&lt;0,0,DW30-DV31),
IF(AND(DV31&lt;VLOOKUP($C29,$C$3:$D$15,2,FALSE)*DW$22,DW30&gt;VLOOKUP($C29,$C$3:$D$15,2,FALSE)*DW$22),VLOOKUP($C29,$C$3:$D$15,2,FALSE)*DW$22-DV31)))</f>
        <v>0</v>
      </c>
      <c r="DX29" s="642">
        <f t="shared" ref="DX29" si="657" xml:space="preserve">
IF(DW31&gt;=VLOOKUP($C29,$C$3:$D$15,2,FALSE)*DX$22,0,
IF(AND(DW31&lt;VLOOKUP($C29,$C$3:$D$15,2,FALSE)*DX$22,DX30&lt;=VLOOKUP($C29,$C$3:$D$15,2,FALSE)*DX$22),IF(DX30-DW31&lt;0,0,DX30-DW31),
IF(AND(DW31&lt;VLOOKUP($C29,$C$3:$D$15,2,FALSE)*DX$22,DX30&gt;VLOOKUP($C29,$C$3:$D$15,2,FALSE)*DX$22),VLOOKUP($C29,$C$3:$D$15,2,FALSE)*DX$22-DW31)))</f>
        <v>0</v>
      </c>
      <c r="DY29" s="642">
        <f t="shared" ref="DY29" si="658" xml:space="preserve">
IF(DX31&gt;=VLOOKUP($C29,$C$3:$D$15,2,FALSE)*DY$22,0,
IF(AND(DX31&lt;VLOOKUP($C29,$C$3:$D$15,2,FALSE)*DY$22,DY30&lt;=VLOOKUP($C29,$C$3:$D$15,2,FALSE)*DY$22),IF(DY30-DX31&lt;0,0,DY30-DX31),
IF(AND(DX31&lt;VLOOKUP($C29,$C$3:$D$15,2,FALSE)*DY$22,DY30&gt;VLOOKUP($C29,$C$3:$D$15,2,FALSE)*DY$22),VLOOKUP($C29,$C$3:$D$15,2,FALSE)*DY$22-DX31)))</f>
        <v>0</v>
      </c>
      <c r="DZ29" s="642">
        <f t="shared" ref="DZ29" si="659" xml:space="preserve">
IF(DY31&gt;=VLOOKUP($C29,$C$3:$D$15,2,FALSE)*DZ$22,0,
IF(AND(DY31&lt;VLOOKUP($C29,$C$3:$D$15,2,FALSE)*DZ$22,DZ30&lt;=VLOOKUP($C29,$C$3:$D$15,2,FALSE)*DZ$22),IF(DZ30-DY31&lt;0,0,DZ30-DY31),
IF(AND(DY31&lt;VLOOKUP($C29,$C$3:$D$15,2,FALSE)*DZ$22,DZ30&gt;VLOOKUP($C29,$C$3:$D$15,2,FALSE)*DZ$22),VLOOKUP($C29,$C$3:$D$15,2,FALSE)*DZ$22-DY31)))</f>
        <v>0</v>
      </c>
      <c r="EA29" s="642">
        <f t="shared" ref="EA29" si="660" xml:space="preserve">
IF(DZ31&gt;=VLOOKUP($C29,$C$3:$D$15,2,FALSE)*EA$22,0,
IF(AND(DZ31&lt;VLOOKUP($C29,$C$3:$D$15,2,FALSE)*EA$22,EA30&lt;=VLOOKUP($C29,$C$3:$D$15,2,FALSE)*EA$22),IF(EA30-DZ31&lt;0,0,EA30-DZ31),
IF(AND(DZ31&lt;VLOOKUP($C29,$C$3:$D$15,2,FALSE)*EA$22,EA30&gt;VLOOKUP($C29,$C$3:$D$15,2,FALSE)*EA$22),VLOOKUP($C29,$C$3:$D$15,2,FALSE)*EA$22-DZ31)))</f>
        <v>0</v>
      </c>
      <c r="EB29" s="642">
        <f t="shared" ref="EB29" si="661" xml:space="preserve">
IF(EA31&gt;=VLOOKUP($C29,$C$3:$D$15,2,FALSE)*EB$22,0,
IF(AND(EA31&lt;VLOOKUP($C29,$C$3:$D$15,2,FALSE)*EB$22,EB30&lt;=VLOOKUP($C29,$C$3:$D$15,2,FALSE)*EB$22),IF(EB30-EA31&lt;0,0,EB30-EA31),
IF(AND(EA31&lt;VLOOKUP($C29,$C$3:$D$15,2,FALSE)*EB$22,EB30&gt;VLOOKUP($C29,$C$3:$D$15,2,FALSE)*EB$22),VLOOKUP($C29,$C$3:$D$15,2,FALSE)*EB$22-EA31)))</f>
        <v>0</v>
      </c>
      <c r="EC29" s="642">
        <f t="shared" ref="EC29" si="662" xml:space="preserve">
IF(EB31&gt;=VLOOKUP($C29,$C$3:$D$15,2,FALSE)*EC$22,0,
IF(AND(EB31&lt;VLOOKUP($C29,$C$3:$D$15,2,FALSE)*EC$22,EC30&lt;=VLOOKUP($C29,$C$3:$D$15,2,FALSE)*EC$22),IF(EC30-EB31&lt;0,0,EC30-EB31),
IF(AND(EB31&lt;VLOOKUP($C29,$C$3:$D$15,2,FALSE)*EC$22,EC30&gt;VLOOKUP($C29,$C$3:$D$15,2,FALSE)*EC$22),VLOOKUP($C29,$C$3:$D$15,2,FALSE)*EC$22-EB31)))</f>
        <v>0</v>
      </c>
      <c r="ED29" s="642">
        <f t="shared" ref="ED29" si="663" xml:space="preserve">
IF(EC31&gt;=VLOOKUP($C29,$C$3:$D$15,2,FALSE)*ED$22,0,
IF(AND(EC31&lt;VLOOKUP($C29,$C$3:$D$15,2,FALSE)*ED$22,ED30&lt;=VLOOKUP($C29,$C$3:$D$15,2,FALSE)*ED$22),IF(ED30-EC31&lt;0,0,ED30-EC31),
IF(AND(EC31&lt;VLOOKUP($C29,$C$3:$D$15,2,FALSE)*ED$22,ED30&gt;VLOOKUP($C29,$C$3:$D$15,2,FALSE)*ED$22),VLOOKUP($C29,$C$3:$D$15,2,FALSE)*ED$22-EC31)))</f>
        <v>0</v>
      </c>
      <c r="EE29" s="642">
        <f t="shared" ref="EE29" si="664" xml:space="preserve">
IF(ED31&gt;=VLOOKUP($C29,$C$3:$D$15,2,FALSE)*EE$22,0,
IF(AND(ED31&lt;VLOOKUP($C29,$C$3:$D$15,2,FALSE)*EE$22,EE30&lt;=VLOOKUP($C29,$C$3:$D$15,2,FALSE)*EE$22),IF(EE30-ED31&lt;0,0,EE30-ED31),
IF(AND(ED31&lt;VLOOKUP($C29,$C$3:$D$15,2,FALSE)*EE$22,EE30&gt;VLOOKUP($C29,$C$3:$D$15,2,FALSE)*EE$22),VLOOKUP($C29,$C$3:$D$15,2,FALSE)*EE$22-ED31)))</f>
        <v>0</v>
      </c>
      <c r="EF29" s="642">
        <f t="shared" ref="EF29" si="665" xml:space="preserve">
IF(EE31&gt;=VLOOKUP($C29,$C$3:$D$15,2,FALSE)*EF$22,0,
IF(AND(EE31&lt;VLOOKUP($C29,$C$3:$D$15,2,FALSE)*EF$22,EF30&lt;=VLOOKUP($C29,$C$3:$D$15,2,FALSE)*EF$22),IF(EF30-EE31&lt;0,0,EF30-EE31),
IF(AND(EE31&lt;VLOOKUP($C29,$C$3:$D$15,2,FALSE)*EF$22,EF30&gt;VLOOKUP($C29,$C$3:$D$15,2,FALSE)*EF$22),VLOOKUP($C29,$C$3:$D$15,2,FALSE)*EF$22-EE31)))</f>
        <v>0</v>
      </c>
      <c r="EG29" s="642">
        <f t="shared" ref="EG29" si="666" xml:space="preserve">
IF(EF31&gt;=VLOOKUP($C29,$C$3:$D$15,2,FALSE)*EG$22,0,
IF(AND(EF31&lt;VLOOKUP($C29,$C$3:$D$15,2,FALSE)*EG$22,EG30&lt;=VLOOKUP($C29,$C$3:$D$15,2,FALSE)*EG$22),IF(EG30-EF31&lt;0,0,EG30-EF31),
IF(AND(EF31&lt;VLOOKUP($C29,$C$3:$D$15,2,FALSE)*EG$22,EG30&gt;VLOOKUP($C29,$C$3:$D$15,2,FALSE)*EG$22),VLOOKUP($C29,$C$3:$D$15,2,FALSE)*EG$22-EF31)))</f>
        <v>0</v>
      </c>
      <c r="EH29" s="642">
        <f t="shared" ref="EH29" si="667" xml:space="preserve">
IF(EG31&gt;=VLOOKUP($C29,$C$3:$D$15,2,FALSE)*EH$22,0,
IF(AND(EG31&lt;VLOOKUP($C29,$C$3:$D$15,2,FALSE)*EH$22,EH30&lt;=VLOOKUP($C29,$C$3:$D$15,2,FALSE)*EH$22),IF(EH30-EG31&lt;0,0,EH30-EG31),
IF(AND(EG31&lt;VLOOKUP($C29,$C$3:$D$15,2,FALSE)*EH$22,EH30&gt;VLOOKUP($C29,$C$3:$D$15,2,FALSE)*EH$22),VLOOKUP($C29,$C$3:$D$15,2,FALSE)*EH$22-EG31)))</f>
        <v>0</v>
      </c>
      <c r="EI29" s="642">
        <f t="shared" ref="EI29" si="668" xml:space="preserve">
IF(EH31&gt;=VLOOKUP($C29,$C$3:$D$15,2,FALSE)*EI$22,0,
IF(AND(EH31&lt;VLOOKUP($C29,$C$3:$D$15,2,FALSE)*EI$22,EI30&lt;=VLOOKUP($C29,$C$3:$D$15,2,FALSE)*EI$22),IF(EI30-EH31&lt;0,0,EI30-EH31),
IF(AND(EH31&lt;VLOOKUP($C29,$C$3:$D$15,2,FALSE)*EI$22,EI30&gt;VLOOKUP($C29,$C$3:$D$15,2,FALSE)*EI$22),VLOOKUP($C29,$C$3:$D$15,2,FALSE)*EI$22-EH31)))</f>
        <v>0</v>
      </c>
      <c r="EJ29" s="642">
        <f t="shared" ref="EJ29" si="669" xml:space="preserve">
IF(EI31&gt;=VLOOKUP($C29,$C$3:$D$15,2,FALSE)*EJ$22,0,
IF(AND(EI31&lt;VLOOKUP($C29,$C$3:$D$15,2,FALSE)*EJ$22,EJ30&lt;=VLOOKUP($C29,$C$3:$D$15,2,FALSE)*EJ$22),IF(EJ30-EI31&lt;0,0,EJ30-EI31),
IF(AND(EI31&lt;VLOOKUP($C29,$C$3:$D$15,2,FALSE)*EJ$22,EJ30&gt;VLOOKUP($C29,$C$3:$D$15,2,FALSE)*EJ$22),VLOOKUP($C29,$C$3:$D$15,2,FALSE)*EJ$22-EI31)))</f>
        <v>0</v>
      </c>
      <c r="EK29" s="642">
        <f t="shared" ref="EK29" si="670" xml:space="preserve">
IF(EJ31&gt;=VLOOKUP($C29,$C$3:$D$15,2,FALSE)*EK$22,0,
IF(AND(EJ31&lt;VLOOKUP($C29,$C$3:$D$15,2,FALSE)*EK$22,EK30&lt;=VLOOKUP($C29,$C$3:$D$15,2,FALSE)*EK$22),IF(EK30-EJ31&lt;0,0,EK30-EJ31),
IF(AND(EJ31&lt;VLOOKUP($C29,$C$3:$D$15,2,FALSE)*EK$22,EK30&gt;VLOOKUP($C29,$C$3:$D$15,2,FALSE)*EK$22),VLOOKUP($C29,$C$3:$D$15,2,FALSE)*EK$22-EJ31)))</f>
        <v>0</v>
      </c>
      <c r="EL29" s="642">
        <f t="shared" ref="EL29" si="671" xml:space="preserve">
IF(EK31&gt;=VLOOKUP($C29,$C$3:$D$15,2,FALSE)*EL$22,0,
IF(AND(EK31&lt;VLOOKUP($C29,$C$3:$D$15,2,FALSE)*EL$22,EL30&lt;=VLOOKUP($C29,$C$3:$D$15,2,FALSE)*EL$22),IF(EL30-EK31&lt;0,0,EL30-EK31),
IF(AND(EK31&lt;VLOOKUP($C29,$C$3:$D$15,2,FALSE)*EL$22,EL30&gt;VLOOKUP($C29,$C$3:$D$15,2,FALSE)*EL$22),VLOOKUP($C29,$C$3:$D$15,2,FALSE)*EL$22-EK31)))</f>
        <v>0</v>
      </c>
      <c r="EM29" s="642">
        <f t="shared" ref="EM29" si="672" xml:space="preserve">
IF(EL31&gt;=VLOOKUP($C29,$C$3:$D$15,2,FALSE)*EM$22,0,
IF(AND(EL31&lt;VLOOKUP($C29,$C$3:$D$15,2,FALSE)*EM$22,EM30&lt;=VLOOKUP($C29,$C$3:$D$15,2,FALSE)*EM$22),IF(EM30-EL31&lt;0,0,EM30-EL31),
IF(AND(EL31&lt;VLOOKUP($C29,$C$3:$D$15,2,FALSE)*EM$22,EM30&gt;VLOOKUP($C29,$C$3:$D$15,2,FALSE)*EM$22),VLOOKUP($C29,$C$3:$D$15,2,FALSE)*EM$22-EL31)))</f>
        <v>0</v>
      </c>
      <c r="EN29" s="642">
        <f t="shared" ref="EN29" si="673" xml:space="preserve">
IF(EM31&gt;=VLOOKUP($C29,$C$3:$D$15,2,FALSE)*EN$22,0,
IF(AND(EM31&lt;VLOOKUP($C29,$C$3:$D$15,2,FALSE)*EN$22,EN30&lt;=VLOOKUP($C29,$C$3:$D$15,2,FALSE)*EN$22),IF(EN30-EM31&lt;0,0,EN30-EM31),
IF(AND(EM31&lt;VLOOKUP($C29,$C$3:$D$15,2,FALSE)*EN$22,EN30&gt;VLOOKUP($C29,$C$3:$D$15,2,FALSE)*EN$22),VLOOKUP($C29,$C$3:$D$15,2,FALSE)*EN$22-EM31)))</f>
        <v>0</v>
      </c>
      <c r="EO29" s="642">
        <f t="shared" ref="EO29" si="674" xml:space="preserve">
IF(EN31&gt;=VLOOKUP($C29,$C$3:$D$15,2,FALSE)*EO$22,0,
IF(AND(EN31&lt;VLOOKUP($C29,$C$3:$D$15,2,FALSE)*EO$22,EO30&lt;=VLOOKUP($C29,$C$3:$D$15,2,FALSE)*EO$22),IF(EO30-EN31&lt;0,0,EO30-EN31),
IF(AND(EN31&lt;VLOOKUP($C29,$C$3:$D$15,2,FALSE)*EO$22,EO30&gt;VLOOKUP($C29,$C$3:$D$15,2,FALSE)*EO$22),VLOOKUP($C29,$C$3:$D$15,2,FALSE)*EO$22-EN31)))</f>
        <v>0</v>
      </c>
      <c r="EP29" s="642">
        <f t="shared" ref="EP29" si="675" xml:space="preserve">
IF(EO31&gt;=VLOOKUP($C29,$C$3:$D$15,2,FALSE)*EP$22,0,
IF(AND(EO31&lt;VLOOKUP($C29,$C$3:$D$15,2,FALSE)*EP$22,EP30&lt;=VLOOKUP($C29,$C$3:$D$15,2,FALSE)*EP$22),IF(EP30-EO31&lt;0,0,EP30-EO31),
IF(AND(EO31&lt;VLOOKUP($C29,$C$3:$D$15,2,FALSE)*EP$22,EP30&gt;VLOOKUP($C29,$C$3:$D$15,2,FALSE)*EP$22),VLOOKUP($C29,$C$3:$D$15,2,FALSE)*EP$22-EO31)))</f>
        <v>0</v>
      </c>
      <c r="EQ29" s="642">
        <f t="shared" ref="EQ29" si="676" xml:space="preserve">
IF(EP31&gt;=VLOOKUP($C29,$C$3:$D$15,2,FALSE)*EQ$22,0,
IF(AND(EP31&lt;VLOOKUP($C29,$C$3:$D$15,2,FALSE)*EQ$22,EQ30&lt;=VLOOKUP($C29,$C$3:$D$15,2,FALSE)*EQ$22),IF(EQ30-EP31&lt;0,0,EQ30-EP31),
IF(AND(EP31&lt;VLOOKUP($C29,$C$3:$D$15,2,FALSE)*EQ$22,EQ30&gt;VLOOKUP($C29,$C$3:$D$15,2,FALSE)*EQ$22),VLOOKUP($C29,$C$3:$D$15,2,FALSE)*EQ$22-EP31)))</f>
        <v>0</v>
      </c>
      <c r="ER29" s="642">
        <f t="shared" ref="ER29" si="677" xml:space="preserve">
IF(EQ31&gt;=VLOOKUP($C29,$C$3:$D$15,2,FALSE)*ER$22,0,
IF(AND(EQ31&lt;VLOOKUP($C29,$C$3:$D$15,2,FALSE)*ER$22,ER30&lt;=VLOOKUP($C29,$C$3:$D$15,2,FALSE)*ER$22),IF(ER30-EQ31&lt;0,0,ER30-EQ31),
IF(AND(EQ31&lt;VLOOKUP($C29,$C$3:$D$15,2,FALSE)*ER$22,ER30&gt;VLOOKUP($C29,$C$3:$D$15,2,FALSE)*ER$22),VLOOKUP($C29,$C$3:$D$15,2,FALSE)*ER$22-EQ31)))</f>
        <v>0</v>
      </c>
      <c r="ES29" s="642">
        <f t="shared" ref="ES29" si="678" xml:space="preserve">
IF(ER31&gt;=VLOOKUP($C29,$C$3:$D$15,2,FALSE)*ES$22,0,
IF(AND(ER31&lt;VLOOKUP($C29,$C$3:$D$15,2,FALSE)*ES$22,ES30&lt;=VLOOKUP($C29,$C$3:$D$15,2,FALSE)*ES$22),IF(ES30-ER31&lt;0,0,ES30-ER31),
IF(AND(ER31&lt;VLOOKUP($C29,$C$3:$D$15,2,FALSE)*ES$22,ES30&gt;VLOOKUP($C29,$C$3:$D$15,2,FALSE)*ES$22),VLOOKUP($C29,$C$3:$D$15,2,FALSE)*ES$22-ER31)))</f>
        <v>0</v>
      </c>
      <c r="ET29" s="642">
        <f t="shared" ref="ET29" si="679" xml:space="preserve">
IF(ES31&gt;=VLOOKUP($C29,$C$3:$D$15,2,FALSE)*ET$22,0,
IF(AND(ES31&lt;VLOOKUP($C29,$C$3:$D$15,2,FALSE)*ET$22,ET30&lt;=VLOOKUP($C29,$C$3:$D$15,2,FALSE)*ET$22),IF(ET30-ES31&lt;0,0,ET30-ES31),
IF(AND(ES31&lt;VLOOKUP($C29,$C$3:$D$15,2,FALSE)*ET$22,ET30&gt;VLOOKUP($C29,$C$3:$D$15,2,FALSE)*ET$22),VLOOKUP($C29,$C$3:$D$15,2,FALSE)*ET$22-ES31)))</f>
        <v>0</v>
      </c>
      <c r="EU29" s="642">
        <f t="shared" ref="EU29" si="680" xml:space="preserve">
IF(ET31&gt;=VLOOKUP($C29,$C$3:$D$15,2,FALSE)*EU$22,0,
IF(AND(ET31&lt;VLOOKUP($C29,$C$3:$D$15,2,FALSE)*EU$22,EU30&lt;=VLOOKUP($C29,$C$3:$D$15,2,FALSE)*EU$22),IF(EU30-ET31&lt;0,0,EU30-ET31),
IF(AND(ET31&lt;VLOOKUP($C29,$C$3:$D$15,2,FALSE)*EU$22,EU30&gt;VLOOKUP($C29,$C$3:$D$15,2,FALSE)*EU$22),VLOOKUP($C29,$C$3:$D$15,2,FALSE)*EU$22-ET31)))</f>
        <v>0</v>
      </c>
      <c r="EV29" s="642">
        <f t="shared" ref="EV29" si="681" xml:space="preserve">
IF(EU31&gt;=VLOOKUP($C29,$C$3:$D$15,2,FALSE)*EV$22,0,
IF(AND(EU31&lt;VLOOKUP($C29,$C$3:$D$15,2,FALSE)*EV$22,EV30&lt;=VLOOKUP($C29,$C$3:$D$15,2,FALSE)*EV$22),IF(EV30-EU31&lt;0,0,EV30-EU31),
IF(AND(EU31&lt;VLOOKUP($C29,$C$3:$D$15,2,FALSE)*EV$22,EV30&gt;VLOOKUP($C29,$C$3:$D$15,2,FALSE)*EV$22),VLOOKUP($C29,$C$3:$D$15,2,FALSE)*EV$22-EU31)))</f>
        <v>0</v>
      </c>
      <c r="EW29" s="642">
        <f t="shared" ref="EW29" si="682" xml:space="preserve">
IF(EV31&gt;=VLOOKUP($C29,$C$3:$D$15,2,FALSE)*EW$22,0,
IF(AND(EV31&lt;VLOOKUP($C29,$C$3:$D$15,2,FALSE)*EW$22,EW30&lt;=VLOOKUP($C29,$C$3:$D$15,2,FALSE)*EW$22),IF(EW30-EV31&lt;0,0,EW30-EV31),
IF(AND(EV31&lt;VLOOKUP($C29,$C$3:$D$15,2,FALSE)*EW$22,EW30&gt;VLOOKUP($C29,$C$3:$D$15,2,FALSE)*EW$22),VLOOKUP($C29,$C$3:$D$15,2,FALSE)*EW$22-EV31)))</f>
        <v>0</v>
      </c>
      <c r="EX29" s="642">
        <f t="shared" ref="EX29" si="683" xml:space="preserve">
IF(EW31&gt;=VLOOKUP($C29,$C$3:$D$15,2,FALSE)*EX$22,0,
IF(AND(EW31&lt;VLOOKUP($C29,$C$3:$D$15,2,FALSE)*EX$22,EX30&lt;=VLOOKUP($C29,$C$3:$D$15,2,FALSE)*EX$22),IF(EX30-EW31&lt;0,0,EX30-EW31),
IF(AND(EW31&lt;VLOOKUP($C29,$C$3:$D$15,2,FALSE)*EX$22,EX30&gt;VLOOKUP($C29,$C$3:$D$15,2,FALSE)*EX$22),VLOOKUP($C29,$C$3:$D$15,2,FALSE)*EX$22-EW31)))</f>
        <v>0</v>
      </c>
      <c r="EY29" s="642">
        <f t="shared" ref="EY29" si="684" xml:space="preserve">
IF(EX31&gt;=VLOOKUP($C29,$C$3:$D$15,2,FALSE)*EY$22,0,
IF(AND(EX31&lt;VLOOKUP($C29,$C$3:$D$15,2,FALSE)*EY$22,EY30&lt;=VLOOKUP($C29,$C$3:$D$15,2,FALSE)*EY$22),IF(EY30-EX31&lt;0,0,EY30-EX31),
IF(AND(EX31&lt;VLOOKUP($C29,$C$3:$D$15,2,FALSE)*EY$22,EY30&gt;VLOOKUP($C29,$C$3:$D$15,2,FALSE)*EY$22),VLOOKUP($C29,$C$3:$D$15,2,FALSE)*EY$22-EX31)))</f>
        <v>0</v>
      </c>
      <c r="EZ29" s="642">
        <f t="shared" ref="EZ29" si="685" xml:space="preserve">
IF(EY31&gt;=VLOOKUP($C29,$C$3:$D$15,2,FALSE)*EZ$22,0,
IF(AND(EY31&lt;VLOOKUP($C29,$C$3:$D$15,2,FALSE)*EZ$22,EZ30&lt;=VLOOKUP($C29,$C$3:$D$15,2,FALSE)*EZ$22),IF(EZ30-EY31&lt;0,0,EZ30-EY31),
IF(AND(EY31&lt;VLOOKUP($C29,$C$3:$D$15,2,FALSE)*EZ$22,EZ30&gt;VLOOKUP($C29,$C$3:$D$15,2,FALSE)*EZ$22),VLOOKUP($C29,$C$3:$D$15,2,FALSE)*EZ$22-EY31)))</f>
        <v>0</v>
      </c>
      <c r="FA29" s="642">
        <f t="shared" ref="FA29" si="686" xml:space="preserve">
IF(EZ31&gt;=VLOOKUP($C29,$C$3:$D$15,2,FALSE)*FA$22,0,
IF(AND(EZ31&lt;VLOOKUP($C29,$C$3:$D$15,2,FALSE)*FA$22,FA30&lt;=VLOOKUP($C29,$C$3:$D$15,2,FALSE)*FA$22),IF(FA30-EZ31&lt;0,0,FA30-EZ31),
IF(AND(EZ31&lt;VLOOKUP($C29,$C$3:$D$15,2,FALSE)*FA$22,FA30&gt;VLOOKUP($C29,$C$3:$D$15,2,FALSE)*FA$22),VLOOKUP($C29,$C$3:$D$15,2,FALSE)*FA$22-EZ31)))</f>
        <v>0</v>
      </c>
      <c r="FB29" s="642">
        <f t="shared" ref="FB29" si="687" xml:space="preserve">
IF(FA31&gt;=VLOOKUP($C29,$C$3:$D$15,2,FALSE)*FB$22,0,
IF(AND(FA31&lt;VLOOKUP($C29,$C$3:$D$15,2,FALSE)*FB$22,FB30&lt;=VLOOKUP($C29,$C$3:$D$15,2,FALSE)*FB$22),IF(FB30-FA31&lt;0,0,FB30-FA31),
IF(AND(FA31&lt;VLOOKUP($C29,$C$3:$D$15,2,FALSE)*FB$22,FB30&gt;VLOOKUP($C29,$C$3:$D$15,2,FALSE)*FB$22),VLOOKUP($C29,$C$3:$D$15,2,FALSE)*FB$22-FA31)))</f>
        <v>0</v>
      </c>
      <c r="FC29" s="642">
        <f t="shared" ref="FC29" si="688" xml:space="preserve">
IF(FB31&gt;=VLOOKUP($C29,$C$3:$D$15,2,FALSE)*FC$22,0,
IF(AND(FB31&lt;VLOOKUP($C29,$C$3:$D$15,2,FALSE)*FC$22,FC30&lt;=VLOOKUP($C29,$C$3:$D$15,2,FALSE)*FC$22),IF(FC30-FB31&lt;0,0,FC30-FB31),
IF(AND(FB31&lt;VLOOKUP($C29,$C$3:$D$15,2,FALSE)*FC$22,FC30&gt;VLOOKUP($C29,$C$3:$D$15,2,FALSE)*FC$22),VLOOKUP($C29,$C$3:$D$15,2,FALSE)*FC$22-FB31)))</f>
        <v>0</v>
      </c>
      <c r="FD29" s="642">
        <f t="shared" ref="FD29" si="689" xml:space="preserve">
IF(FC31&gt;=VLOOKUP($C29,$C$3:$D$15,2,FALSE)*FD$22,0,
IF(AND(FC31&lt;VLOOKUP($C29,$C$3:$D$15,2,FALSE)*FD$22,FD30&lt;=VLOOKUP($C29,$C$3:$D$15,2,FALSE)*FD$22),IF(FD30-FC31&lt;0,0,FD30-FC31),
IF(AND(FC31&lt;VLOOKUP($C29,$C$3:$D$15,2,FALSE)*FD$22,FD30&gt;VLOOKUP($C29,$C$3:$D$15,2,FALSE)*FD$22),VLOOKUP($C29,$C$3:$D$15,2,FALSE)*FD$22-FC31)))</f>
        <v>0</v>
      </c>
      <c r="FE29" s="642">
        <f t="shared" ref="FE29" si="690" xml:space="preserve">
IF(FD31&gt;=VLOOKUP($C29,$C$3:$D$15,2,FALSE)*FE$22,0,
IF(AND(FD31&lt;VLOOKUP($C29,$C$3:$D$15,2,FALSE)*FE$22,FE30&lt;=VLOOKUP($C29,$C$3:$D$15,2,FALSE)*FE$22),IF(FE30-FD31&lt;0,0,FE30-FD31),
IF(AND(FD31&lt;VLOOKUP($C29,$C$3:$D$15,2,FALSE)*FE$22,FE30&gt;VLOOKUP($C29,$C$3:$D$15,2,FALSE)*FE$22),VLOOKUP($C29,$C$3:$D$15,2,FALSE)*FE$22-FD31)))</f>
        <v>0</v>
      </c>
      <c r="FF29" s="642">
        <f t="shared" ref="FF29" si="691" xml:space="preserve">
IF(FE31&gt;=VLOOKUP($C29,$C$3:$D$15,2,FALSE)*FF$22,0,
IF(AND(FE31&lt;VLOOKUP($C29,$C$3:$D$15,2,FALSE)*FF$22,FF30&lt;=VLOOKUP($C29,$C$3:$D$15,2,FALSE)*FF$22),IF(FF30-FE31&lt;0,0,FF30-FE31),
IF(AND(FE31&lt;VLOOKUP($C29,$C$3:$D$15,2,FALSE)*FF$22,FF30&gt;VLOOKUP($C29,$C$3:$D$15,2,FALSE)*FF$22),VLOOKUP($C29,$C$3:$D$15,2,FALSE)*FF$22-FE31)))</f>
        <v>0</v>
      </c>
      <c r="FG29" s="642">
        <f t="shared" ref="FG29" si="692" xml:space="preserve">
IF(FF31&gt;=VLOOKUP($C29,$C$3:$D$15,2,FALSE)*FG$22,0,
IF(AND(FF31&lt;VLOOKUP($C29,$C$3:$D$15,2,FALSE)*FG$22,FG30&lt;=VLOOKUP($C29,$C$3:$D$15,2,FALSE)*FG$22),IF(FG30-FF31&lt;0,0,FG30-FF31),
IF(AND(FF31&lt;VLOOKUP($C29,$C$3:$D$15,2,FALSE)*FG$22,FG30&gt;VLOOKUP($C29,$C$3:$D$15,2,FALSE)*FG$22),VLOOKUP($C29,$C$3:$D$15,2,FALSE)*FG$22-FF31)))</f>
        <v>0</v>
      </c>
      <c r="FH29" s="642">
        <f t="shared" ref="FH29" si="693" xml:space="preserve">
IF(FG31&gt;=VLOOKUP($C29,$C$3:$D$15,2,FALSE)*FH$22,0,
IF(AND(FG31&lt;VLOOKUP($C29,$C$3:$D$15,2,FALSE)*FH$22,FH30&lt;=VLOOKUP($C29,$C$3:$D$15,2,FALSE)*FH$22),IF(FH30-FG31&lt;0,0,FH30-FG31),
IF(AND(FG31&lt;VLOOKUP($C29,$C$3:$D$15,2,FALSE)*FH$22,FH30&gt;VLOOKUP($C29,$C$3:$D$15,2,FALSE)*FH$22),VLOOKUP($C29,$C$3:$D$15,2,FALSE)*FH$22-FG31)))</f>
        <v>0</v>
      </c>
      <c r="FI29" s="642">
        <f t="shared" ref="FI29" si="694" xml:space="preserve">
IF(FH31&gt;=VLOOKUP($C29,$C$3:$D$15,2,FALSE)*FI$22,0,
IF(AND(FH31&lt;VLOOKUP($C29,$C$3:$D$15,2,FALSE)*FI$22,FI30&lt;=VLOOKUP($C29,$C$3:$D$15,2,FALSE)*FI$22),IF(FI30-FH31&lt;0,0,FI30-FH31),
IF(AND(FH31&lt;VLOOKUP($C29,$C$3:$D$15,2,FALSE)*FI$22,FI30&gt;VLOOKUP($C29,$C$3:$D$15,2,FALSE)*FI$22),VLOOKUP($C29,$C$3:$D$15,2,FALSE)*FI$22-FH31)))</f>
        <v>0</v>
      </c>
      <c r="FJ29" s="642">
        <f t="shared" ref="FJ29" si="695" xml:space="preserve">
IF(FI31&gt;=VLOOKUP($C29,$C$3:$D$15,2,FALSE)*FJ$22,0,
IF(AND(FI31&lt;VLOOKUP($C29,$C$3:$D$15,2,FALSE)*FJ$22,FJ30&lt;=VLOOKUP($C29,$C$3:$D$15,2,FALSE)*FJ$22),IF(FJ30-FI31&lt;0,0,FJ30-FI31),
IF(AND(FI31&lt;VLOOKUP($C29,$C$3:$D$15,2,FALSE)*FJ$22,FJ30&gt;VLOOKUP($C29,$C$3:$D$15,2,FALSE)*FJ$22),VLOOKUP($C29,$C$3:$D$15,2,FALSE)*FJ$22-FI31)))</f>
        <v>0</v>
      </c>
      <c r="FK29" s="642">
        <f t="shared" ref="FK29" si="696" xml:space="preserve">
IF(FJ31&gt;=VLOOKUP($C29,$C$3:$D$15,2,FALSE)*FK$22,0,
IF(AND(FJ31&lt;VLOOKUP($C29,$C$3:$D$15,2,FALSE)*FK$22,FK30&lt;=VLOOKUP($C29,$C$3:$D$15,2,FALSE)*FK$22),IF(FK30-FJ31&lt;0,0,FK30-FJ31),
IF(AND(FJ31&lt;VLOOKUP($C29,$C$3:$D$15,2,FALSE)*FK$22,FK30&gt;VLOOKUP($C29,$C$3:$D$15,2,FALSE)*FK$22),VLOOKUP($C29,$C$3:$D$15,2,FALSE)*FK$22-FJ31)))</f>
        <v>0</v>
      </c>
      <c r="FL29" s="642">
        <f t="shared" ref="FL29" si="697" xml:space="preserve">
IF(FK31&gt;=VLOOKUP($C29,$C$3:$D$15,2,FALSE)*FL$22,0,
IF(AND(FK31&lt;VLOOKUP($C29,$C$3:$D$15,2,FALSE)*FL$22,FL30&lt;=VLOOKUP($C29,$C$3:$D$15,2,FALSE)*FL$22),IF(FL30-FK31&lt;0,0,FL30-FK31),
IF(AND(FK31&lt;VLOOKUP($C29,$C$3:$D$15,2,FALSE)*FL$22,FL30&gt;VLOOKUP($C29,$C$3:$D$15,2,FALSE)*FL$22),VLOOKUP($C29,$C$3:$D$15,2,FALSE)*FL$22-FK31)))</f>
        <v>0</v>
      </c>
      <c r="FM29" s="642">
        <f t="shared" ref="FM29" si="698" xml:space="preserve">
IF(FL31&gt;=VLOOKUP($C29,$C$3:$D$15,2,FALSE)*FM$22,0,
IF(AND(FL31&lt;VLOOKUP($C29,$C$3:$D$15,2,FALSE)*FM$22,FM30&lt;=VLOOKUP($C29,$C$3:$D$15,2,FALSE)*FM$22),IF(FM30-FL31&lt;0,0,FM30-FL31),
IF(AND(FL31&lt;VLOOKUP($C29,$C$3:$D$15,2,FALSE)*FM$22,FM30&gt;VLOOKUP($C29,$C$3:$D$15,2,FALSE)*FM$22),VLOOKUP($C29,$C$3:$D$15,2,FALSE)*FM$22-FL31)))</f>
        <v>0</v>
      </c>
      <c r="FN29" s="642">
        <f t="shared" ref="FN29" si="699" xml:space="preserve">
IF(FM31&gt;=VLOOKUP($C29,$C$3:$D$15,2,FALSE)*FN$22,0,
IF(AND(FM31&lt;VLOOKUP($C29,$C$3:$D$15,2,FALSE)*FN$22,FN30&lt;=VLOOKUP($C29,$C$3:$D$15,2,FALSE)*FN$22),IF(FN30-FM31&lt;0,0,FN30-FM31),
IF(AND(FM31&lt;VLOOKUP($C29,$C$3:$D$15,2,FALSE)*FN$22,FN30&gt;VLOOKUP($C29,$C$3:$D$15,2,FALSE)*FN$22),VLOOKUP($C29,$C$3:$D$15,2,FALSE)*FN$22-FM31)))</f>
        <v>0</v>
      </c>
      <c r="FO29" s="642">
        <f t="shared" ref="FO29" si="700" xml:space="preserve">
IF(FN31&gt;=VLOOKUP($C29,$C$3:$D$15,2,FALSE)*FO$22,0,
IF(AND(FN31&lt;VLOOKUP($C29,$C$3:$D$15,2,FALSE)*FO$22,FO30&lt;=VLOOKUP($C29,$C$3:$D$15,2,FALSE)*FO$22),IF(FO30-FN31&lt;0,0,FO30-FN31),
IF(AND(FN31&lt;VLOOKUP($C29,$C$3:$D$15,2,FALSE)*FO$22,FO30&gt;VLOOKUP($C29,$C$3:$D$15,2,FALSE)*FO$22),VLOOKUP($C29,$C$3:$D$15,2,FALSE)*FO$22-FN31)))</f>
        <v>0</v>
      </c>
      <c r="FP29" s="642">
        <f t="shared" ref="FP29" si="701" xml:space="preserve">
IF(FO31&gt;=VLOOKUP($C29,$C$3:$D$15,2,FALSE)*FP$22,0,
IF(AND(FO31&lt;VLOOKUP($C29,$C$3:$D$15,2,FALSE)*FP$22,FP30&lt;=VLOOKUP($C29,$C$3:$D$15,2,FALSE)*FP$22),IF(FP30-FO31&lt;0,0,FP30-FO31),
IF(AND(FO31&lt;VLOOKUP($C29,$C$3:$D$15,2,FALSE)*FP$22,FP30&gt;VLOOKUP($C29,$C$3:$D$15,2,FALSE)*FP$22),VLOOKUP($C29,$C$3:$D$15,2,FALSE)*FP$22-FO31)))</f>
        <v>0</v>
      </c>
      <c r="FQ29" s="642">
        <f t="shared" ref="FQ29" si="702" xml:space="preserve">
IF(FP31&gt;=VLOOKUP($C29,$C$3:$D$15,2,FALSE)*FQ$22,0,
IF(AND(FP31&lt;VLOOKUP($C29,$C$3:$D$15,2,FALSE)*FQ$22,FQ30&lt;=VLOOKUP($C29,$C$3:$D$15,2,FALSE)*FQ$22),IF(FQ30-FP31&lt;0,0,FQ30-FP31),
IF(AND(FP31&lt;VLOOKUP($C29,$C$3:$D$15,2,FALSE)*FQ$22,FQ30&gt;VLOOKUP($C29,$C$3:$D$15,2,FALSE)*FQ$22),VLOOKUP($C29,$C$3:$D$15,2,FALSE)*FQ$22-FP31)))</f>
        <v>0</v>
      </c>
      <c r="FR29" s="642">
        <f t="shared" ref="FR29" si="703" xml:space="preserve">
IF(FQ31&gt;=VLOOKUP($C29,$C$3:$D$15,2,FALSE)*FR$22,0,
IF(AND(FQ31&lt;VLOOKUP($C29,$C$3:$D$15,2,FALSE)*FR$22,FR30&lt;=VLOOKUP($C29,$C$3:$D$15,2,FALSE)*FR$22),IF(FR30-FQ31&lt;0,0,FR30-FQ31),
IF(AND(FQ31&lt;VLOOKUP($C29,$C$3:$D$15,2,FALSE)*FR$22,FR30&gt;VLOOKUP($C29,$C$3:$D$15,2,FALSE)*FR$22),VLOOKUP($C29,$C$3:$D$15,2,FALSE)*FR$22-FQ31)))</f>
        <v>0</v>
      </c>
      <c r="FS29" s="642">
        <f t="shared" ref="FS29" si="704" xml:space="preserve">
IF(FR31&gt;=VLOOKUP($C29,$C$3:$D$15,2,FALSE)*FS$22,0,
IF(AND(FR31&lt;VLOOKUP($C29,$C$3:$D$15,2,FALSE)*FS$22,FS30&lt;=VLOOKUP($C29,$C$3:$D$15,2,FALSE)*FS$22),IF(FS30-FR31&lt;0,0,FS30-FR31),
IF(AND(FR31&lt;VLOOKUP($C29,$C$3:$D$15,2,FALSE)*FS$22,FS30&gt;VLOOKUP($C29,$C$3:$D$15,2,FALSE)*FS$22),VLOOKUP($C29,$C$3:$D$15,2,FALSE)*FS$22-FR31)))</f>
        <v>0</v>
      </c>
      <c r="FT29" s="642">
        <f t="shared" ref="FT29" si="705" xml:space="preserve">
IF(FS31&gt;=VLOOKUP($C29,$C$3:$D$15,2,FALSE)*FT$22,0,
IF(AND(FS31&lt;VLOOKUP($C29,$C$3:$D$15,2,FALSE)*FT$22,FT30&lt;=VLOOKUP($C29,$C$3:$D$15,2,FALSE)*FT$22),IF(FT30-FS31&lt;0,0,FT30-FS31),
IF(AND(FS31&lt;VLOOKUP($C29,$C$3:$D$15,2,FALSE)*FT$22,FT30&gt;VLOOKUP($C29,$C$3:$D$15,2,FALSE)*FT$22),VLOOKUP($C29,$C$3:$D$15,2,FALSE)*FT$22-FS31)))</f>
        <v>0</v>
      </c>
      <c r="FU29" s="642">
        <f t="shared" ref="FU29" si="706" xml:space="preserve">
IF(FT31&gt;=VLOOKUP($C29,$C$3:$D$15,2,FALSE)*FU$22,0,
IF(AND(FT31&lt;VLOOKUP($C29,$C$3:$D$15,2,FALSE)*FU$22,FU30&lt;=VLOOKUP($C29,$C$3:$D$15,2,FALSE)*FU$22),IF(FU30-FT31&lt;0,0,FU30-FT31),
IF(AND(FT31&lt;VLOOKUP($C29,$C$3:$D$15,2,FALSE)*FU$22,FU30&gt;VLOOKUP($C29,$C$3:$D$15,2,FALSE)*FU$22),VLOOKUP($C29,$C$3:$D$15,2,FALSE)*FU$22-FT31)))</f>
        <v>0</v>
      </c>
      <c r="FV29" s="642">
        <f t="shared" ref="FV29" si="707" xml:space="preserve">
IF(FU31&gt;=VLOOKUP($C29,$C$3:$D$15,2,FALSE)*FV$22,0,
IF(AND(FU31&lt;VLOOKUP($C29,$C$3:$D$15,2,FALSE)*FV$22,FV30&lt;=VLOOKUP($C29,$C$3:$D$15,2,FALSE)*FV$22),IF(FV30-FU31&lt;0,0,FV30-FU31),
IF(AND(FU31&lt;VLOOKUP($C29,$C$3:$D$15,2,FALSE)*FV$22,FV30&gt;VLOOKUP($C29,$C$3:$D$15,2,FALSE)*FV$22),VLOOKUP($C29,$C$3:$D$15,2,FALSE)*FV$22-FU31)))</f>
        <v>0</v>
      </c>
      <c r="FW29" s="642">
        <f t="shared" ref="FW29" si="708" xml:space="preserve">
IF(FV31&gt;=VLOOKUP($C29,$C$3:$D$15,2,FALSE)*FW$22,0,
IF(AND(FV31&lt;VLOOKUP($C29,$C$3:$D$15,2,FALSE)*FW$22,FW30&lt;=VLOOKUP($C29,$C$3:$D$15,2,FALSE)*FW$22),IF(FW30-FV31&lt;0,0,FW30-FV31),
IF(AND(FV31&lt;VLOOKUP($C29,$C$3:$D$15,2,FALSE)*FW$22,FW30&gt;VLOOKUP($C29,$C$3:$D$15,2,FALSE)*FW$22),VLOOKUP($C29,$C$3:$D$15,2,FALSE)*FW$22-FV31)))</f>
        <v>0</v>
      </c>
      <c r="FX29" s="642">
        <f t="shared" ref="FX29" si="709" xml:space="preserve">
IF(FW31&gt;=VLOOKUP($C29,$C$3:$D$15,2,FALSE)*FX$22,0,
IF(AND(FW31&lt;VLOOKUP($C29,$C$3:$D$15,2,FALSE)*FX$22,FX30&lt;=VLOOKUP($C29,$C$3:$D$15,2,FALSE)*FX$22),IF(FX30-FW31&lt;0,0,FX30-FW31),
IF(AND(FW31&lt;VLOOKUP($C29,$C$3:$D$15,2,FALSE)*FX$22,FX30&gt;VLOOKUP($C29,$C$3:$D$15,2,FALSE)*FX$22),VLOOKUP($C29,$C$3:$D$15,2,FALSE)*FX$22-FW31)))</f>
        <v>0</v>
      </c>
      <c r="FY29" s="642">
        <f t="shared" ref="FY29" si="710" xml:space="preserve">
IF(FX31&gt;=VLOOKUP($C29,$C$3:$D$15,2,FALSE)*FY$22,0,
IF(AND(FX31&lt;VLOOKUP($C29,$C$3:$D$15,2,FALSE)*FY$22,FY30&lt;=VLOOKUP($C29,$C$3:$D$15,2,FALSE)*FY$22),IF(FY30-FX31&lt;0,0,FY30-FX31),
IF(AND(FX31&lt;VLOOKUP($C29,$C$3:$D$15,2,FALSE)*FY$22,FY30&gt;VLOOKUP($C29,$C$3:$D$15,2,FALSE)*FY$22),VLOOKUP($C29,$C$3:$D$15,2,FALSE)*FY$22-FX31)))</f>
        <v>0</v>
      </c>
      <c r="FZ29" s="642">
        <f t="shared" ref="FZ29" si="711" xml:space="preserve">
IF(FY31&gt;=VLOOKUP($C29,$C$3:$D$15,2,FALSE)*FZ$22,0,
IF(AND(FY31&lt;VLOOKUP($C29,$C$3:$D$15,2,FALSE)*FZ$22,FZ30&lt;=VLOOKUP($C29,$C$3:$D$15,2,FALSE)*FZ$22),IF(FZ30-FY31&lt;0,0,FZ30-FY31),
IF(AND(FY31&lt;VLOOKUP($C29,$C$3:$D$15,2,FALSE)*FZ$22,FZ30&gt;VLOOKUP($C29,$C$3:$D$15,2,FALSE)*FZ$22),VLOOKUP($C29,$C$3:$D$15,2,FALSE)*FZ$22-FY31)))</f>
        <v>0</v>
      </c>
      <c r="GA29" s="642">
        <f t="shared" ref="GA29" si="712" xml:space="preserve">
IF(FZ31&gt;=VLOOKUP($C29,$C$3:$D$15,2,FALSE)*GA$22,0,
IF(AND(FZ31&lt;VLOOKUP($C29,$C$3:$D$15,2,FALSE)*GA$22,GA30&lt;=VLOOKUP($C29,$C$3:$D$15,2,FALSE)*GA$22),IF(GA30-FZ31&lt;0,0,GA30-FZ31),
IF(AND(FZ31&lt;VLOOKUP($C29,$C$3:$D$15,2,FALSE)*GA$22,GA30&gt;VLOOKUP($C29,$C$3:$D$15,2,FALSE)*GA$22),VLOOKUP($C29,$C$3:$D$15,2,FALSE)*GA$22-FZ31)))</f>
        <v>0</v>
      </c>
      <c r="GB29" s="642">
        <f t="shared" ref="GB29" si="713" xml:space="preserve">
IF(GA31&gt;=VLOOKUP($C29,$C$3:$D$15,2,FALSE)*GB$22,0,
IF(AND(GA31&lt;VLOOKUP($C29,$C$3:$D$15,2,FALSE)*GB$22,GB30&lt;=VLOOKUP($C29,$C$3:$D$15,2,FALSE)*GB$22),IF(GB30-GA31&lt;0,0,GB30-GA31),
IF(AND(GA31&lt;VLOOKUP($C29,$C$3:$D$15,2,FALSE)*GB$22,GB30&gt;VLOOKUP($C29,$C$3:$D$15,2,FALSE)*GB$22),VLOOKUP($C29,$C$3:$D$15,2,FALSE)*GB$22-GA31)))</f>
        <v>0</v>
      </c>
      <c r="GC29" s="642">
        <f t="shared" ref="GC29" si="714" xml:space="preserve">
IF(GB31&gt;=VLOOKUP($C29,$C$3:$D$15,2,FALSE)*GC$22,0,
IF(AND(GB31&lt;VLOOKUP($C29,$C$3:$D$15,2,FALSE)*GC$22,GC30&lt;=VLOOKUP($C29,$C$3:$D$15,2,FALSE)*GC$22),IF(GC30-GB31&lt;0,0,GC30-GB31),
IF(AND(GB31&lt;VLOOKUP($C29,$C$3:$D$15,2,FALSE)*GC$22,GC30&gt;VLOOKUP($C29,$C$3:$D$15,2,FALSE)*GC$22),VLOOKUP($C29,$C$3:$D$15,2,FALSE)*GC$22-GB31)))</f>
        <v>0</v>
      </c>
      <c r="GD29" s="642">
        <f t="shared" ref="GD29" si="715" xml:space="preserve">
IF(GC31&gt;=VLOOKUP($C29,$C$3:$D$15,2,FALSE)*GD$22,0,
IF(AND(GC31&lt;VLOOKUP($C29,$C$3:$D$15,2,FALSE)*GD$22,GD30&lt;=VLOOKUP($C29,$C$3:$D$15,2,FALSE)*GD$22),IF(GD30-GC31&lt;0,0,GD30-GC31),
IF(AND(GC31&lt;VLOOKUP($C29,$C$3:$D$15,2,FALSE)*GD$22,GD30&gt;VLOOKUP($C29,$C$3:$D$15,2,FALSE)*GD$22),VLOOKUP($C29,$C$3:$D$15,2,FALSE)*GD$22-GC31)))</f>
        <v>0</v>
      </c>
      <c r="GE29" s="642">
        <f t="shared" ref="GE29" si="716" xml:space="preserve">
IF(GD31&gt;=VLOOKUP($C29,$C$3:$D$15,2,FALSE)*GE$22,0,
IF(AND(GD31&lt;VLOOKUP($C29,$C$3:$D$15,2,FALSE)*GE$22,GE30&lt;=VLOOKUP($C29,$C$3:$D$15,2,FALSE)*GE$22),IF(GE30-GD31&lt;0,0,GE30-GD31),
IF(AND(GD31&lt;VLOOKUP($C29,$C$3:$D$15,2,FALSE)*GE$22,GE30&gt;VLOOKUP($C29,$C$3:$D$15,2,FALSE)*GE$22),VLOOKUP($C29,$C$3:$D$15,2,FALSE)*GE$22-GD31)))</f>
        <v>0</v>
      </c>
      <c r="GF29" s="642">
        <f t="shared" ref="GF29" si="717" xml:space="preserve">
IF(GE31&gt;=VLOOKUP($C29,$C$3:$D$15,2,FALSE)*GF$22,0,
IF(AND(GE31&lt;VLOOKUP($C29,$C$3:$D$15,2,FALSE)*GF$22,GF30&lt;=VLOOKUP($C29,$C$3:$D$15,2,FALSE)*GF$22),IF(GF30-GE31&lt;0,0,GF30-GE31),
IF(AND(GE31&lt;VLOOKUP($C29,$C$3:$D$15,2,FALSE)*GF$22,GF30&gt;VLOOKUP($C29,$C$3:$D$15,2,FALSE)*GF$22),VLOOKUP($C29,$C$3:$D$15,2,FALSE)*GF$22-GE31)))</f>
        <v>0</v>
      </c>
      <c r="GG29" s="642">
        <f t="shared" ref="GG29" si="718" xml:space="preserve">
IF(GF31&gt;=VLOOKUP($C29,$C$3:$D$15,2,FALSE)*GG$22,0,
IF(AND(GF31&lt;VLOOKUP($C29,$C$3:$D$15,2,FALSE)*GG$22,GG30&lt;=VLOOKUP($C29,$C$3:$D$15,2,FALSE)*GG$22),IF(GG30-GF31&lt;0,0,GG30-GF31),
IF(AND(GF31&lt;VLOOKUP($C29,$C$3:$D$15,2,FALSE)*GG$22,GG30&gt;VLOOKUP($C29,$C$3:$D$15,2,FALSE)*GG$22),VLOOKUP($C29,$C$3:$D$15,2,FALSE)*GG$22-GF31)))</f>
        <v>0</v>
      </c>
      <c r="GH29" s="642">
        <f t="shared" ref="GH29" si="719" xml:space="preserve">
IF(GG31&gt;=VLOOKUP($C29,$C$3:$D$15,2,FALSE)*GH$22,0,
IF(AND(GG31&lt;VLOOKUP($C29,$C$3:$D$15,2,FALSE)*GH$22,GH30&lt;=VLOOKUP($C29,$C$3:$D$15,2,FALSE)*GH$22),IF(GH30-GG31&lt;0,0,GH30-GG31),
IF(AND(GG31&lt;VLOOKUP($C29,$C$3:$D$15,2,FALSE)*GH$22,GH30&gt;VLOOKUP($C29,$C$3:$D$15,2,FALSE)*GH$22),VLOOKUP($C29,$C$3:$D$15,2,FALSE)*GH$22-GG31)))</f>
        <v>0</v>
      </c>
      <c r="GI29" s="642">
        <f t="shared" ref="GI29" si="720" xml:space="preserve">
IF(GH31&gt;=VLOOKUP($C29,$C$3:$D$15,2,FALSE)*GI$22,0,
IF(AND(GH31&lt;VLOOKUP($C29,$C$3:$D$15,2,FALSE)*GI$22,GI30&lt;=VLOOKUP($C29,$C$3:$D$15,2,FALSE)*GI$22),IF(GI30-GH31&lt;0,0,GI30-GH31),
IF(AND(GH31&lt;VLOOKUP($C29,$C$3:$D$15,2,FALSE)*GI$22,GI30&gt;VLOOKUP($C29,$C$3:$D$15,2,FALSE)*GI$22),VLOOKUP($C29,$C$3:$D$15,2,FALSE)*GI$22-GH31)))</f>
        <v>0</v>
      </c>
      <c r="GJ29" s="642">
        <f t="shared" ref="GJ29" si="721" xml:space="preserve">
IF(GI31&gt;=VLOOKUP($C29,$C$3:$D$15,2,FALSE)*GJ$22,0,
IF(AND(GI31&lt;VLOOKUP($C29,$C$3:$D$15,2,FALSE)*GJ$22,GJ30&lt;=VLOOKUP($C29,$C$3:$D$15,2,FALSE)*GJ$22),IF(GJ30-GI31&lt;0,0,GJ30-GI31),
IF(AND(GI31&lt;VLOOKUP($C29,$C$3:$D$15,2,FALSE)*GJ$22,GJ30&gt;VLOOKUP($C29,$C$3:$D$15,2,FALSE)*GJ$22),VLOOKUP($C29,$C$3:$D$15,2,FALSE)*GJ$22-GI31)))</f>
        <v>0</v>
      </c>
    </row>
    <row r="30" spans="2:192" s="655" customFormat="1" ht="9.75" customHeight="1">
      <c r="B30" s="656"/>
      <c r="C30" s="641"/>
      <c r="D30" s="770" t="s">
        <v>1467</v>
      </c>
      <c r="E30" s="775"/>
      <c r="F30" s="706"/>
      <c r="G30" s="642">
        <f>SUM(
SUMIF(防護具!$Y$30:$Y$212,G$17&amp;"N95マスク",防護具!$Q$30:$Q$212),
SUMIF(防護具!$Y$30:$Y$212,G$17&amp;"ハイラックマスク",防護具!$Q$30:$Q$212))</f>
        <v>0</v>
      </c>
      <c r="H30" s="653">
        <f>IFERROR(
SUM(G30,
SUMIF(防護具!$Y$30:$Y$212,H$17&amp;"N95マスク",防護具!$Q$30:$Q$212),
SUMIF(防護具!$Y$30:$Y$212,H$17&amp;"ハイラックマスク",防護具!$Q$30:$Q$212))-G29,0)</f>
        <v>0</v>
      </c>
      <c r="I30" s="653">
        <f>IFERROR(
SUM(H30,
SUMIF(防護具!$Y$30:$Y$212,I$17&amp;"N95マスク",防護具!$Q$30:$Q$212),
SUMIF(防護具!$Y$30:$Y$212,I$17&amp;"ハイラックマスク",防護具!$Q$30:$Q$212))-H29,0)</f>
        <v>0</v>
      </c>
      <c r="J30" s="653">
        <f>IFERROR(
SUM(I30,
SUMIF(防護具!$Y$30:$Y$212,J$17&amp;"N95マスク",防護具!$Q$30:$Q$212),
SUMIF(防護具!$Y$30:$Y$212,J$17&amp;"ハイラックマスク",防護具!$Q$30:$Q$212))-I29,0)</f>
        <v>0</v>
      </c>
      <c r="K30" s="653">
        <f>IFERROR(
SUM(J30,
SUMIF(防護具!$Y$30:$Y$212,K$17&amp;"N95マスク",防護具!$Q$30:$Q$212),
SUMIF(防護具!$Y$30:$Y$212,K$17&amp;"ハイラックマスク",防護具!$Q$30:$Q$212))-J29,0)</f>
        <v>0</v>
      </c>
      <c r="L30" s="653">
        <f>IFERROR(
SUM(K30,
SUMIF(防護具!$Y$30:$Y$212,L$17&amp;"N95マスク",防護具!$Q$30:$Q$212),
SUMIF(防護具!$Y$30:$Y$212,L$17&amp;"ハイラックマスク",防護具!$Q$30:$Q$212))-K29,0)</f>
        <v>0</v>
      </c>
      <c r="M30" s="653">
        <f>IFERROR(
SUM(L30,
SUMIF(防護具!$Y$30:$Y$212,M$17&amp;"N95マスク",防護具!$Q$30:$Q$212),
SUMIF(防護具!$Y$30:$Y$212,M$17&amp;"ハイラックマスク",防護具!$Q$30:$Q$212))-L29,0)</f>
        <v>0</v>
      </c>
      <c r="N30" s="653">
        <f>IFERROR(
SUM(M30,
SUMIF(防護具!$Y$30:$Y$212,N$17&amp;"N95マスク",防護具!$Q$30:$Q$212),
SUMIF(防護具!$Y$30:$Y$212,N$17&amp;"ハイラックマスク",防護具!$Q$30:$Q$212))-M29,0)</f>
        <v>0</v>
      </c>
      <c r="O30" s="653">
        <f>IFERROR(
SUM(N30,
SUMIF(防護具!$Y$30:$Y$212,O$17&amp;"N95マスク",防護具!$Q$30:$Q$212),
SUMIF(防護具!$Y$30:$Y$212,O$17&amp;"ハイラックマスク",防護具!$Q$30:$Q$212))-N29,0)</f>
        <v>0</v>
      </c>
      <c r="P30" s="653">
        <f>IFERROR(
SUM(O30,
SUMIF(防護具!$Y$30:$Y$212,P$17&amp;"N95マスク",防護具!$Q$30:$Q$212),
SUMIF(防護具!$Y$30:$Y$212,P$17&amp;"ハイラックマスク",防護具!$Q$30:$Q$212))-O29,0)</f>
        <v>0</v>
      </c>
      <c r="Q30" s="653">
        <f>IFERROR(
SUM(P30,
SUMIF(防護具!$Y$30:$Y$212,Q$17&amp;"N95マスク",防護具!$Q$30:$Q$212),
SUMIF(防護具!$Y$30:$Y$212,Q$17&amp;"ハイラックマスク",防護具!$Q$30:$Q$212))-P29,0)</f>
        <v>0</v>
      </c>
      <c r="R30" s="653">
        <f>IFERROR(
SUM(Q30,
SUMIF(防護具!$Y$30:$Y$212,R$17&amp;"N95マスク",防護具!$Q$30:$Q$212),
SUMIF(防護具!$Y$30:$Y$212,R$17&amp;"ハイラックマスク",防護具!$Q$30:$Q$212))-Q29,0)</f>
        <v>0</v>
      </c>
      <c r="S30" s="653">
        <f>IFERROR(
SUM(R30,
SUMIF(防護具!$Y$30:$Y$212,S$17&amp;"N95マスク",防護具!$Q$30:$Q$212),
SUMIF(防護具!$Y$30:$Y$212,S$17&amp;"ハイラックマスク",防護具!$Q$30:$Q$212))-R29,0)</f>
        <v>0</v>
      </c>
      <c r="T30" s="653">
        <f>IFERROR(
SUM(S30,
SUMIF(防護具!$Y$30:$Y$212,T$17&amp;"N95マスク",防護具!$Q$30:$Q$212),
SUMIF(防護具!$Y$30:$Y$212,T$17&amp;"ハイラックマスク",防護具!$Q$30:$Q$212))-S29,0)</f>
        <v>0</v>
      </c>
      <c r="U30" s="653">
        <f>IFERROR(
SUM(T30,
SUMIF(防護具!$Y$30:$Y$212,U$17&amp;"N95マスク",防護具!$Q$30:$Q$212),
SUMIF(防護具!$Y$30:$Y$212,U$17&amp;"ハイラックマスク",防護具!$Q$30:$Q$212))-T29,0)</f>
        <v>0</v>
      </c>
      <c r="V30" s="653">
        <f>IFERROR(
SUM(U30,
SUMIF(防護具!$Y$30:$Y$212,V$17&amp;"N95マスク",防護具!$Q$30:$Q$212),
SUMIF(防護具!$Y$30:$Y$212,V$17&amp;"ハイラックマスク",防護具!$Q$30:$Q$212))-U29,0)</f>
        <v>0</v>
      </c>
      <c r="W30" s="653">
        <f>IFERROR(
SUM(V30,
SUMIF(防護具!$Y$30:$Y$212,W$17&amp;"N95マスク",防護具!$Q$30:$Q$212),
SUMIF(防護具!$Y$30:$Y$212,W$17&amp;"ハイラックマスク",防護具!$Q$30:$Q$212))-V29,0)</f>
        <v>0</v>
      </c>
      <c r="X30" s="653">
        <f>IFERROR(
SUM(W30,
SUMIF(防護具!$Y$30:$Y$212,X$17&amp;"N95マスク",防護具!$Q$30:$Q$212),
SUMIF(防護具!$Y$30:$Y$212,X$17&amp;"ハイラックマスク",防護具!$Q$30:$Q$212))-W29,0)</f>
        <v>0</v>
      </c>
      <c r="Y30" s="653">
        <f>IFERROR(
SUM(X30,
SUMIF(防護具!$Y$30:$Y$212,Y$17&amp;"N95マスク",防護具!$Q$30:$Q$212),
SUMIF(防護具!$Y$30:$Y$212,Y$17&amp;"ハイラックマスク",防護具!$Q$30:$Q$212))-X29,0)</f>
        <v>0</v>
      </c>
      <c r="Z30" s="653">
        <f>IFERROR(
SUM(Y30,
SUMIF(防護具!$Y$30:$Y$212,Z$17&amp;"N95マスク",防護具!$Q$30:$Q$212),
SUMIF(防護具!$Y$30:$Y$212,Z$17&amp;"ハイラックマスク",防護具!$Q$30:$Q$212))-Y29,0)</f>
        <v>0</v>
      </c>
      <c r="AA30" s="653">
        <f>IFERROR(
SUM(Z30,
SUMIF(防護具!$Y$30:$Y$212,AA$17&amp;"N95マスク",防護具!$Q$30:$Q$212),
SUMIF(防護具!$Y$30:$Y$212,AA$17&amp;"ハイラックマスク",防護具!$Q$30:$Q$212))-Z29,0)</f>
        <v>0</v>
      </c>
      <c r="AB30" s="653">
        <f>IFERROR(
SUM(AA30,
SUMIF(防護具!$Y$30:$Y$212,AB$17&amp;"N95マスク",防護具!$Q$30:$Q$212),
SUMIF(防護具!$Y$30:$Y$212,AB$17&amp;"ハイラックマスク",防護具!$Q$30:$Q$212))-AA29,0)</f>
        <v>0</v>
      </c>
      <c r="AC30" s="653">
        <f>IFERROR(
SUM(AB30,
SUMIF(防護具!$Y$30:$Y$212,AC$17&amp;"N95マスク",防護具!$Q$30:$Q$212),
SUMIF(防護具!$Y$30:$Y$212,AC$17&amp;"ハイラックマスク",防護具!$Q$30:$Q$212))-AB29,0)</f>
        <v>0</v>
      </c>
      <c r="AD30" s="653">
        <f>IFERROR(
SUM(AC30,
SUMIF(防護具!$Y$30:$Y$212,AD$17&amp;"N95マスク",防護具!$Q$30:$Q$212),
SUMIF(防護具!$Y$30:$Y$212,AD$17&amp;"ハイラックマスク",防護具!$Q$30:$Q$212))-AC29,0)</f>
        <v>0</v>
      </c>
      <c r="AE30" s="653">
        <f>IFERROR(
SUM(AD30,
SUMIF(防護具!$Y$30:$Y$212,AE$17&amp;"N95マスク",防護具!$Q$30:$Q$212),
SUMIF(防護具!$Y$30:$Y$212,AE$17&amp;"ハイラックマスク",防護具!$Q$30:$Q$212))-AD29,0)</f>
        <v>0</v>
      </c>
      <c r="AF30" s="653">
        <f>IFERROR(
SUM(AE30,
SUMIF(防護具!$Y$30:$Y$212,AF$17&amp;"N95マスク",防護具!$Q$30:$Q$212),
SUMIF(防護具!$Y$30:$Y$212,AF$17&amp;"ハイラックマスク",防護具!$Q$30:$Q$212))-AE29,0)</f>
        <v>0</v>
      </c>
      <c r="AG30" s="653">
        <f>IFERROR(
SUM(AF30,
SUMIF(防護具!$Y$30:$Y$212,AG$17&amp;"N95マスク",防護具!$Q$30:$Q$212),
SUMIF(防護具!$Y$30:$Y$212,AG$17&amp;"ハイラックマスク",防護具!$Q$30:$Q$212))-AF29,0)</f>
        <v>0</v>
      </c>
      <c r="AH30" s="653">
        <f>IFERROR(
SUM(AG30,
SUMIF(防護具!$Y$30:$Y$212,AH$17&amp;"N95マスク",防護具!$Q$30:$Q$212),
SUMIF(防護具!$Y$30:$Y$212,AH$17&amp;"ハイラックマスク",防護具!$Q$30:$Q$212))-AG29,0)</f>
        <v>0</v>
      </c>
      <c r="AI30" s="653">
        <f>IFERROR(
SUM(AH30,
SUMIF(防護具!$Y$30:$Y$212,AI$17&amp;"N95マスク",防護具!$Q$30:$Q$212),
SUMIF(防護具!$Y$30:$Y$212,AI$17&amp;"ハイラックマスク",防護具!$Q$30:$Q$212))-AH29,0)</f>
        <v>0</v>
      </c>
      <c r="AJ30" s="653">
        <f>IFERROR(
SUM(AI30,
SUMIF(防護具!$Y$30:$Y$212,AJ$17&amp;"N95マスク",防護具!$Q$30:$Q$212),
SUMIF(防護具!$Y$30:$Y$212,AJ$17&amp;"ハイラックマスク",防護具!$Q$30:$Q$212))-AI29,0)</f>
        <v>0</v>
      </c>
      <c r="AK30" s="653">
        <f>IFERROR(
SUM(AJ30,
SUMIF(防護具!$Y$30:$Y$212,AK$17&amp;"N95マスク",防護具!$Q$30:$Q$212),
SUMIF(防護具!$Y$30:$Y$212,AK$17&amp;"ハイラックマスク",防護具!$Q$30:$Q$212))-AJ29,0)</f>
        <v>0</v>
      </c>
      <c r="AL30" s="653">
        <f>IFERROR(
SUM(AK30,
SUMIF(防護具!$Y$30:$Y$212,AL$17&amp;"N95マスク",防護具!$Q$30:$Q$212),
SUMIF(防護具!$Y$30:$Y$212,AL$17&amp;"ハイラックマスク",防護具!$Q$30:$Q$212))-AK29,0)</f>
        <v>0</v>
      </c>
      <c r="AM30" s="653">
        <f>IFERROR(
SUM(AL30,
SUMIF(防護具!$Y$30:$Y$212,AM$17&amp;"N95マスク",防護具!$Q$30:$Q$212),
SUMIF(防護具!$Y$30:$Y$212,AM$17&amp;"ハイラックマスク",防護具!$Q$30:$Q$212))-AL29,0)</f>
        <v>0</v>
      </c>
      <c r="AN30" s="653">
        <f>IFERROR(
SUM(AM30,
SUMIF(防護具!$Y$30:$Y$212,AN$17&amp;"N95マスク",防護具!$Q$30:$Q$212),
SUMIF(防護具!$Y$30:$Y$212,AN$17&amp;"ハイラックマスク",防護具!$Q$30:$Q$212))-AM29,0)</f>
        <v>0</v>
      </c>
      <c r="AO30" s="653">
        <f>IFERROR(
SUM(AN30,
SUMIF(防護具!$Y$30:$Y$212,AO$17&amp;"N95マスク",防護具!$Q$30:$Q$212),
SUMIF(防護具!$Y$30:$Y$212,AO$17&amp;"ハイラックマスク",防護具!$Q$30:$Q$212))-AN29,0)</f>
        <v>0</v>
      </c>
      <c r="AP30" s="653">
        <f>IFERROR(
SUM(AO30,
SUMIF(防護具!$Y$30:$Y$212,AP$17&amp;"N95マスク",防護具!$Q$30:$Q$212),
SUMIF(防護具!$Y$30:$Y$212,AP$17&amp;"ハイラックマスク",防護具!$Q$30:$Q$212))-AO29,0)</f>
        <v>0</v>
      </c>
      <c r="AQ30" s="653">
        <f>IFERROR(
SUM(AP30,
SUMIF(防護具!$Y$30:$Y$212,AQ$17&amp;"N95マスク",防護具!$Q$30:$Q$212),
SUMIF(防護具!$Y$30:$Y$212,AQ$17&amp;"ハイラックマスク",防護具!$Q$30:$Q$212))-AP29,0)</f>
        <v>0</v>
      </c>
      <c r="AR30" s="653">
        <f>IFERROR(
SUM(AQ30,
SUMIF(防護具!$Y$30:$Y$212,AR$17&amp;"N95マスク",防護具!$Q$30:$Q$212),
SUMIF(防護具!$Y$30:$Y$212,AR$17&amp;"ハイラックマスク",防護具!$Q$30:$Q$212))-AQ29,0)</f>
        <v>0</v>
      </c>
      <c r="AS30" s="653">
        <f>IFERROR(
SUM(AR30,
SUMIF(防護具!$Y$30:$Y$212,AS$17&amp;"N95マスク",防護具!$Q$30:$Q$212),
SUMIF(防護具!$Y$30:$Y$212,AS$17&amp;"ハイラックマスク",防護具!$Q$30:$Q$212))-AR29,0)</f>
        <v>0</v>
      </c>
      <c r="AT30" s="653">
        <f>IFERROR(
SUM(AS30,
SUMIF(防護具!$Y$30:$Y$212,AT$17&amp;"N95マスク",防護具!$Q$30:$Q$212),
SUMIF(防護具!$Y$30:$Y$212,AT$17&amp;"ハイラックマスク",防護具!$Q$30:$Q$212))-AS29,0)</f>
        <v>0</v>
      </c>
      <c r="AU30" s="653">
        <f>IFERROR(
SUM(AT30,
SUMIF(防護具!$Y$30:$Y$212,AU$17&amp;"N95マスク",防護具!$Q$30:$Q$212),
SUMIF(防護具!$Y$30:$Y$212,AU$17&amp;"ハイラックマスク",防護具!$Q$30:$Q$212))-AT29,0)</f>
        <v>0</v>
      </c>
      <c r="AV30" s="653">
        <f>IFERROR(
SUM(AU30,
SUMIF(防護具!$Y$30:$Y$212,AV$17&amp;"N95マスク",防護具!$Q$30:$Q$212),
SUMIF(防護具!$Y$30:$Y$212,AV$17&amp;"ハイラックマスク",防護具!$Q$30:$Q$212))-AU29,0)</f>
        <v>0</v>
      </c>
      <c r="AW30" s="653">
        <f>IFERROR(
SUM(AV30,
SUMIF(防護具!$Y$30:$Y$212,AW$17&amp;"N95マスク",防護具!$Q$30:$Q$212),
SUMIF(防護具!$Y$30:$Y$212,AW$17&amp;"ハイラックマスク",防護具!$Q$30:$Q$212))-AV29,0)</f>
        <v>0</v>
      </c>
      <c r="AX30" s="653">
        <f>IFERROR(
SUM(AW30,
SUMIF(防護具!$Y$30:$Y$212,AX$17&amp;"N95マスク",防護具!$Q$30:$Q$212),
SUMIF(防護具!$Y$30:$Y$212,AX$17&amp;"ハイラックマスク",防護具!$Q$30:$Q$212))-AW29,0)</f>
        <v>0</v>
      </c>
      <c r="AY30" s="653">
        <f>IFERROR(
SUM(AX30,
SUMIF(防護具!$Y$30:$Y$212,AY$17&amp;"N95マスク",防護具!$Q$30:$Q$212),
SUMIF(防護具!$Y$30:$Y$212,AY$17&amp;"ハイラックマスク",防護具!$Q$30:$Q$212))-AX29,0)</f>
        <v>0</v>
      </c>
      <c r="AZ30" s="653">
        <f>IFERROR(
SUM(AY30,
SUMIF(防護具!$Y$30:$Y$212,AZ$17&amp;"N95マスク",防護具!$Q$30:$Q$212),
SUMIF(防護具!$Y$30:$Y$212,AZ$17&amp;"ハイラックマスク",防護具!$Q$30:$Q$212))-AY29,0)</f>
        <v>0</v>
      </c>
      <c r="BA30" s="653">
        <f>IFERROR(
SUM(AZ30,
SUMIF(防護具!$Y$30:$Y$212,BA$17&amp;"N95マスク",防護具!$Q$30:$Q$212),
SUMIF(防護具!$Y$30:$Y$212,BA$17&amp;"ハイラックマスク",防護具!$Q$30:$Q$212))-AZ29,0)</f>
        <v>0</v>
      </c>
      <c r="BB30" s="653">
        <f>IFERROR(
SUM(BA30,
SUMIF(防護具!$Y$30:$Y$212,BB$17&amp;"N95マスク",防護具!$Q$30:$Q$212),
SUMIF(防護具!$Y$30:$Y$212,BB$17&amp;"ハイラックマスク",防護具!$Q$30:$Q$212))-BA29,0)</f>
        <v>0</v>
      </c>
      <c r="BC30" s="653">
        <f>IFERROR(
SUM(BB30,
SUMIF(防護具!$Y$30:$Y$212,BC$17&amp;"N95マスク",防護具!$Q$30:$Q$212),
SUMIF(防護具!$Y$30:$Y$212,BC$17&amp;"ハイラックマスク",防護具!$Q$30:$Q$212))-BB29,0)</f>
        <v>0</v>
      </c>
      <c r="BD30" s="653">
        <f>IFERROR(
SUM(BC30,
SUMIF(防護具!$Y$30:$Y$212,BD$17&amp;"N95マスク",防護具!$Q$30:$Q$212),
SUMIF(防護具!$Y$30:$Y$212,BD$17&amp;"ハイラックマスク",防護具!$Q$30:$Q$212))-BC29,0)</f>
        <v>0</v>
      </c>
      <c r="BE30" s="653">
        <f>IFERROR(
SUM(BD30,
SUMIF(防護具!$Y$30:$Y$212,BE$17&amp;"N95マスク",防護具!$Q$30:$Q$212),
SUMIF(防護具!$Y$30:$Y$212,BE$17&amp;"ハイラックマスク",防護具!$Q$30:$Q$212))-BD29,0)</f>
        <v>0</v>
      </c>
      <c r="BF30" s="653">
        <f>IFERROR(
SUM(BE30,
SUMIF(防護具!$Y$30:$Y$212,BF$17&amp;"N95マスク",防護具!$Q$30:$Q$212),
SUMIF(防護具!$Y$30:$Y$212,BF$17&amp;"ハイラックマスク",防護具!$Q$30:$Q$212))-BE29,0)</f>
        <v>0</v>
      </c>
      <c r="BG30" s="653">
        <f>IFERROR(
SUM(BF30,
SUMIF(防護具!$Y$30:$Y$212,BG$17&amp;"N95マスク",防護具!$Q$30:$Q$212),
SUMIF(防護具!$Y$30:$Y$212,BG$17&amp;"ハイラックマスク",防護具!$Q$30:$Q$212))-BF29,0)</f>
        <v>0</v>
      </c>
      <c r="BH30" s="653">
        <f>IFERROR(
SUM(BG30,
SUMIF(防護具!$Y$30:$Y$212,BH$17&amp;"N95マスク",防護具!$Q$30:$Q$212),
SUMIF(防護具!$Y$30:$Y$212,BH$17&amp;"ハイラックマスク",防護具!$Q$30:$Q$212))-BG29,0)</f>
        <v>0</v>
      </c>
      <c r="BI30" s="653">
        <f>IFERROR(
SUM(BH30,
SUMIF(防護具!$Y$30:$Y$212,BI$17&amp;"N95マスク",防護具!$Q$30:$Q$212),
SUMIF(防護具!$Y$30:$Y$212,BI$17&amp;"ハイラックマスク",防護具!$Q$30:$Q$212))-BH29,0)</f>
        <v>0</v>
      </c>
      <c r="BJ30" s="653">
        <f>IFERROR(
SUM(BI30,
SUMIF(防護具!$Y$30:$Y$212,BJ$17&amp;"N95マスク",防護具!$Q$30:$Q$212),
SUMIF(防護具!$Y$30:$Y$212,BJ$17&amp;"ハイラックマスク",防護具!$Q$30:$Q$212))-BI29,0)</f>
        <v>0</v>
      </c>
      <c r="BK30" s="653">
        <f>IFERROR(
SUM(BJ30,
SUMIF(防護具!$Y$30:$Y$212,BK$17&amp;"N95マスク",防護具!$Q$30:$Q$212),
SUMIF(防護具!$Y$30:$Y$212,BK$17&amp;"ハイラックマスク",防護具!$Q$30:$Q$212))-BJ29,0)</f>
        <v>0</v>
      </c>
      <c r="BL30" s="653">
        <f>IFERROR(
SUM(BK30,
SUMIF(防護具!$Y$30:$Y$212,BL$17&amp;"N95マスク",防護具!$Q$30:$Q$212),
SUMIF(防護具!$Y$30:$Y$212,BL$17&amp;"ハイラックマスク",防護具!$Q$30:$Q$212))-BK29,0)</f>
        <v>0</v>
      </c>
      <c r="BM30" s="653">
        <f>IFERROR(
SUM(BL30,
SUMIF(防護具!$Y$30:$Y$212,BM$17&amp;"N95マスク",防護具!$Q$30:$Q$212),
SUMIF(防護具!$Y$30:$Y$212,BM$17&amp;"ハイラックマスク",防護具!$Q$30:$Q$212))-BL29,0)</f>
        <v>0</v>
      </c>
      <c r="BN30" s="653">
        <f>IFERROR(
SUM(BM30,
SUMIF(防護具!$Y$30:$Y$212,BN$17&amp;"N95マスク",防護具!$Q$30:$Q$212),
SUMIF(防護具!$Y$30:$Y$212,BN$17&amp;"ハイラックマスク",防護具!$Q$30:$Q$212))-BM29,0)</f>
        <v>0</v>
      </c>
      <c r="BO30" s="653">
        <f>IFERROR(
SUM(BN30,
SUMIF(防護具!$Y$30:$Y$212,BO$17&amp;"N95マスク",防護具!$Q$30:$Q$212),
SUMIF(防護具!$Y$30:$Y$212,BO$17&amp;"ハイラックマスク",防護具!$Q$30:$Q$212))-BN29,0)</f>
        <v>0</v>
      </c>
      <c r="BP30" s="653">
        <f>IFERROR(
SUM(BO30,
SUMIF(防護具!$Y$30:$Y$212,BP$17&amp;"N95マスク",防護具!$Q$30:$Q$212),
SUMIF(防護具!$Y$30:$Y$212,BP$17&amp;"ハイラックマスク",防護具!$Q$30:$Q$212))-BO29,0)</f>
        <v>0</v>
      </c>
      <c r="BQ30" s="653">
        <f>IFERROR(
SUM(BP30,
SUMIF(防護具!$Y$30:$Y$212,BQ$17&amp;"N95マスク",防護具!$Q$30:$Q$212),
SUMIF(防護具!$Y$30:$Y$212,BQ$17&amp;"ハイラックマスク",防護具!$Q$30:$Q$212))-BP29,0)</f>
        <v>0</v>
      </c>
      <c r="BR30" s="653">
        <f>IFERROR(
SUM(BQ30,
SUMIF(防護具!$Y$30:$Y$212,BR$17&amp;"N95マスク",防護具!$Q$30:$Q$212),
SUMIF(防護具!$Y$30:$Y$212,BR$17&amp;"ハイラックマスク",防護具!$Q$30:$Q$212))-BQ29,0)</f>
        <v>0</v>
      </c>
      <c r="BS30" s="653">
        <f>IFERROR(
SUM(BR30,
SUMIF(防護具!$Y$30:$Y$212,BS$17&amp;"N95マスク",防護具!$Q$30:$Q$212),
SUMIF(防護具!$Y$30:$Y$212,BS$17&amp;"ハイラックマスク",防護具!$Q$30:$Q$212))-BR29,0)</f>
        <v>0</v>
      </c>
      <c r="BT30" s="653">
        <f>IFERROR(
SUM(BS30,
SUMIF(防護具!$Y$30:$Y$212,BT$17&amp;"N95マスク",防護具!$Q$30:$Q$212),
SUMIF(防護具!$Y$30:$Y$212,BT$17&amp;"ハイラックマスク",防護具!$Q$30:$Q$212))-BS29,0)</f>
        <v>0</v>
      </c>
      <c r="BU30" s="653">
        <f>IFERROR(
SUM(BT30,
SUMIF(防護具!$Y$30:$Y$212,BU$17&amp;"N95マスク",防護具!$Q$30:$Q$212),
SUMIF(防護具!$Y$30:$Y$212,BU$17&amp;"ハイラックマスク",防護具!$Q$30:$Q$212))-BT29,0)</f>
        <v>0</v>
      </c>
      <c r="BV30" s="653">
        <f>IFERROR(
SUM(BU30,
SUMIF(防護具!$Y$30:$Y$212,BV$17&amp;"N95マスク",防護具!$Q$30:$Q$212),
SUMIF(防護具!$Y$30:$Y$212,BV$17&amp;"ハイラックマスク",防護具!$Q$30:$Q$212))-BU29,0)</f>
        <v>0</v>
      </c>
      <c r="BW30" s="653">
        <f>IFERROR(
SUM(BV30,
SUMIF(防護具!$Y$30:$Y$212,BW$17&amp;"N95マスク",防護具!$Q$30:$Q$212),
SUMIF(防護具!$Y$30:$Y$212,BW$17&amp;"ハイラックマスク",防護具!$Q$30:$Q$212))-BV29,0)</f>
        <v>0</v>
      </c>
      <c r="BX30" s="653">
        <f>IFERROR(
SUM(BW30,
SUMIF(防護具!$Y$30:$Y$212,BX$17&amp;"N95マスク",防護具!$Q$30:$Q$212),
SUMIF(防護具!$Y$30:$Y$212,BX$17&amp;"ハイラックマスク",防護具!$Q$30:$Q$212))-BW29,0)</f>
        <v>0</v>
      </c>
      <c r="BY30" s="653">
        <f>IFERROR(
SUM(BX30,
SUMIF(防護具!$Y$30:$Y$212,BY$17&amp;"N95マスク",防護具!$Q$30:$Q$212),
SUMIF(防護具!$Y$30:$Y$212,BY$17&amp;"ハイラックマスク",防護具!$Q$30:$Q$212))-BX29,0)</f>
        <v>0</v>
      </c>
      <c r="BZ30" s="653">
        <f>IFERROR(
SUM(BY30,
SUMIF(防護具!$Y$30:$Y$212,BZ$17&amp;"N95マスク",防護具!$Q$30:$Q$212),
SUMIF(防護具!$Y$30:$Y$212,BZ$17&amp;"ハイラックマスク",防護具!$Q$30:$Q$212))-BY29,0)</f>
        <v>0</v>
      </c>
      <c r="CA30" s="653">
        <f>IFERROR(
SUM(BZ30,
SUMIF(防護具!$Y$30:$Y$212,CA$17&amp;"N95マスク",防護具!$Q$30:$Q$212),
SUMIF(防護具!$Y$30:$Y$212,CA$17&amp;"ハイラックマスク",防護具!$Q$30:$Q$212))-BZ29,0)</f>
        <v>0</v>
      </c>
      <c r="CB30" s="653">
        <f>IFERROR(
SUM(CA30,
SUMIF(防護具!$Y$30:$Y$212,CB$17&amp;"N95マスク",防護具!$Q$30:$Q$212),
SUMIF(防護具!$Y$30:$Y$212,CB$17&amp;"ハイラックマスク",防護具!$Q$30:$Q$212))-CA29,0)</f>
        <v>0</v>
      </c>
      <c r="CC30" s="653">
        <f>IFERROR(
SUM(CB30,
SUMIF(防護具!$Y$30:$Y$212,CC$17&amp;"N95マスク",防護具!$Q$30:$Q$212),
SUMIF(防護具!$Y$30:$Y$212,CC$17&amp;"ハイラックマスク",防護具!$Q$30:$Q$212))-CB29,0)</f>
        <v>0</v>
      </c>
      <c r="CD30" s="653">
        <f>IFERROR(
SUM(CC30,
SUMIF(防護具!$Y$30:$Y$212,CD$17&amp;"N95マスク",防護具!$Q$30:$Q$212),
SUMIF(防護具!$Y$30:$Y$212,CD$17&amp;"ハイラックマスク",防護具!$Q$30:$Q$212))-CC29,0)</f>
        <v>0</v>
      </c>
      <c r="CE30" s="653">
        <f>IFERROR(
SUM(CD30,
SUMIF(防護具!$Y$30:$Y$212,CE$17&amp;"N95マスク",防護具!$Q$30:$Q$212),
SUMIF(防護具!$Y$30:$Y$212,CE$17&amp;"ハイラックマスク",防護具!$Q$30:$Q$212))-CD29,0)</f>
        <v>0</v>
      </c>
      <c r="CF30" s="653">
        <f>IFERROR(
SUM(CE30,
SUMIF(防護具!$Y$30:$Y$212,CF$17&amp;"N95マスク",防護具!$Q$30:$Q$212),
SUMIF(防護具!$Y$30:$Y$212,CF$17&amp;"ハイラックマスク",防護具!$Q$30:$Q$212))-CE29,0)</f>
        <v>0</v>
      </c>
      <c r="CG30" s="653">
        <f>IFERROR(
SUM(CF30,
SUMIF(防護具!$Y$30:$Y$212,CG$17&amp;"N95マスク",防護具!$Q$30:$Q$212),
SUMIF(防護具!$Y$30:$Y$212,CG$17&amp;"ハイラックマスク",防護具!$Q$30:$Q$212))-CF29,0)</f>
        <v>0</v>
      </c>
      <c r="CH30" s="653">
        <f>IFERROR(
SUM(CG30,
SUMIF(防護具!$Y$30:$Y$212,CH$17&amp;"N95マスク",防護具!$Q$30:$Q$212),
SUMIF(防護具!$Y$30:$Y$212,CH$17&amp;"ハイラックマスク",防護具!$Q$30:$Q$212))-CG29,0)</f>
        <v>0</v>
      </c>
      <c r="CI30" s="653">
        <f>IFERROR(
SUM(CH30,
SUMIF(防護具!$Y$30:$Y$212,CI$17&amp;"N95マスク",防護具!$Q$30:$Q$212),
SUMIF(防護具!$Y$30:$Y$212,CI$17&amp;"ハイラックマスク",防護具!$Q$30:$Q$212))-CH29,0)</f>
        <v>0</v>
      </c>
      <c r="CJ30" s="653">
        <f>IFERROR(
SUM(CI30,
SUMIF(防護具!$Y$30:$Y$212,CJ$17&amp;"N95マスク",防護具!$Q$30:$Q$212),
SUMIF(防護具!$Y$30:$Y$212,CJ$17&amp;"ハイラックマスク",防護具!$Q$30:$Q$212))-CI29,0)</f>
        <v>0</v>
      </c>
      <c r="CK30" s="653">
        <f>IFERROR(
SUM(CJ30,
SUMIF(防護具!$Y$30:$Y$212,CK$17&amp;"N95マスク",防護具!$Q$30:$Q$212),
SUMIF(防護具!$Y$30:$Y$212,CK$17&amp;"ハイラックマスク",防護具!$Q$30:$Q$212))-CJ29,0)</f>
        <v>0</v>
      </c>
      <c r="CL30" s="653">
        <f>IFERROR(
SUM(CK30,
SUMIF(防護具!$Y$30:$Y$212,CL$17&amp;"N95マスク",防護具!$Q$30:$Q$212),
SUMIF(防護具!$Y$30:$Y$212,CL$17&amp;"ハイラックマスク",防護具!$Q$30:$Q$212))-CK29,0)</f>
        <v>0</v>
      </c>
      <c r="CM30" s="653">
        <f>IFERROR(
SUM(CL30,
SUMIF(防護具!$Y$30:$Y$212,CM$17&amp;"N95マスク",防護具!$Q$30:$Q$212),
SUMIF(防護具!$Y$30:$Y$212,CM$17&amp;"ハイラックマスク",防護具!$Q$30:$Q$212))-CL29,0)</f>
        <v>0</v>
      </c>
      <c r="CN30" s="653">
        <f>IFERROR(
SUM(CM30,
SUMIF(防護具!$Y$30:$Y$212,CN$17&amp;"N95マスク",防護具!$Q$30:$Q$212),
SUMIF(防護具!$Y$30:$Y$212,CN$17&amp;"ハイラックマスク",防護具!$Q$30:$Q$212))-CM29,0)</f>
        <v>0</v>
      </c>
      <c r="CO30" s="653">
        <f>IFERROR(
SUM(CN30,
SUMIF(防護具!$Y$30:$Y$212,CO$17&amp;"N95マスク",防護具!$Q$30:$Q$212),
SUMIF(防護具!$Y$30:$Y$212,CO$17&amp;"ハイラックマスク",防護具!$Q$30:$Q$212))-CN29,0)</f>
        <v>0</v>
      </c>
      <c r="CP30" s="653">
        <f>IFERROR(
SUM(CO30,
SUMIF(防護具!$Y$30:$Y$212,CP$17&amp;"N95マスク",防護具!$Q$30:$Q$212),
SUMIF(防護具!$Y$30:$Y$212,CP$17&amp;"ハイラックマスク",防護具!$Q$30:$Q$212))-CO29,0)</f>
        <v>0</v>
      </c>
      <c r="CQ30" s="653">
        <f>IFERROR(
SUM(CP30,
SUMIF(防護具!$Y$30:$Y$212,CQ$17&amp;"N95マスク",防護具!$Q$30:$Q$212),
SUMIF(防護具!$Y$30:$Y$212,CQ$17&amp;"ハイラックマスク",防護具!$Q$30:$Q$212))-CP29,0)</f>
        <v>0</v>
      </c>
      <c r="CR30" s="653">
        <f>IFERROR(
SUM(CQ30,
SUMIF(防護具!$Y$30:$Y$212,CR$17&amp;"N95マスク",防護具!$Q$30:$Q$212),
SUMIF(防護具!$Y$30:$Y$212,CR$17&amp;"ハイラックマスク",防護具!$Q$30:$Q$212))-CQ29,0)</f>
        <v>0</v>
      </c>
      <c r="CS30" s="653">
        <f>IFERROR(
SUM(CR30,
SUMIF(防護具!$Y$30:$Y$212,CS$17&amp;"N95マスク",防護具!$Q$30:$Q$212),
SUMIF(防護具!$Y$30:$Y$212,CS$17&amp;"ハイラックマスク",防護具!$Q$30:$Q$212))-CR29,0)</f>
        <v>0</v>
      </c>
      <c r="CT30" s="653">
        <f>IFERROR(
SUM(CS30,
SUMIF(防護具!$Y$30:$Y$212,CT$17&amp;"N95マスク",防護具!$Q$30:$Q$212),
SUMIF(防護具!$Y$30:$Y$212,CT$17&amp;"ハイラックマスク",防護具!$Q$30:$Q$212))-CS29,0)</f>
        <v>0</v>
      </c>
      <c r="CU30" s="653">
        <f>IFERROR(
SUM(CT30,
SUMIF(防護具!$Y$30:$Y$212,CU$17&amp;"N95マスク",防護具!$Q$30:$Q$212),
SUMIF(防護具!$Y$30:$Y$212,CU$17&amp;"ハイラックマスク",防護具!$Q$30:$Q$212))-CT29,0)</f>
        <v>0</v>
      </c>
      <c r="CV30" s="653">
        <f>IFERROR(
SUM(CU30,
SUMIF(防護具!$Y$30:$Y$212,CV$17&amp;"N95マスク",防護具!$Q$30:$Q$212),
SUMIF(防護具!$Y$30:$Y$212,CV$17&amp;"ハイラックマスク",防護具!$Q$30:$Q$212))-CU29,0)</f>
        <v>0</v>
      </c>
      <c r="CW30" s="653">
        <f>IFERROR(
SUM(CV30,
SUMIF(防護具!$Y$30:$Y$212,CW$17&amp;"N95マスク",防護具!$Q$30:$Q$212),
SUMIF(防護具!$Y$30:$Y$212,CW$17&amp;"ハイラックマスク",防護具!$Q$30:$Q$212))-CV29,0)</f>
        <v>0</v>
      </c>
      <c r="CX30" s="653">
        <f>IFERROR(
SUM(CW30,
SUMIF(防護具!$Y$30:$Y$212,CX$17&amp;"N95マスク",防護具!$Q$30:$Q$212),
SUMIF(防護具!$Y$30:$Y$212,CX$17&amp;"ハイラックマスク",防護具!$Q$30:$Q$212))-CW29,0)</f>
        <v>0</v>
      </c>
      <c r="CY30" s="653">
        <f>IFERROR(
SUM(CX30,
SUMIF(防護具!$Y$30:$Y$212,CY$17&amp;"N95マスク",防護具!$Q$30:$Q$212),
SUMIF(防護具!$Y$30:$Y$212,CY$17&amp;"ハイラックマスク",防護具!$Q$30:$Q$212))-CX29,0)</f>
        <v>0</v>
      </c>
      <c r="CZ30" s="653">
        <f>IFERROR(
SUM(CY30,
SUMIF(防護具!$Y$30:$Y$212,CZ$17&amp;"N95マスク",防護具!$Q$30:$Q$212),
SUMIF(防護具!$Y$30:$Y$212,CZ$17&amp;"ハイラックマスク",防護具!$Q$30:$Q$212))-CY29,0)</f>
        <v>0</v>
      </c>
      <c r="DA30" s="653">
        <f>IFERROR(
SUM(CZ30,
SUMIF(防護具!$Y$30:$Y$212,DA$17&amp;"N95マスク",防護具!$Q$30:$Q$212),
SUMIF(防護具!$Y$30:$Y$212,DA$17&amp;"ハイラックマスク",防護具!$Q$30:$Q$212))-CZ29,0)</f>
        <v>0</v>
      </c>
      <c r="DB30" s="653">
        <f>IFERROR(
SUM(DA30,
SUMIF(防護具!$Y$30:$Y$212,DB$17&amp;"N95マスク",防護具!$Q$30:$Q$212),
SUMIF(防護具!$Y$30:$Y$212,DB$17&amp;"ハイラックマスク",防護具!$Q$30:$Q$212))-DA29,0)</f>
        <v>0</v>
      </c>
      <c r="DC30" s="653">
        <f>IFERROR(
SUM(DB30,
SUMIF(防護具!$Y$30:$Y$212,DC$17&amp;"N95マスク",防護具!$Q$30:$Q$212),
SUMIF(防護具!$Y$30:$Y$212,DC$17&amp;"ハイラックマスク",防護具!$Q$30:$Q$212))-DB29,0)</f>
        <v>0</v>
      </c>
      <c r="DD30" s="653">
        <f>IFERROR(
SUM(DC30,
SUMIF(防護具!$Y$30:$Y$212,DD$17&amp;"N95マスク",防護具!$Q$30:$Q$212),
SUMIF(防護具!$Y$30:$Y$212,DD$17&amp;"ハイラックマスク",防護具!$Q$30:$Q$212))-DC29,0)</f>
        <v>0</v>
      </c>
      <c r="DE30" s="653">
        <f>IFERROR(
SUM(DD30,
SUMIF(防護具!$Y$30:$Y$212,DE$17&amp;"N95マスク",防護具!$Q$30:$Q$212),
SUMIF(防護具!$Y$30:$Y$212,DE$17&amp;"ハイラックマスク",防護具!$Q$30:$Q$212))-DD29,0)</f>
        <v>0</v>
      </c>
      <c r="DF30" s="653">
        <f>IFERROR(
SUM(DE30,
SUMIF(防護具!$Y$30:$Y$212,DF$17&amp;"N95マスク",防護具!$Q$30:$Q$212),
SUMIF(防護具!$Y$30:$Y$212,DF$17&amp;"ハイラックマスク",防護具!$Q$30:$Q$212))-DE29,0)</f>
        <v>0</v>
      </c>
      <c r="DG30" s="653">
        <f>IFERROR(
SUM(DF30,
SUMIF(防護具!$Y$30:$Y$212,DG$17&amp;"N95マスク",防護具!$Q$30:$Q$212),
SUMIF(防護具!$Y$30:$Y$212,DG$17&amp;"ハイラックマスク",防護具!$Q$30:$Q$212))-DF29,0)</f>
        <v>0</v>
      </c>
      <c r="DH30" s="653">
        <f>IFERROR(
SUM(DG30,
SUMIF(防護具!$Y$30:$Y$212,DH$17&amp;"N95マスク",防護具!$Q$30:$Q$212),
SUMIF(防護具!$Y$30:$Y$212,DH$17&amp;"ハイラックマスク",防護具!$Q$30:$Q$212))-DG29,0)</f>
        <v>0</v>
      </c>
      <c r="DI30" s="653">
        <f>IFERROR(
SUM(DH30,
SUMIF(防護具!$Y$30:$Y$212,DI$17&amp;"N95マスク",防護具!$Q$30:$Q$212),
SUMIF(防護具!$Y$30:$Y$212,DI$17&amp;"ハイラックマスク",防護具!$Q$30:$Q$212))-DH29,0)</f>
        <v>0</v>
      </c>
      <c r="DJ30" s="653">
        <f>IFERROR(
SUM(DI30,
SUMIF(防護具!$Y$30:$Y$212,DJ$17&amp;"N95マスク",防護具!$Q$30:$Q$212),
SUMIF(防護具!$Y$30:$Y$212,DJ$17&amp;"ハイラックマスク",防護具!$Q$30:$Q$212))-DI29,0)</f>
        <v>0</v>
      </c>
      <c r="DK30" s="653">
        <f>IFERROR(
SUM(DJ30,
SUMIF(防護具!$Y$30:$Y$212,DK$17&amp;"N95マスク",防護具!$Q$30:$Q$212),
SUMIF(防護具!$Y$30:$Y$212,DK$17&amp;"ハイラックマスク",防護具!$Q$30:$Q$212))-DJ29,0)</f>
        <v>0</v>
      </c>
      <c r="DL30" s="653">
        <f>IFERROR(
SUM(DK30,
SUMIF(防護具!$Y$30:$Y$212,DL$17&amp;"N95マスク",防護具!$Q$30:$Q$212),
SUMIF(防護具!$Y$30:$Y$212,DL$17&amp;"ハイラックマスク",防護具!$Q$30:$Q$212))-DK29,0)</f>
        <v>0</v>
      </c>
      <c r="DM30" s="653">
        <f>IFERROR(
SUM(DL30,
SUMIF(防護具!$Y$30:$Y$212,DM$17&amp;"N95マスク",防護具!$Q$30:$Q$212),
SUMIF(防護具!$Y$30:$Y$212,DM$17&amp;"ハイラックマスク",防護具!$Q$30:$Q$212))-DL29,0)</f>
        <v>0</v>
      </c>
      <c r="DN30" s="653">
        <f>IFERROR(
SUM(DM30,
SUMIF(防護具!$Y$30:$Y$212,DN$17&amp;"N95マスク",防護具!$Q$30:$Q$212),
SUMIF(防護具!$Y$30:$Y$212,DN$17&amp;"ハイラックマスク",防護具!$Q$30:$Q$212))-DM29,0)</f>
        <v>0</v>
      </c>
      <c r="DO30" s="653">
        <f>IFERROR(
SUM(DN30,
SUMIF(防護具!$Y$30:$Y$212,DO$17&amp;"N95マスク",防護具!$Q$30:$Q$212),
SUMIF(防護具!$Y$30:$Y$212,DO$17&amp;"ハイラックマスク",防護具!$Q$30:$Q$212))-DN29,0)</f>
        <v>0</v>
      </c>
      <c r="DP30" s="653">
        <f>IFERROR(
SUM(DO30,
SUMIF(防護具!$Y$30:$Y$212,DP$17&amp;"N95マスク",防護具!$Q$30:$Q$212),
SUMIF(防護具!$Y$30:$Y$212,DP$17&amp;"ハイラックマスク",防護具!$Q$30:$Q$212))-DO29,0)</f>
        <v>0</v>
      </c>
      <c r="DQ30" s="653">
        <f>IFERROR(
SUM(DP30,
SUMIF(防護具!$Y$30:$Y$212,DQ$17&amp;"N95マスク",防護具!$Q$30:$Q$212),
SUMIF(防護具!$Y$30:$Y$212,DQ$17&amp;"ハイラックマスク",防護具!$Q$30:$Q$212))-DP29,0)</f>
        <v>0</v>
      </c>
      <c r="DR30" s="653">
        <f>IFERROR(
SUM(DQ30,
SUMIF(防護具!$Y$30:$Y$212,DR$17&amp;"N95マスク",防護具!$Q$30:$Q$212),
SUMIF(防護具!$Y$30:$Y$212,DR$17&amp;"ハイラックマスク",防護具!$Q$30:$Q$212))-DQ29,0)</f>
        <v>0</v>
      </c>
      <c r="DS30" s="653">
        <f>IFERROR(
SUM(DR30,
SUMIF(防護具!$Y$30:$Y$212,DS$17&amp;"N95マスク",防護具!$Q$30:$Q$212),
SUMIF(防護具!$Y$30:$Y$212,DS$17&amp;"ハイラックマスク",防護具!$Q$30:$Q$212))-DR29,0)</f>
        <v>0</v>
      </c>
      <c r="DT30" s="653">
        <f>IFERROR(
SUM(DS30,
SUMIF(防護具!$Y$30:$Y$212,DT$17&amp;"N95マスク",防護具!$Q$30:$Q$212),
SUMIF(防護具!$Y$30:$Y$212,DT$17&amp;"ハイラックマスク",防護具!$Q$30:$Q$212))-DS29,0)</f>
        <v>0</v>
      </c>
      <c r="DU30" s="653">
        <f>IFERROR(
SUM(DT30,
SUMIF(防護具!$Y$30:$Y$212,DU$17&amp;"N95マスク",防護具!$Q$30:$Q$212),
SUMIF(防護具!$Y$30:$Y$212,DU$17&amp;"ハイラックマスク",防護具!$Q$30:$Q$212))-DT29,0)</f>
        <v>0</v>
      </c>
      <c r="DV30" s="653">
        <f>IFERROR(
SUM(DU30,
SUMIF(防護具!$Y$30:$Y$212,DV$17&amp;"N95マスク",防護具!$Q$30:$Q$212),
SUMIF(防護具!$Y$30:$Y$212,DV$17&amp;"ハイラックマスク",防護具!$Q$30:$Q$212))-DU29,0)</f>
        <v>0</v>
      </c>
      <c r="DW30" s="653">
        <f>IFERROR(
SUM(DV30,
SUMIF(防護具!$Y$30:$Y$212,DW$17&amp;"N95マスク",防護具!$Q$30:$Q$212),
SUMIF(防護具!$Y$30:$Y$212,DW$17&amp;"ハイラックマスク",防護具!$Q$30:$Q$212))-DV29,0)</f>
        <v>0</v>
      </c>
      <c r="DX30" s="653">
        <f>IFERROR(
SUM(DW30,
SUMIF(防護具!$Y$30:$Y$212,DX$17&amp;"N95マスク",防護具!$Q$30:$Q$212),
SUMIF(防護具!$Y$30:$Y$212,DX$17&amp;"ハイラックマスク",防護具!$Q$30:$Q$212))-DW29,0)</f>
        <v>0</v>
      </c>
      <c r="DY30" s="653">
        <f>IFERROR(
SUM(DX30,
SUMIF(防護具!$Y$30:$Y$212,DY$17&amp;"N95マスク",防護具!$Q$30:$Q$212),
SUMIF(防護具!$Y$30:$Y$212,DY$17&amp;"ハイラックマスク",防護具!$Q$30:$Q$212))-DX29,0)</f>
        <v>0</v>
      </c>
      <c r="DZ30" s="653">
        <f>IFERROR(
SUM(DY30,
SUMIF(防護具!$Y$30:$Y$212,DZ$17&amp;"N95マスク",防護具!$Q$30:$Q$212),
SUMIF(防護具!$Y$30:$Y$212,DZ$17&amp;"ハイラックマスク",防護具!$Q$30:$Q$212))-DY29,0)</f>
        <v>0</v>
      </c>
      <c r="EA30" s="653">
        <f>IFERROR(
SUM(DZ30,
SUMIF(防護具!$Y$30:$Y$212,EA$17&amp;"N95マスク",防護具!$Q$30:$Q$212),
SUMIF(防護具!$Y$30:$Y$212,EA$17&amp;"ハイラックマスク",防護具!$Q$30:$Q$212))-DZ29,0)</f>
        <v>0</v>
      </c>
      <c r="EB30" s="653">
        <f>IFERROR(
SUM(EA30,
SUMIF(防護具!$Y$30:$Y$212,EB$17&amp;"N95マスク",防護具!$Q$30:$Q$212),
SUMIF(防護具!$Y$30:$Y$212,EB$17&amp;"ハイラックマスク",防護具!$Q$30:$Q$212))-EA29,0)</f>
        <v>0</v>
      </c>
      <c r="EC30" s="653">
        <f>IFERROR(
SUM(EB30,
SUMIF(防護具!$Y$30:$Y$212,EC$17&amp;"N95マスク",防護具!$Q$30:$Q$212),
SUMIF(防護具!$Y$30:$Y$212,EC$17&amp;"ハイラックマスク",防護具!$Q$30:$Q$212))-EB29,0)</f>
        <v>0</v>
      </c>
      <c r="ED30" s="653">
        <f>IFERROR(
SUM(EC30,
SUMIF(防護具!$Y$30:$Y$212,ED$17&amp;"N95マスク",防護具!$Q$30:$Q$212),
SUMIF(防護具!$Y$30:$Y$212,ED$17&amp;"ハイラックマスク",防護具!$Q$30:$Q$212))-EC29,0)</f>
        <v>0</v>
      </c>
      <c r="EE30" s="653">
        <f>IFERROR(
SUM(ED30,
SUMIF(防護具!$Y$30:$Y$212,EE$17&amp;"N95マスク",防護具!$Q$30:$Q$212),
SUMIF(防護具!$Y$30:$Y$212,EE$17&amp;"ハイラックマスク",防護具!$Q$30:$Q$212))-ED29,0)</f>
        <v>0</v>
      </c>
      <c r="EF30" s="653">
        <f>IFERROR(
SUM(EE30,
SUMIF(防護具!$Y$30:$Y$212,EF$17&amp;"N95マスク",防護具!$Q$30:$Q$212),
SUMIF(防護具!$Y$30:$Y$212,EF$17&amp;"ハイラックマスク",防護具!$Q$30:$Q$212))-EE29,0)</f>
        <v>0</v>
      </c>
      <c r="EG30" s="653">
        <f>IFERROR(
SUM(EF30,
SUMIF(防護具!$Y$30:$Y$212,EG$17&amp;"N95マスク",防護具!$Q$30:$Q$212),
SUMIF(防護具!$Y$30:$Y$212,EG$17&amp;"ハイラックマスク",防護具!$Q$30:$Q$212))-EF29,0)</f>
        <v>0</v>
      </c>
      <c r="EH30" s="653">
        <f>IFERROR(
SUM(EG30,
SUMIF(防護具!$Y$30:$Y$212,EH$17&amp;"N95マスク",防護具!$Q$30:$Q$212),
SUMIF(防護具!$Y$30:$Y$212,EH$17&amp;"ハイラックマスク",防護具!$Q$30:$Q$212))-EG29,0)</f>
        <v>0</v>
      </c>
      <c r="EI30" s="653">
        <f>IFERROR(
SUM(EH30,
SUMIF(防護具!$Y$30:$Y$212,EI$17&amp;"N95マスク",防護具!$Q$30:$Q$212),
SUMIF(防護具!$Y$30:$Y$212,EI$17&amp;"ハイラックマスク",防護具!$Q$30:$Q$212))-EH29,0)</f>
        <v>0</v>
      </c>
      <c r="EJ30" s="653">
        <f>IFERROR(
SUM(EI30,
SUMIF(防護具!$Y$30:$Y$212,EJ$17&amp;"N95マスク",防護具!$Q$30:$Q$212),
SUMIF(防護具!$Y$30:$Y$212,EJ$17&amp;"ハイラックマスク",防護具!$Q$30:$Q$212))-EI29,0)</f>
        <v>0</v>
      </c>
      <c r="EK30" s="653">
        <f>IFERROR(
SUM(EJ30,
SUMIF(防護具!$Y$30:$Y$212,EK$17&amp;"N95マスク",防護具!$Q$30:$Q$212),
SUMIF(防護具!$Y$30:$Y$212,EK$17&amp;"ハイラックマスク",防護具!$Q$30:$Q$212))-EJ29,0)</f>
        <v>0</v>
      </c>
      <c r="EL30" s="653">
        <f>IFERROR(
SUM(EK30,
SUMIF(防護具!$Y$30:$Y$212,EL$17&amp;"N95マスク",防護具!$Q$30:$Q$212),
SUMIF(防護具!$Y$30:$Y$212,EL$17&amp;"ハイラックマスク",防護具!$Q$30:$Q$212))-EK29,0)</f>
        <v>0</v>
      </c>
      <c r="EM30" s="653">
        <f>IFERROR(
SUM(EL30,
SUMIF(防護具!$Y$30:$Y$212,EM$17&amp;"N95マスク",防護具!$Q$30:$Q$212),
SUMIF(防護具!$Y$30:$Y$212,EM$17&amp;"ハイラックマスク",防護具!$Q$30:$Q$212))-EL29,0)</f>
        <v>0</v>
      </c>
      <c r="EN30" s="653">
        <f>IFERROR(
SUM(EM30,
SUMIF(防護具!$Y$30:$Y$212,EN$17&amp;"N95マスク",防護具!$Q$30:$Q$212),
SUMIF(防護具!$Y$30:$Y$212,EN$17&amp;"ハイラックマスク",防護具!$Q$30:$Q$212))-EM29,0)</f>
        <v>0</v>
      </c>
      <c r="EO30" s="653">
        <f>IFERROR(
SUM(EN30,
SUMIF(防護具!$Y$30:$Y$212,EO$17&amp;"N95マスク",防護具!$Q$30:$Q$212),
SUMIF(防護具!$Y$30:$Y$212,EO$17&amp;"ハイラックマスク",防護具!$Q$30:$Q$212))-EN29,0)</f>
        <v>0</v>
      </c>
      <c r="EP30" s="653">
        <f>IFERROR(
SUM(EO30,
SUMIF(防護具!$Y$30:$Y$212,EP$17&amp;"N95マスク",防護具!$Q$30:$Q$212),
SUMIF(防護具!$Y$30:$Y$212,EP$17&amp;"ハイラックマスク",防護具!$Q$30:$Q$212))-EO29,0)</f>
        <v>0</v>
      </c>
      <c r="EQ30" s="653">
        <f>IFERROR(
SUM(EP30,
SUMIF(防護具!$Y$30:$Y$212,EQ$17&amp;"N95マスク",防護具!$Q$30:$Q$212),
SUMIF(防護具!$Y$30:$Y$212,EQ$17&amp;"ハイラックマスク",防護具!$Q$30:$Q$212))-EP29,0)</f>
        <v>0</v>
      </c>
      <c r="ER30" s="653">
        <f>IFERROR(
SUM(EQ30,
SUMIF(防護具!$Y$30:$Y$212,ER$17&amp;"N95マスク",防護具!$Q$30:$Q$212),
SUMIF(防護具!$Y$30:$Y$212,ER$17&amp;"ハイラックマスク",防護具!$Q$30:$Q$212))-EQ29,0)</f>
        <v>0</v>
      </c>
      <c r="ES30" s="653">
        <f>IFERROR(
SUM(ER30,
SUMIF(防護具!$Y$30:$Y$212,ES$17&amp;"N95マスク",防護具!$Q$30:$Q$212),
SUMIF(防護具!$Y$30:$Y$212,ES$17&amp;"ハイラックマスク",防護具!$Q$30:$Q$212))-ER29,0)</f>
        <v>0</v>
      </c>
      <c r="ET30" s="653">
        <f>IFERROR(
SUM(ES30,
SUMIF(防護具!$Y$30:$Y$212,ET$17&amp;"N95マスク",防護具!$Q$30:$Q$212),
SUMIF(防護具!$Y$30:$Y$212,ET$17&amp;"ハイラックマスク",防護具!$Q$30:$Q$212))-ES29,0)</f>
        <v>0</v>
      </c>
      <c r="EU30" s="653">
        <f>IFERROR(
SUM(ET30,
SUMIF(防護具!$Y$30:$Y$212,EU$17&amp;"N95マスク",防護具!$Q$30:$Q$212),
SUMIF(防護具!$Y$30:$Y$212,EU$17&amp;"ハイラックマスク",防護具!$Q$30:$Q$212))-ET29,0)</f>
        <v>0</v>
      </c>
      <c r="EV30" s="653">
        <f>IFERROR(
SUM(EU30,
SUMIF(防護具!$Y$30:$Y$212,EV$17&amp;"N95マスク",防護具!$Q$30:$Q$212),
SUMIF(防護具!$Y$30:$Y$212,EV$17&amp;"ハイラックマスク",防護具!$Q$30:$Q$212))-EU29,0)</f>
        <v>0</v>
      </c>
      <c r="EW30" s="653">
        <f>IFERROR(
SUM(EV30,
SUMIF(防護具!$Y$30:$Y$212,EW$17&amp;"N95マスク",防護具!$Q$30:$Q$212),
SUMIF(防護具!$Y$30:$Y$212,EW$17&amp;"ハイラックマスク",防護具!$Q$30:$Q$212))-EV29,0)</f>
        <v>0</v>
      </c>
      <c r="EX30" s="653">
        <f>IFERROR(
SUM(EW30,
SUMIF(防護具!$Y$30:$Y$212,EX$17&amp;"N95マスク",防護具!$Q$30:$Q$212),
SUMIF(防護具!$Y$30:$Y$212,EX$17&amp;"ハイラックマスク",防護具!$Q$30:$Q$212))-EW29,0)</f>
        <v>0</v>
      </c>
      <c r="EY30" s="653">
        <f>IFERROR(
SUM(EX30,
SUMIF(防護具!$Y$30:$Y$212,EY$17&amp;"N95マスク",防護具!$Q$30:$Q$212),
SUMIF(防護具!$Y$30:$Y$212,EY$17&amp;"ハイラックマスク",防護具!$Q$30:$Q$212))-EX29,0)</f>
        <v>0</v>
      </c>
      <c r="EZ30" s="653">
        <f>IFERROR(
SUM(EY30,
SUMIF(防護具!$Y$30:$Y$212,EZ$17&amp;"N95マスク",防護具!$Q$30:$Q$212),
SUMIF(防護具!$Y$30:$Y$212,EZ$17&amp;"ハイラックマスク",防護具!$Q$30:$Q$212))-EY29,0)</f>
        <v>0</v>
      </c>
      <c r="FA30" s="653">
        <f>IFERROR(
SUM(EZ30,
SUMIF(防護具!$Y$30:$Y$212,FA$17&amp;"N95マスク",防護具!$Q$30:$Q$212),
SUMIF(防護具!$Y$30:$Y$212,FA$17&amp;"ハイラックマスク",防護具!$Q$30:$Q$212))-EZ29,0)</f>
        <v>0</v>
      </c>
      <c r="FB30" s="653">
        <f>IFERROR(
SUM(FA30,
SUMIF(防護具!$Y$30:$Y$212,FB$17&amp;"N95マスク",防護具!$Q$30:$Q$212),
SUMIF(防護具!$Y$30:$Y$212,FB$17&amp;"ハイラックマスク",防護具!$Q$30:$Q$212))-FA29,0)</f>
        <v>0</v>
      </c>
      <c r="FC30" s="653">
        <f>IFERROR(
SUM(FB30,
SUMIF(防護具!$Y$30:$Y$212,FC$17&amp;"N95マスク",防護具!$Q$30:$Q$212),
SUMIF(防護具!$Y$30:$Y$212,FC$17&amp;"ハイラックマスク",防護具!$Q$30:$Q$212))-FB29,0)</f>
        <v>0</v>
      </c>
      <c r="FD30" s="653">
        <f>IFERROR(
SUM(FC30,
SUMIF(防護具!$Y$30:$Y$212,FD$17&amp;"N95マスク",防護具!$Q$30:$Q$212),
SUMIF(防護具!$Y$30:$Y$212,FD$17&amp;"ハイラックマスク",防護具!$Q$30:$Q$212))-FC29,0)</f>
        <v>0</v>
      </c>
      <c r="FE30" s="653">
        <f>IFERROR(
SUM(FD30,
SUMIF(防護具!$Y$30:$Y$212,FE$17&amp;"N95マスク",防護具!$Q$30:$Q$212),
SUMIF(防護具!$Y$30:$Y$212,FE$17&amp;"ハイラックマスク",防護具!$Q$30:$Q$212))-FD29,0)</f>
        <v>0</v>
      </c>
      <c r="FF30" s="653">
        <f>IFERROR(
SUM(FE30,
SUMIF(防護具!$Y$30:$Y$212,FF$17&amp;"N95マスク",防護具!$Q$30:$Q$212),
SUMIF(防護具!$Y$30:$Y$212,FF$17&amp;"ハイラックマスク",防護具!$Q$30:$Q$212))-FE29,0)</f>
        <v>0</v>
      </c>
      <c r="FG30" s="653">
        <f>IFERROR(
SUM(FF30,
SUMIF(防護具!$Y$30:$Y$212,FG$17&amp;"N95マスク",防護具!$Q$30:$Q$212),
SUMIF(防護具!$Y$30:$Y$212,FG$17&amp;"ハイラックマスク",防護具!$Q$30:$Q$212))-FF29,0)</f>
        <v>0</v>
      </c>
      <c r="FH30" s="653">
        <f>IFERROR(
SUM(FG30,
SUMIF(防護具!$Y$30:$Y$212,FH$17&amp;"N95マスク",防護具!$Q$30:$Q$212),
SUMIF(防護具!$Y$30:$Y$212,FH$17&amp;"ハイラックマスク",防護具!$Q$30:$Q$212))-FG29,0)</f>
        <v>0</v>
      </c>
      <c r="FI30" s="653">
        <f>IFERROR(
SUM(FH30,
SUMIF(防護具!$Y$30:$Y$212,FI$17&amp;"N95マスク",防護具!$Q$30:$Q$212),
SUMIF(防護具!$Y$30:$Y$212,FI$17&amp;"ハイラックマスク",防護具!$Q$30:$Q$212))-FH29,0)</f>
        <v>0</v>
      </c>
      <c r="FJ30" s="653">
        <f>IFERROR(
SUM(FI30,
SUMIF(防護具!$Y$30:$Y$212,FJ$17&amp;"N95マスク",防護具!$Q$30:$Q$212),
SUMIF(防護具!$Y$30:$Y$212,FJ$17&amp;"ハイラックマスク",防護具!$Q$30:$Q$212))-FI29,0)</f>
        <v>0</v>
      </c>
      <c r="FK30" s="653">
        <f>IFERROR(
SUM(FJ30,
SUMIF(防護具!$Y$30:$Y$212,FK$17&amp;"N95マスク",防護具!$Q$30:$Q$212),
SUMIF(防護具!$Y$30:$Y$212,FK$17&amp;"ハイラックマスク",防護具!$Q$30:$Q$212))-FJ29,0)</f>
        <v>0</v>
      </c>
      <c r="FL30" s="653">
        <f>IFERROR(
SUM(FK30,
SUMIF(防護具!$Y$30:$Y$212,FL$17&amp;"N95マスク",防護具!$Q$30:$Q$212),
SUMIF(防護具!$Y$30:$Y$212,FL$17&amp;"ハイラックマスク",防護具!$Q$30:$Q$212))-FK29,0)</f>
        <v>0</v>
      </c>
      <c r="FM30" s="653">
        <f>IFERROR(
SUM(FL30,
SUMIF(防護具!$Y$30:$Y$212,FM$17&amp;"N95マスク",防護具!$Q$30:$Q$212),
SUMIF(防護具!$Y$30:$Y$212,FM$17&amp;"ハイラックマスク",防護具!$Q$30:$Q$212))-FL29,0)</f>
        <v>0</v>
      </c>
      <c r="FN30" s="653">
        <f>IFERROR(
SUM(FM30,
SUMIF(防護具!$Y$30:$Y$212,FN$17&amp;"N95マスク",防護具!$Q$30:$Q$212),
SUMIF(防護具!$Y$30:$Y$212,FN$17&amp;"ハイラックマスク",防護具!$Q$30:$Q$212))-FM29,0)</f>
        <v>0</v>
      </c>
      <c r="FO30" s="653">
        <f>IFERROR(
SUM(FN30,
SUMIF(防護具!$Y$30:$Y$212,FO$17&amp;"N95マスク",防護具!$Q$30:$Q$212),
SUMIF(防護具!$Y$30:$Y$212,FO$17&amp;"ハイラックマスク",防護具!$Q$30:$Q$212))-FN29,0)</f>
        <v>0</v>
      </c>
      <c r="FP30" s="653">
        <f>IFERROR(
SUM(FO30,
SUMIF(防護具!$Y$30:$Y$212,FP$17&amp;"N95マスク",防護具!$Q$30:$Q$212),
SUMIF(防護具!$Y$30:$Y$212,FP$17&amp;"ハイラックマスク",防護具!$Q$30:$Q$212))-FO29,0)</f>
        <v>0</v>
      </c>
      <c r="FQ30" s="653">
        <f>IFERROR(
SUM(FP30,
SUMIF(防護具!$Y$30:$Y$212,FQ$17&amp;"N95マスク",防護具!$Q$30:$Q$212),
SUMIF(防護具!$Y$30:$Y$212,FQ$17&amp;"ハイラックマスク",防護具!$Q$30:$Q$212))-FP29,0)</f>
        <v>0</v>
      </c>
      <c r="FR30" s="653">
        <f>IFERROR(
SUM(FQ30,
SUMIF(防護具!$Y$30:$Y$212,FR$17&amp;"N95マスク",防護具!$Q$30:$Q$212),
SUMIF(防護具!$Y$30:$Y$212,FR$17&amp;"ハイラックマスク",防護具!$Q$30:$Q$212))-FQ29,0)</f>
        <v>0</v>
      </c>
      <c r="FS30" s="653">
        <f>IFERROR(
SUM(FR30,
SUMIF(防護具!$Y$30:$Y$212,FS$17&amp;"N95マスク",防護具!$Q$30:$Q$212),
SUMIF(防護具!$Y$30:$Y$212,FS$17&amp;"ハイラックマスク",防護具!$Q$30:$Q$212))-FR29,0)</f>
        <v>0</v>
      </c>
      <c r="FT30" s="653">
        <f>IFERROR(
SUM(FS30,
SUMIF(防護具!$Y$30:$Y$212,FT$17&amp;"N95マスク",防護具!$Q$30:$Q$212),
SUMIF(防護具!$Y$30:$Y$212,FT$17&amp;"ハイラックマスク",防護具!$Q$30:$Q$212))-FS29,0)</f>
        <v>0</v>
      </c>
      <c r="FU30" s="653">
        <f>IFERROR(
SUM(FT30,
SUMIF(防護具!$Y$30:$Y$212,FU$17&amp;"N95マスク",防護具!$Q$30:$Q$212),
SUMIF(防護具!$Y$30:$Y$212,FU$17&amp;"ハイラックマスク",防護具!$Q$30:$Q$212))-FT29,0)</f>
        <v>0</v>
      </c>
      <c r="FV30" s="653">
        <f>IFERROR(
SUM(FU30,
SUMIF(防護具!$Y$30:$Y$212,FV$17&amp;"N95マスク",防護具!$Q$30:$Q$212),
SUMIF(防護具!$Y$30:$Y$212,FV$17&amp;"ハイラックマスク",防護具!$Q$30:$Q$212))-FU29,0)</f>
        <v>0</v>
      </c>
      <c r="FW30" s="653">
        <f>IFERROR(
SUM(FV30,
SUMIF(防護具!$Y$30:$Y$212,FW$17&amp;"N95マスク",防護具!$Q$30:$Q$212),
SUMIF(防護具!$Y$30:$Y$212,FW$17&amp;"ハイラックマスク",防護具!$Q$30:$Q$212))-FV29,0)</f>
        <v>0</v>
      </c>
      <c r="FX30" s="653">
        <f>IFERROR(
SUM(FW30,
SUMIF(防護具!$Y$30:$Y$212,FX$17&amp;"N95マスク",防護具!$Q$30:$Q$212),
SUMIF(防護具!$Y$30:$Y$212,FX$17&amp;"ハイラックマスク",防護具!$Q$30:$Q$212))-FW29,0)</f>
        <v>0</v>
      </c>
      <c r="FY30" s="653">
        <f>IFERROR(
SUM(FX30,
SUMIF(防護具!$Y$30:$Y$212,FY$17&amp;"N95マスク",防護具!$Q$30:$Q$212),
SUMIF(防護具!$Y$30:$Y$212,FY$17&amp;"ハイラックマスク",防護具!$Q$30:$Q$212))-FX29,0)</f>
        <v>0</v>
      </c>
      <c r="FZ30" s="653">
        <f>IFERROR(
SUM(FY30,
SUMIF(防護具!$Y$30:$Y$212,FZ$17&amp;"N95マスク",防護具!$Q$30:$Q$212),
SUMIF(防護具!$Y$30:$Y$212,FZ$17&amp;"ハイラックマスク",防護具!$Q$30:$Q$212))-FY29,0)</f>
        <v>0</v>
      </c>
      <c r="GA30" s="653">
        <f>IFERROR(
SUM(FZ30,
SUMIF(防護具!$Y$30:$Y$212,GA$17&amp;"N95マスク",防護具!$Q$30:$Q$212),
SUMIF(防護具!$Y$30:$Y$212,GA$17&amp;"ハイラックマスク",防護具!$Q$30:$Q$212))-FZ29,0)</f>
        <v>0</v>
      </c>
      <c r="GB30" s="653">
        <f>IFERROR(
SUM(GA30,
SUMIF(防護具!$Y$30:$Y$212,GB$17&amp;"N95マスク",防護具!$Q$30:$Q$212),
SUMIF(防護具!$Y$30:$Y$212,GB$17&amp;"ハイラックマスク",防護具!$Q$30:$Q$212))-GA29,0)</f>
        <v>0</v>
      </c>
      <c r="GC30" s="653">
        <f>IFERROR(
SUM(GB30,
SUMIF(防護具!$Y$30:$Y$212,GC$17&amp;"N95マスク",防護具!$Q$30:$Q$212),
SUMIF(防護具!$Y$30:$Y$212,GC$17&amp;"ハイラックマスク",防護具!$Q$30:$Q$212))-GB29,0)</f>
        <v>0</v>
      </c>
      <c r="GD30" s="653">
        <f>IFERROR(
SUM(GC30,
SUMIF(防護具!$Y$30:$Y$212,GD$17&amp;"N95マスク",防護具!$Q$30:$Q$212),
SUMIF(防護具!$Y$30:$Y$212,GD$17&amp;"ハイラックマスク",防護具!$Q$30:$Q$212))-GC29,0)</f>
        <v>0</v>
      </c>
      <c r="GE30" s="653">
        <f>IFERROR(
SUM(GD30,
SUMIF(防護具!$Y$30:$Y$212,GE$17&amp;"N95マスク",防護具!$Q$30:$Q$212),
SUMIF(防護具!$Y$30:$Y$212,GE$17&amp;"ハイラックマスク",防護具!$Q$30:$Q$212))-GD29,0)</f>
        <v>0</v>
      </c>
      <c r="GF30" s="653">
        <f>IFERROR(
SUM(GE30,
SUMIF(防護具!$Y$30:$Y$212,GF$17&amp;"N95マスク",防護具!$Q$30:$Q$212),
SUMIF(防護具!$Y$30:$Y$212,GF$17&amp;"ハイラックマスク",防護具!$Q$30:$Q$212))-GE29,0)</f>
        <v>0</v>
      </c>
      <c r="GG30" s="653">
        <f>IFERROR(
SUM(GF30,
SUMIF(防護具!$Y$30:$Y$212,GG$17&amp;"N95マスク",防護具!$Q$30:$Q$212),
SUMIF(防護具!$Y$30:$Y$212,GG$17&amp;"ハイラックマスク",防護具!$Q$30:$Q$212))-GF29,0)</f>
        <v>0</v>
      </c>
      <c r="GH30" s="653">
        <f>IFERROR(
SUM(GG30,
SUMIF(防護具!$Y$30:$Y$212,GH$17&amp;"N95マスク",防護具!$Q$30:$Q$212),
SUMIF(防護具!$Y$30:$Y$212,GH$17&amp;"ハイラックマスク",防護具!$Q$30:$Q$212))-GG29,0)</f>
        <v>0</v>
      </c>
      <c r="GI30" s="653">
        <f>IFERROR(
SUM(GH30,
SUMIF(防護具!$Y$30:$Y$212,GI$17&amp;"N95マスク",防護具!$Q$30:$Q$212),
SUMIF(防護具!$Y$30:$Y$212,GI$17&amp;"ハイラックマスク",防護具!$Q$30:$Q$212))-GH29,0)</f>
        <v>0</v>
      </c>
      <c r="GJ30" s="653">
        <f>IFERROR(
SUM(GI30,
SUMIF(防護具!$Y$30:$Y$212,GJ$17&amp;"N95マスク",防護具!$Q$30:$Q$212),
SUMIF(防護具!$Y$30:$Y$212,GJ$17&amp;"ハイラックマスク",防護具!$Q$30:$Q$212))-GI29,0)</f>
        <v>0</v>
      </c>
    </row>
    <row r="31" spans="2:192" s="655" customFormat="1">
      <c r="B31" s="656"/>
      <c r="C31" s="641"/>
      <c r="D31" s="770" t="s">
        <v>1468</v>
      </c>
      <c r="E31" s="775"/>
      <c r="F31" s="706"/>
      <c r="G31" s="642">
        <f>SUM(
SUMIF(防護具!$Y$13:$Y$29,G$17&amp;"N95マスク",防護具!$Q$13:$Q$29),
SUMIF(防護具!$Y$13:$Y$29,G$17&amp;"ハイラックマスク",防護具!$Q$13:$Q$29))</f>
        <v>7000</v>
      </c>
      <c r="H31" s="642">
        <f xml:space="preserve">
IF(G31-VLOOKUP($C29,$C$3:$D$15,2,FALSE)*H$22&lt;0,0,G31-VLOOKUP($C29,$C$3:$D$15,2,FALSE)*H$22)</f>
        <v>7000</v>
      </c>
      <c r="I31" s="642">
        <f t="shared" ref="I31:BT31" si="722" xml:space="preserve">
IF(H31-VLOOKUP($C29,$C$3:$D$15,2,FALSE)*I$22&lt;0,0,H31-VLOOKUP($C29,$C$3:$D$15,2,FALSE)*I$22)</f>
        <v>7000</v>
      </c>
      <c r="J31" s="642">
        <f t="shared" si="722"/>
        <v>7000</v>
      </c>
      <c r="K31" s="642">
        <f t="shared" si="722"/>
        <v>7000</v>
      </c>
      <c r="L31" s="642">
        <f t="shared" si="722"/>
        <v>7000</v>
      </c>
      <c r="M31" s="642">
        <f t="shared" si="722"/>
        <v>7000</v>
      </c>
      <c r="N31" s="642">
        <f t="shared" si="722"/>
        <v>7000</v>
      </c>
      <c r="O31" s="642">
        <f t="shared" si="722"/>
        <v>7000</v>
      </c>
      <c r="P31" s="642">
        <f t="shared" si="722"/>
        <v>7000</v>
      </c>
      <c r="Q31" s="642">
        <f t="shared" si="722"/>
        <v>7000</v>
      </c>
      <c r="R31" s="642">
        <f t="shared" si="722"/>
        <v>7000</v>
      </c>
      <c r="S31" s="642">
        <f t="shared" si="722"/>
        <v>7000</v>
      </c>
      <c r="T31" s="642">
        <f t="shared" si="722"/>
        <v>7000</v>
      </c>
      <c r="U31" s="642">
        <f t="shared" si="722"/>
        <v>7000</v>
      </c>
      <c r="V31" s="642">
        <f t="shared" si="722"/>
        <v>7000</v>
      </c>
      <c r="W31" s="642">
        <f t="shared" si="722"/>
        <v>7000</v>
      </c>
      <c r="X31" s="642">
        <f t="shared" si="722"/>
        <v>7000</v>
      </c>
      <c r="Y31" s="642">
        <f t="shared" si="722"/>
        <v>7000</v>
      </c>
      <c r="Z31" s="642">
        <f t="shared" si="722"/>
        <v>7000</v>
      </c>
      <c r="AA31" s="642">
        <f t="shared" si="722"/>
        <v>7000</v>
      </c>
      <c r="AB31" s="642">
        <f t="shared" si="722"/>
        <v>7000</v>
      </c>
      <c r="AC31" s="642">
        <f t="shared" si="722"/>
        <v>7000</v>
      </c>
      <c r="AD31" s="642">
        <f t="shared" si="722"/>
        <v>7000</v>
      </c>
      <c r="AE31" s="642">
        <f t="shared" si="722"/>
        <v>7000</v>
      </c>
      <c r="AF31" s="642">
        <f t="shared" si="722"/>
        <v>7000</v>
      </c>
      <c r="AG31" s="642">
        <f t="shared" si="722"/>
        <v>7000</v>
      </c>
      <c r="AH31" s="642">
        <f t="shared" si="722"/>
        <v>7000</v>
      </c>
      <c r="AI31" s="642">
        <f t="shared" si="722"/>
        <v>7000</v>
      </c>
      <c r="AJ31" s="642">
        <f t="shared" si="722"/>
        <v>7000</v>
      </c>
      <c r="AK31" s="642">
        <f t="shared" si="722"/>
        <v>7000</v>
      </c>
      <c r="AL31" s="642">
        <f t="shared" si="722"/>
        <v>7000</v>
      </c>
      <c r="AM31" s="642">
        <f t="shared" si="722"/>
        <v>7000</v>
      </c>
      <c r="AN31" s="642">
        <f t="shared" si="722"/>
        <v>7000</v>
      </c>
      <c r="AO31" s="642">
        <f t="shared" si="722"/>
        <v>7000</v>
      </c>
      <c r="AP31" s="642">
        <f t="shared" si="722"/>
        <v>7000</v>
      </c>
      <c r="AQ31" s="642">
        <f t="shared" si="722"/>
        <v>7000</v>
      </c>
      <c r="AR31" s="642">
        <f t="shared" si="722"/>
        <v>7000</v>
      </c>
      <c r="AS31" s="642">
        <f t="shared" si="722"/>
        <v>7000</v>
      </c>
      <c r="AT31" s="642">
        <f t="shared" si="722"/>
        <v>7000</v>
      </c>
      <c r="AU31" s="642">
        <f t="shared" si="722"/>
        <v>7000</v>
      </c>
      <c r="AV31" s="642">
        <f t="shared" si="722"/>
        <v>7000</v>
      </c>
      <c r="AW31" s="642">
        <f t="shared" si="722"/>
        <v>7000</v>
      </c>
      <c r="AX31" s="642">
        <f t="shared" si="722"/>
        <v>7000</v>
      </c>
      <c r="AY31" s="642">
        <f t="shared" si="722"/>
        <v>7000</v>
      </c>
      <c r="AZ31" s="642">
        <f t="shared" si="722"/>
        <v>7000</v>
      </c>
      <c r="BA31" s="642">
        <f t="shared" si="722"/>
        <v>7000</v>
      </c>
      <c r="BB31" s="642">
        <f t="shared" si="722"/>
        <v>7000</v>
      </c>
      <c r="BC31" s="642">
        <f t="shared" si="722"/>
        <v>7000</v>
      </c>
      <c r="BD31" s="642">
        <f t="shared" si="722"/>
        <v>7000</v>
      </c>
      <c r="BE31" s="642">
        <f t="shared" si="722"/>
        <v>7000</v>
      </c>
      <c r="BF31" s="642">
        <f t="shared" si="722"/>
        <v>7000</v>
      </c>
      <c r="BG31" s="642">
        <f t="shared" si="722"/>
        <v>7000</v>
      </c>
      <c r="BH31" s="642">
        <f t="shared" si="722"/>
        <v>7000</v>
      </c>
      <c r="BI31" s="642">
        <f t="shared" si="722"/>
        <v>7000</v>
      </c>
      <c r="BJ31" s="642">
        <f t="shared" si="722"/>
        <v>7000</v>
      </c>
      <c r="BK31" s="642">
        <f t="shared" si="722"/>
        <v>7000</v>
      </c>
      <c r="BL31" s="642">
        <f t="shared" si="722"/>
        <v>7000</v>
      </c>
      <c r="BM31" s="642">
        <f t="shared" si="722"/>
        <v>7000</v>
      </c>
      <c r="BN31" s="642">
        <f t="shared" si="722"/>
        <v>7000</v>
      </c>
      <c r="BO31" s="642">
        <f t="shared" si="722"/>
        <v>7000</v>
      </c>
      <c r="BP31" s="642">
        <f t="shared" si="722"/>
        <v>7000</v>
      </c>
      <c r="BQ31" s="642">
        <f t="shared" si="722"/>
        <v>7000</v>
      </c>
      <c r="BR31" s="642">
        <f t="shared" si="722"/>
        <v>7000</v>
      </c>
      <c r="BS31" s="642">
        <f t="shared" si="722"/>
        <v>7000</v>
      </c>
      <c r="BT31" s="642">
        <f t="shared" si="722"/>
        <v>7000</v>
      </c>
      <c r="BU31" s="642">
        <f t="shared" ref="BU31:EF31" si="723" xml:space="preserve">
IF(BT31-VLOOKUP($C29,$C$3:$D$15,2,FALSE)*BU$22&lt;0,0,BT31-VLOOKUP($C29,$C$3:$D$15,2,FALSE)*BU$22)</f>
        <v>7000</v>
      </c>
      <c r="BV31" s="642">
        <f t="shared" si="723"/>
        <v>7000</v>
      </c>
      <c r="BW31" s="642">
        <f t="shared" si="723"/>
        <v>7000</v>
      </c>
      <c r="BX31" s="642">
        <f t="shared" si="723"/>
        <v>7000</v>
      </c>
      <c r="BY31" s="642">
        <f t="shared" si="723"/>
        <v>7000</v>
      </c>
      <c r="BZ31" s="642">
        <f t="shared" si="723"/>
        <v>7000</v>
      </c>
      <c r="CA31" s="642">
        <f t="shared" si="723"/>
        <v>7000</v>
      </c>
      <c r="CB31" s="642">
        <f t="shared" si="723"/>
        <v>7000</v>
      </c>
      <c r="CC31" s="642">
        <f t="shared" si="723"/>
        <v>7000</v>
      </c>
      <c r="CD31" s="642">
        <f t="shared" si="723"/>
        <v>7000</v>
      </c>
      <c r="CE31" s="642">
        <f t="shared" si="723"/>
        <v>7000</v>
      </c>
      <c r="CF31" s="642">
        <f t="shared" si="723"/>
        <v>7000</v>
      </c>
      <c r="CG31" s="642">
        <f t="shared" si="723"/>
        <v>7000</v>
      </c>
      <c r="CH31" s="642">
        <f t="shared" si="723"/>
        <v>7000</v>
      </c>
      <c r="CI31" s="642">
        <f t="shared" si="723"/>
        <v>7000</v>
      </c>
      <c r="CJ31" s="642">
        <f t="shared" si="723"/>
        <v>7000</v>
      </c>
      <c r="CK31" s="642">
        <f t="shared" si="723"/>
        <v>7000</v>
      </c>
      <c r="CL31" s="642">
        <f t="shared" si="723"/>
        <v>7000</v>
      </c>
      <c r="CM31" s="642">
        <f t="shared" si="723"/>
        <v>7000</v>
      </c>
      <c r="CN31" s="642">
        <f t="shared" si="723"/>
        <v>7000</v>
      </c>
      <c r="CO31" s="642">
        <f t="shared" si="723"/>
        <v>7000</v>
      </c>
      <c r="CP31" s="642">
        <f t="shared" si="723"/>
        <v>7000</v>
      </c>
      <c r="CQ31" s="642">
        <f t="shared" si="723"/>
        <v>7000</v>
      </c>
      <c r="CR31" s="642">
        <f t="shared" si="723"/>
        <v>7000</v>
      </c>
      <c r="CS31" s="642">
        <f t="shared" si="723"/>
        <v>7000</v>
      </c>
      <c r="CT31" s="642">
        <f t="shared" si="723"/>
        <v>7000</v>
      </c>
      <c r="CU31" s="642">
        <f t="shared" si="723"/>
        <v>7000</v>
      </c>
      <c r="CV31" s="642">
        <f t="shared" si="723"/>
        <v>7000</v>
      </c>
      <c r="CW31" s="642">
        <f t="shared" si="723"/>
        <v>7000</v>
      </c>
      <c r="CX31" s="642">
        <f t="shared" si="723"/>
        <v>7000</v>
      </c>
      <c r="CY31" s="642">
        <f t="shared" si="723"/>
        <v>7000</v>
      </c>
      <c r="CZ31" s="642">
        <f t="shared" si="723"/>
        <v>7000</v>
      </c>
      <c r="DA31" s="642">
        <f t="shared" si="723"/>
        <v>7000</v>
      </c>
      <c r="DB31" s="642">
        <f t="shared" si="723"/>
        <v>7000</v>
      </c>
      <c r="DC31" s="642">
        <f t="shared" si="723"/>
        <v>7000</v>
      </c>
      <c r="DD31" s="642">
        <f t="shared" si="723"/>
        <v>7000</v>
      </c>
      <c r="DE31" s="642">
        <f t="shared" si="723"/>
        <v>7000</v>
      </c>
      <c r="DF31" s="642">
        <f t="shared" si="723"/>
        <v>7000</v>
      </c>
      <c r="DG31" s="642">
        <f t="shared" si="723"/>
        <v>7000</v>
      </c>
      <c r="DH31" s="642">
        <f t="shared" si="723"/>
        <v>7000</v>
      </c>
      <c r="DI31" s="642">
        <f t="shared" si="723"/>
        <v>7000</v>
      </c>
      <c r="DJ31" s="642">
        <f t="shared" si="723"/>
        <v>7000</v>
      </c>
      <c r="DK31" s="642">
        <f t="shared" si="723"/>
        <v>7000</v>
      </c>
      <c r="DL31" s="642">
        <f t="shared" si="723"/>
        <v>7000</v>
      </c>
      <c r="DM31" s="642">
        <f t="shared" si="723"/>
        <v>7000</v>
      </c>
      <c r="DN31" s="642">
        <f t="shared" si="723"/>
        <v>7000</v>
      </c>
      <c r="DO31" s="642">
        <f t="shared" si="723"/>
        <v>7000</v>
      </c>
      <c r="DP31" s="642">
        <f t="shared" si="723"/>
        <v>7000</v>
      </c>
      <c r="DQ31" s="642">
        <f t="shared" si="723"/>
        <v>7000</v>
      </c>
      <c r="DR31" s="642">
        <f t="shared" si="723"/>
        <v>7000</v>
      </c>
      <c r="DS31" s="642">
        <f t="shared" si="723"/>
        <v>7000</v>
      </c>
      <c r="DT31" s="642">
        <f t="shared" si="723"/>
        <v>7000</v>
      </c>
      <c r="DU31" s="642">
        <f t="shared" si="723"/>
        <v>7000</v>
      </c>
      <c r="DV31" s="642">
        <f t="shared" si="723"/>
        <v>7000</v>
      </c>
      <c r="DW31" s="642">
        <f t="shared" si="723"/>
        <v>7000</v>
      </c>
      <c r="DX31" s="642">
        <f t="shared" si="723"/>
        <v>7000</v>
      </c>
      <c r="DY31" s="642">
        <f t="shared" si="723"/>
        <v>7000</v>
      </c>
      <c r="DZ31" s="642">
        <f t="shared" si="723"/>
        <v>7000</v>
      </c>
      <c r="EA31" s="642">
        <f t="shared" si="723"/>
        <v>7000</v>
      </c>
      <c r="EB31" s="642">
        <f t="shared" si="723"/>
        <v>7000</v>
      </c>
      <c r="EC31" s="642">
        <f t="shared" si="723"/>
        <v>7000</v>
      </c>
      <c r="ED31" s="642">
        <f t="shared" si="723"/>
        <v>7000</v>
      </c>
      <c r="EE31" s="642">
        <f t="shared" si="723"/>
        <v>7000</v>
      </c>
      <c r="EF31" s="642">
        <f t="shared" si="723"/>
        <v>7000</v>
      </c>
      <c r="EG31" s="642">
        <f t="shared" ref="EG31:GJ31" si="724" xml:space="preserve">
IF(EF31-VLOOKUP($C29,$C$3:$D$15,2,FALSE)*EG$22&lt;0,0,EF31-VLOOKUP($C29,$C$3:$D$15,2,FALSE)*EG$22)</f>
        <v>7000</v>
      </c>
      <c r="EH31" s="642">
        <f t="shared" si="724"/>
        <v>7000</v>
      </c>
      <c r="EI31" s="642">
        <f t="shared" si="724"/>
        <v>7000</v>
      </c>
      <c r="EJ31" s="642">
        <f t="shared" si="724"/>
        <v>7000</v>
      </c>
      <c r="EK31" s="642">
        <f t="shared" si="724"/>
        <v>7000</v>
      </c>
      <c r="EL31" s="642">
        <f t="shared" si="724"/>
        <v>7000</v>
      </c>
      <c r="EM31" s="642">
        <f t="shared" si="724"/>
        <v>7000</v>
      </c>
      <c r="EN31" s="642">
        <f t="shared" si="724"/>
        <v>7000</v>
      </c>
      <c r="EO31" s="642">
        <f t="shared" si="724"/>
        <v>7000</v>
      </c>
      <c r="EP31" s="642">
        <f t="shared" si="724"/>
        <v>7000</v>
      </c>
      <c r="EQ31" s="642">
        <f t="shared" si="724"/>
        <v>7000</v>
      </c>
      <c r="ER31" s="642">
        <f t="shared" si="724"/>
        <v>7000</v>
      </c>
      <c r="ES31" s="642">
        <f t="shared" si="724"/>
        <v>7000</v>
      </c>
      <c r="ET31" s="642">
        <f t="shared" si="724"/>
        <v>7000</v>
      </c>
      <c r="EU31" s="642">
        <f t="shared" si="724"/>
        <v>7000</v>
      </c>
      <c r="EV31" s="642">
        <f t="shared" si="724"/>
        <v>7000</v>
      </c>
      <c r="EW31" s="642">
        <f t="shared" si="724"/>
        <v>7000</v>
      </c>
      <c r="EX31" s="642">
        <f t="shared" si="724"/>
        <v>7000</v>
      </c>
      <c r="EY31" s="642">
        <f t="shared" si="724"/>
        <v>7000</v>
      </c>
      <c r="EZ31" s="642">
        <f t="shared" si="724"/>
        <v>7000</v>
      </c>
      <c r="FA31" s="642">
        <f t="shared" si="724"/>
        <v>7000</v>
      </c>
      <c r="FB31" s="642">
        <f t="shared" si="724"/>
        <v>7000</v>
      </c>
      <c r="FC31" s="642">
        <f t="shared" si="724"/>
        <v>7000</v>
      </c>
      <c r="FD31" s="642">
        <f t="shared" si="724"/>
        <v>7000</v>
      </c>
      <c r="FE31" s="642">
        <f t="shared" si="724"/>
        <v>7000</v>
      </c>
      <c r="FF31" s="642">
        <f t="shared" si="724"/>
        <v>7000</v>
      </c>
      <c r="FG31" s="642">
        <f t="shared" si="724"/>
        <v>7000</v>
      </c>
      <c r="FH31" s="642">
        <f t="shared" si="724"/>
        <v>7000</v>
      </c>
      <c r="FI31" s="642">
        <f t="shared" si="724"/>
        <v>7000</v>
      </c>
      <c r="FJ31" s="642">
        <f t="shared" si="724"/>
        <v>7000</v>
      </c>
      <c r="FK31" s="642">
        <f t="shared" si="724"/>
        <v>7000</v>
      </c>
      <c r="FL31" s="642">
        <f t="shared" si="724"/>
        <v>7000</v>
      </c>
      <c r="FM31" s="642">
        <f t="shared" si="724"/>
        <v>7000</v>
      </c>
      <c r="FN31" s="642">
        <f t="shared" si="724"/>
        <v>7000</v>
      </c>
      <c r="FO31" s="642">
        <f t="shared" si="724"/>
        <v>7000</v>
      </c>
      <c r="FP31" s="642">
        <f t="shared" si="724"/>
        <v>7000</v>
      </c>
      <c r="FQ31" s="642">
        <f t="shared" si="724"/>
        <v>7000</v>
      </c>
      <c r="FR31" s="642">
        <f t="shared" si="724"/>
        <v>7000</v>
      </c>
      <c r="FS31" s="642">
        <f t="shared" si="724"/>
        <v>7000</v>
      </c>
      <c r="FT31" s="642">
        <f t="shared" si="724"/>
        <v>7000</v>
      </c>
      <c r="FU31" s="642">
        <f t="shared" si="724"/>
        <v>7000</v>
      </c>
      <c r="FV31" s="642">
        <f t="shared" si="724"/>
        <v>7000</v>
      </c>
      <c r="FW31" s="642">
        <f t="shared" si="724"/>
        <v>7000</v>
      </c>
      <c r="FX31" s="642">
        <f t="shared" si="724"/>
        <v>7000</v>
      </c>
      <c r="FY31" s="642">
        <f t="shared" si="724"/>
        <v>7000</v>
      </c>
      <c r="FZ31" s="642">
        <f t="shared" si="724"/>
        <v>7000</v>
      </c>
      <c r="GA31" s="642">
        <f t="shared" si="724"/>
        <v>7000</v>
      </c>
      <c r="GB31" s="642">
        <f t="shared" si="724"/>
        <v>7000</v>
      </c>
      <c r="GC31" s="642">
        <f t="shared" si="724"/>
        <v>7000</v>
      </c>
      <c r="GD31" s="642">
        <f t="shared" si="724"/>
        <v>7000</v>
      </c>
      <c r="GE31" s="642">
        <f t="shared" si="724"/>
        <v>7000</v>
      </c>
      <c r="GF31" s="642">
        <f t="shared" si="724"/>
        <v>7000</v>
      </c>
      <c r="GG31" s="642">
        <f t="shared" si="724"/>
        <v>7000</v>
      </c>
      <c r="GH31" s="642">
        <f t="shared" si="724"/>
        <v>7000</v>
      </c>
      <c r="GI31" s="642">
        <f t="shared" si="724"/>
        <v>7000</v>
      </c>
      <c r="GJ31" s="642">
        <f t="shared" si="724"/>
        <v>7000</v>
      </c>
    </row>
    <row r="32" spans="2:192" s="645" customFormat="1">
      <c r="B32" s="654"/>
      <c r="C32" s="643" t="s">
        <v>1419</v>
      </c>
      <c r="D32" s="769" t="s">
        <v>1466</v>
      </c>
      <c r="E32" s="774"/>
      <c r="F32" s="707"/>
      <c r="G32" s="644">
        <f xml:space="preserve">
MIN(G33,
IF((VLOOKUP($C32,$C$3:$D$15,2,FALSE)*G$21-G34)&lt;0,0,VLOOKUP($C32,$C$3:$D$15,2,FALSE)*G$21-G34))</f>
        <v>0</v>
      </c>
      <c r="H32" s="644">
        <f t="shared" ref="H32" si="725" xml:space="preserve">
IF(G34&gt;=VLOOKUP($C32,$C$3:$D$15,2,FALSE)*H$21,0,
IF(AND(G34&lt;VLOOKUP($C32,$C$3:$D$15,2,FALSE)*H$21,H33&lt;=VLOOKUP($C32,$C$3:$D$15,2,FALSE)*H$21),IF(H33-G34&lt;0,0,H33-G34),
IF(AND(G34&lt;VLOOKUP($C32,$C$3:$D$15,2,FALSE)*H$21,H33&gt;VLOOKUP($C32,$C$3:$D$15,2,FALSE)*H$21),VLOOKUP($C32,$C$3:$D$15,2,FALSE)*H$21-G34)))</f>
        <v>0</v>
      </c>
      <c r="I32" s="644">
        <f t="shared" ref="I32" si="726" xml:space="preserve">
IF(H34&gt;=VLOOKUP($C32,$C$3:$D$15,2,FALSE)*I$21,0,
IF(AND(H34&lt;VLOOKUP($C32,$C$3:$D$15,2,FALSE)*I$21,I33&lt;=VLOOKUP($C32,$C$3:$D$15,2,FALSE)*I$21),IF(I33-H34&lt;0,0,I33-H34),
IF(AND(H34&lt;VLOOKUP($C32,$C$3:$D$15,2,FALSE)*I$21,I33&gt;VLOOKUP($C32,$C$3:$D$15,2,FALSE)*I$21),VLOOKUP($C32,$C$3:$D$15,2,FALSE)*I$21-H34)))</f>
        <v>0</v>
      </c>
      <c r="J32" s="644">
        <f t="shared" ref="J32" si="727" xml:space="preserve">
IF(I34&gt;=VLOOKUP($C32,$C$3:$D$15,2,FALSE)*J$21,0,
IF(AND(I34&lt;VLOOKUP($C32,$C$3:$D$15,2,FALSE)*J$21,J33&lt;=VLOOKUP($C32,$C$3:$D$15,2,FALSE)*J$21),IF(J33-I34&lt;0,0,J33-I34),
IF(AND(I34&lt;VLOOKUP($C32,$C$3:$D$15,2,FALSE)*J$21,J33&gt;VLOOKUP($C32,$C$3:$D$15,2,FALSE)*J$21),VLOOKUP($C32,$C$3:$D$15,2,FALSE)*J$21-I34)))</f>
        <v>0</v>
      </c>
      <c r="K32" s="644">
        <f t="shared" ref="K32" si="728" xml:space="preserve">
IF(J34&gt;=VLOOKUP($C32,$C$3:$D$15,2,FALSE)*K$21,0,
IF(AND(J34&lt;VLOOKUP($C32,$C$3:$D$15,2,FALSE)*K$21,K33&lt;=VLOOKUP($C32,$C$3:$D$15,2,FALSE)*K$21),IF(K33-J34&lt;0,0,K33-J34),
IF(AND(J34&lt;VLOOKUP($C32,$C$3:$D$15,2,FALSE)*K$21,K33&gt;VLOOKUP($C32,$C$3:$D$15,2,FALSE)*K$21),VLOOKUP($C32,$C$3:$D$15,2,FALSE)*K$21-J34)))</f>
        <v>0</v>
      </c>
      <c r="L32" s="644">
        <f t="shared" ref="L32" si="729" xml:space="preserve">
IF(K34&gt;=VLOOKUP($C32,$C$3:$D$15,2,FALSE)*L$21,0,
IF(AND(K34&lt;VLOOKUP($C32,$C$3:$D$15,2,FALSE)*L$21,L33&lt;=VLOOKUP($C32,$C$3:$D$15,2,FALSE)*L$21),IF(L33-K34&lt;0,0,L33-K34),
IF(AND(K34&lt;VLOOKUP($C32,$C$3:$D$15,2,FALSE)*L$21,L33&gt;VLOOKUP($C32,$C$3:$D$15,2,FALSE)*L$21),VLOOKUP($C32,$C$3:$D$15,2,FALSE)*L$21-K34)))</f>
        <v>0</v>
      </c>
      <c r="M32" s="644">
        <f t="shared" ref="M32" si="730" xml:space="preserve">
IF(L34&gt;=VLOOKUP($C32,$C$3:$D$15,2,FALSE)*M$21,0,
IF(AND(L34&lt;VLOOKUP($C32,$C$3:$D$15,2,FALSE)*M$21,M33&lt;=VLOOKUP($C32,$C$3:$D$15,2,FALSE)*M$21),IF(M33-L34&lt;0,0,M33-L34),
IF(AND(L34&lt;VLOOKUP($C32,$C$3:$D$15,2,FALSE)*M$21,M33&gt;VLOOKUP($C32,$C$3:$D$15,2,FALSE)*M$21),VLOOKUP($C32,$C$3:$D$15,2,FALSE)*M$21-L34)))</f>
        <v>0</v>
      </c>
      <c r="N32" s="644">
        <f t="shared" ref="N32" si="731" xml:space="preserve">
IF(M34&gt;=VLOOKUP($C32,$C$3:$D$15,2,FALSE)*N$21,0,
IF(AND(M34&lt;VLOOKUP($C32,$C$3:$D$15,2,FALSE)*N$21,N33&lt;=VLOOKUP($C32,$C$3:$D$15,2,FALSE)*N$21),IF(N33-M34&lt;0,0,N33-M34),
IF(AND(M34&lt;VLOOKUP($C32,$C$3:$D$15,2,FALSE)*N$21,N33&gt;VLOOKUP($C32,$C$3:$D$15,2,FALSE)*N$21),VLOOKUP($C32,$C$3:$D$15,2,FALSE)*N$21-M34)))</f>
        <v>0</v>
      </c>
      <c r="O32" s="644">
        <f t="shared" ref="O32" si="732" xml:space="preserve">
IF(N34&gt;=VLOOKUP($C32,$C$3:$D$15,2,FALSE)*O$21,0,
IF(AND(N34&lt;VLOOKUP($C32,$C$3:$D$15,2,FALSE)*O$21,O33&lt;=VLOOKUP($C32,$C$3:$D$15,2,FALSE)*O$21),IF(O33-N34&lt;0,0,O33-N34),
IF(AND(N34&lt;VLOOKUP($C32,$C$3:$D$15,2,FALSE)*O$21,O33&gt;VLOOKUP($C32,$C$3:$D$15,2,FALSE)*O$21),VLOOKUP($C32,$C$3:$D$15,2,FALSE)*O$21-N34)))</f>
        <v>0</v>
      </c>
      <c r="P32" s="644">
        <f t="shared" ref="P32" si="733" xml:space="preserve">
IF(O34&gt;=VLOOKUP($C32,$C$3:$D$15,2,FALSE)*P$21,0,
IF(AND(O34&lt;VLOOKUP($C32,$C$3:$D$15,2,FALSE)*P$21,P33&lt;=VLOOKUP($C32,$C$3:$D$15,2,FALSE)*P$21),IF(P33-O34&lt;0,0,P33-O34),
IF(AND(O34&lt;VLOOKUP($C32,$C$3:$D$15,2,FALSE)*P$21,P33&gt;VLOOKUP($C32,$C$3:$D$15,2,FALSE)*P$21),VLOOKUP($C32,$C$3:$D$15,2,FALSE)*P$21-O34)))</f>
        <v>0</v>
      </c>
      <c r="Q32" s="644">
        <f t="shared" ref="Q32" si="734" xml:space="preserve">
IF(P34&gt;=VLOOKUP($C32,$C$3:$D$15,2,FALSE)*Q$21,0,
IF(AND(P34&lt;VLOOKUP($C32,$C$3:$D$15,2,FALSE)*Q$21,Q33&lt;=VLOOKUP($C32,$C$3:$D$15,2,FALSE)*Q$21),IF(Q33-P34&lt;0,0,Q33-P34),
IF(AND(P34&lt;VLOOKUP($C32,$C$3:$D$15,2,FALSE)*Q$21,Q33&gt;VLOOKUP($C32,$C$3:$D$15,2,FALSE)*Q$21),VLOOKUP($C32,$C$3:$D$15,2,FALSE)*Q$21-P34)))</f>
        <v>0</v>
      </c>
      <c r="R32" s="644">
        <f t="shared" ref="R32" si="735" xml:space="preserve">
IF(Q34&gt;=VLOOKUP($C32,$C$3:$D$15,2,FALSE)*R$21,0,
IF(AND(Q34&lt;VLOOKUP($C32,$C$3:$D$15,2,FALSE)*R$21,R33&lt;=VLOOKUP($C32,$C$3:$D$15,2,FALSE)*R$21),IF(R33-Q34&lt;0,0,R33-Q34),
IF(AND(Q34&lt;VLOOKUP($C32,$C$3:$D$15,2,FALSE)*R$21,R33&gt;VLOOKUP($C32,$C$3:$D$15,2,FALSE)*R$21),VLOOKUP($C32,$C$3:$D$15,2,FALSE)*R$21-Q34)))</f>
        <v>0</v>
      </c>
      <c r="S32" s="644">
        <f t="shared" ref="S32" si="736" xml:space="preserve">
IF(R34&gt;=VLOOKUP($C32,$C$3:$D$15,2,FALSE)*S$21,0,
IF(AND(R34&lt;VLOOKUP($C32,$C$3:$D$15,2,FALSE)*S$21,S33&lt;=VLOOKUP($C32,$C$3:$D$15,2,FALSE)*S$21),IF(S33-R34&lt;0,0,S33-R34),
IF(AND(R34&lt;VLOOKUP($C32,$C$3:$D$15,2,FALSE)*S$21,S33&gt;VLOOKUP($C32,$C$3:$D$15,2,FALSE)*S$21),VLOOKUP($C32,$C$3:$D$15,2,FALSE)*S$21-R34)))</f>
        <v>0</v>
      </c>
      <c r="T32" s="644">
        <f t="shared" ref="T32" si="737" xml:space="preserve">
IF(S34&gt;=VLOOKUP($C32,$C$3:$D$15,2,FALSE)*T$21,0,
IF(AND(S34&lt;VLOOKUP($C32,$C$3:$D$15,2,FALSE)*T$21,T33&lt;=VLOOKUP($C32,$C$3:$D$15,2,FALSE)*T$21),IF(T33-S34&lt;0,0,T33-S34),
IF(AND(S34&lt;VLOOKUP($C32,$C$3:$D$15,2,FALSE)*T$21,T33&gt;VLOOKUP($C32,$C$3:$D$15,2,FALSE)*T$21),VLOOKUP($C32,$C$3:$D$15,2,FALSE)*T$21-S34)))</f>
        <v>0</v>
      </c>
      <c r="U32" s="644">
        <f t="shared" ref="U32" si="738" xml:space="preserve">
IF(T34&gt;=VLOOKUP($C32,$C$3:$D$15,2,FALSE)*U$21,0,
IF(AND(T34&lt;VLOOKUP($C32,$C$3:$D$15,2,FALSE)*U$21,U33&lt;=VLOOKUP($C32,$C$3:$D$15,2,FALSE)*U$21),IF(U33-T34&lt;0,0,U33-T34),
IF(AND(T34&lt;VLOOKUP($C32,$C$3:$D$15,2,FALSE)*U$21,U33&gt;VLOOKUP($C32,$C$3:$D$15,2,FALSE)*U$21),VLOOKUP($C32,$C$3:$D$15,2,FALSE)*U$21-T34)))</f>
        <v>0</v>
      </c>
      <c r="V32" s="644">
        <f t="shared" ref="V32" si="739" xml:space="preserve">
IF(U34&gt;=VLOOKUP($C32,$C$3:$D$15,2,FALSE)*V$21,0,
IF(AND(U34&lt;VLOOKUP($C32,$C$3:$D$15,2,FALSE)*V$21,V33&lt;=VLOOKUP($C32,$C$3:$D$15,2,FALSE)*V$21),IF(V33-U34&lt;0,0,V33-U34),
IF(AND(U34&lt;VLOOKUP($C32,$C$3:$D$15,2,FALSE)*V$21,V33&gt;VLOOKUP($C32,$C$3:$D$15,2,FALSE)*V$21),VLOOKUP($C32,$C$3:$D$15,2,FALSE)*V$21-U34)))</f>
        <v>0</v>
      </c>
      <c r="W32" s="644">
        <f t="shared" ref="W32" si="740" xml:space="preserve">
IF(V34&gt;=VLOOKUP($C32,$C$3:$D$15,2,FALSE)*W$21,0,
IF(AND(V34&lt;VLOOKUP($C32,$C$3:$D$15,2,FALSE)*W$21,W33&lt;=VLOOKUP($C32,$C$3:$D$15,2,FALSE)*W$21),IF(W33-V34&lt;0,0,W33-V34),
IF(AND(V34&lt;VLOOKUP($C32,$C$3:$D$15,2,FALSE)*W$21,W33&gt;VLOOKUP($C32,$C$3:$D$15,2,FALSE)*W$21),VLOOKUP($C32,$C$3:$D$15,2,FALSE)*W$21-V34)))</f>
        <v>0</v>
      </c>
      <c r="X32" s="644">
        <f t="shared" ref="X32" si="741" xml:space="preserve">
IF(W34&gt;=VLOOKUP($C32,$C$3:$D$15,2,FALSE)*X$21,0,
IF(AND(W34&lt;VLOOKUP($C32,$C$3:$D$15,2,FALSE)*X$21,X33&lt;=VLOOKUP($C32,$C$3:$D$15,2,FALSE)*X$21),IF(X33-W34&lt;0,0,X33-W34),
IF(AND(W34&lt;VLOOKUP($C32,$C$3:$D$15,2,FALSE)*X$21,X33&gt;VLOOKUP($C32,$C$3:$D$15,2,FALSE)*X$21),VLOOKUP($C32,$C$3:$D$15,2,FALSE)*X$21-W34)))</f>
        <v>0</v>
      </c>
      <c r="Y32" s="644">
        <f t="shared" ref="Y32" si="742" xml:space="preserve">
IF(X34&gt;=VLOOKUP($C32,$C$3:$D$15,2,FALSE)*Y$21,0,
IF(AND(X34&lt;VLOOKUP($C32,$C$3:$D$15,2,FALSE)*Y$21,Y33&lt;=VLOOKUP($C32,$C$3:$D$15,2,FALSE)*Y$21),IF(Y33-X34&lt;0,0,Y33-X34),
IF(AND(X34&lt;VLOOKUP($C32,$C$3:$D$15,2,FALSE)*Y$21,Y33&gt;VLOOKUP($C32,$C$3:$D$15,2,FALSE)*Y$21),VLOOKUP($C32,$C$3:$D$15,2,FALSE)*Y$21-X34)))</f>
        <v>0</v>
      </c>
      <c r="Z32" s="644">
        <f t="shared" ref="Z32" si="743" xml:space="preserve">
IF(Y34&gt;=VLOOKUP($C32,$C$3:$D$15,2,FALSE)*Z$21,0,
IF(AND(Y34&lt;VLOOKUP($C32,$C$3:$D$15,2,FALSE)*Z$21,Z33&lt;=VLOOKUP($C32,$C$3:$D$15,2,FALSE)*Z$21),IF(Z33-Y34&lt;0,0,Z33-Y34),
IF(AND(Y34&lt;VLOOKUP($C32,$C$3:$D$15,2,FALSE)*Z$21,Z33&gt;VLOOKUP($C32,$C$3:$D$15,2,FALSE)*Z$21),VLOOKUP($C32,$C$3:$D$15,2,FALSE)*Z$21-Y34)))</f>
        <v>0</v>
      </c>
      <c r="AA32" s="644">
        <f t="shared" ref="AA32" si="744" xml:space="preserve">
IF(Z34&gt;=VLOOKUP($C32,$C$3:$D$15,2,FALSE)*AA$21,0,
IF(AND(Z34&lt;VLOOKUP($C32,$C$3:$D$15,2,FALSE)*AA$21,AA33&lt;=VLOOKUP($C32,$C$3:$D$15,2,FALSE)*AA$21),IF(AA33-Z34&lt;0,0,AA33-Z34),
IF(AND(Z34&lt;VLOOKUP($C32,$C$3:$D$15,2,FALSE)*AA$21,AA33&gt;VLOOKUP($C32,$C$3:$D$15,2,FALSE)*AA$21),VLOOKUP($C32,$C$3:$D$15,2,FALSE)*AA$21-Z34)))</f>
        <v>0</v>
      </c>
      <c r="AB32" s="644">
        <f t="shared" ref="AB32" si="745" xml:space="preserve">
IF(AA34&gt;=VLOOKUP($C32,$C$3:$D$15,2,FALSE)*AB$21,0,
IF(AND(AA34&lt;VLOOKUP($C32,$C$3:$D$15,2,FALSE)*AB$21,AB33&lt;=VLOOKUP($C32,$C$3:$D$15,2,FALSE)*AB$21),IF(AB33-AA34&lt;0,0,AB33-AA34),
IF(AND(AA34&lt;VLOOKUP($C32,$C$3:$D$15,2,FALSE)*AB$21,AB33&gt;VLOOKUP($C32,$C$3:$D$15,2,FALSE)*AB$21),VLOOKUP($C32,$C$3:$D$15,2,FALSE)*AB$21-AA34)))</f>
        <v>0</v>
      </c>
      <c r="AC32" s="644">
        <f t="shared" ref="AC32" si="746" xml:space="preserve">
IF(AB34&gt;=VLOOKUP($C32,$C$3:$D$15,2,FALSE)*AC$21,0,
IF(AND(AB34&lt;VLOOKUP($C32,$C$3:$D$15,2,FALSE)*AC$21,AC33&lt;=VLOOKUP($C32,$C$3:$D$15,2,FALSE)*AC$21),IF(AC33-AB34&lt;0,0,AC33-AB34),
IF(AND(AB34&lt;VLOOKUP($C32,$C$3:$D$15,2,FALSE)*AC$21,AC33&gt;VLOOKUP($C32,$C$3:$D$15,2,FALSE)*AC$21),VLOOKUP($C32,$C$3:$D$15,2,FALSE)*AC$21-AB34)))</f>
        <v>0</v>
      </c>
      <c r="AD32" s="644">
        <f t="shared" ref="AD32" si="747" xml:space="preserve">
IF(AC34&gt;=VLOOKUP($C32,$C$3:$D$15,2,FALSE)*AD$21,0,
IF(AND(AC34&lt;VLOOKUP($C32,$C$3:$D$15,2,FALSE)*AD$21,AD33&lt;=VLOOKUP($C32,$C$3:$D$15,2,FALSE)*AD$21),IF(AD33-AC34&lt;0,0,AD33-AC34),
IF(AND(AC34&lt;VLOOKUP($C32,$C$3:$D$15,2,FALSE)*AD$21,AD33&gt;VLOOKUP($C32,$C$3:$D$15,2,FALSE)*AD$21),VLOOKUP($C32,$C$3:$D$15,2,FALSE)*AD$21-AC34)))</f>
        <v>0</v>
      </c>
      <c r="AE32" s="644">
        <f t="shared" ref="AE32" si="748" xml:space="preserve">
IF(AD34&gt;=VLOOKUP($C32,$C$3:$D$15,2,FALSE)*AE$21,0,
IF(AND(AD34&lt;VLOOKUP($C32,$C$3:$D$15,2,FALSE)*AE$21,AE33&lt;=VLOOKUP($C32,$C$3:$D$15,2,FALSE)*AE$21),IF(AE33-AD34&lt;0,0,AE33-AD34),
IF(AND(AD34&lt;VLOOKUP($C32,$C$3:$D$15,2,FALSE)*AE$21,AE33&gt;VLOOKUP($C32,$C$3:$D$15,2,FALSE)*AE$21),VLOOKUP($C32,$C$3:$D$15,2,FALSE)*AE$21-AD34)))</f>
        <v>0</v>
      </c>
      <c r="AF32" s="644">
        <f t="shared" ref="AF32" si="749" xml:space="preserve">
IF(AE34&gt;=VLOOKUP($C32,$C$3:$D$15,2,FALSE)*AF$21,0,
IF(AND(AE34&lt;VLOOKUP($C32,$C$3:$D$15,2,FALSE)*AF$21,AF33&lt;=VLOOKUP($C32,$C$3:$D$15,2,FALSE)*AF$21),IF(AF33-AE34&lt;0,0,AF33-AE34),
IF(AND(AE34&lt;VLOOKUP($C32,$C$3:$D$15,2,FALSE)*AF$21,AF33&gt;VLOOKUP($C32,$C$3:$D$15,2,FALSE)*AF$21),VLOOKUP($C32,$C$3:$D$15,2,FALSE)*AF$21-AE34)))</f>
        <v>0</v>
      </c>
      <c r="AG32" s="644">
        <f t="shared" ref="AG32" si="750" xml:space="preserve">
IF(AF34&gt;=VLOOKUP($C32,$C$3:$D$15,2,FALSE)*AG$21,0,
IF(AND(AF34&lt;VLOOKUP($C32,$C$3:$D$15,2,FALSE)*AG$21,AG33&lt;=VLOOKUP($C32,$C$3:$D$15,2,FALSE)*AG$21),IF(AG33-AF34&lt;0,0,AG33-AF34),
IF(AND(AF34&lt;VLOOKUP($C32,$C$3:$D$15,2,FALSE)*AG$21,AG33&gt;VLOOKUP($C32,$C$3:$D$15,2,FALSE)*AG$21),VLOOKUP($C32,$C$3:$D$15,2,FALSE)*AG$21-AF34)))</f>
        <v>0</v>
      </c>
      <c r="AH32" s="644">
        <f t="shared" ref="AH32" si="751" xml:space="preserve">
IF(AG34&gt;=VLOOKUP($C32,$C$3:$D$15,2,FALSE)*AH$21,0,
IF(AND(AG34&lt;VLOOKUP($C32,$C$3:$D$15,2,FALSE)*AH$21,AH33&lt;=VLOOKUP($C32,$C$3:$D$15,2,FALSE)*AH$21),IF(AH33-AG34&lt;0,0,AH33-AG34),
IF(AND(AG34&lt;VLOOKUP($C32,$C$3:$D$15,2,FALSE)*AH$21,AH33&gt;VLOOKUP($C32,$C$3:$D$15,2,FALSE)*AH$21),VLOOKUP($C32,$C$3:$D$15,2,FALSE)*AH$21-AG34)))</f>
        <v>0</v>
      </c>
      <c r="AI32" s="644">
        <f t="shared" ref="AI32" si="752" xml:space="preserve">
IF(AH34&gt;=VLOOKUP($C32,$C$3:$D$15,2,FALSE)*AI$21,0,
IF(AND(AH34&lt;VLOOKUP($C32,$C$3:$D$15,2,FALSE)*AI$21,AI33&lt;=VLOOKUP($C32,$C$3:$D$15,2,FALSE)*AI$21),IF(AI33-AH34&lt;0,0,AI33-AH34),
IF(AND(AH34&lt;VLOOKUP($C32,$C$3:$D$15,2,FALSE)*AI$21,AI33&gt;VLOOKUP($C32,$C$3:$D$15,2,FALSE)*AI$21),VLOOKUP($C32,$C$3:$D$15,2,FALSE)*AI$21-AH34)))</f>
        <v>0</v>
      </c>
      <c r="AJ32" s="644">
        <f t="shared" ref="AJ32" si="753" xml:space="preserve">
IF(AI34&gt;=VLOOKUP($C32,$C$3:$D$15,2,FALSE)*AJ$21,0,
IF(AND(AI34&lt;VLOOKUP($C32,$C$3:$D$15,2,FALSE)*AJ$21,AJ33&lt;=VLOOKUP($C32,$C$3:$D$15,2,FALSE)*AJ$21),IF(AJ33-AI34&lt;0,0,AJ33-AI34),
IF(AND(AI34&lt;VLOOKUP($C32,$C$3:$D$15,2,FALSE)*AJ$21,AJ33&gt;VLOOKUP($C32,$C$3:$D$15,2,FALSE)*AJ$21),VLOOKUP($C32,$C$3:$D$15,2,FALSE)*AJ$21-AI34)))</f>
        <v>0</v>
      </c>
      <c r="AK32" s="644">
        <f t="shared" ref="AK32" si="754" xml:space="preserve">
IF(AJ34&gt;=VLOOKUP($C32,$C$3:$D$15,2,FALSE)*AK$21,0,
IF(AND(AJ34&lt;VLOOKUP($C32,$C$3:$D$15,2,FALSE)*AK$21,AK33&lt;=VLOOKUP($C32,$C$3:$D$15,2,FALSE)*AK$21),IF(AK33-AJ34&lt;0,0,AK33-AJ34),
IF(AND(AJ34&lt;VLOOKUP($C32,$C$3:$D$15,2,FALSE)*AK$21,AK33&gt;VLOOKUP($C32,$C$3:$D$15,2,FALSE)*AK$21),VLOOKUP($C32,$C$3:$D$15,2,FALSE)*AK$21-AJ34)))</f>
        <v>0</v>
      </c>
      <c r="AL32" s="644">
        <f t="shared" ref="AL32" si="755" xml:space="preserve">
IF(AK34&gt;=VLOOKUP($C32,$C$3:$D$15,2,FALSE)*AL$21,0,
IF(AND(AK34&lt;VLOOKUP($C32,$C$3:$D$15,2,FALSE)*AL$21,AL33&lt;=VLOOKUP($C32,$C$3:$D$15,2,FALSE)*AL$21),IF(AL33-AK34&lt;0,0,AL33-AK34),
IF(AND(AK34&lt;VLOOKUP($C32,$C$3:$D$15,2,FALSE)*AL$21,AL33&gt;VLOOKUP($C32,$C$3:$D$15,2,FALSE)*AL$21),VLOOKUP($C32,$C$3:$D$15,2,FALSE)*AL$21-AK34)))</f>
        <v>0</v>
      </c>
      <c r="AM32" s="644">
        <f t="shared" ref="AM32" si="756" xml:space="preserve">
IF(AL34&gt;=VLOOKUP($C32,$C$3:$D$15,2,FALSE)*AM$21,0,
IF(AND(AL34&lt;VLOOKUP($C32,$C$3:$D$15,2,FALSE)*AM$21,AM33&lt;=VLOOKUP($C32,$C$3:$D$15,2,FALSE)*AM$21),IF(AM33-AL34&lt;0,0,AM33-AL34),
IF(AND(AL34&lt;VLOOKUP($C32,$C$3:$D$15,2,FALSE)*AM$21,AM33&gt;VLOOKUP($C32,$C$3:$D$15,2,FALSE)*AM$21),VLOOKUP($C32,$C$3:$D$15,2,FALSE)*AM$21-AL34)))</f>
        <v>0</v>
      </c>
      <c r="AN32" s="644">
        <f t="shared" ref="AN32" si="757" xml:space="preserve">
IF(AM34&gt;=VLOOKUP($C32,$C$3:$D$15,2,FALSE)*AN$21,0,
IF(AND(AM34&lt;VLOOKUP($C32,$C$3:$D$15,2,FALSE)*AN$21,AN33&lt;=VLOOKUP($C32,$C$3:$D$15,2,FALSE)*AN$21),IF(AN33-AM34&lt;0,0,AN33-AM34),
IF(AND(AM34&lt;VLOOKUP($C32,$C$3:$D$15,2,FALSE)*AN$21,AN33&gt;VLOOKUP($C32,$C$3:$D$15,2,FALSE)*AN$21),VLOOKUP($C32,$C$3:$D$15,2,FALSE)*AN$21-AM34)))</f>
        <v>0</v>
      </c>
      <c r="AO32" s="644">
        <f t="shared" ref="AO32" si="758" xml:space="preserve">
IF(AN34&gt;=VLOOKUP($C32,$C$3:$D$15,2,FALSE)*AO$21,0,
IF(AND(AN34&lt;VLOOKUP($C32,$C$3:$D$15,2,FALSE)*AO$21,AO33&lt;=VLOOKUP($C32,$C$3:$D$15,2,FALSE)*AO$21),IF(AO33-AN34&lt;0,0,AO33-AN34),
IF(AND(AN34&lt;VLOOKUP($C32,$C$3:$D$15,2,FALSE)*AO$21,AO33&gt;VLOOKUP($C32,$C$3:$D$15,2,FALSE)*AO$21),VLOOKUP($C32,$C$3:$D$15,2,FALSE)*AO$21-AN34)))</f>
        <v>0</v>
      </c>
      <c r="AP32" s="644">
        <f t="shared" ref="AP32" si="759" xml:space="preserve">
IF(AO34&gt;=VLOOKUP($C32,$C$3:$D$15,2,FALSE)*AP$21,0,
IF(AND(AO34&lt;VLOOKUP($C32,$C$3:$D$15,2,FALSE)*AP$21,AP33&lt;=VLOOKUP($C32,$C$3:$D$15,2,FALSE)*AP$21),IF(AP33-AO34&lt;0,0,AP33-AO34),
IF(AND(AO34&lt;VLOOKUP($C32,$C$3:$D$15,2,FALSE)*AP$21,AP33&gt;VLOOKUP($C32,$C$3:$D$15,2,FALSE)*AP$21),VLOOKUP($C32,$C$3:$D$15,2,FALSE)*AP$21-AO34)))</f>
        <v>0</v>
      </c>
      <c r="AQ32" s="644">
        <f t="shared" ref="AQ32" si="760" xml:space="preserve">
IF(AP34&gt;=VLOOKUP($C32,$C$3:$D$15,2,FALSE)*AQ$21,0,
IF(AND(AP34&lt;VLOOKUP($C32,$C$3:$D$15,2,FALSE)*AQ$21,AQ33&lt;=VLOOKUP($C32,$C$3:$D$15,2,FALSE)*AQ$21),IF(AQ33-AP34&lt;0,0,AQ33-AP34),
IF(AND(AP34&lt;VLOOKUP($C32,$C$3:$D$15,2,FALSE)*AQ$21,AQ33&gt;VLOOKUP($C32,$C$3:$D$15,2,FALSE)*AQ$21),VLOOKUP($C32,$C$3:$D$15,2,FALSE)*AQ$21-AP34)))</f>
        <v>0</v>
      </c>
      <c r="AR32" s="644">
        <f t="shared" ref="AR32" si="761" xml:space="preserve">
IF(AQ34&gt;=VLOOKUP($C32,$C$3:$D$15,2,FALSE)*AR$21,0,
IF(AND(AQ34&lt;VLOOKUP($C32,$C$3:$D$15,2,FALSE)*AR$21,AR33&lt;=VLOOKUP($C32,$C$3:$D$15,2,FALSE)*AR$21),IF(AR33-AQ34&lt;0,0,AR33-AQ34),
IF(AND(AQ34&lt;VLOOKUP($C32,$C$3:$D$15,2,FALSE)*AR$21,AR33&gt;VLOOKUP($C32,$C$3:$D$15,2,FALSE)*AR$21),VLOOKUP($C32,$C$3:$D$15,2,FALSE)*AR$21-AQ34)))</f>
        <v>0</v>
      </c>
      <c r="AS32" s="644">
        <f t="shared" ref="AS32" si="762" xml:space="preserve">
IF(AR34&gt;=VLOOKUP($C32,$C$3:$D$15,2,FALSE)*AS$21,0,
IF(AND(AR34&lt;VLOOKUP($C32,$C$3:$D$15,2,FALSE)*AS$21,AS33&lt;=VLOOKUP($C32,$C$3:$D$15,2,FALSE)*AS$21),IF(AS33-AR34&lt;0,0,AS33-AR34),
IF(AND(AR34&lt;VLOOKUP($C32,$C$3:$D$15,2,FALSE)*AS$21,AS33&gt;VLOOKUP($C32,$C$3:$D$15,2,FALSE)*AS$21),VLOOKUP($C32,$C$3:$D$15,2,FALSE)*AS$21-AR34)))</f>
        <v>0</v>
      </c>
      <c r="AT32" s="644">
        <f t="shared" ref="AT32" si="763" xml:space="preserve">
IF(AS34&gt;=VLOOKUP($C32,$C$3:$D$15,2,FALSE)*AT$21,0,
IF(AND(AS34&lt;VLOOKUP($C32,$C$3:$D$15,2,FALSE)*AT$21,AT33&lt;=VLOOKUP($C32,$C$3:$D$15,2,FALSE)*AT$21),IF(AT33-AS34&lt;0,0,AT33-AS34),
IF(AND(AS34&lt;VLOOKUP($C32,$C$3:$D$15,2,FALSE)*AT$21,AT33&gt;VLOOKUP($C32,$C$3:$D$15,2,FALSE)*AT$21),VLOOKUP($C32,$C$3:$D$15,2,FALSE)*AT$21-AS34)))</f>
        <v>0</v>
      </c>
      <c r="AU32" s="644">
        <f t="shared" ref="AU32" si="764" xml:space="preserve">
IF(AT34&gt;=VLOOKUP($C32,$C$3:$D$15,2,FALSE)*AU$21,0,
IF(AND(AT34&lt;VLOOKUP($C32,$C$3:$D$15,2,FALSE)*AU$21,AU33&lt;=VLOOKUP($C32,$C$3:$D$15,2,FALSE)*AU$21),IF(AU33-AT34&lt;0,0,AU33-AT34),
IF(AND(AT34&lt;VLOOKUP($C32,$C$3:$D$15,2,FALSE)*AU$21,AU33&gt;VLOOKUP($C32,$C$3:$D$15,2,FALSE)*AU$21),VLOOKUP($C32,$C$3:$D$15,2,FALSE)*AU$21-AT34)))</f>
        <v>0</v>
      </c>
      <c r="AV32" s="644">
        <f t="shared" ref="AV32" si="765" xml:space="preserve">
IF(AU34&gt;=VLOOKUP($C32,$C$3:$D$15,2,FALSE)*AV$21,0,
IF(AND(AU34&lt;VLOOKUP($C32,$C$3:$D$15,2,FALSE)*AV$21,AV33&lt;=VLOOKUP($C32,$C$3:$D$15,2,FALSE)*AV$21),IF(AV33-AU34&lt;0,0,AV33-AU34),
IF(AND(AU34&lt;VLOOKUP($C32,$C$3:$D$15,2,FALSE)*AV$21,AV33&gt;VLOOKUP($C32,$C$3:$D$15,2,FALSE)*AV$21),VLOOKUP($C32,$C$3:$D$15,2,FALSE)*AV$21-AU34)))</f>
        <v>0</v>
      </c>
      <c r="AW32" s="644">
        <f t="shared" ref="AW32" si="766" xml:space="preserve">
IF(AV34&gt;=VLOOKUP($C32,$C$3:$D$15,2,FALSE)*AW$21,0,
IF(AND(AV34&lt;VLOOKUP($C32,$C$3:$D$15,2,FALSE)*AW$21,AW33&lt;=VLOOKUP($C32,$C$3:$D$15,2,FALSE)*AW$21),IF(AW33-AV34&lt;0,0,AW33-AV34),
IF(AND(AV34&lt;VLOOKUP($C32,$C$3:$D$15,2,FALSE)*AW$21,AW33&gt;VLOOKUP($C32,$C$3:$D$15,2,FALSE)*AW$21),VLOOKUP($C32,$C$3:$D$15,2,FALSE)*AW$21-AV34)))</f>
        <v>0</v>
      </c>
      <c r="AX32" s="644">
        <f t="shared" ref="AX32" si="767" xml:space="preserve">
IF(AW34&gt;=VLOOKUP($C32,$C$3:$D$15,2,FALSE)*AX$21,0,
IF(AND(AW34&lt;VLOOKUP($C32,$C$3:$D$15,2,FALSE)*AX$21,AX33&lt;=VLOOKUP($C32,$C$3:$D$15,2,FALSE)*AX$21),IF(AX33-AW34&lt;0,0,AX33-AW34),
IF(AND(AW34&lt;VLOOKUP($C32,$C$3:$D$15,2,FALSE)*AX$21,AX33&gt;VLOOKUP($C32,$C$3:$D$15,2,FALSE)*AX$21),VLOOKUP($C32,$C$3:$D$15,2,FALSE)*AX$21-AW34)))</f>
        <v>0</v>
      </c>
      <c r="AY32" s="644">
        <f t="shared" ref="AY32" si="768" xml:space="preserve">
IF(AX34&gt;=VLOOKUP($C32,$C$3:$D$15,2,FALSE)*AY$21,0,
IF(AND(AX34&lt;VLOOKUP($C32,$C$3:$D$15,2,FALSE)*AY$21,AY33&lt;=VLOOKUP($C32,$C$3:$D$15,2,FALSE)*AY$21),IF(AY33-AX34&lt;0,0,AY33-AX34),
IF(AND(AX34&lt;VLOOKUP($C32,$C$3:$D$15,2,FALSE)*AY$21,AY33&gt;VLOOKUP($C32,$C$3:$D$15,2,FALSE)*AY$21),VLOOKUP($C32,$C$3:$D$15,2,FALSE)*AY$21-AX34)))</f>
        <v>0</v>
      </c>
      <c r="AZ32" s="644">
        <f t="shared" ref="AZ32" si="769" xml:space="preserve">
IF(AY34&gt;=VLOOKUP($C32,$C$3:$D$15,2,FALSE)*AZ$21,0,
IF(AND(AY34&lt;VLOOKUP($C32,$C$3:$D$15,2,FALSE)*AZ$21,AZ33&lt;=VLOOKUP($C32,$C$3:$D$15,2,FALSE)*AZ$21),IF(AZ33-AY34&lt;0,0,AZ33-AY34),
IF(AND(AY34&lt;VLOOKUP($C32,$C$3:$D$15,2,FALSE)*AZ$21,AZ33&gt;VLOOKUP($C32,$C$3:$D$15,2,FALSE)*AZ$21),VLOOKUP($C32,$C$3:$D$15,2,FALSE)*AZ$21-AY34)))</f>
        <v>0</v>
      </c>
      <c r="BA32" s="644">
        <f t="shared" ref="BA32" si="770" xml:space="preserve">
IF(AZ34&gt;=VLOOKUP($C32,$C$3:$D$15,2,FALSE)*BA$21,0,
IF(AND(AZ34&lt;VLOOKUP($C32,$C$3:$D$15,2,FALSE)*BA$21,BA33&lt;=VLOOKUP($C32,$C$3:$D$15,2,FALSE)*BA$21),IF(BA33-AZ34&lt;0,0,BA33-AZ34),
IF(AND(AZ34&lt;VLOOKUP($C32,$C$3:$D$15,2,FALSE)*BA$21,BA33&gt;VLOOKUP($C32,$C$3:$D$15,2,FALSE)*BA$21),VLOOKUP($C32,$C$3:$D$15,2,FALSE)*BA$21-AZ34)))</f>
        <v>0</v>
      </c>
      <c r="BB32" s="644">
        <f t="shared" ref="BB32" si="771" xml:space="preserve">
IF(BA34&gt;=VLOOKUP($C32,$C$3:$D$15,2,FALSE)*BB$21,0,
IF(AND(BA34&lt;VLOOKUP($C32,$C$3:$D$15,2,FALSE)*BB$21,BB33&lt;=VLOOKUP($C32,$C$3:$D$15,2,FALSE)*BB$21),IF(BB33-BA34&lt;0,0,BB33-BA34),
IF(AND(BA34&lt;VLOOKUP($C32,$C$3:$D$15,2,FALSE)*BB$21,BB33&gt;VLOOKUP($C32,$C$3:$D$15,2,FALSE)*BB$21),VLOOKUP($C32,$C$3:$D$15,2,FALSE)*BB$21-BA34)))</f>
        <v>0</v>
      </c>
      <c r="BC32" s="644">
        <f t="shared" ref="BC32" si="772" xml:space="preserve">
IF(BB34&gt;=VLOOKUP($C32,$C$3:$D$15,2,FALSE)*BC$21,0,
IF(AND(BB34&lt;VLOOKUP($C32,$C$3:$D$15,2,FALSE)*BC$21,BC33&lt;=VLOOKUP($C32,$C$3:$D$15,2,FALSE)*BC$21),IF(BC33-BB34&lt;0,0,BC33-BB34),
IF(AND(BB34&lt;VLOOKUP($C32,$C$3:$D$15,2,FALSE)*BC$21,BC33&gt;VLOOKUP($C32,$C$3:$D$15,2,FALSE)*BC$21),VLOOKUP($C32,$C$3:$D$15,2,FALSE)*BC$21-BB34)))</f>
        <v>0</v>
      </c>
      <c r="BD32" s="644">
        <f t="shared" ref="BD32" si="773" xml:space="preserve">
IF(BC34&gt;=VLOOKUP($C32,$C$3:$D$15,2,FALSE)*BD$21,0,
IF(AND(BC34&lt;VLOOKUP($C32,$C$3:$D$15,2,FALSE)*BD$21,BD33&lt;=VLOOKUP($C32,$C$3:$D$15,2,FALSE)*BD$21),IF(BD33-BC34&lt;0,0,BD33-BC34),
IF(AND(BC34&lt;VLOOKUP($C32,$C$3:$D$15,2,FALSE)*BD$21,BD33&gt;VLOOKUP($C32,$C$3:$D$15,2,FALSE)*BD$21),VLOOKUP($C32,$C$3:$D$15,2,FALSE)*BD$21-BC34)))</f>
        <v>0</v>
      </c>
      <c r="BE32" s="644">
        <f t="shared" ref="BE32" si="774" xml:space="preserve">
IF(BD34&gt;=VLOOKUP($C32,$C$3:$D$15,2,FALSE)*BE$21,0,
IF(AND(BD34&lt;VLOOKUP($C32,$C$3:$D$15,2,FALSE)*BE$21,BE33&lt;=VLOOKUP($C32,$C$3:$D$15,2,FALSE)*BE$21),IF(BE33-BD34&lt;0,0,BE33-BD34),
IF(AND(BD34&lt;VLOOKUP($C32,$C$3:$D$15,2,FALSE)*BE$21,BE33&gt;VLOOKUP($C32,$C$3:$D$15,2,FALSE)*BE$21),VLOOKUP($C32,$C$3:$D$15,2,FALSE)*BE$21-BD34)))</f>
        <v>0</v>
      </c>
      <c r="BF32" s="644">
        <f t="shared" ref="BF32" si="775" xml:space="preserve">
IF(BE34&gt;=VLOOKUP($C32,$C$3:$D$15,2,FALSE)*BF$21,0,
IF(AND(BE34&lt;VLOOKUP($C32,$C$3:$D$15,2,FALSE)*BF$21,BF33&lt;=VLOOKUP($C32,$C$3:$D$15,2,FALSE)*BF$21),IF(BF33-BE34&lt;0,0,BF33-BE34),
IF(AND(BE34&lt;VLOOKUP($C32,$C$3:$D$15,2,FALSE)*BF$21,BF33&gt;VLOOKUP($C32,$C$3:$D$15,2,FALSE)*BF$21),VLOOKUP($C32,$C$3:$D$15,2,FALSE)*BF$21-BE34)))</f>
        <v>0</v>
      </c>
      <c r="BG32" s="644">
        <f t="shared" ref="BG32" si="776" xml:space="preserve">
IF(BF34&gt;=VLOOKUP($C32,$C$3:$D$15,2,FALSE)*BG$21,0,
IF(AND(BF34&lt;VLOOKUP($C32,$C$3:$D$15,2,FALSE)*BG$21,BG33&lt;=VLOOKUP($C32,$C$3:$D$15,2,FALSE)*BG$21),IF(BG33-BF34&lt;0,0,BG33-BF34),
IF(AND(BF34&lt;VLOOKUP($C32,$C$3:$D$15,2,FALSE)*BG$21,BG33&gt;VLOOKUP($C32,$C$3:$D$15,2,FALSE)*BG$21),VLOOKUP($C32,$C$3:$D$15,2,FALSE)*BG$21-BF34)))</f>
        <v>0</v>
      </c>
      <c r="BH32" s="644">
        <f t="shared" ref="BH32" si="777" xml:space="preserve">
IF(BG34&gt;=VLOOKUP($C32,$C$3:$D$15,2,FALSE)*BH$21,0,
IF(AND(BG34&lt;VLOOKUP($C32,$C$3:$D$15,2,FALSE)*BH$21,BH33&lt;=VLOOKUP($C32,$C$3:$D$15,2,FALSE)*BH$21),IF(BH33-BG34&lt;0,0,BH33-BG34),
IF(AND(BG34&lt;VLOOKUP($C32,$C$3:$D$15,2,FALSE)*BH$21,BH33&gt;VLOOKUP($C32,$C$3:$D$15,2,FALSE)*BH$21),VLOOKUP($C32,$C$3:$D$15,2,FALSE)*BH$21-BG34)))</f>
        <v>0</v>
      </c>
      <c r="BI32" s="644">
        <f t="shared" ref="BI32" si="778" xml:space="preserve">
IF(BH34&gt;=VLOOKUP($C32,$C$3:$D$15,2,FALSE)*BI$21,0,
IF(AND(BH34&lt;VLOOKUP($C32,$C$3:$D$15,2,FALSE)*BI$21,BI33&lt;=VLOOKUP($C32,$C$3:$D$15,2,FALSE)*BI$21),IF(BI33-BH34&lt;0,0,BI33-BH34),
IF(AND(BH34&lt;VLOOKUP($C32,$C$3:$D$15,2,FALSE)*BI$21,BI33&gt;VLOOKUP($C32,$C$3:$D$15,2,FALSE)*BI$21),VLOOKUP($C32,$C$3:$D$15,2,FALSE)*BI$21-BH34)))</f>
        <v>0</v>
      </c>
      <c r="BJ32" s="644">
        <f t="shared" ref="BJ32" si="779" xml:space="preserve">
IF(BI34&gt;=VLOOKUP($C32,$C$3:$D$15,2,FALSE)*BJ$21,0,
IF(AND(BI34&lt;VLOOKUP($C32,$C$3:$D$15,2,FALSE)*BJ$21,BJ33&lt;=VLOOKUP($C32,$C$3:$D$15,2,FALSE)*BJ$21),IF(BJ33-BI34&lt;0,0,BJ33-BI34),
IF(AND(BI34&lt;VLOOKUP($C32,$C$3:$D$15,2,FALSE)*BJ$21,BJ33&gt;VLOOKUP($C32,$C$3:$D$15,2,FALSE)*BJ$21),VLOOKUP($C32,$C$3:$D$15,2,FALSE)*BJ$21-BI34)))</f>
        <v>0</v>
      </c>
      <c r="BK32" s="644">
        <f t="shared" ref="BK32" si="780" xml:space="preserve">
IF(BJ34&gt;=VLOOKUP($C32,$C$3:$D$15,2,FALSE)*BK$21,0,
IF(AND(BJ34&lt;VLOOKUP($C32,$C$3:$D$15,2,FALSE)*BK$21,BK33&lt;=VLOOKUP($C32,$C$3:$D$15,2,FALSE)*BK$21),IF(BK33-BJ34&lt;0,0,BK33-BJ34),
IF(AND(BJ34&lt;VLOOKUP($C32,$C$3:$D$15,2,FALSE)*BK$21,BK33&gt;VLOOKUP($C32,$C$3:$D$15,2,FALSE)*BK$21),VLOOKUP($C32,$C$3:$D$15,2,FALSE)*BK$21-BJ34)))</f>
        <v>0</v>
      </c>
      <c r="BL32" s="644">
        <f t="shared" ref="BL32" si="781" xml:space="preserve">
IF(BK34&gt;=VLOOKUP($C32,$C$3:$D$15,2,FALSE)*BL$21,0,
IF(AND(BK34&lt;VLOOKUP($C32,$C$3:$D$15,2,FALSE)*BL$21,BL33&lt;=VLOOKUP($C32,$C$3:$D$15,2,FALSE)*BL$21),IF(BL33-BK34&lt;0,0,BL33-BK34),
IF(AND(BK34&lt;VLOOKUP($C32,$C$3:$D$15,2,FALSE)*BL$21,BL33&gt;VLOOKUP($C32,$C$3:$D$15,2,FALSE)*BL$21),VLOOKUP($C32,$C$3:$D$15,2,FALSE)*BL$21-BK34)))</f>
        <v>0</v>
      </c>
      <c r="BM32" s="644">
        <f t="shared" ref="BM32" si="782" xml:space="preserve">
IF(BL34&gt;=VLOOKUP($C32,$C$3:$D$15,2,FALSE)*BM$21,0,
IF(AND(BL34&lt;VLOOKUP($C32,$C$3:$D$15,2,FALSE)*BM$21,BM33&lt;=VLOOKUP($C32,$C$3:$D$15,2,FALSE)*BM$21),IF(BM33-BL34&lt;0,0,BM33-BL34),
IF(AND(BL34&lt;VLOOKUP($C32,$C$3:$D$15,2,FALSE)*BM$21,BM33&gt;VLOOKUP($C32,$C$3:$D$15,2,FALSE)*BM$21),VLOOKUP($C32,$C$3:$D$15,2,FALSE)*BM$21-BL34)))</f>
        <v>0</v>
      </c>
      <c r="BN32" s="644">
        <f t="shared" ref="BN32" si="783" xml:space="preserve">
IF(BM34&gt;=VLOOKUP($C32,$C$3:$D$15,2,FALSE)*BN$21,0,
IF(AND(BM34&lt;VLOOKUP($C32,$C$3:$D$15,2,FALSE)*BN$21,BN33&lt;=VLOOKUP($C32,$C$3:$D$15,2,FALSE)*BN$21),IF(BN33-BM34&lt;0,0,BN33-BM34),
IF(AND(BM34&lt;VLOOKUP($C32,$C$3:$D$15,2,FALSE)*BN$21,BN33&gt;VLOOKUP($C32,$C$3:$D$15,2,FALSE)*BN$21),VLOOKUP($C32,$C$3:$D$15,2,FALSE)*BN$21-BM34)))</f>
        <v>0</v>
      </c>
      <c r="BO32" s="644">
        <f t="shared" ref="BO32" si="784" xml:space="preserve">
IF(BN34&gt;=VLOOKUP($C32,$C$3:$D$15,2,FALSE)*BO$21,0,
IF(AND(BN34&lt;VLOOKUP($C32,$C$3:$D$15,2,FALSE)*BO$21,BO33&lt;=VLOOKUP($C32,$C$3:$D$15,2,FALSE)*BO$21),IF(BO33-BN34&lt;0,0,BO33-BN34),
IF(AND(BN34&lt;VLOOKUP($C32,$C$3:$D$15,2,FALSE)*BO$21,BO33&gt;VLOOKUP($C32,$C$3:$D$15,2,FALSE)*BO$21),VLOOKUP($C32,$C$3:$D$15,2,FALSE)*BO$21-BN34)))</f>
        <v>0</v>
      </c>
      <c r="BP32" s="644">
        <f t="shared" ref="BP32" si="785" xml:space="preserve">
IF(BO34&gt;=VLOOKUP($C32,$C$3:$D$15,2,FALSE)*BP$21,0,
IF(AND(BO34&lt;VLOOKUP($C32,$C$3:$D$15,2,FALSE)*BP$21,BP33&lt;=VLOOKUP($C32,$C$3:$D$15,2,FALSE)*BP$21),IF(BP33-BO34&lt;0,0,BP33-BO34),
IF(AND(BO34&lt;VLOOKUP($C32,$C$3:$D$15,2,FALSE)*BP$21,BP33&gt;VLOOKUP($C32,$C$3:$D$15,2,FALSE)*BP$21),VLOOKUP($C32,$C$3:$D$15,2,FALSE)*BP$21-BO34)))</f>
        <v>0</v>
      </c>
      <c r="BQ32" s="644">
        <f t="shared" ref="BQ32" si="786" xml:space="preserve">
IF(BP34&gt;=VLOOKUP($C32,$C$3:$D$15,2,FALSE)*BQ$21,0,
IF(AND(BP34&lt;VLOOKUP($C32,$C$3:$D$15,2,FALSE)*BQ$21,BQ33&lt;=VLOOKUP($C32,$C$3:$D$15,2,FALSE)*BQ$21),IF(BQ33-BP34&lt;0,0,BQ33-BP34),
IF(AND(BP34&lt;VLOOKUP($C32,$C$3:$D$15,2,FALSE)*BQ$21,BQ33&gt;VLOOKUP($C32,$C$3:$D$15,2,FALSE)*BQ$21),VLOOKUP($C32,$C$3:$D$15,2,FALSE)*BQ$21-BP34)))</f>
        <v>0</v>
      </c>
      <c r="BR32" s="644">
        <f t="shared" ref="BR32" si="787" xml:space="preserve">
IF(BQ34&gt;=VLOOKUP($C32,$C$3:$D$15,2,FALSE)*BR$21,0,
IF(AND(BQ34&lt;VLOOKUP($C32,$C$3:$D$15,2,FALSE)*BR$21,BR33&lt;=VLOOKUP($C32,$C$3:$D$15,2,FALSE)*BR$21),IF(BR33-BQ34&lt;0,0,BR33-BQ34),
IF(AND(BQ34&lt;VLOOKUP($C32,$C$3:$D$15,2,FALSE)*BR$21,BR33&gt;VLOOKUP($C32,$C$3:$D$15,2,FALSE)*BR$21),VLOOKUP($C32,$C$3:$D$15,2,FALSE)*BR$21-BQ34)))</f>
        <v>0</v>
      </c>
      <c r="BS32" s="644">
        <f t="shared" ref="BS32" si="788" xml:space="preserve">
IF(BR34&gt;=VLOOKUP($C32,$C$3:$D$15,2,FALSE)*BS$21,0,
IF(AND(BR34&lt;VLOOKUP($C32,$C$3:$D$15,2,FALSE)*BS$21,BS33&lt;=VLOOKUP($C32,$C$3:$D$15,2,FALSE)*BS$21),IF(BS33-BR34&lt;0,0,BS33-BR34),
IF(AND(BR34&lt;VLOOKUP($C32,$C$3:$D$15,2,FALSE)*BS$21,BS33&gt;VLOOKUP($C32,$C$3:$D$15,2,FALSE)*BS$21),VLOOKUP($C32,$C$3:$D$15,2,FALSE)*BS$21-BR34)))</f>
        <v>0</v>
      </c>
      <c r="BT32" s="644">
        <f t="shared" ref="BT32" si="789" xml:space="preserve">
IF(BS34&gt;=VLOOKUP($C32,$C$3:$D$15,2,FALSE)*BT$21,0,
IF(AND(BS34&lt;VLOOKUP($C32,$C$3:$D$15,2,FALSE)*BT$21,BT33&lt;=VLOOKUP($C32,$C$3:$D$15,2,FALSE)*BT$21),IF(BT33-BS34&lt;0,0,BT33-BS34),
IF(AND(BS34&lt;VLOOKUP($C32,$C$3:$D$15,2,FALSE)*BT$21,BT33&gt;VLOOKUP($C32,$C$3:$D$15,2,FALSE)*BT$21),VLOOKUP($C32,$C$3:$D$15,2,FALSE)*BT$21-BS34)))</f>
        <v>0</v>
      </c>
      <c r="BU32" s="644">
        <f t="shared" ref="BU32" si="790" xml:space="preserve">
IF(BT34&gt;=VLOOKUP($C32,$C$3:$D$15,2,FALSE)*BU$21,0,
IF(AND(BT34&lt;VLOOKUP($C32,$C$3:$D$15,2,FALSE)*BU$21,BU33&lt;=VLOOKUP($C32,$C$3:$D$15,2,FALSE)*BU$21),IF(BU33-BT34&lt;0,0,BU33-BT34),
IF(AND(BT34&lt;VLOOKUP($C32,$C$3:$D$15,2,FALSE)*BU$21,BU33&gt;VLOOKUP($C32,$C$3:$D$15,2,FALSE)*BU$21),VLOOKUP($C32,$C$3:$D$15,2,FALSE)*BU$21-BT34)))</f>
        <v>0</v>
      </c>
      <c r="BV32" s="644">
        <f t="shared" ref="BV32" si="791" xml:space="preserve">
IF(BU34&gt;=VLOOKUP($C32,$C$3:$D$15,2,FALSE)*BV$21,0,
IF(AND(BU34&lt;VLOOKUP($C32,$C$3:$D$15,2,FALSE)*BV$21,BV33&lt;=VLOOKUP($C32,$C$3:$D$15,2,FALSE)*BV$21),IF(BV33-BU34&lt;0,0,BV33-BU34),
IF(AND(BU34&lt;VLOOKUP($C32,$C$3:$D$15,2,FALSE)*BV$21,BV33&gt;VLOOKUP($C32,$C$3:$D$15,2,FALSE)*BV$21),VLOOKUP($C32,$C$3:$D$15,2,FALSE)*BV$21-BU34)))</f>
        <v>0</v>
      </c>
      <c r="BW32" s="644">
        <f t="shared" ref="BW32" si="792" xml:space="preserve">
IF(BV34&gt;=VLOOKUP($C32,$C$3:$D$15,2,FALSE)*BW$21,0,
IF(AND(BV34&lt;VLOOKUP($C32,$C$3:$D$15,2,FALSE)*BW$21,BW33&lt;=VLOOKUP($C32,$C$3:$D$15,2,FALSE)*BW$21),IF(BW33-BV34&lt;0,0,BW33-BV34),
IF(AND(BV34&lt;VLOOKUP($C32,$C$3:$D$15,2,FALSE)*BW$21,BW33&gt;VLOOKUP($C32,$C$3:$D$15,2,FALSE)*BW$21),VLOOKUP($C32,$C$3:$D$15,2,FALSE)*BW$21-BV34)))</f>
        <v>0</v>
      </c>
      <c r="BX32" s="644">
        <f t="shared" ref="BX32" si="793" xml:space="preserve">
IF(BW34&gt;=VLOOKUP($C32,$C$3:$D$15,2,FALSE)*BX$21,0,
IF(AND(BW34&lt;VLOOKUP($C32,$C$3:$D$15,2,FALSE)*BX$21,BX33&lt;=VLOOKUP($C32,$C$3:$D$15,2,FALSE)*BX$21),IF(BX33-BW34&lt;0,0,BX33-BW34),
IF(AND(BW34&lt;VLOOKUP($C32,$C$3:$D$15,2,FALSE)*BX$21,BX33&gt;VLOOKUP($C32,$C$3:$D$15,2,FALSE)*BX$21),VLOOKUP($C32,$C$3:$D$15,2,FALSE)*BX$21-BW34)))</f>
        <v>0</v>
      </c>
      <c r="BY32" s="644">
        <f t="shared" ref="BY32" si="794" xml:space="preserve">
IF(BX34&gt;=VLOOKUP($C32,$C$3:$D$15,2,FALSE)*BY$21,0,
IF(AND(BX34&lt;VLOOKUP($C32,$C$3:$D$15,2,FALSE)*BY$21,BY33&lt;=VLOOKUP($C32,$C$3:$D$15,2,FALSE)*BY$21),IF(BY33-BX34&lt;0,0,BY33-BX34),
IF(AND(BX34&lt;VLOOKUP($C32,$C$3:$D$15,2,FALSE)*BY$21,BY33&gt;VLOOKUP($C32,$C$3:$D$15,2,FALSE)*BY$21),VLOOKUP($C32,$C$3:$D$15,2,FALSE)*BY$21-BX34)))</f>
        <v>0</v>
      </c>
      <c r="BZ32" s="644">
        <f t="shared" ref="BZ32" si="795" xml:space="preserve">
IF(BY34&gt;=VLOOKUP($C32,$C$3:$D$15,2,FALSE)*BZ$21,0,
IF(AND(BY34&lt;VLOOKUP($C32,$C$3:$D$15,2,FALSE)*BZ$21,BZ33&lt;=VLOOKUP($C32,$C$3:$D$15,2,FALSE)*BZ$21),IF(BZ33-BY34&lt;0,0,BZ33-BY34),
IF(AND(BY34&lt;VLOOKUP($C32,$C$3:$D$15,2,FALSE)*BZ$21,BZ33&gt;VLOOKUP($C32,$C$3:$D$15,2,FALSE)*BZ$21),VLOOKUP($C32,$C$3:$D$15,2,FALSE)*BZ$21-BY34)))</f>
        <v>0</v>
      </c>
      <c r="CA32" s="644">
        <f t="shared" ref="CA32" si="796" xml:space="preserve">
IF(BZ34&gt;=VLOOKUP($C32,$C$3:$D$15,2,FALSE)*CA$21,0,
IF(AND(BZ34&lt;VLOOKUP($C32,$C$3:$D$15,2,FALSE)*CA$21,CA33&lt;=VLOOKUP($C32,$C$3:$D$15,2,FALSE)*CA$21),IF(CA33-BZ34&lt;0,0,CA33-BZ34),
IF(AND(BZ34&lt;VLOOKUP($C32,$C$3:$D$15,2,FALSE)*CA$21,CA33&gt;VLOOKUP($C32,$C$3:$D$15,2,FALSE)*CA$21),VLOOKUP($C32,$C$3:$D$15,2,FALSE)*CA$21-BZ34)))</f>
        <v>0</v>
      </c>
      <c r="CB32" s="644">
        <f t="shared" ref="CB32" si="797" xml:space="preserve">
IF(CA34&gt;=VLOOKUP($C32,$C$3:$D$15,2,FALSE)*CB$21,0,
IF(AND(CA34&lt;VLOOKUP($C32,$C$3:$D$15,2,FALSE)*CB$21,CB33&lt;=VLOOKUP($C32,$C$3:$D$15,2,FALSE)*CB$21),IF(CB33-CA34&lt;0,0,CB33-CA34),
IF(AND(CA34&lt;VLOOKUP($C32,$C$3:$D$15,2,FALSE)*CB$21,CB33&gt;VLOOKUP($C32,$C$3:$D$15,2,FALSE)*CB$21),VLOOKUP($C32,$C$3:$D$15,2,FALSE)*CB$21-CA34)))</f>
        <v>0</v>
      </c>
      <c r="CC32" s="644">
        <f t="shared" ref="CC32" si="798" xml:space="preserve">
IF(CB34&gt;=VLOOKUP($C32,$C$3:$D$15,2,FALSE)*CC$21,0,
IF(AND(CB34&lt;VLOOKUP($C32,$C$3:$D$15,2,FALSE)*CC$21,CC33&lt;=VLOOKUP($C32,$C$3:$D$15,2,FALSE)*CC$21),IF(CC33-CB34&lt;0,0,CC33-CB34),
IF(AND(CB34&lt;VLOOKUP($C32,$C$3:$D$15,2,FALSE)*CC$21,CC33&gt;VLOOKUP($C32,$C$3:$D$15,2,FALSE)*CC$21),VLOOKUP($C32,$C$3:$D$15,2,FALSE)*CC$21-CB34)))</f>
        <v>0</v>
      </c>
      <c r="CD32" s="644">
        <f t="shared" ref="CD32" si="799" xml:space="preserve">
IF(CC34&gt;=VLOOKUP($C32,$C$3:$D$15,2,FALSE)*CD$21,0,
IF(AND(CC34&lt;VLOOKUP($C32,$C$3:$D$15,2,FALSE)*CD$21,CD33&lt;=VLOOKUP($C32,$C$3:$D$15,2,FALSE)*CD$21),IF(CD33-CC34&lt;0,0,CD33-CC34),
IF(AND(CC34&lt;VLOOKUP($C32,$C$3:$D$15,2,FALSE)*CD$21,CD33&gt;VLOOKUP($C32,$C$3:$D$15,2,FALSE)*CD$21),VLOOKUP($C32,$C$3:$D$15,2,FALSE)*CD$21-CC34)))</f>
        <v>0</v>
      </c>
      <c r="CE32" s="644">
        <f t="shared" ref="CE32" si="800" xml:space="preserve">
IF(CD34&gt;=VLOOKUP($C32,$C$3:$D$15,2,FALSE)*CE$21,0,
IF(AND(CD34&lt;VLOOKUP($C32,$C$3:$D$15,2,FALSE)*CE$21,CE33&lt;=VLOOKUP($C32,$C$3:$D$15,2,FALSE)*CE$21),IF(CE33-CD34&lt;0,0,CE33-CD34),
IF(AND(CD34&lt;VLOOKUP($C32,$C$3:$D$15,2,FALSE)*CE$21,CE33&gt;VLOOKUP($C32,$C$3:$D$15,2,FALSE)*CE$21),VLOOKUP($C32,$C$3:$D$15,2,FALSE)*CE$21-CD34)))</f>
        <v>0</v>
      </c>
      <c r="CF32" s="644">
        <f t="shared" ref="CF32" si="801" xml:space="preserve">
IF(CE34&gt;=VLOOKUP($C32,$C$3:$D$15,2,FALSE)*CF$21,0,
IF(AND(CE34&lt;VLOOKUP($C32,$C$3:$D$15,2,FALSE)*CF$21,CF33&lt;=VLOOKUP($C32,$C$3:$D$15,2,FALSE)*CF$21),IF(CF33-CE34&lt;0,0,CF33-CE34),
IF(AND(CE34&lt;VLOOKUP($C32,$C$3:$D$15,2,FALSE)*CF$21,CF33&gt;VLOOKUP($C32,$C$3:$D$15,2,FALSE)*CF$21),VLOOKUP($C32,$C$3:$D$15,2,FALSE)*CF$21-CE34)))</f>
        <v>0</v>
      </c>
      <c r="CG32" s="644">
        <f t="shared" ref="CG32" si="802" xml:space="preserve">
IF(CF34&gt;=VLOOKUP($C32,$C$3:$D$15,2,FALSE)*CG$21,0,
IF(AND(CF34&lt;VLOOKUP($C32,$C$3:$D$15,2,FALSE)*CG$21,CG33&lt;=VLOOKUP($C32,$C$3:$D$15,2,FALSE)*CG$21),IF(CG33-CF34&lt;0,0,CG33-CF34),
IF(AND(CF34&lt;VLOOKUP($C32,$C$3:$D$15,2,FALSE)*CG$21,CG33&gt;VLOOKUP($C32,$C$3:$D$15,2,FALSE)*CG$21),VLOOKUP($C32,$C$3:$D$15,2,FALSE)*CG$21-CF34)))</f>
        <v>0</v>
      </c>
      <c r="CH32" s="644">
        <f t="shared" ref="CH32" si="803" xml:space="preserve">
IF(CG34&gt;=VLOOKUP($C32,$C$3:$D$15,2,FALSE)*CH$21,0,
IF(AND(CG34&lt;VLOOKUP($C32,$C$3:$D$15,2,FALSE)*CH$21,CH33&lt;=VLOOKUP($C32,$C$3:$D$15,2,FALSE)*CH$21),IF(CH33-CG34&lt;0,0,CH33-CG34),
IF(AND(CG34&lt;VLOOKUP($C32,$C$3:$D$15,2,FALSE)*CH$21,CH33&gt;VLOOKUP($C32,$C$3:$D$15,2,FALSE)*CH$21),VLOOKUP($C32,$C$3:$D$15,2,FALSE)*CH$21-CG34)))</f>
        <v>0</v>
      </c>
      <c r="CI32" s="644">
        <f t="shared" ref="CI32" si="804" xml:space="preserve">
IF(CH34&gt;=VLOOKUP($C32,$C$3:$D$15,2,FALSE)*CI$21,0,
IF(AND(CH34&lt;VLOOKUP($C32,$C$3:$D$15,2,FALSE)*CI$21,CI33&lt;=VLOOKUP($C32,$C$3:$D$15,2,FALSE)*CI$21),IF(CI33-CH34&lt;0,0,CI33-CH34),
IF(AND(CH34&lt;VLOOKUP($C32,$C$3:$D$15,2,FALSE)*CI$21,CI33&gt;VLOOKUP($C32,$C$3:$D$15,2,FALSE)*CI$21),VLOOKUP($C32,$C$3:$D$15,2,FALSE)*CI$21-CH34)))</f>
        <v>0</v>
      </c>
      <c r="CJ32" s="644">
        <f t="shared" ref="CJ32" si="805" xml:space="preserve">
IF(CI34&gt;=VLOOKUP($C32,$C$3:$D$15,2,FALSE)*CJ$21,0,
IF(AND(CI34&lt;VLOOKUP($C32,$C$3:$D$15,2,FALSE)*CJ$21,CJ33&lt;=VLOOKUP($C32,$C$3:$D$15,2,FALSE)*CJ$21),IF(CJ33-CI34&lt;0,0,CJ33-CI34),
IF(AND(CI34&lt;VLOOKUP($C32,$C$3:$D$15,2,FALSE)*CJ$21,CJ33&gt;VLOOKUP($C32,$C$3:$D$15,2,FALSE)*CJ$21),VLOOKUP($C32,$C$3:$D$15,2,FALSE)*CJ$21-CI34)))</f>
        <v>0</v>
      </c>
      <c r="CK32" s="644">
        <f t="shared" ref="CK32" si="806" xml:space="preserve">
IF(CJ34&gt;=VLOOKUP($C32,$C$3:$D$15,2,FALSE)*CK$21,0,
IF(AND(CJ34&lt;VLOOKUP($C32,$C$3:$D$15,2,FALSE)*CK$21,CK33&lt;=VLOOKUP($C32,$C$3:$D$15,2,FALSE)*CK$21),IF(CK33-CJ34&lt;0,0,CK33-CJ34),
IF(AND(CJ34&lt;VLOOKUP($C32,$C$3:$D$15,2,FALSE)*CK$21,CK33&gt;VLOOKUP($C32,$C$3:$D$15,2,FALSE)*CK$21),VLOOKUP($C32,$C$3:$D$15,2,FALSE)*CK$21-CJ34)))</f>
        <v>0</v>
      </c>
      <c r="CL32" s="644">
        <f t="shared" ref="CL32" si="807" xml:space="preserve">
IF(CK34&gt;=VLOOKUP($C32,$C$3:$D$15,2,FALSE)*CL$21,0,
IF(AND(CK34&lt;VLOOKUP($C32,$C$3:$D$15,2,FALSE)*CL$21,CL33&lt;=VLOOKUP($C32,$C$3:$D$15,2,FALSE)*CL$21),IF(CL33-CK34&lt;0,0,CL33-CK34),
IF(AND(CK34&lt;VLOOKUP($C32,$C$3:$D$15,2,FALSE)*CL$21,CL33&gt;VLOOKUP($C32,$C$3:$D$15,2,FALSE)*CL$21),VLOOKUP($C32,$C$3:$D$15,2,FALSE)*CL$21-CK34)))</f>
        <v>0</v>
      </c>
      <c r="CM32" s="644">
        <f t="shared" ref="CM32" si="808" xml:space="preserve">
IF(CL34&gt;=VLOOKUP($C32,$C$3:$D$15,2,FALSE)*CM$21,0,
IF(AND(CL34&lt;VLOOKUP($C32,$C$3:$D$15,2,FALSE)*CM$21,CM33&lt;=VLOOKUP($C32,$C$3:$D$15,2,FALSE)*CM$21),IF(CM33-CL34&lt;0,0,CM33-CL34),
IF(AND(CL34&lt;VLOOKUP($C32,$C$3:$D$15,2,FALSE)*CM$21,CM33&gt;VLOOKUP($C32,$C$3:$D$15,2,FALSE)*CM$21),VLOOKUP($C32,$C$3:$D$15,2,FALSE)*CM$21-CL34)))</f>
        <v>0</v>
      </c>
      <c r="CN32" s="644">
        <f t="shared" ref="CN32" si="809" xml:space="preserve">
IF(CM34&gt;=VLOOKUP($C32,$C$3:$D$15,2,FALSE)*CN$21,0,
IF(AND(CM34&lt;VLOOKUP($C32,$C$3:$D$15,2,FALSE)*CN$21,CN33&lt;=VLOOKUP($C32,$C$3:$D$15,2,FALSE)*CN$21),IF(CN33-CM34&lt;0,0,CN33-CM34),
IF(AND(CM34&lt;VLOOKUP($C32,$C$3:$D$15,2,FALSE)*CN$21,CN33&gt;VLOOKUP($C32,$C$3:$D$15,2,FALSE)*CN$21),VLOOKUP($C32,$C$3:$D$15,2,FALSE)*CN$21-CM34)))</f>
        <v>0</v>
      </c>
      <c r="CO32" s="644">
        <f t="shared" ref="CO32" si="810" xml:space="preserve">
IF(CN34&gt;=VLOOKUP($C32,$C$3:$D$15,2,FALSE)*CO$21,0,
IF(AND(CN34&lt;VLOOKUP($C32,$C$3:$D$15,2,FALSE)*CO$21,CO33&lt;=VLOOKUP($C32,$C$3:$D$15,2,FALSE)*CO$21),IF(CO33-CN34&lt;0,0,CO33-CN34),
IF(AND(CN34&lt;VLOOKUP($C32,$C$3:$D$15,2,FALSE)*CO$21,CO33&gt;VLOOKUP($C32,$C$3:$D$15,2,FALSE)*CO$21),VLOOKUP($C32,$C$3:$D$15,2,FALSE)*CO$21-CN34)))</f>
        <v>0</v>
      </c>
      <c r="CP32" s="644">
        <f t="shared" ref="CP32" si="811" xml:space="preserve">
IF(CO34&gt;=VLOOKUP($C32,$C$3:$D$15,2,FALSE)*CP$21,0,
IF(AND(CO34&lt;VLOOKUP($C32,$C$3:$D$15,2,FALSE)*CP$21,CP33&lt;=VLOOKUP($C32,$C$3:$D$15,2,FALSE)*CP$21),IF(CP33-CO34&lt;0,0,CP33-CO34),
IF(AND(CO34&lt;VLOOKUP($C32,$C$3:$D$15,2,FALSE)*CP$21,CP33&gt;VLOOKUP($C32,$C$3:$D$15,2,FALSE)*CP$21),VLOOKUP($C32,$C$3:$D$15,2,FALSE)*CP$21-CO34)))</f>
        <v>0</v>
      </c>
      <c r="CQ32" s="644">
        <f t="shared" ref="CQ32" si="812" xml:space="preserve">
IF(CP34&gt;=VLOOKUP($C32,$C$3:$D$15,2,FALSE)*CQ$21,0,
IF(AND(CP34&lt;VLOOKUP($C32,$C$3:$D$15,2,FALSE)*CQ$21,CQ33&lt;=VLOOKUP($C32,$C$3:$D$15,2,FALSE)*CQ$21),IF(CQ33-CP34&lt;0,0,CQ33-CP34),
IF(AND(CP34&lt;VLOOKUP($C32,$C$3:$D$15,2,FALSE)*CQ$21,CQ33&gt;VLOOKUP($C32,$C$3:$D$15,2,FALSE)*CQ$21),VLOOKUP($C32,$C$3:$D$15,2,FALSE)*CQ$21-CP34)))</f>
        <v>0</v>
      </c>
      <c r="CR32" s="644">
        <f t="shared" ref="CR32" si="813" xml:space="preserve">
IF(CQ34&gt;=VLOOKUP($C32,$C$3:$D$15,2,FALSE)*CR$21,0,
IF(AND(CQ34&lt;VLOOKUP($C32,$C$3:$D$15,2,FALSE)*CR$21,CR33&lt;=VLOOKUP($C32,$C$3:$D$15,2,FALSE)*CR$21),IF(CR33-CQ34&lt;0,0,CR33-CQ34),
IF(AND(CQ34&lt;VLOOKUP($C32,$C$3:$D$15,2,FALSE)*CR$21,CR33&gt;VLOOKUP($C32,$C$3:$D$15,2,FALSE)*CR$21),VLOOKUP($C32,$C$3:$D$15,2,FALSE)*CR$21-CQ34)))</f>
        <v>0</v>
      </c>
      <c r="CS32" s="644">
        <f t="shared" ref="CS32" si="814" xml:space="preserve">
IF(CR34&gt;=VLOOKUP($C32,$C$3:$D$15,2,FALSE)*CS$21,0,
IF(AND(CR34&lt;VLOOKUP($C32,$C$3:$D$15,2,FALSE)*CS$21,CS33&lt;=VLOOKUP($C32,$C$3:$D$15,2,FALSE)*CS$21),IF(CS33-CR34&lt;0,0,CS33-CR34),
IF(AND(CR34&lt;VLOOKUP($C32,$C$3:$D$15,2,FALSE)*CS$21,CS33&gt;VLOOKUP($C32,$C$3:$D$15,2,FALSE)*CS$21),VLOOKUP($C32,$C$3:$D$15,2,FALSE)*CS$21-CR34)))</f>
        <v>0</v>
      </c>
      <c r="CT32" s="644">
        <f t="shared" ref="CT32" si="815" xml:space="preserve">
IF(CS34&gt;=VLOOKUP($C32,$C$3:$D$15,2,FALSE)*CT$21,0,
IF(AND(CS34&lt;VLOOKUP($C32,$C$3:$D$15,2,FALSE)*CT$21,CT33&lt;=VLOOKUP($C32,$C$3:$D$15,2,FALSE)*CT$21),IF(CT33-CS34&lt;0,0,CT33-CS34),
IF(AND(CS34&lt;VLOOKUP($C32,$C$3:$D$15,2,FALSE)*CT$21,CT33&gt;VLOOKUP($C32,$C$3:$D$15,2,FALSE)*CT$21),VLOOKUP($C32,$C$3:$D$15,2,FALSE)*CT$21-CS34)))</f>
        <v>0</v>
      </c>
      <c r="CU32" s="644">
        <f t="shared" ref="CU32" si="816" xml:space="preserve">
IF(CT34&gt;=VLOOKUP($C32,$C$3:$D$15,2,FALSE)*CU$21,0,
IF(AND(CT34&lt;VLOOKUP($C32,$C$3:$D$15,2,FALSE)*CU$21,CU33&lt;=VLOOKUP($C32,$C$3:$D$15,2,FALSE)*CU$21),IF(CU33-CT34&lt;0,0,CU33-CT34),
IF(AND(CT34&lt;VLOOKUP($C32,$C$3:$D$15,2,FALSE)*CU$21,CU33&gt;VLOOKUP($C32,$C$3:$D$15,2,FALSE)*CU$21),VLOOKUP($C32,$C$3:$D$15,2,FALSE)*CU$21-CT34)))</f>
        <v>0</v>
      </c>
      <c r="CV32" s="644">
        <f t="shared" ref="CV32" si="817" xml:space="preserve">
IF(CU34&gt;=VLOOKUP($C32,$C$3:$D$15,2,FALSE)*CV$21,0,
IF(AND(CU34&lt;VLOOKUP($C32,$C$3:$D$15,2,FALSE)*CV$21,CV33&lt;=VLOOKUP($C32,$C$3:$D$15,2,FALSE)*CV$21),IF(CV33-CU34&lt;0,0,CV33-CU34),
IF(AND(CU34&lt;VLOOKUP($C32,$C$3:$D$15,2,FALSE)*CV$21,CV33&gt;VLOOKUP($C32,$C$3:$D$15,2,FALSE)*CV$21),VLOOKUP($C32,$C$3:$D$15,2,FALSE)*CV$21-CU34)))</f>
        <v>0</v>
      </c>
      <c r="CW32" s="644">
        <f t="shared" ref="CW32" si="818" xml:space="preserve">
IF(CV34&gt;=VLOOKUP($C32,$C$3:$D$15,2,FALSE)*CW$21,0,
IF(AND(CV34&lt;VLOOKUP($C32,$C$3:$D$15,2,FALSE)*CW$21,CW33&lt;=VLOOKUP($C32,$C$3:$D$15,2,FALSE)*CW$21),IF(CW33-CV34&lt;0,0,CW33-CV34),
IF(AND(CV34&lt;VLOOKUP($C32,$C$3:$D$15,2,FALSE)*CW$21,CW33&gt;VLOOKUP($C32,$C$3:$D$15,2,FALSE)*CW$21),VLOOKUP($C32,$C$3:$D$15,2,FALSE)*CW$21-CV34)))</f>
        <v>0</v>
      </c>
      <c r="CX32" s="644">
        <f t="shared" ref="CX32" si="819" xml:space="preserve">
IF(CW34&gt;=VLOOKUP($C32,$C$3:$D$15,2,FALSE)*CX$21,0,
IF(AND(CW34&lt;VLOOKUP($C32,$C$3:$D$15,2,FALSE)*CX$21,CX33&lt;=VLOOKUP($C32,$C$3:$D$15,2,FALSE)*CX$21),IF(CX33-CW34&lt;0,0,CX33-CW34),
IF(AND(CW34&lt;VLOOKUP($C32,$C$3:$D$15,2,FALSE)*CX$21,CX33&gt;VLOOKUP($C32,$C$3:$D$15,2,FALSE)*CX$21),VLOOKUP($C32,$C$3:$D$15,2,FALSE)*CX$21-CW34)))</f>
        <v>0</v>
      </c>
      <c r="CY32" s="644">
        <f t="shared" ref="CY32" si="820" xml:space="preserve">
IF(CX34&gt;=VLOOKUP($C32,$C$3:$D$15,2,FALSE)*CY$21,0,
IF(AND(CX34&lt;VLOOKUP($C32,$C$3:$D$15,2,FALSE)*CY$21,CY33&lt;=VLOOKUP($C32,$C$3:$D$15,2,FALSE)*CY$21),IF(CY33-CX34&lt;0,0,CY33-CX34),
IF(AND(CX34&lt;VLOOKUP($C32,$C$3:$D$15,2,FALSE)*CY$21,CY33&gt;VLOOKUP($C32,$C$3:$D$15,2,FALSE)*CY$21),VLOOKUP($C32,$C$3:$D$15,2,FALSE)*CY$21-CX34)))</f>
        <v>0</v>
      </c>
      <c r="CZ32" s="644">
        <f t="shared" ref="CZ32" si="821" xml:space="preserve">
IF(CY34&gt;=VLOOKUP($C32,$C$3:$D$15,2,FALSE)*CZ$21,0,
IF(AND(CY34&lt;VLOOKUP($C32,$C$3:$D$15,2,FALSE)*CZ$21,CZ33&lt;=VLOOKUP($C32,$C$3:$D$15,2,FALSE)*CZ$21),IF(CZ33-CY34&lt;0,0,CZ33-CY34),
IF(AND(CY34&lt;VLOOKUP($C32,$C$3:$D$15,2,FALSE)*CZ$21,CZ33&gt;VLOOKUP($C32,$C$3:$D$15,2,FALSE)*CZ$21),VLOOKUP($C32,$C$3:$D$15,2,FALSE)*CZ$21-CY34)))</f>
        <v>0</v>
      </c>
      <c r="DA32" s="644">
        <f t="shared" ref="DA32" si="822" xml:space="preserve">
IF(CZ34&gt;=VLOOKUP($C32,$C$3:$D$15,2,FALSE)*DA$21,0,
IF(AND(CZ34&lt;VLOOKUP($C32,$C$3:$D$15,2,FALSE)*DA$21,DA33&lt;=VLOOKUP($C32,$C$3:$D$15,2,FALSE)*DA$21),IF(DA33-CZ34&lt;0,0,DA33-CZ34),
IF(AND(CZ34&lt;VLOOKUP($C32,$C$3:$D$15,2,FALSE)*DA$21,DA33&gt;VLOOKUP($C32,$C$3:$D$15,2,FALSE)*DA$21),VLOOKUP($C32,$C$3:$D$15,2,FALSE)*DA$21-CZ34)))</f>
        <v>0</v>
      </c>
      <c r="DB32" s="644">
        <f t="shared" ref="DB32" si="823" xml:space="preserve">
IF(DA34&gt;=VLOOKUP($C32,$C$3:$D$15,2,FALSE)*DB$21,0,
IF(AND(DA34&lt;VLOOKUP($C32,$C$3:$D$15,2,FALSE)*DB$21,DB33&lt;=VLOOKUP($C32,$C$3:$D$15,2,FALSE)*DB$21),IF(DB33-DA34&lt;0,0,DB33-DA34),
IF(AND(DA34&lt;VLOOKUP($C32,$C$3:$D$15,2,FALSE)*DB$21,DB33&gt;VLOOKUP($C32,$C$3:$D$15,2,FALSE)*DB$21),VLOOKUP($C32,$C$3:$D$15,2,FALSE)*DB$21-DA34)))</f>
        <v>0</v>
      </c>
      <c r="DC32" s="644">
        <f t="shared" ref="DC32" si="824" xml:space="preserve">
IF(DB34&gt;=VLOOKUP($C32,$C$3:$D$15,2,FALSE)*DC$21,0,
IF(AND(DB34&lt;VLOOKUP($C32,$C$3:$D$15,2,FALSE)*DC$21,DC33&lt;=VLOOKUP($C32,$C$3:$D$15,2,FALSE)*DC$21),IF(DC33-DB34&lt;0,0,DC33-DB34),
IF(AND(DB34&lt;VLOOKUP($C32,$C$3:$D$15,2,FALSE)*DC$21,DC33&gt;VLOOKUP($C32,$C$3:$D$15,2,FALSE)*DC$21),VLOOKUP($C32,$C$3:$D$15,2,FALSE)*DC$21-DB34)))</f>
        <v>0</v>
      </c>
      <c r="DD32" s="644">
        <f t="shared" ref="DD32" si="825" xml:space="preserve">
IF(DC34&gt;=VLOOKUP($C32,$C$3:$D$15,2,FALSE)*DD$21,0,
IF(AND(DC34&lt;VLOOKUP($C32,$C$3:$D$15,2,FALSE)*DD$21,DD33&lt;=VLOOKUP($C32,$C$3:$D$15,2,FALSE)*DD$21),IF(DD33-DC34&lt;0,0,DD33-DC34),
IF(AND(DC34&lt;VLOOKUP($C32,$C$3:$D$15,2,FALSE)*DD$21,DD33&gt;VLOOKUP($C32,$C$3:$D$15,2,FALSE)*DD$21),VLOOKUP($C32,$C$3:$D$15,2,FALSE)*DD$21-DC34)))</f>
        <v>0</v>
      </c>
      <c r="DE32" s="644">
        <f t="shared" ref="DE32" si="826" xml:space="preserve">
IF(DD34&gt;=VLOOKUP($C32,$C$3:$D$15,2,FALSE)*DE$21,0,
IF(AND(DD34&lt;VLOOKUP($C32,$C$3:$D$15,2,FALSE)*DE$21,DE33&lt;=VLOOKUP($C32,$C$3:$D$15,2,FALSE)*DE$21),IF(DE33-DD34&lt;0,0,DE33-DD34),
IF(AND(DD34&lt;VLOOKUP($C32,$C$3:$D$15,2,FALSE)*DE$21,DE33&gt;VLOOKUP($C32,$C$3:$D$15,2,FALSE)*DE$21),VLOOKUP($C32,$C$3:$D$15,2,FALSE)*DE$21-DD34)))</f>
        <v>0</v>
      </c>
      <c r="DF32" s="644">
        <f t="shared" ref="DF32" si="827" xml:space="preserve">
IF(DE34&gt;=VLOOKUP($C32,$C$3:$D$15,2,FALSE)*DF$21,0,
IF(AND(DE34&lt;VLOOKUP($C32,$C$3:$D$15,2,FALSE)*DF$21,DF33&lt;=VLOOKUP($C32,$C$3:$D$15,2,FALSE)*DF$21),IF(DF33-DE34&lt;0,0,DF33-DE34),
IF(AND(DE34&lt;VLOOKUP($C32,$C$3:$D$15,2,FALSE)*DF$21,DF33&gt;VLOOKUP($C32,$C$3:$D$15,2,FALSE)*DF$21),VLOOKUP($C32,$C$3:$D$15,2,FALSE)*DF$21-DE34)))</f>
        <v>0</v>
      </c>
      <c r="DG32" s="644">
        <f t="shared" ref="DG32" si="828" xml:space="preserve">
IF(DF34&gt;=VLOOKUP($C32,$C$3:$D$15,2,FALSE)*DG$21,0,
IF(AND(DF34&lt;VLOOKUP($C32,$C$3:$D$15,2,FALSE)*DG$21,DG33&lt;=VLOOKUP($C32,$C$3:$D$15,2,FALSE)*DG$21),IF(DG33-DF34&lt;0,0,DG33-DF34),
IF(AND(DF34&lt;VLOOKUP($C32,$C$3:$D$15,2,FALSE)*DG$21,DG33&gt;VLOOKUP($C32,$C$3:$D$15,2,FALSE)*DG$21),VLOOKUP($C32,$C$3:$D$15,2,FALSE)*DG$21-DF34)))</f>
        <v>0</v>
      </c>
      <c r="DH32" s="644">
        <f t="shared" ref="DH32" si="829" xml:space="preserve">
IF(DG34&gt;=VLOOKUP($C32,$C$3:$D$15,2,FALSE)*DH$21,0,
IF(AND(DG34&lt;VLOOKUP($C32,$C$3:$D$15,2,FALSE)*DH$21,DH33&lt;=VLOOKUP($C32,$C$3:$D$15,2,FALSE)*DH$21),IF(DH33-DG34&lt;0,0,DH33-DG34),
IF(AND(DG34&lt;VLOOKUP($C32,$C$3:$D$15,2,FALSE)*DH$21,DH33&gt;VLOOKUP($C32,$C$3:$D$15,2,FALSE)*DH$21),VLOOKUP($C32,$C$3:$D$15,2,FALSE)*DH$21-DG34)))</f>
        <v>0</v>
      </c>
      <c r="DI32" s="644">
        <f t="shared" ref="DI32" si="830" xml:space="preserve">
IF(DH34&gt;=VLOOKUP($C32,$C$3:$D$15,2,FALSE)*DI$21,0,
IF(AND(DH34&lt;VLOOKUP($C32,$C$3:$D$15,2,FALSE)*DI$21,DI33&lt;=VLOOKUP($C32,$C$3:$D$15,2,FALSE)*DI$21),IF(DI33-DH34&lt;0,0,DI33-DH34),
IF(AND(DH34&lt;VLOOKUP($C32,$C$3:$D$15,2,FALSE)*DI$21,DI33&gt;VLOOKUP($C32,$C$3:$D$15,2,FALSE)*DI$21),VLOOKUP($C32,$C$3:$D$15,2,FALSE)*DI$21-DH34)))</f>
        <v>0</v>
      </c>
      <c r="DJ32" s="644">
        <f t="shared" ref="DJ32" si="831" xml:space="preserve">
IF(DI34&gt;=VLOOKUP($C32,$C$3:$D$15,2,FALSE)*DJ$21,0,
IF(AND(DI34&lt;VLOOKUP($C32,$C$3:$D$15,2,FALSE)*DJ$21,DJ33&lt;=VLOOKUP($C32,$C$3:$D$15,2,FALSE)*DJ$21),IF(DJ33-DI34&lt;0,0,DJ33-DI34),
IF(AND(DI34&lt;VLOOKUP($C32,$C$3:$D$15,2,FALSE)*DJ$21,DJ33&gt;VLOOKUP($C32,$C$3:$D$15,2,FALSE)*DJ$21),VLOOKUP($C32,$C$3:$D$15,2,FALSE)*DJ$21-DI34)))</f>
        <v>0</v>
      </c>
      <c r="DK32" s="644">
        <f t="shared" ref="DK32" si="832" xml:space="preserve">
IF(DJ34&gt;=VLOOKUP($C32,$C$3:$D$15,2,FALSE)*DK$21,0,
IF(AND(DJ34&lt;VLOOKUP($C32,$C$3:$D$15,2,FALSE)*DK$21,DK33&lt;=VLOOKUP($C32,$C$3:$D$15,2,FALSE)*DK$21),IF(DK33-DJ34&lt;0,0,DK33-DJ34),
IF(AND(DJ34&lt;VLOOKUP($C32,$C$3:$D$15,2,FALSE)*DK$21,DK33&gt;VLOOKUP($C32,$C$3:$D$15,2,FALSE)*DK$21),VLOOKUP($C32,$C$3:$D$15,2,FALSE)*DK$21-DJ34)))</f>
        <v>0</v>
      </c>
      <c r="DL32" s="644">
        <f t="shared" ref="DL32" si="833" xml:space="preserve">
IF(DK34&gt;=VLOOKUP($C32,$C$3:$D$15,2,FALSE)*DL$21,0,
IF(AND(DK34&lt;VLOOKUP($C32,$C$3:$D$15,2,FALSE)*DL$21,DL33&lt;=VLOOKUP($C32,$C$3:$D$15,2,FALSE)*DL$21),IF(DL33-DK34&lt;0,0,DL33-DK34),
IF(AND(DK34&lt;VLOOKUP($C32,$C$3:$D$15,2,FALSE)*DL$21,DL33&gt;VLOOKUP($C32,$C$3:$D$15,2,FALSE)*DL$21),VLOOKUP($C32,$C$3:$D$15,2,FALSE)*DL$21-DK34)))</f>
        <v>0</v>
      </c>
      <c r="DM32" s="644">
        <f t="shared" ref="DM32" si="834" xml:space="preserve">
IF(DL34&gt;=VLOOKUP($C32,$C$3:$D$15,2,FALSE)*DM$21,0,
IF(AND(DL34&lt;VLOOKUP($C32,$C$3:$D$15,2,FALSE)*DM$21,DM33&lt;=VLOOKUP($C32,$C$3:$D$15,2,FALSE)*DM$21),IF(DM33-DL34&lt;0,0,DM33-DL34),
IF(AND(DL34&lt;VLOOKUP($C32,$C$3:$D$15,2,FALSE)*DM$21,DM33&gt;VLOOKUP($C32,$C$3:$D$15,2,FALSE)*DM$21),VLOOKUP($C32,$C$3:$D$15,2,FALSE)*DM$21-DL34)))</f>
        <v>0</v>
      </c>
      <c r="DN32" s="644">
        <f t="shared" ref="DN32" si="835" xml:space="preserve">
IF(DM34&gt;=VLOOKUP($C32,$C$3:$D$15,2,FALSE)*DN$21,0,
IF(AND(DM34&lt;VLOOKUP($C32,$C$3:$D$15,2,FALSE)*DN$21,DN33&lt;=VLOOKUP($C32,$C$3:$D$15,2,FALSE)*DN$21),IF(DN33-DM34&lt;0,0,DN33-DM34),
IF(AND(DM34&lt;VLOOKUP($C32,$C$3:$D$15,2,FALSE)*DN$21,DN33&gt;VLOOKUP($C32,$C$3:$D$15,2,FALSE)*DN$21),VLOOKUP($C32,$C$3:$D$15,2,FALSE)*DN$21-DM34)))</f>
        <v>0</v>
      </c>
      <c r="DO32" s="644">
        <f t="shared" ref="DO32" si="836" xml:space="preserve">
IF(DN34&gt;=VLOOKUP($C32,$C$3:$D$15,2,FALSE)*DO$21,0,
IF(AND(DN34&lt;VLOOKUP($C32,$C$3:$D$15,2,FALSE)*DO$21,DO33&lt;=VLOOKUP($C32,$C$3:$D$15,2,FALSE)*DO$21),IF(DO33-DN34&lt;0,0,DO33-DN34),
IF(AND(DN34&lt;VLOOKUP($C32,$C$3:$D$15,2,FALSE)*DO$21,DO33&gt;VLOOKUP($C32,$C$3:$D$15,2,FALSE)*DO$21),VLOOKUP($C32,$C$3:$D$15,2,FALSE)*DO$21-DN34)))</f>
        <v>0</v>
      </c>
      <c r="DP32" s="644">
        <f t="shared" ref="DP32" si="837" xml:space="preserve">
IF(DO34&gt;=VLOOKUP($C32,$C$3:$D$15,2,FALSE)*DP$21,0,
IF(AND(DO34&lt;VLOOKUP($C32,$C$3:$D$15,2,FALSE)*DP$21,DP33&lt;=VLOOKUP($C32,$C$3:$D$15,2,FALSE)*DP$21),IF(DP33-DO34&lt;0,0,DP33-DO34),
IF(AND(DO34&lt;VLOOKUP($C32,$C$3:$D$15,2,FALSE)*DP$21,DP33&gt;VLOOKUP($C32,$C$3:$D$15,2,FALSE)*DP$21),VLOOKUP($C32,$C$3:$D$15,2,FALSE)*DP$21-DO34)))</f>
        <v>0</v>
      </c>
      <c r="DQ32" s="644">
        <f t="shared" ref="DQ32" si="838" xml:space="preserve">
IF(DP34&gt;=VLOOKUP($C32,$C$3:$D$15,2,FALSE)*DQ$21,0,
IF(AND(DP34&lt;VLOOKUP($C32,$C$3:$D$15,2,FALSE)*DQ$21,DQ33&lt;=VLOOKUP($C32,$C$3:$D$15,2,FALSE)*DQ$21),IF(DQ33-DP34&lt;0,0,DQ33-DP34),
IF(AND(DP34&lt;VLOOKUP($C32,$C$3:$D$15,2,FALSE)*DQ$21,DQ33&gt;VLOOKUP($C32,$C$3:$D$15,2,FALSE)*DQ$21),VLOOKUP($C32,$C$3:$D$15,2,FALSE)*DQ$21-DP34)))</f>
        <v>0</v>
      </c>
      <c r="DR32" s="644">
        <f t="shared" ref="DR32" si="839" xml:space="preserve">
IF(DQ34&gt;=VLOOKUP($C32,$C$3:$D$15,2,FALSE)*DR$21,0,
IF(AND(DQ34&lt;VLOOKUP($C32,$C$3:$D$15,2,FALSE)*DR$21,DR33&lt;=VLOOKUP($C32,$C$3:$D$15,2,FALSE)*DR$21),IF(DR33-DQ34&lt;0,0,DR33-DQ34),
IF(AND(DQ34&lt;VLOOKUP($C32,$C$3:$D$15,2,FALSE)*DR$21,DR33&gt;VLOOKUP($C32,$C$3:$D$15,2,FALSE)*DR$21),VLOOKUP($C32,$C$3:$D$15,2,FALSE)*DR$21-DQ34)))</f>
        <v>0</v>
      </c>
      <c r="DS32" s="644">
        <f t="shared" ref="DS32" si="840" xml:space="preserve">
IF(DR34&gt;=VLOOKUP($C32,$C$3:$D$15,2,FALSE)*DS$21,0,
IF(AND(DR34&lt;VLOOKUP($C32,$C$3:$D$15,2,FALSE)*DS$21,DS33&lt;=VLOOKUP($C32,$C$3:$D$15,2,FALSE)*DS$21),IF(DS33-DR34&lt;0,0,DS33-DR34),
IF(AND(DR34&lt;VLOOKUP($C32,$C$3:$D$15,2,FALSE)*DS$21,DS33&gt;VLOOKUP($C32,$C$3:$D$15,2,FALSE)*DS$21),VLOOKUP($C32,$C$3:$D$15,2,FALSE)*DS$21-DR34)))</f>
        <v>0</v>
      </c>
      <c r="DT32" s="644">
        <f t="shared" ref="DT32" si="841" xml:space="preserve">
IF(DS34&gt;=VLOOKUP($C32,$C$3:$D$15,2,FALSE)*DT$21,0,
IF(AND(DS34&lt;VLOOKUP($C32,$C$3:$D$15,2,FALSE)*DT$21,DT33&lt;=VLOOKUP($C32,$C$3:$D$15,2,FALSE)*DT$21),IF(DT33-DS34&lt;0,0,DT33-DS34),
IF(AND(DS34&lt;VLOOKUP($C32,$C$3:$D$15,2,FALSE)*DT$21,DT33&gt;VLOOKUP($C32,$C$3:$D$15,2,FALSE)*DT$21),VLOOKUP($C32,$C$3:$D$15,2,FALSE)*DT$21-DS34)))</f>
        <v>0</v>
      </c>
      <c r="DU32" s="644">
        <f t="shared" ref="DU32" si="842" xml:space="preserve">
IF(DT34&gt;=VLOOKUP($C32,$C$3:$D$15,2,FALSE)*DU$21,0,
IF(AND(DT34&lt;VLOOKUP($C32,$C$3:$D$15,2,FALSE)*DU$21,DU33&lt;=VLOOKUP($C32,$C$3:$D$15,2,FALSE)*DU$21),IF(DU33-DT34&lt;0,0,DU33-DT34),
IF(AND(DT34&lt;VLOOKUP($C32,$C$3:$D$15,2,FALSE)*DU$21,DU33&gt;VLOOKUP($C32,$C$3:$D$15,2,FALSE)*DU$21),VLOOKUP($C32,$C$3:$D$15,2,FALSE)*DU$21-DT34)))</f>
        <v>0</v>
      </c>
      <c r="DV32" s="644">
        <f t="shared" ref="DV32" si="843" xml:space="preserve">
IF(DU34&gt;=VLOOKUP($C32,$C$3:$D$15,2,FALSE)*DV$21,0,
IF(AND(DU34&lt;VLOOKUP($C32,$C$3:$D$15,2,FALSE)*DV$21,DV33&lt;=VLOOKUP($C32,$C$3:$D$15,2,FALSE)*DV$21),IF(DV33-DU34&lt;0,0,DV33-DU34),
IF(AND(DU34&lt;VLOOKUP($C32,$C$3:$D$15,2,FALSE)*DV$21,DV33&gt;VLOOKUP($C32,$C$3:$D$15,2,FALSE)*DV$21),VLOOKUP($C32,$C$3:$D$15,2,FALSE)*DV$21-DU34)))</f>
        <v>0</v>
      </c>
      <c r="DW32" s="644">
        <f t="shared" ref="DW32" si="844" xml:space="preserve">
IF(DV34&gt;=VLOOKUP($C32,$C$3:$D$15,2,FALSE)*DW$21,0,
IF(AND(DV34&lt;VLOOKUP($C32,$C$3:$D$15,2,FALSE)*DW$21,DW33&lt;=VLOOKUP($C32,$C$3:$D$15,2,FALSE)*DW$21),IF(DW33-DV34&lt;0,0,DW33-DV34),
IF(AND(DV34&lt;VLOOKUP($C32,$C$3:$D$15,2,FALSE)*DW$21,DW33&gt;VLOOKUP($C32,$C$3:$D$15,2,FALSE)*DW$21),VLOOKUP($C32,$C$3:$D$15,2,FALSE)*DW$21-DV34)))</f>
        <v>0</v>
      </c>
      <c r="DX32" s="644">
        <f t="shared" ref="DX32" si="845" xml:space="preserve">
IF(DW34&gt;=VLOOKUP($C32,$C$3:$D$15,2,FALSE)*DX$21,0,
IF(AND(DW34&lt;VLOOKUP($C32,$C$3:$D$15,2,FALSE)*DX$21,DX33&lt;=VLOOKUP($C32,$C$3:$D$15,2,FALSE)*DX$21),IF(DX33-DW34&lt;0,0,DX33-DW34),
IF(AND(DW34&lt;VLOOKUP($C32,$C$3:$D$15,2,FALSE)*DX$21,DX33&gt;VLOOKUP($C32,$C$3:$D$15,2,FALSE)*DX$21),VLOOKUP($C32,$C$3:$D$15,2,FALSE)*DX$21-DW34)))</f>
        <v>0</v>
      </c>
      <c r="DY32" s="644">
        <f t="shared" ref="DY32" si="846" xml:space="preserve">
IF(DX34&gt;=VLOOKUP($C32,$C$3:$D$15,2,FALSE)*DY$21,0,
IF(AND(DX34&lt;VLOOKUP($C32,$C$3:$D$15,2,FALSE)*DY$21,DY33&lt;=VLOOKUP($C32,$C$3:$D$15,2,FALSE)*DY$21),IF(DY33-DX34&lt;0,0,DY33-DX34),
IF(AND(DX34&lt;VLOOKUP($C32,$C$3:$D$15,2,FALSE)*DY$21,DY33&gt;VLOOKUP($C32,$C$3:$D$15,2,FALSE)*DY$21),VLOOKUP($C32,$C$3:$D$15,2,FALSE)*DY$21-DX34)))</f>
        <v>0</v>
      </c>
      <c r="DZ32" s="644">
        <f t="shared" ref="DZ32" si="847" xml:space="preserve">
IF(DY34&gt;=VLOOKUP($C32,$C$3:$D$15,2,FALSE)*DZ$21,0,
IF(AND(DY34&lt;VLOOKUP($C32,$C$3:$D$15,2,FALSE)*DZ$21,DZ33&lt;=VLOOKUP($C32,$C$3:$D$15,2,FALSE)*DZ$21),IF(DZ33-DY34&lt;0,0,DZ33-DY34),
IF(AND(DY34&lt;VLOOKUP($C32,$C$3:$D$15,2,FALSE)*DZ$21,DZ33&gt;VLOOKUP($C32,$C$3:$D$15,2,FALSE)*DZ$21),VLOOKUP($C32,$C$3:$D$15,2,FALSE)*DZ$21-DY34)))</f>
        <v>0</v>
      </c>
      <c r="EA32" s="644">
        <f t="shared" ref="EA32" si="848" xml:space="preserve">
IF(DZ34&gt;=VLOOKUP($C32,$C$3:$D$15,2,FALSE)*EA$21,0,
IF(AND(DZ34&lt;VLOOKUP($C32,$C$3:$D$15,2,FALSE)*EA$21,EA33&lt;=VLOOKUP($C32,$C$3:$D$15,2,FALSE)*EA$21),IF(EA33-DZ34&lt;0,0,EA33-DZ34),
IF(AND(DZ34&lt;VLOOKUP($C32,$C$3:$D$15,2,FALSE)*EA$21,EA33&gt;VLOOKUP($C32,$C$3:$D$15,2,FALSE)*EA$21),VLOOKUP($C32,$C$3:$D$15,2,FALSE)*EA$21-DZ34)))</f>
        <v>0</v>
      </c>
      <c r="EB32" s="644">
        <f t="shared" ref="EB32" si="849" xml:space="preserve">
IF(EA34&gt;=VLOOKUP($C32,$C$3:$D$15,2,FALSE)*EB$21,0,
IF(AND(EA34&lt;VLOOKUP($C32,$C$3:$D$15,2,FALSE)*EB$21,EB33&lt;=VLOOKUP($C32,$C$3:$D$15,2,FALSE)*EB$21),IF(EB33-EA34&lt;0,0,EB33-EA34),
IF(AND(EA34&lt;VLOOKUP($C32,$C$3:$D$15,2,FALSE)*EB$21,EB33&gt;VLOOKUP($C32,$C$3:$D$15,2,FALSE)*EB$21),VLOOKUP($C32,$C$3:$D$15,2,FALSE)*EB$21-EA34)))</f>
        <v>0</v>
      </c>
      <c r="EC32" s="644">
        <f t="shared" ref="EC32" si="850" xml:space="preserve">
IF(EB34&gt;=VLOOKUP($C32,$C$3:$D$15,2,FALSE)*EC$21,0,
IF(AND(EB34&lt;VLOOKUP($C32,$C$3:$D$15,2,FALSE)*EC$21,EC33&lt;=VLOOKUP($C32,$C$3:$D$15,2,FALSE)*EC$21),IF(EC33-EB34&lt;0,0,EC33-EB34),
IF(AND(EB34&lt;VLOOKUP($C32,$C$3:$D$15,2,FALSE)*EC$21,EC33&gt;VLOOKUP($C32,$C$3:$D$15,2,FALSE)*EC$21),VLOOKUP($C32,$C$3:$D$15,2,FALSE)*EC$21-EB34)))</f>
        <v>0</v>
      </c>
      <c r="ED32" s="644">
        <f t="shared" ref="ED32" si="851" xml:space="preserve">
IF(EC34&gt;=VLOOKUP($C32,$C$3:$D$15,2,FALSE)*ED$21,0,
IF(AND(EC34&lt;VLOOKUP($C32,$C$3:$D$15,2,FALSE)*ED$21,ED33&lt;=VLOOKUP($C32,$C$3:$D$15,2,FALSE)*ED$21),IF(ED33-EC34&lt;0,0,ED33-EC34),
IF(AND(EC34&lt;VLOOKUP($C32,$C$3:$D$15,2,FALSE)*ED$21,ED33&gt;VLOOKUP($C32,$C$3:$D$15,2,FALSE)*ED$21),VLOOKUP($C32,$C$3:$D$15,2,FALSE)*ED$21-EC34)))</f>
        <v>0</v>
      </c>
      <c r="EE32" s="644">
        <f t="shared" ref="EE32" si="852" xml:space="preserve">
IF(ED34&gt;=VLOOKUP($C32,$C$3:$D$15,2,FALSE)*EE$21,0,
IF(AND(ED34&lt;VLOOKUP($C32,$C$3:$D$15,2,FALSE)*EE$21,EE33&lt;=VLOOKUP($C32,$C$3:$D$15,2,FALSE)*EE$21),IF(EE33-ED34&lt;0,0,EE33-ED34),
IF(AND(ED34&lt;VLOOKUP($C32,$C$3:$D$15,2,FALSE)*EE$21,EE33&gt;VLOOKUP($C32,$C$3:$D$15,2,FALSE)*EE$21),VLOOKUP($C32,$C$3:$D$15,2,FALSE)*EE$21-ED34)))</f>
        <v>0</v>
      </c>
      <c r="EF32" s="644">
        <f t="shared" ref="EF32" si="853" xml:space="preserve">
IF(EE34&gt;=VLOOKUP($C32,$C$3:$D$15,2,FALSE)*EF$21,0,
IF(AND(EE34&lt;VLOOKUP($C32,$C$3:$D$15,2,FALSE)*EF$21,EF33&lt;=VLOOKUP($C32,$C$3:$D$15,2,FALSE)*EF$21),IF(EF33-EE34&lt;0,0,EF33-EE34),
IF(AND(EE34&lt;VLOOKUP($C32,$C$3:$D$15,2,FALSE)*EF$21,EF33&gt;VLOOKUP($C32,$C$3:$D$15,2,FALSE)*EF$21),VLOOKUP($C32,$C$3:$D$15,2,FALSE)*EF$21-EE34)))</f>
        <v>0</v>
      </c>
      <c r="EG32" s="644">
        <f t="shared" ref="EG32" si="854" xml:space="preserve">
IF(EF34&gt;=VLOOKUP($C32,$C$3:$D$15,2,FALSE)*EG$21,0,
IF(AND(EF34&lt;VLOOKUP($C32,$C$3:$D$15,2,FALSE)*EG$21,EG33&lt;=VLOOKUP($C32,$C$3:$D$15,2,FALSE)*EG$21),IF(EG33-EF34&lt;0,0,EG33-EF34),
IF(AND(EF34&lt;VLOOKUP($C32,$C$3:$D$15,2,FALSE)*EG$21,EG33&gt;VLOOKUP($C32,$C$3:$D$15,2,FALSE)*EG$21),VLOOKUP($C32,$C$3:$D$15,2,FALSE)*EG$21-EF34)))</f>
        <v>0</v>
      </c>
      <c r="EH32" s="644">
        <f t="shared" ref="EH32" si="855" xml:space="preserve">
IF(EG34&gt;=VLOOKUP($C32,$C$3:$D$15,2,FALSE)*EH$21,0,
IF(AND(EG34&lt;VLOOKUP($C32,$C$3:$D$15,2,FALSE)*EH$21,EH33&lt;=VLOOKUP($C32,$C$3:$D$15,2,FALSE)*EH$21),IF(EH33-EG34&lt;0,0,EH33-EG34),
IF(AND(EG34&lt;VLOOKUP($C32,$C$3:$D$15,2,FALSE)*EH$21,EH33&gt;VLOOKUP($C32,$C$3:$D$15,2,FALSE)*EH$21),VLOOKUP($C32,$C$3:$D$15,2,FALSE)*EH$21-EG34)))</f>
        <v>0</v>
      </c>
      <c r="EI32" s="644">
        <f t="shared" ref="EI32" si="856" xml:space="preserve">
IF(EH34&gt;=VLOOKUP($C32,$C$3:$D$15,2,FALSE)*EI$21,0,
IF(AND(EH34&lt;VLOOKUP($C32,$C$3:$D$15,2,FALSE)*EI$21,EI33&lt;=VLOOKUP($C32,$C$3:$D$15,2,FALSE)*EI$21),IF(EI33-EH34&lt;0,0,EI33-EH34),
IF(AND(EH34&lt;VLOOKUP($C32,$C$3:$D$15,2,FALSE)*EI$21,EI33&gt;VLOOKUP($C32,$C$3:$D$15,2,FALSE)*EI$21),VLOOKUP($C32,$C$3:$D$15,2,FALSE)*EI$21-EH34)))</f>
        <v>0</v>
      </c>
      <c r="EJ32" s="644">
        <f t="shared" ref="EJ32" si="857" xml:space="preserve">
IF(EI34&gt;=VLOOKUP($C32,$C$3:$D$15,2,FALSE)*EJ$21,0,
IF(AND(EI34&lt;VLOOKUP($C32,$C$3:$D$15,2,FALSE)*EJ$21,EJ33&lt;=VLOOKUP($C32,$C$3:$D$15,2,FALSE)*EJ$21),IF(EJ33-EI34&lt;0,0,EJ33-EI34),
IF(AND(EI34&lt;VLOOKUP($C32,$C$3:$D$15,2,FALSE)*EJ$21,EJ33&gt;VLOOKUP($C32,$C$3:$D$15,2,FALSE)*EJ$21),VLOOKUP($C32,$C$3:$D$15,2,FALSE)*EJ$21-EI34)))</f>
        <v>0</v>
      </c>
      <c r="EK32" s="644">
        <f t="shared" ref="EK32" si="858" xml:space="preserve">
IF(EJ34&gt;=VLOOKUP($C32,$C$3:$D$15,2,FALSE)*EK$21,0,
IF(AND(EJ34&lt;VLOOKUP($C32,$C$3:$D$15,2,FALSE)*EK$21,EK33&lt;=VLOOKUP($C32,$C$3:$D$15,2,FALSE)*EK$21),IF(EK33-EJ34&lt;0,0,EK33-EJ34),
IF(AND(EJ34&lt;VLOOKUP($C32,$C$3:$D$15,2,FALSE)*EK$21,EK33&gt;VLOOKUP($C32,$C$3:$D$15,2,FALSE)*EK$21),VLOOKUP($C32,$C$3:$D$15,2,FALSE)*EK$21-EJ34)))</f>
        <v>0</v>
      </c>
      <c r="EL32" s="644">
        <f t="shared" ref="EL32" si="859" xml:space="preserve">
IF(EK34&gt;=VLOOKUP($C32,$C$3:$D$15,2,FALSE)*EL$21,0,
IF(AND(EK34&lt;VLOOKUP($C32,$C$3:$D$15,2,FALSE)*EL$21,EL33&lt;=VLOOKUP($C32,$C$3:$D$15,2,FALSE)*EL$21),IF(EL33-EK34&lt;0,0,EL33-EK34),
IF(AND(EK34&lt;VLOOKUP($C32,$C$3:$D$15,2,FALSE)*EL$21,EL33&gt;VLOOKUP($C32,$C$3:$D$15,2,FALSE)*EL$21),VLOOKUP($C32,$C$3:$D$15,2,FALSE)*EL$21-EK34)))</f>
        <v>0</v>
      </c>
      <c r="EM32" s="644">
        <f t="shared" ref="EM32" si="860" xml:space="preserve">
IF(EL34&gt;=VLOOKUP($C32,$C$3:$D$15,2,FALSE)*EM$21,0,
IF(AND(EL34&lt;VLOOKUP($C32,$C$3:$D$15,2,FALSE)*EM$21,EM33&lt;=VLOOKUP($C32,$C$3:$D$15,2,FALSE)*EM$21),IF(EM33-EL34&lt;0,0,EM33-EL34),
IF(AND(EL34&lt;VLOOKUP($C32,$C$3:$D$15,2,FALSE)*EM$21,EM33&gt;VLOOKUP($C32,$C$3:$D$15,2,FALSE)*EM$21),VLOOKUP($C32,$C$3:$D$15,2,FALSE)*EM$21-EL34)))</f>
        <v>0</v>
      </c>
      <c r="EN32" s="644">
        <f t="shared" ref="EN32" si="861" xml:space="preserve">
IF(EM34&gt;=VLOOKUP($C32,$C$3:$D$15,2,FALSE)*EN$21,0,
IF(AND(EM34&lt;VLOOKUP($C32,$C$3:$D$15,2,FALSE)*EN$21,EN33&lt;=VLOOKUP($C32,$C$3:$D$15,2,FALSE)*EN$21),IF(EN33-EM34&lt;0,0,EN33-EM34),
IF(AND(EM34&lt;VLOOKUP($C32,$C$3:$D$15,2,FALSE)*EN$21,EN33&gt;VLOOKUP($C32,$C$3:$D$15,2,FALSE)*EN$21),VLOOKUP($C32,$C$3:$D$15,2,FALSE)*EN$21-EM34)))</f>
        <v>0</v>
      </c>
      <c r="EO32" s="644">
        <f t="shared" ref="EO32" si="862" xml:space="preserve">
IF(EN34&gt;=VLOOKUP($C32,$C$3:$D$15,2,FALSE)*EO$21,0,
IF(AND(EN34&lt;VLOOKUP($C32,$C$3:$D$15,2,FALSE)*EO$21,EO33&lt;=VLOOKUP($C32,$C$3:$D$15,2,FALSE)*EO$21),IF(EO33-EN34&lt;0,0,EO33-EN34),
IF(AND(EN34&lt;VLOOKUP($C32,$C$3:$D$15,2,FALSE)*EO$21,EO33&gt;VLOOKUP($C32,$C$3:$D$15,2,FALSE)*EO$21),VLOOKUP($C32,$C$3:$D$15,2,FALSE)*EO$21-EN34)))</f>
        <v>0</v>
      </c>
      <c r="EP32" s="644">
        <f t="shared" ref="EP32" si="863" xml:space="preserve">
IF(EO34&gt;=VLOOKUP($C32,$C$3:$D$15,2,FALSE)*EP$21,0,
IF(AND(EO34&lt;VLOOKUP($C32,$C$3:$D$15,2,FALSE)*EP$21,EP33&lt;=VLOOKUP($C32,$C$3:$D$15,2,FALSE)*EP$21),IF(EP33-EO34&lt;0,0,EP33-EO34),
IF(AND(EO34&lt;VLOOKUP($C32,$C$3:$D$15,2,FALSE)*EP$21,EP33&gt;VLOOKUP($C32,$C$3:$D$15,2,FALSE)*EP$21),VLOOKUP($C32,$C$3:$D$15,2,FALSE)*EP$21-EO34)))</f>
        <v>0</v>
      </c>
      <c r="EQ32" s="644">
        <f t="shared" ref="EQ32" si="864" xml:space="preserve">
IF(EP34&gt;=VLOOKUP($C32,$C$3:$D$15,2,FALSE)*EQ$21,0,
IF(AND(EP34&lt;VLOOKUP($C32,$C$3:$D$15,2,FALSE)*EQ$21,EQ33&lt;=VLOOKUP($C32,$C$3:$D$15,2,FALSE)*EQ$21),IF(EQ33-EP34&lt;0,0,EQ33-EP34),
IF(AND(EP34&lt;VLOOKUP($C32,$C$3:$D$15,2,FALSE)*EQ$21,EQ33&gt;VLOOKUP($C32,$C$3:$D$15,2,FALSE)*EQ$21),VLOOKUP($C32,$C$3:$D$15,2,FALSE)*EQ$21-EP34)))</f>
        <v>0</v>
      </c>
      <c r="ER32" s="644">
        <f t="shared" ref="ER32" si="865" xml:space="preserve">
IF(EQ34&gt;=VLOOKUP($C32,$C$3:$D$15,2,FALSE)*ER$21,0,
IF(AND(EQ34&lt;VLOOKUP($C32,$C$3:$D$15,2,FALSE)*ER$21,ER33&lt;=VLOOKUP($C32,$C$3:$D$15,2,FALSE)*ER$21),IF(ER33-EQ34&lt;0,0,ER33-EQ34),
IF(AND(EQ34&lt;VLOOKUP($C32,$C$3:$D$15,2,FALSE)*ER$21,ER33&gt;VLOOKUP($C32,$C$3:$D$15,2,FALSE)*ER$21),VLOOKUP($C32,$C$3:$D$15,2,FALSE)*ER$21-EQ34)))</f>
        <v>0</v>
      </c>
      <c r="ES32" s="644">
        <f t="shared" ref="ES32" si="866" xml:space="preserve">
IF(ER34&gt;=VLOOKUP($C32,$C$3:$D$15,2,FALSE)*ES$21,0,
IF(AND(ER34&lt;VLOOKUP($C32,$C$3:$D$15,2,FALSE)*ES$21,ES33&lt;=VLOOKUP($C32,$C$3:$D$15,2,FALSE)*ES$21),IF(ES33-ER34&lt;0,0,ES33-ER34),
IF(AND(ER34&lt;VLOOKUP($C32,$C$3:$D$15,2,FALSE)*ES$21,ES33&gt;VLOOKUP($C32,$C$3:$D$15,2,FALSE)*ES$21),VLOOKUP($C32,$C$3:$D$15,2,FALSE)*ES$21-ER34)))</f>
        <v>0</v>
      </c>
      <c r="ET32" s="644">
        <f t="shared" ref="ET32" si="867" xml:space="preserve">
IF(ES34&gt;=VLOOKUP($C32,$C$3:$D$15,2,FALSE)*ET$21,0,
IF(AND(ES34&lt;VLOOKUP($C32,$C$3:$D$15,2,FALSE)*ET$21,ET33&lt;=VLOOKUP($C32,$C$3:$D$15,2,FALSE)*ET$21),IF(ET33-ES34&lt;0,0,ET33-ES34),
IF(AND(ES34&lt;VLOOKUP($C32,$C$3:$D$15,2,FALSE)*ET$21,ET33&gt;VLOOKUP($C32,$C$3:$D$15,2,FALSE)*ET$21),VLOOKUP($C32,$C$3:$D$15,2,FALSE)*ET$21-ES34)))</f>
        <v>0</v>
      </c>
      <c r="EU32" s="644">
        <f t="shared" ref="EU32" si="868" xml:space="preserve">
IF(ET34&gt;=VLOOKUP($C32,$C$3:$D$15,2,FALSE)*EU$21,0,
IF(AND(ET34&lt;VLOOKUP($C32,$C$3:$D$15,2,FALSE)*EU$21,EU33&lt;=VLOOKUP($C32,$C$3:$D$15,2,FALSE)*EU$21),IF(EU33-ET34&lt;0,0,EU33-ET34),
IF(AND(ET34&lt;VLOOKUP($C32,$C$3:$D$15,2,FALSE)*EU$21,EU33&gt;VLOOKUP($C32,$C$3:$D$15,2,FALSE)*EU$21),VLOOKUP($C32,$C$3:$D$15,2,FALSE)*EU$21-ET34)))</f>
        <v>0</v>
      </c>
      <c r="EV32" s="644">
        <f t="shared" ref="EV32" si="869" xml:space="preserve">
IF(EU34&gt;=VLOOKUP($C32,$C$3:$D$15,2,FALSE)*EV$21,0,
IF(AND(EU34&lt;VLOOKUP($C32,$C$3:$D$15,2,FALSE)*EV$21,EV33&lt;=VLOOKUP($C32,$C$3:$D$15,2,FALSE)*EV$21),IF(EV33-EU34&lt;0,0,EV33-EU34),
IF(AND(EU34&lt;VLOOKUP($C32,$C$3:$D$15,2,FALSE)*EV$21,EV33&gt;VLOOKUP($C32,$C$3:$D$15,2,FALSE)*EV$21),VLOOKUP($C32,$C$3:$D$15,2,FALSE)*EV$21-EU34)))</f>
        <v>0</v>
      </c>
      <c r="EW32" s="644">
        <f t="shared" ref="EW32" si="870" xml:space="preserve">
IF(EV34&gt;=VLOOKUP($C32,$C$3:$D$15,2,FALSE)*EW$21,0,
IF(AND(EV34&lt;VLOOKUP($C32,$C$3:$D$15,2,FALSE)*EW$21,EW33&lt;=VLOOKUP($C32,$C$3:$D$15,2,FALSE)*EW$21),IF(EW33-EV34&lt;0,0,EW33-EV34),
IF(AND(EV34&lt;VLOOKUP($C32,$C$3:$D$15,2,FALSE)*EW$21,EW33&gt;VLOOKUP($C32,$C$3:$D$15,2,FALSE)*EW$21),VLOOKUP($C32,$C$3:$D$15,2,FALSE)*EW$21-EV34)))</f>
        <v>0</v>
      </c>
      <c r="EX32" s="644">
        <f t="shared" ref="EX32" si="871" xml:space="preserve">
IF(EW34&gt;=VLOOKUP($C32,$C$3:$D$15,2,FALSE)*EX$21,0,
IF(AND(EW34&lt;VLOOKUP($C32,$C$3:$D$15,2,FALSE)*EX$21,EX33&lt;=VLOOKUP($C32,$C$3:$D$15,2,FALSE)*EX$21),IF(EX33-EW34&lt;0,0,EX33-EW34),
IF(AND(EW34&lt;VLOOKUP($C32,$C$3:$D$15,2,FALSE)*EX$21,EX33&gt;VLOOKUP($C32,$C$3:$D$15,2,FALSE)*EX$21),VLOOKUP($C32,$C$3:$D$15,2,FALSE)*EX$21-EW34)))</f>
        <v>0</v>
      </c>
      <c r="EY32" s="644">
        <f t="shared" ref="EY32" si="872" xml:space="preserve">
IF(EX34&gt;=VLOOKUP($C32,$C$3:$D$15,2,FALSE)*EY$21,0,
IF(AND(EX34&lt;VLOOKUP($C32,$C$3:$D$15,2,FALSE)*EY$21,EY33&lt;=VLOOKUP($C32,$C$3:$D$15,2,FALSE)*EY$21),IF(EY33-EX34&lt;0,0,EY33-EX34),
IF(AND(EX34&lt;VLOOKUP($C32,$C$3:$D$15,2,FALSE)*EY$21,EY33&gt;VLOOKUP($C32,$C$3:$D$15,2,FALSE)*EY$21),VLOOKUP($C32,$C$3:$D$15,2,FALSE)*EY$21-EX34)))</f>
        <v>0</v>
      </c>
      <c r="EZ32" s="644">
        <f t="shared" ref="EZ32" si="873" xml:space="preserve">
IF(EY34&gt;=VLOOKUP($C32,$C$3:$D$15,2,FALSE)*EZ$21,0,
IF(AND(EY34&lt;VLOOKUP($C32,$C$3:$D$15,2,FALSE)*EZ$21,EZ33&lt;=VLOOKUP($C32,$C$3:$D$15,2,FALSE)*EZ$21),IF(EZ33-EY34&lt;0,0,EZ33-EY34),
IF(AND(EY34&lt;VLOOKUP($C32,$C$3:$D$15,2,FALSE)*EZ$21,EZ33&gt;VLOOKUP($C32,$C$3:$D$15,2,FALSE)*EZ$21),VLOOKUP($C32,$C$3:$D$15,2,FALSE)*EZ$21-EY34)))</f>
        <v>0</v>
      </c>
      <c r="FA32" s="644">
        <f t="shared" ref="FA32" si="874" xml:space="preserve">
IF(EZ34&gt;=VLOOKUP($C32,$C$3:$D$15,2,FALSE)*FA$21,0,
IF(AND(EZ34&lt;VLOOKUP($C32,$C$3:$D$15,2,FALSE)*FA$21,FA33&lt;=VLOOKUP($C32,$C$3:$D$15,2,FALSE)*FA$21),IF(FA33-EZ34&lt;0,0,FA33-EZ34),
IF(AND(EZ34&lt;VLOOKUP($C32,$C$3:$D$15,2,FALSE)*FA$21,FA33&gt;VLOOKUP($C32,$C$3:$D$15,2,FALSE)*FA$21),VLOOKUP($C32,$C$3:$D$15,2,FALSE)*FA$21-EZ34)))</f>
        <v>0</v>
      </c>
      <c r="FB32" s="644">
        <f t="shared" ref="FB32" si="875" xml:space="preserve">
IF(FA34&gt;=VLOOKUP($C32,$C$3:$D$15,2,FALSE)*FB$21,0,
IF(AND(FA34&lt;VLOOKUP($C32,$C$3:$D$15,2,FALSE)*FB$21,FB33&lt;=VLOOKUP($C32,$C$3:$D$15,2,FALSE)*FB$21),IF(FB33-FA34&lt;0,0,FB33-FA34),
IF(AND(FA34&lt;VLOOKUP($C32,$C$3:$D$15,2,FALSE)*FB$21,FB33&gt;VLOOKUP($C32,$C$3:$D$15,2,FALSE)*FB$21),VLOOKUP($C32,$C$3:$D$15,2,FALSE)*FB$21-FA34)))</f>
        <v>0</v>
      </c>
      <c r="FC32" s="644">
        <f t="shared" ref="FC32" si="876" xml:space="preserve">
IF(FB34&gt;=VLOOKUP($C32,$C$3:$D$15,2,FALSE)*FC$21,0,
IF(AND(FB34&lt;VLOOKUP($C32,$C$3:$D$15,2,FALSE)*FC$21,FC33&lt;=VLOOKUP($C32,$C$3:$D$15,2,FALSE)*FC$21),IF(FC33-FB34&lt;0,0,FC33-FB34),
IF(AND(FB34&lt;VLOOKUP($C32,$C$3:$D$15,2,FALSE)*FC$21,FC33&gt;VLOOKUP($C32,$C$3:$D$15,2,FALSE)*FC$21),VLOOKUP($C32,$C$3:$D$15,2,FALSE)*FC$21-FB34)))</f>
        <v>0</v>
      </c>
      <c r="FD32" s="644">
        <f t="shared" ref="FD32" si="877" xml:space="preserve">
IF(FC34&gt;=VLOOKUP($C32,$C$3:$D$15,2,FALSE)*FD$21,0,
IF(AND(FC34&lt;VLOOKUP($C32,$C$3:$D$15,2,FALSE)*FD$21,FD33&lt;=VLOOKUP($C32,$C$3:$D$15,2,FALSE)*FD$21),IF(FD33-FC34&lt;0,0,FD33-FC34),
IF(AND(FC34&lt;VLOOKUP($C32,$C$3:$D$15,2,FALSE)*FD$21,FD33&gt;VLOOKUP($C32,$C$3:$D$15,2,FALSE)*FD$21),VLOOKUP($C32,$C$3:$D$15,2,FALSE)*FD$21-FC34)))</f>
        <v>0</v>
      </c>
      <c r="FE32" s="644">
        <f t="shared" ref="FE32" si="878" xml:space="preserve">
IF(FD34&gt;=VLOOKUP($C32,$C$3:$D$15,2,FALSE)*FE$21,0,
IF(AND(FD34&lt;VLOOKUP($C32,$C$3:$D$15,2,FALSE)*FE$21,FE33&lt;=VLOOKUP($C32,$C$3:$D$15,2,FALSE)*FE$21),IF(FE33-FD34&lt;0,0,FE33-FD34),
IF(AND(FD34&lt;VLOOKUP($C32,$C$3:$D$15,2,FALSE)*FE$21,FE33&gt;VLOOKUP($C32,$C$3:$D$15,2,FALSE)*FE$21),VLOOKUP($C32,$C$3:$D$15,2,FALSE)*FE$21-FD34)))</f>
        <v>0</v>
      </c>
      <c r="FF32" s="644">
        <f t="shared" ref="FF32" si="879" xml:space="preserve">
IF(FE34&gt;=VLOOKUP($C32,$C$3:$D$15,2,FALSE)*FF$21,0,
IF(AND(FE34&lt;VLOOKUP($C32,$C$3:$D$15,2,FALSE)*FF$21,FF33&lt;=VLOOKUP($C32,$C$3:$D$15,2,FALSE)*FF$21),IF(FF33-FE34&lt;0,0,FF33-FE34),
IF(AND(FE34&lt;VLOOKUP($C32,$C$3:$D$15,2,FALSE)*FF$21,FF33&gt;VLOOKUP($C32,$C$3:$D$15,2,FALSE)*FF$21),VLOOKUP($C32,$C$3:$D$15,2,FALSE)*FF$21-FE34)))</f>
        <v>0</v>
      </c>
      <c r="FG32" s="644">
        <f t="shared" ref="FG32" si="880" xml:space="preserve">
IF(FF34&gt;=VLOOKUP($C32,$C$3:$D$15,2,FALSE)*FG$21,0,
IF(AND(FF34&lt;VLOOKUP($C32,$C$3:$D$15,2,FALSE)*FG$21,FG33&lt;=VLOOKUP($C32,$C$3:$D$15,2,FALSE)*FG$21),IF(FG33-FF34&lt;0,0,FG33-FF34),
IF(AND(FF34&lt;VLOOKUP($C32,$C$3:$D$15,2,FALSE)*FG$21,FG33&gt;VLOOKUP($C32,$C$3:$D$15,2,FALSE)*FG$21),VLOOKUP($C32,$C$3:$D$15,2,FALSE)*FG$21-FF34)))</f>
        <v>0</v>
      </c>
      <c r="FH32" s="644">
        <f t="shared" ref="FH32" si="881" xml:space="preserve">
IF(FG34&gt;=VLOOKUP($C32,$C$3:$D$15,2,FALSE)*FH$21,0,
IF(AND(FG34&lt;VLOOKUP($C32,$C$3:$D$15,2,FALSE)*FH$21,FH33&lt;=VLOOKUP($C32,$C$3:$D$15,2,FALSE)*FH$21),IF(FH33-FG34&lt;0,0,FH33-FG34),
IF(AND(FG34&lt;VLOOKUP($C32,$C$3:$D$15,2,FALSE)*FH$21,FH33&gt;VLOOKUP($C32,$C$3:$D$15,2,FALSE)*FH$21),VLOOKUP($C32,$C$3:$D$15,2,FALSE)*FH$21-FG34)))</f>
        <v>0</v>
      </c>
      <c r="FI32" s="644">
        <f t="shared" ref="FI32" si="882" xml:space="preserve">
IF(FH34&gt;=VLOOKUP($C32,$C$3:$D$15,2,FALSE)*FI$21,0,
IF(AND(FH34&lt;VLOOKUP($C32,$C$3:$D$15,2,FALSE)*FI$21,FI33&lt;=VLOOKUP($C32,$C$3:$D$15,2,FALSE)*FI$21),IF(FI33-FH34&lt;0,0,FI33-FH34),
IF(AND(FH34&lt;VLOOKUP($C32,$C$3:$D$15,2,FALSE)*FI$21,FI33&gt;VLOOKUP($C32,$C$3:$D$15,2,FALSE)*FI$21),VLOOKUP($C32,$C$3:$D$15,2,FALSE)*FI$21-FH34)))</f>
        <v>0</v>
      </c>
      <c r="FJ32" s="644">
        <f t="shared" ref="FJ32" si="883" xml:space="preserve">
IF(FI34&gt;=VLOOKUP($C32,$C$3:$D$15,2,FALSE)*FJ$21,0,
IF(AND(FI34&lt;VLOOKUP($C32,$C$3:$D$15,2,FALSE)*FJ$21,FJ33&lt;=VLOOKUP($C32,$C$3:$D$15,2,FALSE)*FJ$21),IF(FJ33-FI34&lt;0,0,FJ33-FI34),
IF(AND(FI34&lt;VLOOKUP($C32,$C$3:$D$15,2,FALSE)*FJ$21,FJ33&gt;VLOOKUP($C32,$C$3:$D$15,2,FALSE)*FJ$21),VLOOKUP($C32,$C$3:$D$15,2,FALSE)*FJ$21-FI34)))</f>
        <v>0</v>
      </c>
      <c r="FK32" s="644">
        <f t="shared" ref="FK32" si="884" xml:space="preserve">
IF(FJ34&gt;=VLOOKUP($C32,$C$3:$D$15,2,FALSE)*FK$21,0,
IF(AND(FJ34&lt;VLOOKUP($C32,$C$3:$D$15,2,FALSE)*FK$21,FK33&lt;=VLOOKUP($C32,$C$3:$D$15,2,FALSE)*FK$21),IF(FK33-FJ34&lt;0,0,FK33-FJ34),
IF(AND(FJ34&lt;VLOOKUP($C32,$C$3:$D$15,2,FALSE)*FK$21,FK33&gt;VLOOKUP($C32,$C$3:$D$15,2,FALSE)*FK$21),VLOOKUP($C32,$C$3:$D$15,2,FALSE)*FK$21-FJ34)))</f>
        <v>0</v>
      </c>
      <c r="FL32" s="644">
        <f t="shared" ref="FL32" si="885" xml:space="preserve">
IF(FK34&gt;=VLOOKUP($C32,$C$3:$D$15,2,FALSE)*FL$21,0,
IF(AND(FK34&lt;VLOOKUP($C32,$C$3:$D$15,2,FALSE)*FL$21,FL33&lt;=VLOOKUP($C32,$C$3:$D$15,2,FALSE)*FL$21),IF(FL33-FK34&lt;0,0,FL33-FK34),
IF(AND(FK34&lt;VLOOKUP($C32,$C$3:$D$15,2,FALSE)*FL$21,FL33&gt;VLOOKUP($C32,$C$3:$D$15,2,FALSE)*FL$21),VLOOKUP($C32,$C$3:$D$15,2,FALSE)*FL$21-FK34)))</f>
        <v>0</v>
      </c>
      <c r="FM32" s="644">
        <f t="shared" ref="FM32" si="886" xml:space="preserve">
IF(FL34&gt;=VLOOKUP($C32,$C$3:$D$15,2,FALSE)*FM$21,0,
IF(AND(FL34&lt;VLOOKUP($C32,$C$3:$D$15,2,FALSE)*FM$21,FM33&lt;=VLOOKUP($C32,$C$3:$D$15,2,FALSE)*FM$21),IF(FM33-FL34&lt;0,0,FM33-FL34),
IF(AND(FL34&lt;VLOOKUP($C32,$C$3:$D$15,2,FALSE)*FM$21,FM33&gt;VLOOKUP($C32,$C$3:$D$15,2,FALSE)*FM$21),VLOOKUP($C32,$C$3:$D$15,2,FALSE)*FM$21-FL34)))</f>
        <v>0</v>
      </c>
      <c r="FN32" s="644">
        <f t="shared" ref="FN32" si="887" xml:space="preserve">
IF(FM34&gt;=VLOOKUP($C32,$C$3:$D$15,2,FALSE)*FN$21,0,
IF(AND(FM34&lt;VLOOKUP($C32,$C$3:$D$15,2,FALSE)*FN$21,FN33&lt;=VLOOKUP($C32,$C$3:$D$15,2,FALSE)*FN$21),IF(FN33-FM34&lt;0,0,FN33-FM34),
IF(AND(FM34&lt;VLOOKUP($C32,$C$3:$D$15,2,FALSE)*FN$21,FN33&gt;VLOOKUP($C32,$C$3:$D$15,2,FALSE)*FN$21),VLOOKUP($C32,$C$3:$D$15,2,FALSE)*FN$21-FM34)))</f>
        <v>0</v>
      </c>
      <c r="FO32" s="644">
        <f t="shared" ref="FO32" si="888" xml:space="preserve">
IF(FN34&gt;=VLOOKUP($C32,$C$3:$D$15,2,FALSE)*FO$21,0,
IF(AND(FN34&lt;VLOOKUP($C32,$C$3:$D$15,2,FALSE)*FO$21,FO33&lt;=VLOOKUP($C32,$C$3:$D$15,2,FALSE)*FO$21),IF(FO33-FN34&lt;0,0,FO33-FN34),
IF(AND(FN34&lt;VLOOKUP($C32,$C$3:$D$15,2,FALSE)*FO$21,FO33&gt;VLOOKUP($C32,$C$3:$D$15,2,FALSE)*FO$21),VLOOKUP($C32,$C$3:$D$15,2,FALSE)*FO$21-FN34)))</f>
        <v>0</v>
      </c>
      <c r="FP32" s="644">
        <f t="shared" ref="FP32" si="889" xml:space="preserve">
IF(FO34&gt;=VLOOKUP($C32,$C$3:$D$15,2,FALSE)*FP$21,0,
IF(AND(FO34&lt;VLOOKUP($C32,$C$3:$D$15,2,FALSE)*FP$21,FP33&lt;=VLOOKUP($C32,$C$3:$D$15,2,FALSE)*FP$21),IF(FP33-FO34&lt;0,0,FP33-FO34),
IF(AND(FO34&lt;VLOOKUP($C32,$C$3:$D$15,2,FALSE)*FP$21,FP33&gt;VLOOKUP($C32,$C$3:$D$15,2,FALSE)*FP$21),VLOOKUP($C32,$C$3:$D$15,2,FALSE)*FP$21-FO34)))</f>
        <v>0</v>
      </c>
      <c r="FQ32" s="644">
        <f t="shared" ref="FQ32" si="890" xml:space="preserve">
IF(FP34&gt;=VLOOKUP($C32,$C$3:$D$15,2,FALSE)*FQ$21,0,
IF(AND(FP34&lt;VLOOKUP($C32,$C$3:$D$15,2,FALSE)*FQ$21,FQ33&lt;=VLOOKUP($C32,$C$3:$D$15,2,FALSE)*FQ$21),IF(FQ33-FP34&lt;0,0,FQ33-FP34),
IF(AND(FP34&lt;VLOOKUP($C32,$C$3:$D$15,2,FALSE)*FQ$21,FQ33&gt;VLOOKUP($C32,$C$3:$D$15,2,FALSE)*FQ$21),VLOOKUP($C32,$C$3:$D$15,2,FALSE)*FQ$21-FP34)))</f>
        <v>0</v>
      </c>
      <c r="FR32" s="644">
        <f t="shared" ref="FR32" si="891" xml:space="preserve">
IF(FQ34&gt;=VLOOKUP($C32,$C$3:$D$15,2,FALSE)*FR$21,0,
IF(AND(FQ34&lt;VLOOKUP($C32,$C$3:$D$15,2,FALSE)*FR$21,FR33&lt;=VLOOKUP($C32,$C$3:$D$15,2,FALSE)*FR$21),IF(FR33-FQ34&lt;0,0,FR33-FQ34),
IF(AND(FQ34&lt;VLOOKUP($C32,$C$3:$D$15,2,FALSE)*FR$21,FR33&gt;VLOOKUP($C32,$C$3:$D$15,2,FALSE)*FR$21),VLOOKUP($C32,$C$3:$D$15,2,FALSE)*FR$21-FQ34)))</f>
        <v>0</v>
      </c>
      <c r="FS32" s="644">
        <f t="shared" ref="FS32" si="892" xml:space="preserve">
IF(FR34&gt;=VLOOKUP($C32,$C$3:$D$15,2,FALSE)*FS$21,0,
IF(AND(FR34&lt;VLOOKUP($C32,$C$3:$D$15,2,FALSE)*FS$21,FS33&lt;=VLOOKUP($C32,$C$3:$D$15,2,FALSE)*FS$21),IF(FS33-FR34&lt;0,0,FS33-FR34),
IF(AND(FR34&lt;VLOOKUP($C32,$C$3:$D$15,2,FALSE)*FS$21,FS33&gt;VLOOKUP($C32,$C$3:$D$15,2,FALSE)*FS$21),VLOOKUP($C32,$C$3:$D$15,2,FALSE)*FS$21-FR34)))</f>
        <v>0</v>
      </c>
      <c r="FT32" s="644">
        <f t="shared" ref="FT32" si="893" xml:space="preserve">
IF(FS34&gt;=VLOOKUP($C32,$C$3:$D$15,2,FALSE)*FT$21,0,
IF(AND(FS34&lt;VLOOKUP($C32,$C$3:$D$15,2,FALSE)*FT$21,FT33&lt;=VLOOKUP($C32,$C$3:$D$15,2,FALSE)*FT$21),IF(FT33-FS34&lt;0,0,FT33-FS34),
IF(AND(FS34&lt;VLOOKUP($C32,$C$3:$D$15,2,FALSE)*FT$21,FT33&gt;VLOOKUP($C32,$C$3:$D$15,2,FALSE)*FT$21),VLOOKUP($C32,$C$3:$D$15,2,FALSE)*FT$21-FS34)))</f>
        <v>0</v>
      </c>
      <c r="FU32" s="644">
        <f t="shared" ref="FU32" si="894" xml:space="preserve">
IF(FT34&gt;=VLOOKUP($C32,$C$3:$D$15,2,FALSE)*FU$21,0,
IF(AND(FT34&lt;VLOOKUP($C32,$C$3:$D$15,2,FALSE)*FU$21,FU33&lt;=VLOOKUP($C32,$C$3:$D$15,2,FALSE)*FU$21),IF(FU33-FT34&lt;0,0,FU33-FT34),
IF(AND(FT34&lt;VLOOKUP($C32,$C$3:$D$15,2,FALSE)*FU$21,FU33&gt;VLOOKUP($C32,$C$3:$D$15,2,FALSE)*FU$21),VLOOKUP($C32,$C$3:$D$15,2,FALSE)*FU$21-FT34)))</f>
        <v>0</v>
      </c>
      <c r="FV32" s="644">
        <f t="shared" ref="FV32" si="895" xml:space="preserve">
IF(FU34&gt;=VLOOKUP($C32,$C$3:$D$15,2,FALSE)*FV$21,0,
IF(AND(FU34&lt;VLOOKUP($C32,$C$3:$D$15,2,FALSE)*FV$21,FV33&lt;=VLOOKUP($C32,$C$3:$D$15,2,FALSE)*FV$21),IF(FV33-FU34&lt;0,0,FV33-FU34),
IF(AND(FU34&lt;VLOOKUP($C32,$C$3:$D$15,2,FALSE)*FV$21,FV33&gt;VLOOKUP($C32,$C$3:$D$15,2,FALSE)*FV$21),VLOOKUP($C32,$C$3:$D$15,2,FALSE)*FV$21-FU34)))</f>
        <v>0</v>
      </c>
      <c r="FW32" s="644">
        <f t="shared" ref="FW32" si="896" xml:space="preserve">
IF(FV34&gt;=VLOOKUP($C32,$C$3:$D$15,2,FALSE)*FW$21,0,
IF(AND(FV34&lt;VLOOKUP($C32,$C$3:$D$15,2,FALSE)*FW$21,FW33&lt;=VLOOKUP($C32,$C$3:$D$15,2,FALSE)*FW$21),IF(FW33-FV34&lt;0,0,FW33-FV34),
IF(AND(FV34&lt;VLOOKUP($C32,$C$3:$D$15,2,FALSE)*FW$21,FW33&gt;VLOOKUP($C32,$C$3:$D$15,2,FALSE)*FW$21),VLOOKUP($C32,$C$3:$D$15,2,FALSE)*FW$21-FV34)))</f>
        <v>0</v>
      </c>
      <c r="FX32" s="644">
        <f t="shared" ref="FX32" si="897" xml:space="preserve">
IF(FW34&gt;=VLOOKUP($C32,$C$3:$D$15,2,FALSE)*FX$21,0,
IF(AND(FW34&lt;VLOOKUP($C32,$C$3:$D$15,2,FALSE)*FX$21,FX33&lt;=VLOOKUP($C32,$C$3:$D$15,2,FALSE)*FX$21),IF(FX33-FW34&lt;0,0,FX33-FW34),
IF(AND(FW34&lt;VLOOKUP($C32,$C$3:$D$15,2,FALSE)*FX$21,FX33&gt;VLOOKUP($C32,$C$3:$D$15,2,FALSE)*FX$21),VLOOKUP($C32,$C$3:$D$15,2,FALSE)*FX$21-FW34)))</f>
        <v>0</v>
      </c>
      <c r="FY32" s="644">
        <f t="shared" ref="FY32" si="898" xml:space="preserve">
IF(FX34&gt;=VLOOKUP($C32,$C$3:$D$15,2,FALSE)*FY$21,0,
IF(AND(FX34&lt;VLOOKUP($C32,$C$3:$D$15,2,FALSE)*FY$21,FY33&lt;=VLOOKUP($C32,$C$3:$D$15,2,FALSE)*FY$21),IF(FY33-FX34&lt;0,0,FY33-FX34),
IF(AND(FX34&lt;VLOOKUP($C32,$C$3:$D$15,2,FALSE)*FY$21,FY33&gt;VLOOKUP($C32,$C$3:$D$15,2,FALSE)*FY$21),VLOOKUP($C32,$C$3:$D$15,2,FALSE)*FY$21-FX34)))</f>
        <v>0</v>
      </c>
      <c r="FZ32" s="644">
        <f t="shared" ref="FZ32" si="899" xml:space="preserve">
IF(FY34&gt;=VLOOKUP($C32,$C$3:$D$15,2,FALSE)*FZ$21,0,
IF(AND(FY34&lt;VLOOKUP($C32,$C$3:$D$15,2,FALSE)*FZ$21,FZ33&lt;=VLOOKUP($C32,$C$3:$D$15,2,FALSE)*FZ$21),IF(FZ33-FY34&lt;0,0,FZ33-FY34),
IF(AND(FY34&lt;VLOOKUP($C32,$C$3:$D$15,2,FALSE)*FZ$21,FZ33&gt;VLOOKUP($C32,$C$3:$D$15,2,FALSE)*FZ$21),VLOOKUP($C32,$C$3:$D$15,2,FALSE)*FZ$21-FY34)))</f>
        <v>0</v>
      </c>
      <c r="GA32" s="644">
        <f t="shared" ref="GA32" si="900" xml:space="preserve">
IF(FZ34&gt;=VLOOKUP($C32,$C$3:$D$15,2,FALSE)*GA$21,0,
IF(AND(FZ34&lt;VLOOKUP($C32,$C$3:$D$15,2,FALSE)*GA$21,GA33&lt;=VLOOKUP($C32,$C$3:$D$15,2,FALSE)*GA$21),IF(GA33-FZ34&lt;0,0,GA33-FZ34),
IF(AND(FZ34&lt;VLOOKUP($C32,$C$3:$D$15,2,FALSE)*GA$21,GA33&gt;VLOOKUP($C32,$C$3:$D$15,2,FALSE)*GA$21),VLOOKUP($C32,$C$3:$D$15,2,FALSE)*GA$21-FZ34)))</f>
        <v>0</v>
      </c>
      <c r="GB32" s="644">
        <f t="shared" ref="GB32" si="901" xml:space="preserve">
IF(GA34&gt;=VLOOKUP($C32,$C$3:$D$15,2,FALSE)*GB$21,0,
IF(AND(GA34&lt;VLOOKUP($C32,$C$3:$D$15,2,FALSE)*GB$21,GB33&lt;=VLOOKUP($C32,$C$3:$D$15,2,FALSE)*GB$21),IF(GB33-GA34&lt;0,0,GB33-GA34),
IF(AND(GA34&lt;VLOOKUP($C32,$C$3:$D$15,2,FALSE)*GB$21,GB33&gt;VLOOKUP($C32,$C$3:$D$15,2,FALSE)*GB$21),VLOOKUP($C32,$C$3:$D$15,2,FALSE)*GB$21-GA34)))</f>
        <v>0</v>
      </c>
      <c r="GC32" s="644">
        <f t="shared" ref="GC32" si="902" xml:space="preserve">
IF(GB34&gt;=VLOOKUP($C32,$C$3:$D$15,2,FALSE)*GC$21,0,
IF(AND(GB34&lt;VLOOKUP($C32,$C$3:$D$15,2,FALSE)*GC$21,GC33&lt;=VLOOKUP($C32,$C$3:$D$15,2,FALSE)*GC$21),IF(GC33-GB34&lt;0,0,GC33-GB34),
IF(AND(GB34&lt;VLOOKUP($C32,$C$3:$D$15,2,FALSE)*GC$21,GC33&gt;VLOOKUP($C32,$C$3:$D$15,2,FALSE)*GC$21),VLOOKUP($C32,$C$3:$D$15,2,FALSE)*GC$21-GB34)))</f>
        <v>0</v>
      </c>
      <c r="GD32" s="644">
        <f t="shared" ref="GD32" si="903" xml:space="preserve">
IF(GC34&gt;=VLOOKUP($C32,$C$3:$D$15,2,FALSE)*GD$21,0,
IF(AND(GC34&lt;VLOOKUP($C32,$C$3:$D$15,2,FALSE)*GD$21,GD33&lt;=VLOOKUP($C32,$C$3:$D$15,2,FALSE)*GD$21),IF(GD33-GC34&lt;0,0,GD33-GC34),
IF(AND(GC34&lt;VLOOKUP($C32,$C$3:$D$15,2,FALSE)*GD$21,GD33&gt;VLOOKUP($C32,$C$3:$D$15,2,FALSE)*GD$21),VLOOKUP($C32,$C$3:$D$15,2,FALSE)*GD$21-GC34)))</f>
        <v>0</v>
      </c>
      <c r="GE32" s="644">
        <f t="shared" ref="GE32" si="904" xml:space="preserve">
IF(GD34&gt;=VLOOKUP($C32,$C$3:$D$15,2,FALSE)*GE$21,0,
IF(AND(GD34&lt;VLOOKUP($C32,$C$3:$D$15,2,FALSE)*GE$21,GE33&lt;=VLOOKUP($C32,$C$3:$D$15,2,FALSE)*GE$21),IF(GE33-GD34&lt;0,0,GE33-GD34),
IF(AND(GD34&lt;VLOOKUP($C32,$C$3:$D$15,2,FALSE)*GE$21,GE33&gt;VLOOKUP($C32,$C$3:$D$15,2,FALSE)*GE$21),VLOOKUP($C32,$C$3:$D$15,2,FALSE)*GE$21-GD34)))</f>
        <v>0</v>
      </c>
      <c r="GF32" s="644">
        <f t="shared" ref="GF32" si="905" xml:space="preserve">
IF(GE34&gt;=VLOOKUP($C32,$C$3:$D$15,2,FALSE)*GF$21,0,
IF(AND(GE34&lt;VLOOKUP($C32,$C$3:$D$15,2,FALSE)*GF$21,GF33&lt;=VLOOKUP($C32,$C$3:$D$15,2,FALSE)*GF$21),IF(GF33-GE34&lt;0,0,GF33-GE34),
IF(AND(GE34&lt;VLOOKUP($C32,$C$3:$D$15,2,FALSE)*GF$21,GF33&gt;VLOOKUP($C32,$C$3:$D$15,2,FALSE)*GF$21),VLOOKUP($C32,$C$3:$D$15,2,FALSE)*GF$21-GE34)))</f>
        <v>0</v>
      </c>
      <c r="GG32" s="644">
        <f t="shared" ref="GG32" si="906" xml:space="preserve">
IF(GF34&gt;=VLOOKUP($C32,$C$3:$D$15,2,FALSE)*GG$21,0,
IF(AND(GF34&lt;VLOOKUP($C32,$C$3:$D$15,2,FALSE)*GG$21,GG33&lt;=VLOOKUP($C32,$C$3:$D$15,2,FALSE)*GG$21),IF(GG33-GF34&lt;0,0,GG33-GF34),
IF(AND(GF34&lt;VLOOKUP($C32,$C$3:$D$15,2,FALSE)*GG$21,GG33&gt;VLOOKUP($C32,$C$3:$D$15,2,FALSE)*GG$21),VLOOKUP($C32,$C$3:$D$15,2,FALSE)*GG$21-GF34)))</f>
        <v>0</v>
      </c>
      <c r="GH32" s="644">
        <f t="shared" ref="GH32" si="907" xml:space="preserve">
IF(GG34&gt;=VLOOKUP($C32,$C$3:$D$15,2,FALSE)*GH$21,0,
IF(AND(GG34&lt;VLOOKUP($C32,$C$3:$D$15,2,FALSE)*GH$21,GH33&lt;=VLOOKUP($C32,$C$3:$D$15,2,FALSE)*GH$21),IF(GH33-GG34&lt;0,0,GH33-GG34),
IF(AND(GG34&lt;VLOOKUP($C32,$C$3:$D$15,2,FALSE)*GH$21,GH33&gt;VLOOKUP($C32,$C$3:$D$15,2,FALSE)*GH$21),VLOOKUP($C32,$C$3:$D$15,2,FALSE)*GH$21-GG34)))</f>
        <v>0</v>
      </c>
      <c r="GI32" s="644">
        <f t="shared" ref="GI32" si="908" xml:space="preserve">
IF(GH34&gt;=VLOOKUP($C32,$C$3:$D$15,2,FALSE)*GI$21,0,
IF(AND(GH34&lt;VLOOKUP($C32,$C$3:$D$15,2,FALSE)*GI$21,GI33&lt;=VLOOKUP($C32,$C$3:$D$15,2,FALSE)*GI$21),IF(GI33-GH34&lt;0,0,GI33-GH34),
IF(AND(GH34&lt;VLOOKUP($C32,$C$3:$D$15,2,FALSE)*GI$21,GI33&gt;VLOOKUP($C32,$C$3:$D$15,2,FALSE)*GI$21),VLOOKUP($C32,$C$3:$D$15,2,FALSE)*GI$21-GH34)))</f>
        <v>0</v>
      </c>
      <c r="GJ32" s="644">
        <f t="shared" ref="GJ32" si="909" xml:space="preserve">
IF(GI34&gt;=VLOOKUP($C32,$C$3:$D$15,2,FALSE)*GJ$21,0,
IF(AND(GI34&lt;VLOOKUP($C32,$C$3:$D$15,2,FALSE)*GJ$21,GJ33&lt;=VLOOKUP($C32,$C$3:$D$15,2,FALSE)*GJ$21),IF(GJ33-GI34&lt;0,0,GJ33-GI34),
IF(AND(GI34&lt;VLOOKUP($C32,$C$3:$D$15,2,FALSE)*GJ$21,GJ33&gt;VLOOKUP($C32,$C$3:$D$15,2,FALSE)*GJ$21),VLOOKUP($C32,$C$3:$D$15,2,FALSE)*GJ$21-GI34)))</f>
        <v>0</v>
      </c>
    </row>
    <row r="33" spans="2:192" s="645" customFormat="1">
      <c r="B33" s="654"/>
      <c r="C33" s="643"/>
      <c r="D33" s="769" t="s">
        <v>1467</v>
      </c>
      <c r="E33" s="774"/>
      <c r="F33" s="707"/>
      <c r="G33" s="644">
        <f>SUMIF(防護具!$Y$30:$Y$212,G$17&amp;$C32,防護具!$Q$30:$Q$212)</f>
        <v>0</v>
      </c>
      <c r="H33" s="644">
        <f>IFERROR(
SUM(G33,SUMIF(防護具!$Y$30:$Y$212,H$17&amp;$C32,防護具!$Q$30:$Q$212))-G32,0)</f>
        <v>0</v>
      </c>
      <c r="I33" s="644">
        <f>IFERROR(
SUM(H33,SUMIF(防護具!$Y$30:$Y$212,I$17&amp;$C32,防護具!$Q$30:$Q$212))-H32,0)</f>
        <v>0</v>
      </c>
      <c r="J33" s="644">
        <f>IFERROR(
SUM(I33,SUMIF(防護具!$Y$30:$Y$212,J$17&amp;$C32,防護具!$Q$30:$Q$212))-I32,0)</f>
        <v>0</v>
      </c>
      <c r="K33" s="644">
        <f>IFERROR(
SUM(J33,SUMIF(防護具!$Y$30:$Y$212,K$17&amp;$C32,防護具!$Q$30:$Q$212))-J32,0)</f>
        <v>0</v>
      </c>
      <c r="L33" s="644">
        <f>IFERROR(
SUM(K33,SUMIF(防護具!$Y$30:$Y$212,L$17&amp;$C32,防護具!$Q$30:$Q$212))-K32,0)</f>
        <v>0</v>
      </c>
      <c r="M33" s="644">
        <f>IFERROR(
SUM(L33,SUMIF(防護具!$Y$30:$Y$212,M$17&amp;$C32,防護具!$Q$30:$Q$212))-L32,0)</f>
        <v>0</v>
      </c>
      <c r="N33" s="644">
        <f>IFERROR(
SUM(M33,SUMIF(防護具!$Y$30:$Y$212,N$17&amp;$C32,防護具!$Q$30:$Q$212))-M32,0)</f>
        <v>0</v>
      </c>
      <c r="O33" s="644">
        <f>IFERROR(
SUM(N33,SUMIF(防護具!$Y$30:$Y$212,O$17&amp;$C32,防護具!$Q$30:$Q$212))-N32,0)</f>
        <v>0</v>
      </c>
      <c r="P33" s="644">
        <f>IFERROR(
SUM(O33,SUMIF(防護具!$Y$30:$Y$212,P$17&amp;$C32,防護具!$Q$30:$Q$212))-O32,0)</f>
        <v>0</v>
      </c>
      <c r="Q33" s="644">
        <f>IFERROR(
SUM(P33,SUMIF(防護具!$Y$30:$Y$212,Q$17&amp;$C32,防護具!$Q$30:$Q$212))-P32,0)</f>
        <v>0</v>
      </c>
      <c r="R33" s="644">
        <f>IFERROR(
SUM(Q33,SUMIF(防護具!$Y$30:$Y$212,R$17&amp;$C32,防護具!$Q$30:$Q$212))-Q32,0)</f>
        <v>0</v>
      </c>
      <c r="S33" s="644">
        <f>IFERROR(
SUM(R33,SUMIF(防護具!$Y$30:$Y$212,S$17&amp;$C32,防護具!$Q$30:$Q$212))-R32,0)</f>
        <v>0</v>
      </c>
      <c r="T33" s="644">
        <f>IFERROR(
SUM(S33,SUMIF(防護具!$Y$30:$Y$212,T$17&amp;$C32,防護具!$Q$30:$Q$212))-S32,0)</f>
        <v>0</v>
      </c>
      <c r="U33" s="644">
        <f>IFERROR(
SUM(T33,SUMIF(防護具!$Y$30:$Y$212,U$17&amp;$C32,防護具!$Q$30:$Q$212))-T32,0)</f>
        <v>0</v>
      </c>
      <c r="V33" s="644">
        <f>IFERROR(
SUM(U33,SUMIF(防護具!$Y$30:$Y$212,V$17&amp;$C32,防護具!$Q$30:$Q$212))-U32,0)</f>
        <v>0</v>
      </c>
      <c r="W33" s="644">
        <f>IFERROR(
SUM(V33,SUMIF(防護具!$Y$30:$Y$212,W$17&amp;$C32,防護具!$Q$30:$Q$212))-V32,0)</f>
        <v>0</v>
      </c>
      <c r="X33" s="644">
        <f>IFERROR(
SUM(W33,SUMIF(防護具!$Y$30:$Y$212,X$17&amp;$C32,防護具!$Q$30:$Q$212))-W32,0)</f>
        <v>0</v>
      </c>
      <c r="Y33" s="644">
        <f>IFERROR(
SUM(X33,SUMIF(防護具!$Y$30:$Y$212,Y$17&amp;$C32,防護具!$Q$30:$Q$212))-X32,0)</f>
        <v>0</v>
      </c>
      <c r="Z33" s="644">
        <f>IFERROR(
SUM(Y33,SUMIF(防護具!$Y$30:$Y$212,Z$17&amp;$C32,防護具!$Q$30:$Q$212))-Y32,0)</f>
        <v>0</v>
      </c>
      <c r="AA33" s="644">
        <f>IFERROR(
SUM(Z33,SUMIF(防護具!$Y$30:$Y$212,AA$17&amp;$C32,防護具!$Q$30:$Q$212))-Z32,0)</f>
        <v>0</v>
      </c>
      <c r="AB33" s="644">
        <f>IFERROR(
SUM(AA33,SUMIF(防護具!$Y$30:$Y$212,AB$17&amp;$C32,防護具!$Q$30:$Q$212))-AA32,0)</f>
        <v>0</v>
      </c>
      <c r="AC33" s="644">
        <f>IFERROR(
SUM(AB33,SUMIF(防護具!$Y$30:$Y$212,AC$17&amp;$C32,防護具!$Q$30:$Q$212))-AB32,0)</f>
        <v>0</v>
      </c>
      <c r="AD33" s="644">
        <f>IFERROR(
SUM(AC33,SUMIF(防護具!$Y$30:$Y$212,AD$17&amp;$C32,防護具!$Q$30:$Q$212))-AC32,0)</f>
        <v>0</v>
      </c>
      <c r="AE33" s="644">
        <f>IFERROR(
SUM(AD33,SUMIF(防護具!$Y$30:$Y$212,AE$17&amp;$C32,防護具!$Q$30:$Q$212))-AD32,0)</f>
        <v>0</v>
      </c>
      <c r="AF33" s="644">
        <f>IFERROR(
SUM(AE33,SUMIF(防護具!$Y$30:$Y$212,AF$17&amp;$C32,防護具!$Q$30:$Q$212))-AE32,0)</f>
        <v>0</v>
      </c>
      <c r="AG33" s="644">
        <f>IFERROR(
SUM(AF33,SUMIF(防護具!$Y$30:$Y$212,AG$17&amp;$C32,防護具!$Q$30:$Q$212))-AF32,0)</f>
        <v>0</v>
      </c>
      <c r="AH33" s="644">
        <f>IFERROR(
SUM(AG33,SUMIF(防護具!$Y$30:$Y$212,AH$17&amp;$C32,防護具!$Q$30:$Q$212))-AG32,0)</f>
        <v>0</v>
      </c>
      <c r="AI33" s="644">
        <f>IFERROR(
SUM(AH33,SUMIF(防護具!$Y$30:$Y$212,AI$17&amp;$C32,防護具!$Q$30:$Q$212))-AH32,0)</f>
        <v>0</v>
      </c>
      <c r="AJ33" s="644">
        <f>IFERROR(
SUM(AI33,SUMIF(防護具!$Y$30:$Y$212,AJ$17&amp;$C32,防護具!$Q$30:$Q$212))-AI32,0)</f>
        <v>0</v>
      </c>
      <c r="AK33" s="644">
        <f>IFERROR(
SUM(AJ33,SUMIF(防護具!$Y$30:$Y$212,AK$17&amp;$C32,防護具!$Q$30:$Q$212))-AJ32,0)</f>
        <v>0</v>
      </c>
      <c r="AL33" s="644">
        <f>IFERROR(
SUM(AK33,SUMIF(防護具!$Y$30:$Y$212,AL$17&amp;$C32,防護具!$Q$30:$Q$212))-AK32,0)</f>
        <v>0</v>
      </c>
      <c r="AM33" s="644">
        <f>IFERROR(
SUM(AL33,SUMIF(防護具!$Y$30:$Y$212,AM$17&amp;$C32,防護具!$Q$30:$Q$212))-AL32,0)</f>
        <v>0</v>
      </c>
      <c r="AN33" s="644">
        <f>IFERROR(
SUM(AM33,SUMIF(防護具!$Y$30:$Y$212,AN$17&amp;$C32,防護具!$Q$30:$Q$212))-AM32,0)</f>
        <v>0</v>
      </c>
      <c r="AO33" s="644">
        <f>IFERROR(
SUM(AN33,SUMIF(防護具!$Y$30:$Y$212,AO$17&amp;$C32,防護具!$Q$30:$Q$212))-AN32,0)</f>
        <v>0</v>
      </c>
      <c r="AP33" s="644">
        <f>IFERROR(
SUM(AO33,SUMIF(防護具!$Y$30:$Y$212,AP$17&amp;$C32,防護具!$Q$30:$Q$212))-AO32,0)</f>
        <v>0</v>
      </c>
      <c r="AQ33" s="644">
        <f>IFERROR(
SUM(AP33,SUMIF(防護具!$Y$30:$Y$212,AQ$17&amp;$C32,防護具!$Q$30:$Q$212))-AP32,0)</f>
        <v>0</v>
      </c>
      <c r="AR33" s="644">
        <f>IFERROR(
SUM(AQ33,SUMIF(防護具!$Y$30:$Y$212,AR$17&amp;$C32,防護具!$Q$30:$Q$212))-AQ32,0)</f>
        <v>0</v>
      </c>
      <c r="AS33" s="644">
        <f>IFERROR(
SUM(AR33,SUMIF(防護具!$Y$30:$Y$212,AS$17&amp;$C32,防護具!$Q$30:$Q$212))-AR32,0)</f>
        <v>0</v>
      </c>
      <c r="AT33" s="644">
        <f>IFERROR(
SUM(AS33,SUMIF(防護具!$Y$30:$Y$212,AT$17&amp;$C32,防護具!$Q$30:$Q$212))-AS32,0)</f>
        <v>0</v>
      </c>
      <c r="AU33" s="644">
        <f>IFERROR(
SUM(AT33,SUMIF(防護具!$Y$30:$Y$212,AU$17&amp;$C32,防護具!$Q$30:$Q$212))-AT32,0)</f>
        <v>0</v>
      </c>
      <c r="AV33" s="644">
        <f>IFERROR(
SUM(AU33,SUMIF(防護具!$Y$30:$Y$212,AV$17&amp;$C32,防護具!$Q$30:$Q$212))-AU32,0)</f>
        <v>0</v>
      </c>
      <c r="AW33" s="644">
        <f>IFERROR(
SUM(AV33,SUMIF(防護具!$Y$30:$Y$212,AW$17&amp;$C32,防護具!$Q$30:$Q$212))-AV32,0)</f>
        <v>0</v>
      </c>
      <c r="AX33" s="644">
        <f>IFERROR(
SUM(AW33,SUMIF(防護具!$Y$30:$Y$212,AX$17&amp;$C32,防護具!$Q$30:$Q$212))-AW32,0)</f>
        <v>0</v>
      </c>
      <c r="AY33" s="644">
        <f>IFERROR(
SUM(AX33,SUMIF(防護具!$Y$30:$Y$212,AY$17&amp;$C32,防護具!$Q$30:$Q$212))-AX32,0)</f>
        <v>0</v>
      </c>
      <c r="AZ33" s="644">
        <f>IFERROR(
SUM(AY33,SUMIF(防護具!$Y$30:$Y$212,AZ$17&amp;$C32,防護具!$Q$30:$Q$212))-AY32,0)</f>
        <v>0</v>
      </c>
      <c r="BA33" s="644">
        <f>IFERROR(
SUM(AZ33,SUMIF(防護具!$Y$30:$Y$212,BA$17&amp;$C32,防護具!$Q$30:$Q$212))-AZ32,0)</f>
        <v>0</v>
      </c>
      <c r="BB33" s="644">
        <f>IFERROR(
SUM(BA33,SUMIF(防護具!$Y$30:$Y$212,BB$17&amp;$C32,防護具!$Q$30:$Q$212))-BA32,0)</f>
        <v>0</v>
      </c>
      <c r="BC33" s="644">
        <f>IFERROR(
SUM(BB33,SUMIF(防護具!$Y$30:$Y$212,BC$17&amp;$C32,防護具!$Q$30:$Q$212))-BB32,0)</f>
        <v>0</v>
      </c>
      <c r="BD33" s="644">
        <f>IFERROR(
SUM(BC33,SUMIF(防護具!$Y$30:$Y$212,BD$17&amp;$C32,防護具!$Q$30:$Q$212))-BC32,0)</f>
        <v>0</v>
      </c>
      <c r="BE33" s="644">
        <f>IFERROR(
SUM(BD33,SUMIF(防護具!$Y$30:$Y$212,BE$17&amp;$C32,防護具!$Q$30:$Q$212))-BD32,0)</f>
        <v>0</v>
      </c>
      <c r="BF33" s="644">
        <f>IFERROR(
SUM(BE33,SUMIF(防護具!$Y$30:$Y$212,BF$17&amp;$C32,防護具!$Q$30:$Q$212))-BE32,0)</f>
        <v>0</v>
      </c>
      <c r="BG33" s="644">
        <f>IFERROR(
SUM(BF33,SUMIF(防護具!$Y$30:$Y$212,BG$17&amp;$C32,防護具!$Q$30:$Q$212))-BF32,0)</f>
        <v>0</v>
      </c>
      <c r="BH33" s="644">
        <f>IFERROR(
SUM(BG33,SUMIF(防護具!$Y$30:$Y$212,BH$17&amp;$C32,防護具!$Q$30:$Q$212))-BG32,0)</f>
        <v>0</v>
      </c>
      <c r="BI33" s="644">
        <f>IFERROR(
SUM(BH33,SUMIF(防護具!$Y$30:$Y$212,BI$17&amp;$C32,防護具!$Q$30:$Q$212))-BH32,0)</f>
        <v>0</v>
      </c>
      <c r="BJ33" s="644">
        <f>IFERROR(
SUM(BI33,SUMIF(防護具!$Y$30:$Y$212,BJ$17&amp;$C32,防護具!$Q$30:$Q$212))-BI32,0)</f>
        <v>0</v>
      </c>
      <c r="BK33" s="644">
        <f>IFERROR(
SUM(BJ33,SUMIF(防護具!$Y$30:$Y$212,BK$17&amp;$C32,防護具!$Q$30:$Q$212))-BJ32,0)</f>
        <v>0</v>
      </c>
      <c r="BL33" s="644">
        <f>IFERROR(
SUM(BK33,SUMIF(防護具!$Y$30:$Y$212,BL$17&amp;$C32,防護具!$Q$30:$Q$212))-BK32,0)</f>
        <v>0</v>
      </c>
      <c r="BM33" s="644">
        <f>IFERROR(
SUM(BL33,SUMIF(防護具!$Y$30:$Y$212,BM$17&amp;$C32,防護具!$Q$30:$Q$212))-BL32,0)</f>
        <v>0</v>
      </c>
      <c r="BN33" s="644">
        <f>IFERROR(
SUM(BM33,SUMIF(防護具!$Y$30:$Y$212,BN$17&amp;$C32,防護具!$Q$30:$Q$212))-BM32,0)</f>
        <v>0</v>
      </c>
      <c r="BO33" s="644">
        <f>IFERROR(
SUM(BN33,SUMIF(防護具!$Y$30:$Y$212,BO$17&amp;$C32,防護具!$Q$30:$Q$212))-BN32,0)</f>
        <v>0</v>
      </c>
      <c r="BP33" s="644">
        <f>IFERROR(
SUM(BO33,SUMIF(防護具!$Y$30:$Y$212,BP$17&amp;$C32,防護具!$Q$30:$Q$212))-BO32,0)</f>
        <v>0</v>
      </c>
      <c r="BQ33" s="644">
        <f>IFERROR(
SUM(BP33,SUMIF(防護具!$Y$30:$Y$212,BQ$17&amp;$C32,防護具!$Q$30:$Q$212))-BP32,0)</f>
        <v>0</v>
      </c>
      <c r="BR33" s="644">
        <f>IFERROR(
SUM(BQ33,SUMIF(防護具!$Y$30:$Y$212,BR$17&amp;$C32,防護具!$Q$30:$Q$212))-BQ32,0)</f>
        <v>0</v>
      </c>
      <c r="BS33" s="644">
        <f>IFERROR(
SUM(BR33,SUMIF(防護具!$Y$30:$Y$212,BS$17&amp;$C32,防護具!$Q$30:$Q$212))-BR32,0)</f>
        <v>0</v>
      </c>
      <c r="BT33" s="644">
        <f>IFERROR(
SUM(BS33,SUMIF(防護具!$Y$30:$Y$212,BT$17&amp;$C32,防護具!$Q$30:$Q$212))-BS32,0)</f>
        <v>0</v>
      </c>
      <c r="BU33" s="644">
        <f>IFERROR(
SUM(BT33,SUMIF(防護具!$Y$30:$Y$212,BU$17&amp;$C32,防護具!$Q$30:$Q$212))-BT32,0)</f>
        <v>0</v>
      </c>
      <c r="BV33" s="644">
        <f>IFERROR(
SUM(BU33,SUMIF(防護具!$Y$30:$Y$212,BV$17&amp;$C32,防護具!$Q$30:$Q$212))-BU32,0)</f>
        <v>0</v>
      </c>
      <c r="BW33" s="644">
        <f>IFERROR(
SUM(BV33,SUMIF(防護具!$Y$30:$Y$212,BW$17&amp;$C32,防護具!$Q$30:$Q$212))-BV32,0)</f>
        <v>0</v>
      </c>
      <c r="BX33" s="644">
        <f>IFERROR(
SUM(BW33,SUMIF(防護具!$Y$30:$Y$212,BX$17&amp;$C32,防護具!$Q$30:$Q$212))-BW32,0)</f>
        <v>0</v>
      </c>
      <c r="BY33" s="644">
        <f>IFERROR(
SUM(BX33,SUMIF(防護具!$Y$30:$Y$212,BY$17&amp;$C32,防護具!$Q$30:$Q$212))-BX32,0)</f>
        <v>0</v>
      </c>
      <c r="BZ33" s="644">
        <f>IFERROR(
SUM(BY33,SUMIF(防護具!$Y$30:$Y$212,BZ$17&amp;$C32,防護具!$Q$30:$Q$212))-BY32,0)</f>
        <v>0</v>
      </c>
      <c r="CA33" s="644">
        <f>IFERROR(
SUM(BZ33,SUMIF(防護具!$Y$30:$Y$212,CA$17&amp;$C32,防護具!$Q$30:$Q$212))-BZ32,0)</f>
        <v>0</v>
      </c>
      <c r="CB33" s="644">
        <f>IFERROR(
SUM(CA33,SUMIF(防護具!$Y$30:$Y$212,CB$17&amp;$C32,防護具!$Q$30:$Q$212))-CA32,0)</f>
        <v>0</v>
      </c>
      <c r="CC33" s="644">
        <f>IFERROR(
SUM(CB33,SUMIF(防護具!$Y$30:$Y$212,CC$17&amp;$C32,防護具!$Q$30:$Q$212))-CB32,0)</f>
        <v>0</v>
      </c>
      <c r="CD33" s="644">
        <f>IFERROR(
SUM(CC33,SUMIF(防護具!$Y$30:$Y$212,CD$17&amp;$C32,防護具!$Q$30:$Q$212))-CC32,0)</f>
        <v>0</v>
      </c>
      <c r="CE33" s="644">
        <f>IFERROR(
SUM(CD33,SUMIF(防護具!$Y$30:$Y$212,CE$17&amp;$C32,防護具!$Q$30:$Q$212))-CD32,0)</f>
        <v>0</v>
      </c>
      <c r="CF33" s="644">
        <f>IFERROR(
SUM(CE33,SUMIF(防護具!$Y$30:$Y$212,CF$17&amp;$C32,防護具!$Q$30:$Q$212))-CE32,0)</f>
        <v>0</v>
      </c>
      <c r="CG33" s="644">
        <f>IFERROR(
SUM(CF33,SUMIF(防護具!$Y$30:$Y$212,CG$17&amp;$C32,防護具!$Q$30:$Q$212))-CF32,0)</f>
        <v>0</v>
      </c>
      <c r="CH33" s="644">
        <f>IFERROR(
SUM(CG33,SUMIF(防護具!$Y$30:$Y$212,CH$17&amp;$C32,防護具!$Q$30:$Q$212))-CG32,0)</f>
        <v>0</v>
      </c>
      <c r="CI33" s="644">
        <f>IFERROR(
SUM(CH33,SUMIF(防護具!$Y$30:$Y$212,CI$17&amp;$C32,防護具!$Q$30:$Q$212))-CH32,0)</f>
        <v>0</v>
      </c>
      <c r="CJ33" s="644">
        <f>IFERROR(
SUM(CI33,SUMIF(防護具!$Y$30:$Y$212,CJ$17&amp;$C32,防護具!$Q$30:$Q$212))-CI32,0)</f>
        <v>0</v>
      </c>
      <c r="CK33" s="644">
        <f>IFERROR(
SUM(CJ33,SUMIF(防護具!$Y$30:$Y$212,CK$17&amp;$C32,防護具!$Q$30:$Q$212))-CJ32,0)</f>
        <v>0</v>
      </c>
      <c r="CL33" s="644">
        <f>IFERROR(
SUM(CK33,SUMIF(防護具!$Y$30:$Y$212,CL$17&amp;$C32,防護具!$Q$30:$Q$212))-CK32,0)</f>
        <v>0</v>
      </c>
      <c r="CM33" s="644">
        <f>IFERROR(
SUM(CL33,SUMIF(防護具!$Y$30:$Y$212,CM$17&amp;$C32,防護具!$Q$30:$Q$212))-CL32,0)</f>
        <v>0</v>
      </c>
      <c r="CN33" s="644">
        <f>IFERROR(
SUM(CM33,SUMIF(防護具!$Y$30:$Y$212,CN$17&amp;$C32,防護具!$Q$30:$Q$212))-CM32,0)</f>
        <v>0</v>
      </c>
      <c r="CO33" s="644">
        <f>IFERROR(
SUM(CN33,SUMIF(防護具!$Y$30:$Y$212,CO$17&amp;$C32,防護具!$Q$30:$Q$212))-CN32,0)</f>
        <v>0</v>
      </c>
      <c r="CP33" s="644">
        <f>IFERROR(
SUM(CO33,SUMIF(防護具!$Y$30:$Y$212,CP$17&amp;$C32,防護具!$Q$30:$Q$212))-CO32,0)</f>
        <v>0</v>
      </c>
      <c r="CQ33" s="644">
        <f>IFERROR(
SUM(CP33,SUMIF(防護具!$Y$30:$Y$212,CQ$17&amp;$C32,防護具!$Q$30:$Q$212))-CP32,0)</f>
        <v>0</v>
      </c>
      <c r="CR33" s="644">
        <f>IFERROR(
SUM(CQ33,SUMIF(防護具!$Y$30:$Y$212,CR$17&amp;$C32,防護具!$Q$30:$Q$212))-CQ32,0)</f>
        <v>0</v>
      </c>
      <c r="CS33" s="644">
        <f>IFERROR(
SUM(CR33,SUMIF(防護具!$Y$30:$Y$212,CS$17&amp;$C32,防護具!$Q$30:$Q$212))-CR32,0)</f>
        <v>0</v>
      </c>
      <c r="CT33" s="644">
        <f>IFERROR(
SUM(CS33,SUMIF(防護具!$Y$30:$Y$212,CT$17&amp;$C32,防護具!$Q$30:$Q$212))-CS32,0)</f>
        <v>0</v>
      </c>
      <c r="CU33" s="644">
        <f>IFERROR(
SUM(CT33,SUMIF(防護具!$Y$30:$Y$212,CU$17&amp;$C32,防護具!$Q$30:$Q$212))-CT32,0)</f>
        <v>0</v>
      </c>
      <c r="CV33" s="644">
        <f>IFERROR(
SUM(CU33,SUMIF(防護具!$Y$30:$Y$212,CV$17&amp;$C32,防護具!$Q$30:$Q$212))-CU32,0)</f>
        <v>0</v>
      </c>
      <c r="CW33" s="644">
        <f>IFERROR(
SUM(CV33,SUMIF(防護具!$Y$30:$Y$212,CW$17&amp;$C32,防護具!$Q$30:$Q$212))-CV32,0)</f>
        <v>0</v>
      </c>
      <c r="CX33" s="644">
        <f>IFERROR(
SUM(CW33,SUMIF(防護具!$Y$30:$Y$212,CX$17&amp;$C32,防護具!$Q$30:$Q$212))-CW32,0)</f>
        <v>0</v>
      </c>
      <c r="CY33" s="644">
        <f>IFERROR(
SUM(CX33,SUMIF(防護具!$Y$30:$Y$212,CY$17&amp;$C32,防護具!$Q$30:$Q$212))-CX32,0)</f>
        <v>0</v>
      </c>
      <c r="CZ33" s="644">
        <f>IFERROR(
SUM(CY33,SUMIF(防護具!$Y$30:$Y$212,CZ$17&amp;$C32,防護具!$Q$30:$Q$212))-CY32,0)</f>
        <v>0</v>
      </c>
      <c r="DA33" s="644">
        <f>IFERROR(
SUM(CZ33,SUMIF(防護具!$Y$30:$Y$212,DA$17&amp;$C32,防護具!$Q$30:$Q$212))-CZ32,0)</f>
        <v>0</v>
      </c>
      <c r="DB33" s="644">
        <f>IFERROR(
SUM(DA33,SUMIF(防護具!$Y$30:$Y$212,DB$17&amp;$C32,防護具!$Q$30:$Q$212))-DA32,0)</f>
        <v>0</v>
      </c>
      <c r="DC33" s="644">
        <f>IFERROR(
SUM(DB33,SUMIF(防護具!$Y$30:$Y$212,DC$17&amp;$C32,防護具!$Q$30:$Q$212))-DB32,0)</f>
        <v>0</v>
      </c>
      <c r="DD33" s="644">
        <f>IFERROR(
SUM(DC33,SUMIF(防護具!$Y$30:$Y$212,DD$17&amp;$C32,防護具!$Q$30:$Q$212))-DC32,0)</f>
        <v>0</v>
      </c>
      <c r="DE33" s="644">
        <f>IFERROR(
SUM(DD33,SUMIF(防護具!$Y$30:$Y$212,DE$17&amp;$C32,防護具!$Q$30:$Q$212))-DD32,0)</f>
        <v>0</v>
      </c>
      <c r="DF33" s="644">
        <f>IFERROR(
SUM(DE33,SUMIF(防護具!$Y$30:$Y$212,DF$17&amp;$C32,防護具!$Q$30:$Q$212))-DE32,0)</f>
        <v>0</v>
      </c>
      <c r="DG33" s="644">
        <f>IFERROR(
SUM(DF33,SUMIF(防護具!$Y$30:$Y$212,DG$17&amp;$C32,防護具!$Q$30:$Q$212))-DF32,0)</f>
        <v>0</v>
      </c>
      <c r="DH33" s="644">
        <f>IFERROR(
SUM(DG33,SUMIF(防護具!$Y$30:$Y$212,DH$17&amp;$C32,防護具!$Q$30:$Q$212))-DG32,0)</f>
        <v>0</v>
      </c>
      <c r="DI33" s="644">
        <f>IFERROR(
SUM(DH33,SUMIF(防護具!$Y$30:$Y$212,DI$17&amp;$C32,防護具!$Q$30:$Q$212))-DH32,0)</f>
        <v>0</v>
      </c>
      <c r="DJ33" s="644">
        <f>IFERROR(
SUM(DI33,SUMIF(防護具!$Y$30:$Y$212,DJ$17&amp;$C32,防護具!$Q$30:$Q$212))-DI32,0)</f>
        <v>0</v>
      </c>
      <c r="DK33" s="644">
        <f>IFERROR(
SUM(DJ33,SUMIF(防護具!$Y$30:$Y$212,DK$17&amp;$C32,防護具!$Q$30:$Q$212))-DJ32,0)</f>
        <v>0</v>
      </c>
      <c r="DL33" s="644">
        <f>IFERROR(
SUM(DK33,SUMIF(防護具!$Y$30:$Y$212,DL$17&amp;$C32,防護具!$Q$30:$Q$212))-DK32,0)</f>
        <v>0</v>
      </c>
      <c r="DM33" s="644">
        <f>IFERROR(
SUM(DL33,SUMIF(防護具!$Y$30:$Y$212,DM$17&amp;$C32,防護具!$Q$30:$Q$212))-DL32,0)</f>
        <v>0</v>
      </c>
      <c r="DN33" s="644">
        <f>IFERROR(
SUM(DM33,SUMIF(防護具!$Y$30:$Y$212,DN$17&amp;$C32,防護具!$Q$30:$Q$212))-DM32,0)</f>
        <v>0</v>
      </c>
      <c r="DO33" s="644">
        <f>IFERROR(
SUM(DN33,SUMIF(防護具!$Y$30:$Y$212,DO$17&amp;$C32,防護具!$Q$30:$Q$212))-DN32,0)</f>
        <v>0</v>
      </c>
      <c r="DP33" s="644">
        <f>IFERROR(
SUM(DO33,SUMIF(防護具!$Y$30:$Y$212,DP$17&amp;$C32,防護具!$Q$30:$Q$212))-DO32,0)</f>
        <v>0</v>
      </c>
      <c r="DQ33" s="644">
        <f>IFERROR(
SUM(DP33,SUMIF(防護具!$Y$30:$Y$212,DQ$17&amp;$C32,防護具!$Q$30:$Q$212))-DP32,0)</f>
        <v>0</v>
      </c>
      <c r="DR33" s="644">
        <f>IFERROR(
SUM(DQ33,SUMIF(防護具!$Y$30:$Y$212,DR$17&amp;$C32,防護具!$Q$30:$Q$212))-DQ32,0)</f>
        <v>0</v>
      </c>
      <c r="DS33" s="644">
        <f>IFERROR(
SUM(DR33,SUMIF(防護具!$Y$30:$Y$212,DS$17&amp;$C32,防護具!$Q$30:$Q$212))-DR32,0)</f>
        <v>0</v>
      </c>
      <c r="DT33" s="644">
        <f>IFERROR(
SUM(DS33,SUMIF(防護具!$Y$30:$Y$212,DT$17&amp;$C32,防護具!$Q$30:$Q$212))-DS32,0)</f>
        <v>0</v>
      </c>
      <c r="DU33" s="644">
        <f>IFERROR(
SUM(DT33,SUMIF(防護具!$Y$30:$Y$212,DU$17&amp;$C32,防護具!$Q$30:$Q$212))-DT32,0)</f>
        <v>0</v>
      </c>
      <c r="DV33" s="644">
        <f>IFERROR(
SUM(DU33,SUMIF(防護具!$Y$30:$Y$212,DV$17&amp;$C32,防護具!$Q$30:$Q$212))-DU32,0)</f>
        <v>0</v>
      </c>
      <c r="DW33" s="644">
        <f>IFERROR(
SUM(DV33,SUMIF(防護具!$Y$30:$Y$212,DW$17&amp;$C32,防護具!$Q$30:$Q$212))-DV32,0)</f>
        <v>0</v>
      </c>
      <c r="DX33" s="644">
        <f>IFERROR(
SUM(DW33,SUMIF(防護具!$Y$30:$Y$212,DX$17&amp;$C32,防護具!$Q$30:$Q$212))-DW32,0)</f>
        <v>0</v>
      </c>
      <c r="DY33" s="644">
        <f>IFERROR(
SUM(DX33,SUMIF(防護具!$Y$30:$Y$212,DY$17&amp;$C32,防護具!$Q$30:$Q$212))-DX32,0)</f>
        <v>0</v>
      </c>
      <c r="DZ33" s="644">
        <f>IFERROR(
SUM(DY33,SUMIF(防護具!$Y$30:$Y$212,DZ$17&amp;$C32,防護具!$Q$30:$Q$212))-DY32,0)</f>
        <v>0</v>
      </c>
      <c r="EA33" s="644">
        <f>IFERROR(
SUM(DZ33,SUMIF(防護具!$Y$30:$Y$212,EA$17&amp;$C32,防護具!$Q$30:$Q$212))-DZ32,0)</f>
        <v>0</v>
      </c>
      <c r="EB33" s="644">
        <f>IFERROR(
SUM(EA33,SUMIF(防護具!$Y$30:$Y$212,EB$17&amp;$C32,防護具!$Q$30:$Q$212))-EA32,0)</f>
        <v>0</v>
      </c>
      <c r="EC33" s="644">
        <f>IFERROR(
SUM(EB33,SUMIF(防護具!$Y$30:$Y$212,EC$17&amp;$C32,防護具!$Q$30:$Q$212))-EB32,0)</f>
        <v>0</v>
      </c>
      <c r="ED33" s="644">
        <f>IFERROR(
SUM(EC33,SUMIF(防護具!$Y$30:$Y$212,ED$17&amp;$C32,防護具!$Q$30:$Q$212))-EC32,0)</f>
        <v>0</v>
      </c>
      <c r="EE33" s="644">
        <f>IFERROR(
SUM(ED33,SUMIF(防護具!$Y$30:$Y$212,EE$17&amp;$C32,防護具!$Q$30:$Q$212))-ED32,0)</f>
        <v>0</v>
      </c>
      <c r="EF33" s="644">
        <f>IFERROR(
SUM(EE33,SUMIF(防護具!$Y$30:$Y$212,EF$17&amp;$C32,防護具!$Q$30:$Q$212))-EE32,0)</f>
        <v>0</v>
      </c>
      <c r="EG33" s="644">
        <f>IFERROR(
SUM(EF33,SUMIF(防護具!$Y$30:$Y$212,EG$17&amp;$C32,防護具!$Q$30:$Q$212))-EF32,0)</f>
        <v>0</v>
      </c>
      <c r="EH33" s="644">
        <f>IFERROR(
SUM(EG33,SUMIF(防護具!$Y$30:$Y$212,EH$17&amp;$C32,防護具!$Q$30:$Q$212))-EG32,0)</f>
        <v>0</v>
      </c>
      <c r="EI33" s="644">
        <f>IFERROR(
SUM(EH33,SUMIF(防護具!$Y$30:$Y$212,EI$17&amp;$C32,防護具!$Q$30:$Q$212))-EH32,0)</f>
        <v>0</v>
      </c>
      <c r="EJ33" s="644">
        <f>IFERROR(
SUM(EI33,SUMIF(防護具!$Y$30:$Y$212,EJ$17&amp;$C32,防護具!$Q$30:$Q$212))-EI32,0)</f>
        <v>0</v>
      </c>
      <c r="EK33" s="644">
        <f>IFERROR(
SUM(EJ33,SUMIF(防護具!$Y$30:$Y$212,EK$17&amp;$C32,防護具!$Q$30:$Q$212))-EJ32,0)</f>
        <v>0</v>
      </c>
      <c r="EL33" s="644">
        <f>IFERROR(
SUM(EK33,SUMIF(防護具!$Y$30:$Y$212,EL$17&amp;$C32,防護具!$Q$30:$Q$212))-EK32,0)</f>
        <v>0</v>
      </c>
      <c r="EM33" s="644">
        <f>IFERROR(
SUM(EL33,SUMIF(防護具!$Y$30:$Y$212,EM$17&amp;$C32,防護具!$Q$30:$Q$212))-EL32,0)</f>
        <v>0</v>
      </c>
      <c r="EN33" s="644">
        <f>IFERROR(
SUM(EM33,SUMIF(防護具!$Y$30:$Y$212,EN$17&amp;$C32,防護具!$Q$30:$Q$212))-EM32,0)</f>
        <v>0</v>
      </c>
      <c r="EO33" s="644">
        <f>IFERROR(
SUM(EN33,SUMIF(防護具!$Y$30:$Y$212,EO$17&amp;$C32,防護具!$Q$30:$Q$212))-EN32,0)</f>
        <v>0</v>
      </c>
      <c r="EP33" s="644">
        <f>IFERROR(
SUM(EO33,SUMIF(防護具!$Y$30:$Y$212,EP$17&amp;$C32,防護具!$Q$30:$Q$212))-EO32,0)</f>
        <v>0</v>
      </c>
      <c r="EQ33" s="644">
        <f>IFERROR(
SUM(EP33,SUMIF(防護具!$Y$30:$Y$212,EQ$17&amp;$C32,防護具!$Q$30:$Q$212))-EP32,0)</f>
        <v>0</v>
      </c>
      <c r="ER33" s="644">
        <f>IFERROR(
SUM(EQ33,SUMIF(防護具!$Y$30:$Y$212,ER$17&amp;$C32,防護具!$Q$30:$Q$212))-EQ32,0)</f>
        <v>0</v>
      </c>
      <c r="ES33" s="644">
        <f>IFERROR(
SUM(ER33,SUMIF(防護具!$Y$30:$Y$212,ES$17&amp;$C32,防護具!$Q$30:$Q$212))-ER32,0)</f>
        <v>0</v>
      </c>
      <c r="ET33" s="644">
        <f>IFERROR(
SUM(ES33,SUMIF(防護具!$Y$30:$Y$212,ET$17&amp;$C32,防護具!$Q$30:$Q$212))-ES32,0)</f>
        <v>0</v>
      </c>
      <c r="EU33" s="644">
        <f>IFERROR(
SUM(ET33,SUMIF(防護具!$Y$30:$Y$212,EU$17&amp;$C32,防護具!$Q$30:$Q$212))-ET32,0)</f>
        <v>0</v>
      </c>
      <c r="EV33" s="644">
        <f>IFERROR(
SUM(EU33,SUMIF(防護具!$Y$30:$Y$212,EV$17&amp;$C32,防護具!$Q$30:$Q$212))-EU32,0)</f>
        <v>0</v>
      </c>
      <c r="EW33" s="644">
        <f>IFERROR(
SUM(EV33,SUMIF(防護具!$Y$30:$Y$212,EW$17&amp;$C32,防護具!$Q$30:$Q$212))-EV32,0)</f>
        <v>0</v>
      </c>
      <c r="EX33" s="644">
        <f>IFERROR(
SUM(EW33,SUMIF(防護具!$Y$30:$Y$212,EX$17&amp;$C32,防護具!$Q$30:$Q$212))-EW32,0)</f>
        <v>0</v>
      </c>
      <c r="EY33" s="644">
        <f>IFERROR(
SUM(EX33,SUMIF(防護具!$Y$30:$Y$212,EY$17&amp;$C32,防護具!$Q$30:$Q$212))-EX32,0)</f>
        <v>0</v>
      </c>
      <c r="EZ33" s="644">
        <f>IFERROR(
SUM(EY33,SUMIF(防護具!$Y$30:$Y$212,EZ$17&amp;$C32,防護具!$Q$30:$Q$212))-EY32,0)</f>
        <v>0</v>
      </c>
      <c r="FA33" s="644">
        <f>IFERROR(
SUM(EZ33,SUMIF(防護具!$Y$30:$Y$212,FA$17&amp;$C32,防護具!$Q$30:$Q$212))-EZ32,0)</f>
        <v>0</v>
      </c>
      <c r="FB33" s="644">
        <f>IFERROR(
SUM(FA33,SUMIF(防護具!$Y$30:$Y$212,FB$17&amp;$C32,防護具!$Q$30:$Q$212))-FA32,0)</f>
        <v>0</v>
      </c>
      <c r="FC33" s="644">
        <f>IFERROR(
SUM(FB33,SUMIF(防護具!$Y$30:$Y$212,FC$17&amp;$C32,防護具!$Q$30:$Q$212))-FB32,0)</f>
        <v>0</v>
      </c>
      <c r="FD33" s="644">
        <f>IFERROR(
SUM(FC33,SUMIF(防護具!$Y$30:$Y$212,FD$17&amp;$C32,防護具!$Q$30:$Q$212))-FC32,0)</f>
        <v>0</v>
      </c>
      <c r="FE33" s="644">
        <f>IFERROR(
SUM(FD33,SUMIF(防護具!$Y$30:$Y$212,FE$17&amp;$C32,防護具!$Q$30:$Q$212))-FD32,0)</f>
        <v>0</v>
      </c>
      <c r="FF33" s="644">
        <f>IFERROR(
SUM(FE33,SUMIF(防護具!$Y$30:$Y$212,FF$17&amp;$C32,防護具!$Q$30:$Q$212))-FE32,0)</f>
        <v>0</v>
      </c>
      <c r="FG33" s="644">
        <f>IFERROR(
SUM(FF33,SUMIF(防護具!$Y$30:$Y$212,FG$17&amp;$C32,防護具!$Q$30:$Q$212))-FF32,0)</f>
        <v>0</v>
      </c>
      <c r="FH33" s="644">
        <f>IFERROR(
SUM(FG33,SUMIF(防護具!$Y$30:$Y$212,FH$17&amp;$C32,防護具!$Q$30:$Q$212))-FG32,0)</f>
        <v>0</v>
      </c>
      <c r="FI33" s="644">
        <f>IFERROR(
SUM(FH33,SUMIF(防護具!$Y$30:$Y$212,FI$17&amp;$C32,防護具!$Q$30:$Q$212))-FH32,0)</f>
        <v>0</v>
      </c>
      <c r="FJ33" s="644">
        <f>IFERROR(
SUM(FI33,SUMIF(防護具!$Y$30:$Y$212,FJ$17&amp;$C32,防護具!$Q$30:$Q$212))-FI32,0)</f>
        <v>0</v>
      </c>
      <c r="FK33" s="644">
        <f>IFERROR(
SUM(FJ33,SUMIF(防護具!$Y$30:$Y$212,FK$17&amp;$C32,防護具!$Q$30:$Q$212))-FJ32,0)</f>
        <v>0</v>
      </c>
      <c r="FL33" s="644">
        <f>IFERROR(
SUM(FK33,SUMIF(防護具!$Y$30:$Y$212,FL$17&amp;$C32,防護具!$Q$30:$Q$212))-FK32,0)</f>
        <v>0</v>
      </c>
      <c r="FM33" s="644">
        <f>IFERROR(
SUM(FL33,SUMIF(防護具!$Y$30:$Y$212,FM$17&amp;$C32,防護具!$Q$30:$Q$212))-FL32,0)</f>
        <v>0</v>
      </c>
      <c r="FN33" s="644">
        <f>IFERROR(
SUM(FM33,SUMIF(防護具!$Y$30:$Y$212,FN$17&amp;$C32,防護具!$Q$30:$Q$212))-FM32,0)</f>
        <v>0</v>
      </c>
      <c r="FO33" s="644">
        <f>IFERROR(
SUM(FN33,SUMIF(防護具!$Y$30:$Y$212,FO$17&amp;$C32,防護具!$Q$30:$Q$212))-FN32,0)</f>
        <v>0</v>
      </c>
      <c r="FP33" s="644">
        <f>IFERROR(
SUM(FO33,SUMIF(防護具!$Y$30:$Y$212,FP$17&amp;$C32,防護具!$Q$30:$Q$212))-FO32,0)</f>
        <v>0</v>
      </c>
      <c r="FQ33" s="644">
        <f>IFERROR(
SUM(FP33,SUMIF(防護具!$Y$30:$Y$212,FQ$17&amp;$C32,防護具!$Q$30:$Q$212))-FP32,0)</f>
        <v>0</v>
      </c>
      <c r="FR33" s="644">
        <f>IFERROR(
SUM(FQ33,SUMIF(防護具!$Y$30:$Y$212,FR$17&amp;$C32,防護具!$Q$30:$Q$212))-FQ32,0)</f>
        <v>0</v>
      </c>
      <c r="FS33" s="644">
        <f>IFERROR(
SUM(FR33,SUMIF(防護具!$Y$30:$Y$212,FS$17&amp;$C32,防護具!$Q$30:$Q$212))-FR32,0)</f>
        <v>0</v>
      </c>
      <c r="FT33" s="644">
        <f>IFERROR(
SUM(FS33,SUMIF(防護具!$Y$30:$Y$212,FT$17&amp;$C32,防護具!$Q$30:$Q$212))-FS32,0)</f>
        <v>0</v>
      </c>
      <c r="FU33" s="644">
        <f>IFERROR(
SUM(FT33,SUMIF(防護具!$Y$30:$Y$212,FU$17&amp;$C32,防護具!$Q$30:$Q$212))-FT32,0)</f>
        <v>0</v>
      </c>
      <c r="FV33" s="644">
        <f>IFERROR(
SUM(FU33,SUMIF(防護具!$Y$30:$Y$212,FV$17&amp;$C32,防護具!$Q$30:$Q$212))-FU32,0)</f>
        <v>0</v>
      </c>
      <c r="FW33" s="644">
        <f>IFERROR(
SUM(FV33,SUMIF(防護具!$Y$30:$Y$212,FW$17&amp;$C32,防護具!$Q$30:$Q$212))-FV32,0)</f>
        <v>0</v>
      </c>
      <c r="FX33" s="644">
        <f>IFERROR(
SUM(FW33,SUMIF(防護具!$Y$30:$Y$212,FX$17&amp;$C32,防護具!$Q$30:$Q$212))-FW32,0)</f>
        <v>0</v>
      </c>
      <c r="FY33" s="644">
        <f>IFERROR(
SUM(FX33,SUMIF(防護具!$Y$30:$Y$212,FY$17&amp;$C32,防護具!$Q$30:$Q$212))-FX32,0)</f>
        <v>0</v>
      </c>
      <c r="FZ33" s="644">
        <f>IFERROR(
SUM(FY33,SUMIF(防護具!$Y$30:$Y$212,FZ$17&amp;$C32,防護具!$Q$30:$Q$212))-FY32,0)</f>
        <v>0</v>
      </c>
      <c r="GA33" s="644">
        <f>IFERROR(
SUM(FZ33,SUMIF(防護具!$Y$30:$Y$212,GA$17&amp;$C32,防護具!$Q$30:$Q$212))-FZ32,0)</f>
        <v>0</v>
      </c>
      <c r="GB33" s="644">
        <f>IFERROR(
SUM(GA33,SUMIF(防護具!$Y$30:$Y$212,GB$17&amp;$C32,防護具!$Q$30:$Q$212))-GA32,0)</f>
        <v>0</v>
      </c>
      <c r="GC33" s="644">
        <f>IFERROR(
SUM(GB33,SUMIF(防護具!$Y$30:$Y$212,GC$17&amp;$C32,防護具!$Q$30:$Q$212))-GB32,0)</f>
        <v>0</v>
      </c>
      <c r="GD33" s="644">
        <f>IFERROR(
SUM(GC33,SUMIF(防護具!$Y$30:$Y$212,GD$17&amp;$C32,防護具!$Q$30:$Q$212))-GC32,0)</f>
        <v>0</v>
      </c>
      <c r="GE33" s="644">
        <f>IFERROR(
SUM(GD33,SUMIF(防護具!$Y$30:$Y$212,GE$17&amp;$C32,防護具!$Q$30:$Q$212))-GD32,0)</f>
        <v>0</v>
      </c>
      <c r="GF33" s="644">
        <f>IFERROR(
SUM(GE33,SUMIF(防護具!$Y$30:$Y$212,GF$17&amp;$C32,防護具!$Q$30:$Q$212))-GE32,0)</f>
        <v>0</v>
      </c>
      <c r="GG33" s="644">
        <f>IFERROR(
SUM(GF33,SUMIF(防護具!$Y$30:$Y$212,GG$17&amp;$C32,防護具!$Q$30:$Q$212))-GF32,0)</f>
        <v>0</v>
      </c>
      <c r="GH33" s="644">
        <f>IFERROR(
SUM(GG33,SUMIF(防護具!$Y$30:$Y$212,GH$17&amp;$C32,防護具!$Q$30:$Q$212))-GG32,0)</f>
        <v>0</v>
      </c>
      <c r="GI33" s="644">
        <f>IFERROR(
SUM(GH33,SUMIF(防護具!$Y$30:$Y$212,GI$17&amp;$C32,防護具!$Q$30:$Q$212))-GH32,0)</f>
        <v>0</v>
      </c>
      <c r="GJ33" s="644">
        <f>IFERROR(
SUM(GI33,SUMIF(防護具!$Y$30:$Y$212,GJ$17&amp;$C32,防護具!$Q$30:$Q$212))-GI32,0)</f>
        <v>0</v>
      </c>
    </row>
    <row r="34" spans="2:192" s="645" customFormat="1">
      <c r="B34" s="654"/>
      <c r="C34" s="643"/>
      <c r="D34" s="769" t="s">
        <v>1468</v>
      </c>
      <c r="E34" s="774"/>
      <c r="F34" s="707"/>
      <c r="G34" s="644">
        <f>SUMIF(防護具!$Y$13:$Y$29,G$17&amp;PPE差引簿!C32,防護具!$Q$13:$Q$29)</f>
        <v>5000</v>
      </c>
      <c r="H34" s="644">
        <f xml:space="preserve">
IF(G34-VLOOKUP($C32,$C$3:$D$15,2,FALSE)*H$21&lt;0,0,G34-VLOOKUP($C32,$C$3:$D$15,2,FALSE)*H$21)</f>
        <v>5000</v>
      </c>
      <c r="I34" s="644">
        <f t="shared" ref="I34:BT34" si="910" xml:space="preserve">
IF(H34-VLOOKUP($C32,$C$3:$D$15,2,FALSE)*I$21&lt;0,0,H34-VLOOKUP($C32,$C$3:$D$15,2,FALSE)*I$21)</f>
        <v>5000</v>
      </c>
      <c r="J34" s="644">
        <f t="shared" si="910"/>
        <v>5000</v>
      </c>
      <c r="K34" s="644">
        <f t="shared" si="910"/>
        <v>5000</v>
      </c>
      <c r="L34" s="644">
        <f t="shared" si="910"/>
        <v>5000</v>
      </c>
      <c r="M34" s="644">
        <f t="shared" si="910"/>
        <v>5000</v>
      </c>
      <c r="N34" s="644">
        <f t="shared" si="910"/>
        <v>5000</v>
      </c>
      <c r="O34" s="644">
        <f t="shared" si="910"/>
        <v>5000</v>
      </c>
      <c r="P34" s="644">
        <f t="shared" si="910"/>
        <v>5000</v>
      </c>
      <c r="Q34" s="644">
        <f t="shared" si="910"/>
        <v>5000</v>
      </c>
      <c r="R34" s="644">
        <f t="shared" si="910"/>
        <v>5000</v>
      </c>
      <c r="S34" s="644">
        <f t="shared" si="910"/>
        <v>5000</v>
      </c>
      <c r="T34" s="644">
        <f t="shared" si="910"/>
        <v>5000</v>
      </c>
      <c r="U34" s="644">
        <f t="shared" si="910"/>
        <v>5000</v>
      </c>
      <c r="V34" s="644">
        <f t="shared" si="910"/>
        <v>5000</v>
      </c>
      <c r="W34" s="644">
        <f t="shared" si="910"/>
        <v>5000</v>
      </c>
      <c r="X34" s="644">
        <f t="shared" si="910"/>
        <v>5000</v>
      </c>
      <c r="Y34" s="644">
        <f t="shared" si="910"/>
        <v>5000</v>
      </c>
      <c r="Z34" s="644">
        <f t="shared" si="910"/>
        <v>5000</v>
      </c>
      <c r="AA34" s="644">
        <f t="shared" si="910"/>
        <v>5000</v>
      </c>
      <c r="AB34" s="644">
        <f t="shared" si="910"/>
        <v>5000</v>
      </c>
      <c r="AC34" s="644">
        <f t="shared" si="910"/>
        <v>5000</v>
      </c>
      <c r="AD34" s="644">
        <f t="shared" si="910"/>
        <v>5000</v>
      </c>
      <c r="AE34" s="644">
        <f t="shared" si="910"/>
        <v>5000</v>
      </c>
      <c r="AF34" s="644">
        <f t="shared" si="910"/>
        <v>5000</v>
      </c>
      <c r="AG34" s="644">
        <f t="shared" si="910"/>
        <v>5000</v>
      </c>
      <c r="AH34" s="644">
        <f t="shared" si="910"/>
        <v>5000</v>
      </c>
      <c r="AI34" s="644">
        <f t="shared" si="910"/>
        <v>5000</v>
      </c>
      <c r="AJ34" s="644">
        <f t="shared" si="910"/>
        <v>5000</v>
      </c>
      <c r="AK34" s="644">
        <f t="shared" si="910"/>
        <v>5000</v>
      </c>
      <c r="AL34" s="644">
        <f t="shared" si="910"/>
        <v>5000</v>
      </c>
      <c r="AM34" s="644">
        <f t="shared" si="910"/>
        <v>5000</v>
      </c>
      <c r="AN34" s="644">
        <f t="shared" si="910"/>
        <v>5000</v>
      </c>
      <c r="AO34" s="644">
        <f t="shared" si="910"/>
        <v>5000</v>
      </c>
      <c r="AP34" s="644">
        <f t="shared" si="910"/>
        <v>5000</v>
      </c>
      <c r="AQ34" s="644">
        <f t="shared" si="910"/>
        <v>5000</v>
      </c>
      <c r="AR34" s="644">
        <f t="shared" si="910"/>
        <v>5000</v>
      </c>
      <c r="AS34" s="644">
        <f t="shared" si="910"/>
        <v>5000</v>
      </c>
      <c r="AT34" s="644">
        <f t="shared" si="910"/>
        <v>5000</v>
      </c>
      <c r="AU34" s="644">
        <f t="shared" si="910"/>
        <v>5000</v>
      </c>
      <c r="AV34" s="644">
        <f t="shared" si="910"/>
        <v>5000</v>
      </c>
      <c r="AW34" s="644">
        <f t="shared" si="910"/>
        <v>5000</v>
      </c>
      <c r="AX34" s="644">
        <f t="shared" si="910"/>
        <v>5000</v>
      </c>
      <c r="AY34" s="644">
        <f t="shared" si="910"/>
        <v>5000</v>
      </c>
      <c r="AZ34" s="644">
        <f t="shared" si="910"/>
        <v>5000</v>
      </c>
      <c r="BA34" s="644">
        <f t="shared" si="910"/>
        <v>5000</v>
      </c>
      <c r="BB34" s="644">
        <f t="shared" si="910"/>
        <v>5000</v>
      </c>
      <c r="BC34" s="644">
        <f t="shared" si="910"/>
        <v>5000</v>
      </c>
      <c r="BD34" s="644">
        <f t="shared" si="910"/>
        <v>5000</v>
      </c>
      <c r="BE34" s="644">
        <f t="shared" si="910"/>
        <v>5000</v>
      </c>
      <c r="BF34" s="644">
        <f t="shared" si="910"/>
        <v>5000</v>
      </c>
      <c r="BG34" s="644">
        <f t="shared" si="910"/>
        <v>5000</v>
      </c>
      <c r="BH34" s="644">
        <f t="shared" si="910"/>
        <v>5000</v>
      </c>
      <c r="BI34" s="644">
        <f t="shared" si="910"/>
        <v>5000</v>
      </c>
      <c r="BJ34" s="644">
        <f t="shared" si="910"/>
        <v>5000</v>
      </c>
      <c r="BK34" s="644">
        <f t="shared" si="910"/>
        <v>5000</v>
      </c>
      <c r="BL34" s="644">
        <f t="shared" si="910"/>
        <v>5000</v>
      </c>
      <c r="BM34" s="644">
        <f t="shared" si="910"/>
        <v>5000</v>
      </c>
      <c r="BN34" s="644">
        <f t="shared" si="910"/>
        <v>5000</v>
      </c>
      <c r="BO34" s="644">
        <f t="shared" si="910"/>
        <v>5000</v>
      </c>
      <c r="BP34" s="644">
        <f t="shared" si="910"/>
        <v>5000</v>
      </c>
      <c r="BQ34" s="644">
        <f t="shared" si="910"/>
        <v>5000</v>
      </c>
      <c r="BR34" s="644">
        <f t="shared" si="910"/>
        <v>5000</v>
      </c>
      <c r="BS34" s="644">
        <f t="shared" si="910"/>
        <v>5000</v>
      </c>
      <c r="BT34" s="644">
        <f t="shared" si="910"/>
        <v>5000</v>
      </c>
      <c r="BU34" s="644">
        <f t="shared" ref="BU34:EF34" si="911" xml:space="preserve">
IF(BT34-VLOOKUP($C32,$C$3:$D$15,2,FALSE)*BU$21&lt;0,0,BT34-VLOOKUP($C32,$C$3:$D$15,2,FALSE)*BU$21)</f>
        <v>5000</v>
      </c>
      <c r="BV34" s="644">
        <f t="shared" si="911"/>
        <v>5000</v>
      </c>
      <c r="BW34" s="644">
        <f t="shared" si="911"/>
        <v>5000</v>
      </c>
      <c r="BX34" s="644">
        <f t="shared" si="911"/>
        <v>5000</v>
      </c>
      <c r="BY34" s="644">
        <f t="shared" si="911"/>
        <v>5000</v>
      </c>
      <c r="BZ34" s="644">
        <f t="shared" si="911"/>
        <v>5000</v>
      </c>
      <c r="CA34" s="644">
        <f t="shared" si="911"/>
        <v>5000</v>
      </c>
      <c r="CB34" s="644">
        <f t="shared" si="911"/>
        <v>5000</v>
      </c>
      <c r="CC34" s="644">
        <f t="shared" si="911"/>
        <v>5000</v>
      </c>
      <c r="CD34" s="644">
        <f t="shared" si="911"/>
        <v>5000</v>
      </c>
      <c r="CE34" s="644">
        <f t="shared" si="911"/>
        <v>5000</v>
      </c>
      <c r="CF34" s="644">
        <f t="shared" si="911"/>
        <v>5000</v>
      </c>
      <c r="CG34" s="644">
        <f t="shared" si="911"/>
        <v>5000</v>
      </c>
      <c r="CH34" s="644">
        <f t="shared" si="911"/>
        <v>5000</v>
      </c>
      <c r="CI34" s="644">
        <f t="shared" si="911"/>
        <v>5000</v>
      </c>
      <c r="CJ34" s="644">
        <f t="shared" si="911"/>
        <v>5000</v>
      </c>
      <c r="CK34" s="644">
        <f t="shared" si="911"/>
        <v>5000</v>
      </c>
      <c r="CL34" s="644">
        <f t="shared" si="911"/>
        <v>5000</v>
      </c>
      <c r="CM34" s="644">
        <f t="shared" si="911"/>
        <v>5000</v>
      </c>
      <c r="CN34" s="644">
        <f t="shared" si="911"/>
        <v>5000</v>
      </c>
      <c r="CO34" s="644">
        <f t="shared" si="911"/>
        <v>5000</v>
      </c>
      <c r="CP34" s="644">
        <f t="shared" si="911"/>
        <v>5000</v>
      </c>
      <c r="CQ34" s="644">
        <f t="shared" si="911"/>
        <v>5000</v>
      </c>
      <c r="CR34" s="644">
        <f t="shared" si="911"/>
        <v>5000</v>
      </c>
      <c r="CS34" s="644">
        <f t="shared" si="911"/>
        <v>5000</v>
      </c>
      <c r="CT34" s="644">
        <f t="shared" si="911"/>
        <v>5000</v>
      </c>
      <c r="CU34" s="644">
        <f t="shared" si="911"/>
        <v>5000</v>
      </c>
      <c r="CV34" s="644">
        <f t="shared" si="911"/>
        <v>5000</v>
      </c>
      <c r="CW34" s="644">
        <f t="shared" si="911"/>
        <v>5000</v>
      </c>
      <c r="CX34" s="644">
        <f t="shared" si="911"/>
        <v>5000</v>
      </c>
      <c r="CY34" s="644">
        <f t="shared" si="911"/>
        <v>5000</v>
      </c>
      <c r="CZ34" s="644">
        <f t="shared" si="911"/>
        <v>5000</v>
      </c>
      <c r="DA34" s="644">
        <f t="shared" si="911"/>
        <v>5000</v>
      </c>
      <c r="DB34" s="644">
        <f t="shared" si="911"/>
        <v>5000</v>
      </c>
      <c r="DC34" s="644">
        <f t="shared" si="911"/>
        <v>5000</v>
      </c>
      <c r="DD34" s="644">
        <f t="shared" si="911"/>
        <v>5000</v>
      </c>
      <c r="DE34" s="644">
        <f t="shared" si="911"/>
        <v>5000</v>
      </c>
      <c r="DF34" s="644">
        <f t="shared" si="911"/>
        <v>5000</v>
      </c>
      <c r="DG34" s="644">
        <f t="shared" si="911"/>
        <v>5000</v>
      </c>
      <c r="DH34" s="644">
        <f t="shared" si="911"/>
        <v>5000</v>
      </c>
      <c r="DI34" s="644">
        <f t="shared" si="911"/>
        <v>5000</v>
      </c>
      <c r="DJ34" s="644">
        <f t="shared" si="911"/>
        <v>5000</v>
      </c>
      <c r="DK34" s="644">
        <f t="shared" si="911"/>
        <v>5000</v>
      </c>
      <c r="DL34" s="644">
        <f t="shared" si="911"/>
        <v>5000</v>
      </c>
      <c r="DM34" s="644">
        <f t="shared" si="911"/>
        <v>5000</v>
      </c>
      <c r="DN34" s="644">
        <f t="shared" si="911"/>
        <v>5000</v>
      </c>
      <c r="DO34" s="644">
        <f t="shared" si="911"/>
        <v>5000</v>
      </c>
      <c r="DP34" s="644">
        <f t="shared" si="911"/>
        <v>5000</v>
      </c>
      <c r="DQ34" s="644">
        <f t="shared" si="911"/>
        <v>5000</v>
      </c>
      <c r="DR34" s="644">
        <f t="shared" si="911"/>
        <v>5000</v>
      </c>
      <c r="DS34" s="644">
        <f t="shared" si="911"/>
        <v>5000</v>
      </c>
      <c r="DT34" s="644">
        <f t="shared" si="911"/>
        <v>5000</v>
      </c>
      <c r="DU34" s="644">
        <f t="shared" si="911"/>
        <v>5000</v>
      </c>
      <c r="DV34" s="644">
        <f t="shared" si="911"/>
        <v>5000</v>
      </c>
      <c r="DW34" s="644">
        <f t="shared" si="911"/>
        <v>5000</v>
      </c>
      <c r="DX34" s="644">
        <f t="shared" si="911"/>
        <v>5000</v>
      </c>
      <c r="DY34" s="644">
        <f t="shared" si="911"/>
        <v>5000</v>
      </c>
      <c r="DZ34" s="644">
        <f t="shared" si="911"/>
        <v>5000</v>
      </c>
      <c r="EA34" s="644">
        <f t="shared" si="911"/>
        <v>5000</v>
      </c>
      <c r="EB34" s="644">
        <f t="shared" si="911"/>
        <v>5000</v>
      </c>
      <c r="EC34" s="644">
        <f t="shared" si="911"/>
        <v>5000</v>
      </c>
      <c r="ED34" s="644">
        <f t="shared" si="911"/>
        <v>5000</v>
      </c>
      <c r="EE34" s="644">
        <f t="shared" si="911"/>
        <v>5000</v>
      </c>
      <c r="EF34" s="644">
        <f t="shared" si="911"/>
        <v>5000</v>
      </c>
      <c r="EG34" s="644">
        <f t="shared" ref="EG34:GJ34" si="912" xml:space="preserve">
IF(EF34-VLOOKUP($C32,$C$3:$D$15,2,FALSE)*EG$21&lt;0,0,EF34-VLOOKUP($C32,$C$3:$D$15,2,FALSE)*EG$21)</f>
        <v>5000</v>
      </c>
      <c r="EH34" s="644">
        <f t="shared" si="912"/>
        <v>5000</v>
      </c>
      <c r="EI34" s="644">
        <f t="shared" si="912"/>
        <v>5000</v>
      </c>
      <c r="EJ34" s="644">
        <f t="shared" si="912"/>
        <v>5000</v>
      </c>
      <c r="EK34" s="644">
        <f t="shared" si="912"/>
        <v>5000</v>
      </c>
      <c r="EL34" s="644">
        <f t="shared" si="912"/>
        <v>5000</v>
      </c>
      <c r="EM34" s="644">
        <f t="shared" si="912"/>
        <v>5000</v>
      </c>
      <c r="EN34" s="644">
        <f t="shared" si="912"/>
        <v>5000</v>
      </c>
      <c r="EO34" s="644">
        <f t="shared" si="912"/>
        <v>5000</v>
      </c>
      <c r="EP34" s="644">
        <f t="shared" si="912"/>
        <v>5000</v>
      </c>
      <c r="EQ34" s="644">
        <f t="shared" si="912"/>
        <v>5000</v>
      </c>
      <c r="ER34" s="644">
        <f t="shared" si="912"/>
        <v>5000</v>
      </c>
      <c r="ES34" s="644">
        <f t="shared" si="912"/>
        <v>5000</v>
      </c>
      <c r="ET34" s="644">
        <f t="shared" si="912"/>
        <v>5000</v>
      </c>
      <c r="EU34" s="644">
        <f t="shared" si="912"/>
        <v>5000</v>
      </c>
      <c r="EV34" s="644">
        <f t="shared" si="912"/>
        <v>5000</v>
      </c>
      <c r="EW34" s="644">
        <f t="shared" si="912"/>
        <v>5000</v>
      </c>
      <c r="EX34" s="644">
        <f t="shared" si="912"/>
        <v>5000</v>
      </c>
      <c r="EY34" s="644">
        <f t="shared" si="912"/>
        <v>5000</v>
      </c>
      <c r="EZ34" s="644">
        <f t="shared" si="912"/>
        <v>5000</v>
      </c>
      <c r="FA34" s="644">
        <f t="shared" si="912"/>
        <v>5000</v>
      </c>
      <c r="FB34" s="644">
        <f t="shared" si="912"/>
        <v>5000</v>
      </c>
      <c r="FC34" s="644">
        <f t="shared" si="912"/>
        <v>5000</v>
      </c>
      <c r="FD34" s="644">
        <f t="shared" si="912"/>
        <v>5000</v>
      </c>
      <c r="FE34" s="644">
        <f t="shared" si="912"/>
        <v>5000</v>
      </c>
      <c r="FF34" s="644">
        <f t="shared" si="912"/>
        <v>5000</v>
      </c>
      <c r="FG34" s="644">
        <f t="shared" si="912"/>
        <v>5000</v>
      </c>
      <c r="FH34" s="644">
        <f t="shared" si="912"/>
        <v>5000</v>
      </c>
      <c r="FI34" s="644">
        <f t="shared" si="912"/>
        <v>5000</v>
      </c>
      <c r="FJ34" s="644">
        <f t="shared" si="912"/>
        <v>5000</v>
      </c>
      <c r="FK34" s="644">
        <f t="shared" si="912"/>
        <v>5000</v>
      </c>
      <c r="FL34" s="644">
        <f t="shared" si="912"/>
        <v>5000</v>
      </c>
      <c r="FM34" s="644">
        <f t="shared" si="912"/>
        <v>5000</v>
      </c>
      <c r="FN34" s="644">
        <f t="shared" si="912"/>
        <v>5000</v>
      </c>
      <c r="FO34" s="644">
        <f t="shared" si="912"/>
        <v>5000</v>
      </c>
      <c r="FP34" s="644">
        <f t="shared" si="912"/>
        <v>5000</v>
      </c>
      <c r="FQ34" s="644">
        <f t="shared" si="912"/>
        <v>5000</v>
      </c>
      <c r="FR34" s="644">
        <f t="shared" si="912"/>
        <v>5000</v>
      </c>
      <c r="FS34" s="644">
        <f t="shared" si="912"/>
        <v>5000</v>
      </c>
      <c r="FT34" s="644">
        <f t="shared" si="912"/>
        <v>5000</v>
      </c>
      <c r="FU34" s="644">
        <f t="shared" si="912"/>
        <v>5000</v>
      </c>
      <c r="FV34" s="644">
        <f t="shared" si="912"/>
        <v>5000</v>
      </c>
      <c r="FW34" s="644">
        <f t="shared" si="912"/>
        <v>5000</v>
      </c>
      <c r="FX34" s="644">
        <f t="shared" si="912"/>
        <v>5000</v>
      </c>
      <c r="FY34" s="644">
        <f t="shared" si="912"/>
        <v>5000</v>
      </c>
      <c r="FZ34" s="644">
        <f t="shared" si="912"/>
        <v>5000</v>
      </c>
      <c r="GA34" s="644">
        <f t="shared" si="912"/>
        <v>5000</v>
      </c>
      <c r="GB34" s="644">
        <f t="shared" si="912"/>
        <v>5000</v>
      </c>
      <c r="GC34" s="644">
        <f t="shared" si="912"/>
        <v>5000</v>
      </c>
      <c r="GD34" s="644">
        <f t="shared" si="912"/>
        <v>5000</v>
      </c>
      <c r="GE34" s="644">
        <f t="shared" si="912"/>
        <v>5000</v>
      </c>
      <c r="GF34" s="644">
        <f t="shared" si="912"/>
        <v>5000</v>
      </c>
      <c r="GG34" s="644">
        <f t="shared" si="912"/>
        <v>5000</v>
      </c>
      <c r="GH34" s="644">
        <f t="shared" si="912"/>
        <v>5000</v>
      </c>
      <c r="GI34" s="644">
        <f t="shared" si="912"/>
        <v>5000</v>
      </c>
      <c r="GJ34" s="644">
        <f t="shared" si="912"/>
        <v>5000</v>
      </c>
    </row>
    <row r="35" spans="2:192" s="655" customFormat="1">
      <c r="B35" s="656"/>
      <c r="C35" s="641" t="s">
        <v>1259</v>
      </c>
      <c r="D35" s="768" t="s">
        <v>1466</v>
      </c>
      <c r="E35" s="773"/>
      <c r="F35" s="706"/>
      <c r="G35" s="642">
        <f xml:space="preserve">
MIN(G36,
IF((VLOOKUP($C35,$C$3:$D$15,2,FALSE)*G$21-G37)&lt;0,0,VLOOKUP($C35,$C$3:$D$15,2,FALSE)*G$21-G37))</f>
        <v>0</v>
      </c>
      <c r="H35" s="642">
        <f t="shared" ref="H35" si="913" xml:space="preserve">
IF(G37&gt;=VLOOKUP($C35,$C$3:$D$15,2,FALSE)*H$21,0,
IF(AND(G37&lt;VLOOKUP($C35,$C$3:$D$15,2,FALSE)*H$21,H36&lt;=VLOOKUP($C35,$C$3:$D$15,2,FALSE)*H$21),IF(H36-G37&lt;0,0,H36-G37),
IF(AND(G37&lt;VLOOKUP($C35,$C$3:$D$15,2,FALSE)*H$21,H36&gt;VLOOKUP($C35,$C$3:$D$15,2,FALSE)*H$21),VLOOKUP($C35,$C$3:$D$15,2,FALSE)*H$21-G37)))</f>
        <v>0</v>
      </c>
      <c r="I35" s="642">
        <f t="shared" ref="I35" si="914" xml:space="preserve">
IF(H37&gt;=VLOOKUP($C35,$C$3:$D$15,2,FALSE)*I$21,0,
IF(AND(H37&lt;VLOOKUP($C35,$C$3:$D$15,2,FALSE)*I$21,I36&lt;=VLOOKUP($C35,$C$3:$D$15,2,FALSE)*I$21),IF(I36-H37&lt;0,0,I36-H37),
IF(AND(H37&lt;VLOOKUP($C35,$C$3:$D$15,2,FALSE)*I$21,I36&gt;VLOOKUP($C35,$C$3:$D$15,2,FALSE)*I$21),VLOOKUP($C35,$C$3:$D$15,2,FALSE)*I$21-H37)))</f>
        <v>0</v>
      </c>
      <c r="J35" s="642">
        <f t="shared" ref="J35" si="915" xml:space="preserve">
IF(I37&gt;=VLOOKUP($C35,$C$3:$D$15,2,FALSE)*J$21,0,
IF(AND(I37&lt;VLOOKUP($C35,$C$3:$D$15,2,FALSE)*J$21,J36&lt;=VLOOKUP($C35,$C$3:$D$15,2,FALSE)*J$21),IF(J36-I37&lt;0,0,J36-I37),
IF(AND(I37&lt;VLOOKUP($C35,$C$3:$D$15,2,FALSE)*J$21,J36&gt;VLOOKUP($C35,$C$3:$D$15,2,FALSE)*J$21),VLOOKUP($C35,$C$3:$D$15,2,FALSE)*J$21-I37)))</f>
        <v>0</v>
      </c>
      <c r="K35" s="642">
        <f t="shared" ref="K35" si="916" xml:space="preserve">
IF(J37&gt;=VLOOKUP($C35,$C$3:$D$15,2,FALSE)*K$21,0,
IF(AND(J37&lt;VLOOKUP($C35,$C$3:$D$15,2,FALSE)*K$21,K36&lt;=VLOOKUP($C35,$C$3:$D$15,2,FALSE)*K$21),IF(K36-J37&lt;0,0,K36-J37),
IF(AND(J37&lt;VLOOKUP($C35,$C$3:$D$15,2,FALSE)*K$21,K36&gt;VLOOKUP($C35,$C$3:$D$15,2,FALSE)*K$21),VLOOKUP($C35,$C$3:$D$15,2,FALSE)*K$21-J37)))</f>
        <v>0</v>
      </c>
      <c r="L35" s="642">
        <f t="shared" ref="L35" si="917" xml:space="preserve">
IF(K37&gt;=VLOOKUP($C35,$C$3:$D$15,2,FALSE)*L$21,0,
IF(AND(K37&lt;VLOOKUP($C35,$C$3:$D$15,2,FALSE)*L$21,L36&lt;=VLOOKUP($C35,$C$3:$D$15,2,FALSE)*L$21),IF(L36-K37&lt;0,0,L36-K37),
IF(AND(K37&lt;VLOOKUP($C35,$C$3:$D$15,2,FALSE)*L$21,L36&gt;VLOOKUP($C35,$C$3:$D$15,2,FALSE)*L$21),VLOOKUP($C35,$C$3:$D$15,2,FALSE)*L$21-K37)))</f>
        <v>0</v>
      </c>
      <c r="M35" s="642">
        <f t="shared" ref="M35" si="918" xml:space="preserve">
IF(L37&gt;=VLOOKUP($C35,$C$3:$D$15,2,FALSE)*M$21,0,
IF(AND(L37&lt;VLOOKUP($C35,$C$3:$D$15,2,FALSE)*M$21,M36&lt;=VLOOKUP($C35,$C$3:$D$15,2,FALSE)*M$21),IF(M36-L37&lt;0,0,M36-L37),
IF(AND(L37&lt;VLOOKUP($C35,$C$3:$D$15,2,FALSE)*M$21,M36&gt;VLOOKUP($C35,$C$3:$D$15,2,FALSE)*M$21),VLOOKUP($C35,$C$3:$D$15,2,FALSE)*M$21-L37)))</f>
        <v>0</v>
      </c>
      <c r="N35" s="642">
        <f t="shared" ref="N35" si="919" xml:space="preserve">
IF(M37&gt;=VLOOKUP($C35,$C$3:$D$15,2,FALSE)*N$21,0,
IF(AND(M37&lt;VLOOKUP($C35,$C$3:$D$15,2,FALSE)*N$21,N36&lt;=VLOOKUP($C35,$C$3:$D$15,2,FALSE)*N$21),IF(N36-M37&lt;0,0,N36-M37),
IF(AND(M37&lt;VLOOKUP($C35,$C$3:$D$15,2,FALSE)*N$21,N36&gt;VLOOKUP($C35,$C$3:$D$15,2,FALSE)*N$21),VLOOKUP($C35,$C$3:$D$15,2,FALSE)*N$21-M37)))</f>
        <v>0</v>
      </c>
      <c r="O35" s="642">
        <f t="shared" ref="O35" si="920" xml:space="preserve">
IF(N37&gt;=VLOOKUP($C35,$C$3:$D$15,2,FALSE)*O$21,0,
IF(AND(N37&lt;VLOOKUP($C35,$C$3:$D$15,2,FALSE)*O$21,O36&lt;=VLOOKUP($C35,$C$3:$D$15,2,FALSE)*O$21),IF(O36-N37&lt;0,0,O36-N37),
IF(AND(N37&lt;VLOOKUP($C35,$C$3:$D$15,2,FALSE)*O$21,O36&gt;VLOOKUP($C35,$C$3:$D$15,2,FALSE)*O$21),VLOOKUP($C35,$C$3:$D$15,2,FALSE)*O$21-N37)))</f>
        <v>0</v>
      </c>
      <c r="P35" s="642">
        <f t="shared" ref="P35" si="921" xml:space="preserve">
IF(O37&gt;=VLOOKUP($C35,$C$3:$D$15,2,FALSE)*P$21,0,
IF(AND(O37&lt;VLOOKUP($C35,$C$3:$D$15,2,FALSE)*P$21,P36&lt;=VLOOKUP($C35,$C$3:$D$15,2,FALSE)*P$21),IF(P36-O37&lt;0,0,P36-O37),
IF(AND(O37&lt;VLOOKUP($C35,$C$3:$D$15,2,FALSE)*P$21,P36&gt;VLOOKUP($C35,$C$3:$D$15,2,FALSE)*P$21),VLOOKUP($C35,$C$3:$D$15,2,FALSE)*P$21-O37)))</f>
        <v>0</v>
      </c>
      <c r="Q35" s="642">
        <f t="shared" ref="Q35" si="922" xml:space="preserve">
IF(P37&gt;=VLOOKUP($C35,$C$3:$D$15,2,FALSE)*Q$21,0,
IF(AND(P37&lt;VLOOKUP($C35,$C$3:$D$15,2,FALSE)*Q$21,Q36&lt;=VLOOKUP($C35,$C$3:$D$15,2,FALSE)*Q$21),IF(Q36-P37&lt;0,0,Q36-P37),
IF(AND(P37&lt;VLOOKUP($C35,$C$3:$D$15,2,FALSE)*Q$21,Q36&gt;VLOOKUP($C35,$C$3:$D$15,2,FALSE)*Q$21),VLOOKUP($C35,$C$3:$D$15,2,FALSE)*Q$21-P37)))</f>
        <v>0</v>
      </c>
      <c r="R35" s="642">
        <f t="shared" ref="R35" si="923" xml:space="preserve">
IF(Q37&gt;=VLOOKUP($C35,$C$3:$D$15,2,FALSE)*R$21,0,
IF(AND(Q37&lt;VLOOKUP($C35,$C$3:$D$15,2,FALSE)*R$21,R36&lt;=VLOOKUP($C35,$C$3:$D$15,2,FALSE)*R$21),IF(R36-Q37&lt;0,0,R36-Q37),
IF(AND(Q37&lt;VLOOKUP($C35,$C$3:$D$15,2,FALSE)*R$21,R36&gt;VLOOKUP($C35,$C$3:$D$15,2,FALSE)*R$21),VLOOKUP($C35,$C$3:$D$15,2,FALSE)*R$21-Q37)))</f>
        <v>0</v>
      </c>
      <c r="S35" s="642">
        <f t="shared" ref="S35" si="924" xml:space="preserve">
IF(R37&gt;=VLOOKUP($C35,$C$3:$D$15,2,FALSE)*S$21,0,
IF(AND(R37&lt;VLOOKUP($C35,$C$3:$D$15,2,FALSE)*S$21,S36&lt;=VLOOKUP($C35,$C$3:$D$15,2,FALSE)*S$21),IF(S36-R37&lt;0,0,S36-R37),
IF(AND(R37&lt;VLOOKUP($C35,$C$3:$D$15,2,FALSE)*S$21,S36&gt;VLOOKUP($C35,$C$3:$D$15,2,FALSE)*S$21),VLOOKUP($C35,$C$3:$D$15,2,FALSE)*S$21-R37)))</f>
        <v>0</v>
      </c>
      <c r="T35" s="642">
        <f t="shared" ref="T35" si="925" xml:space="preserve">
IF(S37&gt;=VLOOKUP($C35,$C$3:$D$15,2,FALSE)*T$21,0,
IF(AND(S37&lt;VLOOKUP($C35,$C$3:$D$15,2,FALSE)*T$21,T36&lt;=VLOOKUP($C35,$C$3:$D$15,2,FALSE)*T$21),IF(T36-S37&lt;0,0,T36-S37),
IF(AND(S37&lt;VLOOKUP($C35,$C$3:$D$15,2,FALSE)*T$21,T36&gt;VLOOKUP($C35,$C$3:$D$15,2,FALSE)*T$21),VLOOKUP($C35,$C$3:$D$15,2,FALSE)*T$21-S37)))</f>
        <v>0</v>
      </c>
      <c r="U35" s="642">
        <f t="shared" ref="U35" si="926" xml:space="preserve">
IF(T37&gt;=VLOOKUP($C35,$C$3:$D$15,2,FALSE)*U$21,0,
IF(AND(T37&lt;VLOOKUP($C35,$C$3:$D$15,2,FALSE)*U$21,U36&lt;=VLOOKUP($C35,$C$3:$D$15,2,FALSE)*U$21),IF(U36-T37&lt;0,0,U36-T37),
IF(AND(T37&lt;VLOOKUP($C35,$C$3:$D$15,2,FALSE)*U$21,U36&gt;VLOOKUP($C35,$C$3:$D$15,2,FALSE)*U$21),VLOOKUP($C35,$C$3:$D$15,2,FALSE)*U$21-T37)))</f>
        <v>0</v>
      </c>
      <c r="V35" s="642">
        <f t="shared" ref="V35" si="927" xml:space="preserve">
IF(U37&gt;=VLOOKUP($C35,$C$3:$D$15,2,FALSE)*V$21,0,
IF(AND(U37&lt;VLOOKUP($C35,$C$3:$D$15,2,FALSE)*V$21,V36&lt;=VLOOKUP($C35,$C$3:$D$15,2,FALSE)*V$21),IF(V36-U37&lt;0,0,V36-U37),
IF(AND(U37&lt;VLOOKUP($C35,$C$3:$D$15,2,FALSE)*V$21,V36&gt;VLOOKUP($C35,$C$3:$D$15,2,FALSE)*V$21),VLOOKUP($C35,$C$3:$D$15,2,FALSE)*V$21-U37)))</f>
        <v>0</v>
      </c>
      <c r="W35" s="642">
        <f t="shared" ref="W35" si="928" xml:space="preserve">
IF(V37&gt;=VLOOKUP($C35,$C$3:$D$15,2,FALSE)*W$21,0,
IF(AND(V37&lt;VLOOKUP($C35,$C$3:$D$15,2,FALSE)*W$21,W36&lt;=VLOOKUP($C35,$C$3:$D$15,2,FALSE)*W$21),IF(W36-V37&lt;0,0,W36-V37),
IF(AND(V37&lt;VLOOKUP($C35,$C$3:$D$15,2,FALSE)*W$21,W36&gt;VLOOKUP($C35,$C$3:$D$15,2,FALSE)*W$21),VLOOKUP($C35,$C$3:$D$15,2,FALSE)*W$21-V37)))</f>
        <v>0</v>
      </c>
      <c r="X35" s="642">
        <f t="shared" ref="X35" si="929" xml:space="preserve">
IF(W37&gt;=VLOOKUP($C35,$C$3:$D$15,2,FALSE)*X$21,0,
IF(AND(W37&lt;VLOOKUP($C35,$C$3:$D$15,2,FALSE)*X$21,X36&lt;=VLOOKUP($C35,$C$3:$D$15,2,FALSE)*X$21),IF(X36-W37&lt;0,0,X36-W37),
IF(AND(W37&lt;VLOOKUP($C35,$C$3:$D$15,2,FALSE)*X$21,X36&gt;VLOOKUP($C35,$C$3:$D$15,2,FALSE)*X$21),VLOOKUP($C35,$C$3:$D$15,2,FALSE)*X$21-W37)))</f>
        <v>0</v>
      </c>
      <c r="Y35" s="642">
        <f t="shared" ref="Y35" si="930" xml:space="preserve">
IF(X37&gt;=VLOOKUP($C35,$C$3:$D$15,2,FALSE)*Y$21,0,
IF(AND(X37&lt;VLOOKUP($C35,$C$3:$D$15,2,FALSE)*Y$21,Y36&lt;=VLOOKUP($C35,$C$3:$D$15,2,FALSE)*Y$21),IF(Y36-X37&lt;0,0,Y36-X37),
IF(AND(X37&lt;VLOOKUP($C35,$C$3:$D$15,2,FALSE)*Y$21,Y36&gt;VLOOKUP($C35,$C$3:$D$15,2,FALSE)*Y$21),VLOOKUP($C35,$C$3:$D$15,2,FALSE)*Y$21-X37)))</f>
        <v>0</v>
      </c>
      <c r="Z35" s="642">
        <f t="shared" ref="Z35" si="931" xml:space="preserve">
IF(Y37&gt;=VLOOKUP($C35,$C$3:$D$15,2,FALSE)*Z$21,0,
IF(AND(Y37&lt;VLOOKUP($C35,$C$3:$D$15,2,FALSE)*Z$21,Z36&lt;=VLOOKUP($C35,$C$3:$D$15,2,FALSE)*Z$21),IF(Z36-Y37&lt;0,0,Z36-Y37),
IF(AND(Y37&lt;VLOOKUP($C35,$C$3:$D$15,2,FALSE)*Z$21,Z36&gt;VLOOKUP($C35,$C$3:$D$15,2,FALSE)*Z$21),VLOOKUP($C35,$C$3:$D$15,2,FALSE)*Z$21-Y37)))</f>
        <v>0</v>
      </c>
      <c r="AA35" s="642">
        <f t="shared" ref="AA35" si="932" xml:space="preserve">
IF(Z37&gt;=VLOOKUP($C35,$C$3:$D$15,2,FALSE)*AA$21,0,
IF(AND(Z37&lt;VLOOKUP($C35,$C$3:$D$15,2,FALSE)*AA$21,AA36&lt;=VLOOKUP($C35,$C$3:$D$15,2,FALSE)*AA$21),IF(AA36-Z37&lt;0,0,AA36-Z37),
IF(AND(Z37&lt;VLOOKUP($C35,$C$3:$D$15,2,FALSE)*AA$21,AA36&gt;VLOOKUP($C35,$C$3:$D$15,2,FALSE)*AA$21),VLOOKUP($C35,$C$3:$D$15,2,FALSE)*AA$21-Z37)))</f>
        <v>0</v>
      </c>
      <c r="AB35" s="642">
        <f t="shared" ref="AB35" si="933" xml:space="preserve">
IF(AA37&gt;=VLOOKUP($C35,$C$3:$D$15,2,FALSE)*AB$21,0,
IF(AND(AA37&lt;VLOOKUP($C35,$C$3:$D$15,2,FALSE)*AB$21,AB36&lt;=VLOOKUP($C35,$C$3:$D$15,2,FALSE)*AB$21),IF(AB36-AA37&lt;0,0,AB36-AA37),
IF(AND(AA37&lt;VLOOKUP($C35,$C$3:$D$15,2,FALSE)*AB$21,AB36&gt;VLOOKUP($C35,$C$3:$D$15,2,FALSE)*AB$21),VLOOKUP($C35,$C$3:$D$15,2,FALSE)*AB$21-AA37)))</f>
        <v>0</v>
      </c>
      <c r="AC35" s="642">
        <f t="shared" ref="AC35" si="934" xml:space="preserve">
IF(AB37&gt;=VLOOKUP($C35,$C$3:$D$15,2,FALSE)*AC$21,0,
IF(AND(AB37&lt;VLOOKUP($C35,$C$3:$D$15,2,FALSE)*AC$21,AC36&lt;=VLOOKUP($C35,$C$3:$D$15,2,FALSE)*AC$21),IF(AC36-AB37&lt;0,0,AC36-AB37),
IF(AND(AB37&lt;VLOOKUP($C35,$C$3:$D$15,2,FALSE)*AC$21,AC36&gt;VLOOKUP($C35,$C$3:$D$15,2,FALSE)*AC$21),VLOOKUP($C35,$C$3:$D$15,2,FALSE)*AC$21-AB37)))</f>
        <v>0</v>
      </c>
      <c r="AD35" s="642">
        <f t="shared" ref="AD35" si="935" xml:space="preserve">
IF(AC37&gt;=VLOOKUP($C35,$C$3:$D$15,2,FALSE)*AD$21,0,
IF(AND(AC37&lt;VLOOKUP($C35,$C$3:$D$15,2,FALSE)*AD$21,AD36&lt;=VLOOKUP($C35,$C$3:$D$15,2,FALSE)*AD$21),IF(AD36-AC37&lt;0,0,AD36-AC37),
IF(AND(AC37&lt;VLOOKUP($C35,$C$3:$D$15,2,FALSE)*AD$21,AD36&gt;VLOOKUP($C35,$C$3:$D$15,2,FALSE)*AD$21),VLOOKUP($C35,$C$3:$D$15,2,FALSE)*AD$21-AC37)))</f>
        <v>0</v>
      </c>
      <c r="AE35" s="642">
        <f t="shared" ref="AE35" si="936" xml:space="preserve">
IF(AD37&gt;=VLOOKUP($C35,$C$3:$D$15,2,FALSE)*AE$21,0,
IF(AND(AD37&lt;VLOOKUP($C35,$C$3:$D$15,2,FALSE)*AE$21,AE36&lt;=VLOOKUP($C35,$C$3:$D$15,2,FALSE)*AE$21),IF(AE36-AD37&lt;0,0,AE36-AD37),
IF(AND(AD37&lt;VLOOKUP($C35,$C$3:$D$15,2,FALSE)*AE$21,AE36&gt;VLOOKUP($C35,$C$3:$D$15,2,FALSE)*AE$21),VLOOKUP($C35,$C$3:$D$15,2,FALSE)*AE$21-AD37)))</f>
        <v>0</v>
      </c>
      <c r="AF35" s="642">
        <f t="shared" ref="AF35" si="937" xml:space="preserve">
IF(AE37&gt;=VLOOKUP($C35,$C$3:$D$15,2,FALSE)*AF$21,0,
IF(AND(AE37&lt;VLOOKUP($C35,$C$3:$D$15,2,FALSE)*AF$21,AF36&lt;=VLOOKUP($C35,$C$3:$D$15,2,FALSE)*AF$21),IF(AF36-AE37&lt;0,0,AF36-AE37),
IF(AND(AE37&lt;VLOOKUP($C35,$C$3:$D$15,2,FALSE)*AF$21,AF36&gt;VLOOKUP($C35,$C$3:$D$15,2,FALSE)*AF$21),VLOOKUP($C35,$C$3:$D$15,2,FALSE)*AF$21-AE37)))</f>
        <v>0</v>
      </c>
      <c r="AG35" s="642">
        <f t="shared" ref="AG35" si="938" xml:space="preserve">
IF(AF37&gt;=VLOOKUP($C35,$C$3:$D$15,2,FALSE)*AG$21,0,
IF(AND(AF37&lt;VLOOKUP($C35,$C$3:$D$15,2,FALSE)*AG$21,AG36&lt;=VLOOKUP($C35,$C$3:$D$15,2,FALSE)*AG$21),IF(AG36-AF37&lt;0,0,AG36-AF37),
IF(AND(AF37&lt;VLOOKUP($C35,$C$3:$D$15,2,FALSE)*AG$21,AG36&gt;VLOOKUP($C35,$C$3:$D$15,2,FALSE)*AG$21),VLOOKUP($C35,$C$3:$D$15,2,FALSE)*AG$21-AF37)))</f>
        <v>0</v>
      </c>
      <c r="AH35" s="642">
        <f t="shared" ref="AH35" si="939" xml:space="preserve">
IF(AG37&gt;=VLOOKUP($C35,$C$3:$D$15,2,FALSE)*AH$21,0,
IF(AND(AG37&lt;VLOOKUP($C35,$C$3:$D$15,2,FALSE)*AH$21,AH36&lt;=VLOOKUP($C35,$C$3:$D$15,2,FALSE)*AH$21),IF(AH36-AG37&lt;0,0,AH36-AG37),
IF(AND(AG37&lt;VLOOKUP($C35,$C$3:$D$15,2,FALSE)*AH$21,AH36&gt;VLOOKUP($C35,$C$3:$D$15,2,FALSE)*AH$21),VLOOKUP($C35,$C$3:$D$15,2,FALSE)*AH$21-AG37)))</f>
        <v>0</v>
      </c>
      <c r="AI35" s="642">
        <f t="shared" ref="AI35" si="940" xml:space="preserve">
IF(AH37&gt;=VLOOKUP($C35,$C$3:$D$15,2,FALSE)*AI$21,0,
IF(AND(AH37&lt;VLOOKUP($C35,$C$3:$D$15,2,FALSE)*AI$21,AI36&lt;=VLOOKUP($C35,$C$3:$D$15,2,FALSE)*AI$21),IF(AI36-AH37&lt;0,0,AI36-AH37),
IF(AND(AH37&lt;VLOOKUP($C35,$C$3:$D$15,2,FALSE)*AI$21,AI36&gt;VLOOKUP($C35,$C$3:$D$15,2,FALSE)*AI$21),VLOOKUP($C35,$C$3:$D$15,2,FALSE)*AI$21-AH37)))</f>
        <v>0</v>
      </c>
      <c r="AJ35" s="642">
        <f t="shared" ref="AJ35" si="941" xml:space="preserve">
IF(AI37&gt;=VLOOKUP($C35,$C$3:$D$15,2,FALSE)*AJ$21,0,
IF(AND(AI37&lt;VLOOKUP($C35,$C$3:$D$15,2,FALSE)*AJ$21,AJ36&lt;=VLOOKUP($C35,$C$3:$D$15,2,FALSE)*AJ$21),IF(AJ36-AI37&lt;0,0,AJ36-AI37),
IF(AND(AI37&lt;VLOOKUP($C35,$C$3:$D$15,2,FALSE)*AJ$21,AJ36&gt;VLOOKUP($C35,$C$3:$D$15,2,FALSE)*AJ$21),VLOOKUP($C35,$C$3:$D$15,2,FALSE)*AJ$21-AI37)))</f>
        <v>0</v>
      </c>
      <c r="AK35" s="642">
        <f t="shared" ref="AK35" si="942" xml:space="preserve">
IF(AJ37&gt;=VLOOKUP($C35,$C$3:$D$15,2,FALSE)*AK$21,0,
IF(AND(AJ37&lt;VLOOKUP($C35,$C$3:$D$15,2,FALSE)*AK$21,AK36&lt;=VLOOKUP($C35,$C$3:$D$15,2,FALSE)*AK$21),IF(AK36-AJ37&lt;0,0,AK36-AJ37),
IF(AND(AJ37&lt;VLOOKUP($C35,$C$3:$D$15,2,FALSE)*AK$21,AK36&gt;VLOOKUP($C35,$C$3:$D$15,2,FALSE)*AK$21),VLOOKUP($C35,$C$3:$D$15,2,FALSE)*AK$21-AJ37)))</f>
        <v>0</v>
      </c>
      <c r="AL35" s="642">
        <f t="shared" ref="AL35" si="943" xml:space="preserve">
IF(AK37&gt;=VLOOKUP($C35,$C$3:$D$15,2,FALSE)*AL$21,0,
IF(AND(AK37&lt;VLOOKUP($C35,$C$3:$D$15,2,FALSE)*AL$21,AL36&lt;=VLOOKUP($C35,$C$3:$D$15,2,FALSE)*AL$21),IF(AL36-AK37&lt;0,0,AL36-AK37),
IF(AND(AK37&lt;VLOOKUP($C35,$C$3:$D$15,2,FALSE)*AL$21,AL36&gt;VLOOKUP($C35,$C$3:$D$15,2,FALSE)*AL$21),VLOOKUP($C35,$C$3:$D$15,2,FALSE)*AL$21-AK37)))</f>
        <v>0</v>
      </c>
      <c r="AM35" s="642">
        <f t="shared" ref="AM35" si="944" xml:space="preserve">
IF(AL37&gt;=VLOOKUP($C35,$C$3:$D$15,2,FALSE)*AM$21,0,
IF(AND(AL37&lt;VLOOKUP($C35,$C$3:$D$15,2,FALSE)*AM$21,AM36&lt;=VLOOKUP($C35,$C$3:$D$15,2,FALSE)*AM$21),IF(AM36-AL37&lt;0,0,AM36-AL37),
IF(AND(AL37&lt;VLOOKUP($C35,$C$3:$D$15,2,FALSE)*AM$21,AM36&gt;VLOOKUP($C35,$C$3:$D$15,2,FALSE)*AM$21),VLOOKUP($C35,$C$3:$D$15,2,FALSE)*AM$21-AL37)))</f>
        <v>0</v>
      </c>
      <c r="AN35" s="642">
        <f t="shared" ref="AN35" si="945" xml:space="preserve">
IF(AM37&gt;=VLOOKUP($C35,$C$3:$D$15,2,FALSE)*AN$21,0,
IF(AND(AM37&lt;VLOOKUP($C35,$C$3:$D$15,2,FALSE)*AN$21,AN36&lt;=VLOOKUP($C35,$C$3:$D$15,2,FALSE)*AN$21),IF(AN36-AM37&lt;0,0,AN36-AM37),
IF(AND(AM37&lt;VLOOKUP($C35,$C$3:$D$15,2,FALSE)*AN$21,AN36&gt;VLOOKUP($C35,$C$3:$D$15,2,FALSE)*AN$21),VLOOKUP($C35,$C$3:$D$15,2,FALSE)*AN$21-AM37)))</f>
        <v>0</v>
      </c>
      <c r="AO35" s="642">
        <f t="shared" ref="AO35" si="946" xml:space="preserve">
IF(AN37&gt;=VLOOKUP($C35,$C$3:$D$15,2,FALSE)*AO$21,0,
IF(AND(AN37&lt;VLOOKUP($C35,$C$3:$D$15,2,FALSE)*AO$21,AO36&lt;=VLOOKUP($C35,$C$3:$D$15,2,FALSE)*AO$21),IF(AO36-AN37&lt;0,0,AO36-AN37),
IF(AND(AN37&lt;VLOOKUP($C35,$C$3:$D$15,2,FALSE)*AO$21,AO36&gt;VLOOKUP($C35,$C$3:$D$15,2,FALSE)*AO$21),VLOOKUP($C35,$C$3:$D$15,2,FALSE)*AO$21-AN37)))</f>
        <v>0</v>
      </c>
      <c r="AP35" s="642">
        <f t="shared" ref="AP35" si="947" xml:space="preserve">
IF(AO37&gt;=VLOOKUP($C35,$C$3:$D$15,2,FALSE)*AP$21,0,
IF(AND(AO37&lt;VLOOKUP($C35,$C$3:$D$15,2,FALSE)*AP$21,AP36&lt;=VLOOKUP($C35,$C$3:$D$15,2,FALSE)*AP$21),IF(AP36-AO37&lt;0,0,AP36-AO37),
IF(AND(AO37&lt;VLOOKUP($C35,$C$3:$D$15,2,FALSE)*AP$21,AP36&gt;VLOOKUP($C35,$C$3:$D$15,2,FALSE)*AP$21),VLOOKUP($C35,$C$3:$D$15,2,FALSE)*AP$21-AO37)))</f>
        <v>0</v>
      </c>
      <c r="AQ35" s="642">
        <f t="shared" ref="AQ35" si="948" xml:space="preserve">
IF(AP37&gt;=VLOOKUP($C35,$C$3:$D$15,2,FALSE)*AQ$21,0,
IF(AND(AP37&lt;VLOOKUP($C35,$C$3:$D$15,2,FALSE)*AQ$21,AQ36&lt;=VLOOKUP($C35,$C$3:$D$15,2,FALSE)*AQ$21),IF(AQ36-AP37&lt;0,0,AQ36-AP37),
IF(AND(AP37&lt;VLOOKUP($C35,$C$3:$D$15,2,FALSE)*AQ$21,AQ36&gt;VLOOKUP($C35,$C$3:$D$15,2,FALSE)*AQ$21),VLOOKUP($C35,$C$3:$D$15,2,FALSE)*AQ$21-AP37)))</f>
        <v>0</v>
      </c>
      <c r="AR35" s="642">
        <f t="shared" ref="AR35" si="949" xml:space="preserve">
IF(AQ37&gt;=VLOOKUP($C35,$C$3:$D$15,2,FALSE)*AR$21,0,
IF(AND(AQ37&lt;VLOOKUP($C35,$C$3:$D$15,2,FALSE)*AR$21,AR36&lt;=VLOOKUP($C35,$C$3:$D$15,2,FALSE)*AR$21),IF(AR36-AQ37&lt;0,0,AR36-AQ37),
IF(AND(AQ37&lt;VLOOKUP($C35,$C$3:$D$15,2,FALSE)*AR$21,AR36&gt;VLOOKUP($C35,$C$3:$D$15,2,FALSE)*AR$21),VLOOKUP($C35,$C$3:$D$15,2,FALSE)*AR$21-AQ37)))</f>
        <v>0</v>
      </c>
      <c r="AS35" s="642">
        <f t="shared" ref="AS35" si="950" xml:space="preserve">
IF(AR37&gt;=VLOOKUP($C35,$C$3:$D$15,2,FALSE)*AS$21,0,
IF(AND(AR37&lt;VLOOKUP($C35,$C$3:$D$15,2,FALSE)*AS$21,AS36&lt;=VLOOKUP($C35,$C$3:$D$15,2,FALSE)*AS$21),IF(AS36-AR37&lt;0,0,AS36-AR37),
IF(AND(AR37&lt;VLOOKUP($C35,$C$3:$D$15,2,FALSE)*AS$21,AS36&gt;VLOOKUP($C35,$C$3:$D$15,2,FALSE)*AS$21),VLOOKUP($C35,$C$3:$D$15,2,FALSE)*AS$21-AR37)))</f>
        <v>0</v>
      </c>
      <c r="AT35" s="642">
        <f t="shared" ref="AT35" si="951" xml:space="preserve">
IF(AS37&gt;=VLOOKUP($C35,$C$3:$D$15,2,FALSE)*AT$21,0,
IF(AND(AS37&lt;VLOOKUP($C35,$C$3:$D$15,2,FALSE)*AT$21,AT36&lt;=VLOOKUP($C35,$C$3:$D$15,2,FALSE)*AT$21),IF(AT36-AS37&lt;0,0,AT36-AS37),
IF(AND(AS37&lt;VLOOKUP($C35,$C$3:$D$15,2,FALSE)*AT$21,AT36&gt;VLOOKUP($C35,$C$3:$D$15,2,FALSE)*AT$21),VLOOKUP($C35,$C$3:$D$15,2,FALSE)*AT$21-AS37)))</f>
        <v>0</v>
      </c>
      <c r="AU35" s="642">
        <f t="shared" ref="AU35" si="952" xml:space="preserve">
IF(AT37&gt;=VLOOKUP($C35,$C$3:$D$15,2,FALSE)*AU$21,0,
IF(AND(AT37&lt;VLOOKUP($C35,$C$3:$D$15,2,FALSE)*AU$21,AU36&lt;=VLOOKUP($C35,$C$3:$D$15,2,FALSE)*AU$21),IF(AU36-AT37&lt;0,0,AU36-AT37),
IF(AND(AT37&lt;VLOOKUP($C35,$C$3:$D$15,2,FALSE)*AU$21,AU36&gt;VLOOKUP($C35,$C$3:$D$15,2,FALSE)*AU$21),VLOOKUP($C35,$C$3:$D$15,2,FALSE)*AU$21-AT37)))</f>
        <v>0</v>
      </c>
      <c r="AV35" s="642">
        <f t="shared" ref="AV35" si="953" xml:space="preserve">
IF(AU37&gt;=VLOOKUP($C35,$C$3:$D$15,2,FALSE)*AV$21,0,
IF(AND(AU37&lt;VLOOKUP($C35,$C$3:$D$15,2,FALSE)*AV$21,AV36&lt;=VLOOKUP($C35,$C$3:$D$15,2,FALSE)*AV$21),IF(AV36-AU37&lt;0,0,AV36-AU37),
IF(AND(AU37&lt;VLOOKUP($C35,$C$3:$D$15,2,FALSE)*AV$21,AV36&gt;VLOOKUP($C35,$C$3:$D$15,2,FALSE)*AV$21),VLOOKUP($C35,$C$3:$D$15,2,FALSE)*AV$21-AU37)))</f>
        <v>0</v>
      </c>
      <c r="AW35" s="642">
        <f t="shared" ref="AW35" si="954" xml:space="preserve">
IF(AV37&gt;=VLOOKUP($C35,$C$3:$D$15,2,FALSE)*AW$21,0,
IF(AND(AV37&lt;VLOOKUP($C35,$C$3:$D$15,2,FALSE)*AW$21,AW36&lt;=VLOOKUP($C35,$C$3:$D$15,2,FALSE)*AW$21),IF(AW36-AV37&lt;0,0,AW36-AV37),
IF(AND(AV37&lt;VLOOKUP($C35,$C$3:$D$15,2,FALSE)*AW$21,AW36&gt;VLOOKUP($C35,$C$3:$D$15,2,FALSE)*AW$21),VLOOKUP($C35,$C$3:$D$15,2,FALSE)*AW$21-AV37)))</f>
        <v>0</v>
      </c>
      <c r="AX35" s="642">
        <f t="shared" ref="AX35" si="955" xml:space="preserve">
IF(AW37&gt;=VLOOKUP($C35,$C$3:$D$15,2,FALSE)*AX$21,0,
IF(AND(AW37&lt;VLOOKUP($C35,$C$3:$D$15,2,FALSE)*AX$21,AX36&lt;=VLOOKUP($C35,$C$3:$D$15,2,FALSE)*AX$21),IF(AX36-AW37&lt;0,0,AX36-AW37),
IF(AND(AW37&lt;VLOOKUP($C35,$C$3:$D$15,2,FALSE)*AX$21,AX36&gt;VLOOKUP($C35,$C$3:$D$15,2,FALSE)*AX$21),VLOOKUP($C35,$C$3:$D$15,2,FALSE)*AX$21-AW37)))</f>
        <v>0</v>
      </c>
      <c r="AY35" s="642">
        <f t="shared" ref="AY35" si="956" xml:space="preserve">
IF(AX37&gt;=VLOOKUP($C35,$C$3:$D$15,2,FALSE)*AY$21,0,
IF(AND(AX37&lt;VLOOKUP($C35,$C$3:$D$15,2,FALSE)*AY$21,AY36&lt;=VLOOKUP($C35,$C$3:$D$15,2,FALSE)*AY$21),IF(AY36-AX37&lt;0,0,AY36-AX37),
IF(AND(AX37&lt;VLOOKUP($C35,$C$3:$D$15,2,FALSE)*AY$21,AY36&gt;VLOOKUP($C35,$C$3:$D$15,2,FALSE)*AY$21),VLOOKUP($C35,$C$3:$D$15,2,FALSE)*AY$21-AX37)))</f>
        <v>0</v>
      </c>
      <c r="AZ35" s="642">
        <f t="shared" ref="AZ35" si="957" xml:space="preserve">
IF(AY37&gt;=VLOOKUP($C35,$C$3:$D$15,2,FALSE)*AZ$21,0,
IF(AND(AY37&lt;VLOOKUP($C35,$C$3:$D$15,2,FALSE)*AZ$21,AZ36&lt;=VLOOKUP($C35,$C$3:$D$15,2,FALSE)*AZ$21),IF(AZ36-AY37&lt;0,0,AZ36-AY37),
IF(AND(AY37&lt;VLOOKUP($C35,$C$3:$D$15,2,FALSE)*AZ$21,AZ36&gt;VLOOKUP($C35,$C$3:$D$15,2,FALSE)*AZ$21),VLOOKUP($C35,$C$3:$D$15,2,FALSE)*AZ$21-AY37)))</f>
        <v>0</v>
      </c>
      <c r="BA35" s="642">
        <f t="shared" ref="BA35" si="958" xml:space="preserve">
IF(AZ37&gt;=VLOOKUP($C35,$C$3:$D$15,2,FALSE)*BA$21,0,
IF(AND(AZ37&lt;VLOOKUP($C35,$C$3:$D$15,2,FALSE)*BA$21,BA36&lt;=VLOOKUP($C35,$C$3:$D$15,2,FALSE)*BA$21),IF(BA36-AZ37&lt;0,0,BA36-AZ37),
IF(AND(AZ37&lt;VLOOKUP($C35,$C$3:$D$15,2,FALSE)*BA$21,BA36&gt;VLOOKUP($C35,$C$3:$D$15,2,FALSE)*BA$21),VLOOKUP($C35,$C$3:$D$15,2,FALSE)*BA$21-AZ37)))</f>
        <v>0</v>
      </c>
      <c r="BB35" s="642">
        <f t="shared" ref="BB35" si="959" xml:space="preserve">
IF(BA37&gt;=VLOOKUP($C35,$C$3:$D$15,2,FALSE)*BB$21,0,
IF(AND(BA37&lt;VLOOKUP($C35,$C$3:$D$15,2,FALSE)*BB$21,BB36&lt;=VLOOKUP($C35,$C$3:$D$15,2,FALSE)*BB$21),IF(BB36-BA37&lt;0,0,BB36-BA37),
IF(AND(BA37&lt;VLOOKUP($C35,$C$3:$D$15,2,FALSE)*BB$21,BB36&gt;VLOOKUP($C35,$C$3:$D$15,2,FALSE)*BB$21),VLOOKUP($C35,$C$3:$D$15,2,FALSE)*BB$21-BA37)))</f>
        <v>0</v>
      </c>
      <c r="BC35" s="642">
        <f t="shared" ref="BC35" si="960" xml:space="preserve">
IF(BB37&gt;=VLOOKUP($C35,$C$3:$D$15,2,FALSE)*BC$21,0,
IF(AND(BB37&lt;VLOOKUP($C35,$C$3:$D$15,2,FALSE)*BC$21,BC36&lt;=VLOOKUP($C35,$C$3:$D$15,2,FALSE)*BC$21),IF(BC36-BB37&lt;0,0,BC36-BB37),
IF(AND(BB37&lt;VLOOKUP($C35,$C$3:$D$15,2,FALSE)*BC$21,BC36&gt;VLOOKUP($C35,$C$3:$D$15,2,FALSE)*BC$21),VLOOKUP($C35,$C$3:$D$15,2,FALSE)*BC$21-BB37)))</f>
        <v>0</v>
      </c>
      <c r="BD35" s="642">
        <f t="shared" ref="BD35" si="961" xml:space="preserve">
IF(BC37&gt;=VLOOKUP($C35,$C$3:$D$15,2,FALSE)*BD$21,0,
IF(AND(BC37&lt;VLOOKUP($C35,$C$3:$D$15,2,FALSE)*BD$21,BD36&lt;=VLOOKUP($C35,$C$3:$D$15,2,FALSE)*BD$21),IF(BD36-BC37&lt;0,0,BD36-BC37),
IF(AND(BC37&lt;VLOOKUP($C35,$C$3:$D$15,2,FALSE)*BD$21,BD36&gt;VLOOKUP($C35,$C$3:$D$15,2,FALSE)*BD$21),VLOOKUP($C35,$C$3:$D$15,2,FALSE)*BD$21-BC37)))</f>
        <v>0</v>
      </c>
      <c r="BE35" s="642">
        <f t="shared" ref="BE35" si="962" xml:space="preserve">
IF(BD37&gt;=VLOOKUP($C35,$C$3:$D$15,2,FALSE)*BE$21,0,
IF(AND(BD37&lt;VLOOKUP($C35,$C$3:$D$15,2,FALSE)*BE$21,BE36&lt;=VLOOKUP($C35,$C$3:$D$15,2,FALSE)*BE$21),IF(BE36-BD37&lt;0,0,BE36-BD37),
IF(AND(BD37&lt;VLOOKUP($C35,$C$3:$D$15,2,FALSE)*BE$21,BE36&gt;VLOOKUP($C35,$C$3:$D$15,2,FALSE)*BE$21),VLOOKUP($C35,$C$3:$D$15,2,FALSE)*BE$21-BD37)))</f>
        <v>0</v>
      </c>
      <c r="BF35" s="642">
        <f t="shared" ref="BF35" si="963" xml:space="preserve">
IF(BE37&gt;=VLOOKUP($C35,$C$3:$D$15,2,FALSE)*BF$21,0,
IF(AND(BE37&lt;VLOOKUP($C35,$C$3:$D$15,2,FALSE)*BF$21,BF36&lt;=VLOOKUP($C35,$C$3:$D$15,2,FALSE)*BF$21),IF(BF36-BE37&lt;0,0,BF36-BE37),
IF(AND(BE37&lt;VLOOKUP($C35,$C$3:$D$15,2,FALSE)*BF$21,BF36&gt;VLOOKUP($C35,$C$3:$D$15,2,FALSE)*BF$21),VLOOKUP($C35,$C$3:$D$15,2,FALSE)*BF$21-BE37)))</f>
        <v>0</v>
      </c>
      <c r="BG35" s="642">
        <f t="shared" ref="BG35" si="964" xml:space="preserve">
IF(BF37&gt;=VLOOKUP($C35,$C$3:$D$15,2,FALSE)*BG$21,0,
IF(AND(BF37&lt;VLOOKUP($C35,$C$3:$D$15,2,FALSE)*BG$21,BG36&lt;=VLOOKUP($C35,$C$3:$D$15,2,FALSE)*BG$21),IF(BG36-BF37&lt;0,0,BG36-BF37),
IF(AND(BF37&lt;VLOOKUP($C35,$C$3:$D$15,2,FALSE)*BG$21,BG36&gt;VLOOKUP($C35,$C$3:$D$15,2,FALSE)*BG$21),VLOOKUP($C35,$C$3:$D$15,2,FALSE)*BG$21-BF37)))</f>
        <v>0</v>
      </c>
      <c r="BH35" s="642">
        <f t="shared" ref="BH35" si="965" xml:space="preserve">
IF(BG37&gt;=VLOOKUP($C35,$C$3:$D$15,2,FALSE)*BH$21,0,
IF(AND(BG37&lt;VLOOKUP($C35,$C$3:$D$15,2,FALSE)*BH$21,BH36&lt;=VLOOKUP($C35,$C$3:$D$15,2,FALSE)*BH$21),IF(BH36-BG37&lt;0,0,BH36-BG37),
IF(AND(BG37&lt;VLOOKUP($C35,$C$3:$D$15,2,FALSE)*BH$21,BH36&gt;VLOOKUP($C35,$C$3:$D$15,2,FALSE)*BH$21),VLOOKUP($C35,$C$3:$D$15,2,FALSE)*BH$21-BG37)))</f>
        <v>0</v>
      </c>
      <c r="BI35" s="642">
        <f t="shared" ref="BI35" si="966" xml:space="preserve">
IF(BH37&gt;=VLOOKUP($C35,$C$3:$D$15,2,FALSE)*BI$21,0,
IF(AND(BH37&lt;VLOOKUP($C35,$C$3:$D$15,2,FALSE)*BI$21,BI36&lt;=VLOOKUP($C35,$C$3:$D$15,2,FALSE)*BI$21),IF(BI36-BH37&lt;0,0,BI36-BH37),
IF(AND(BH37&lt;VLOOKUP($C35,$C$3:$D$15,2,FALSE)*BI$21,BI36&gt;VLOOKUP($C35,$C$3:$D$15,2,FALSE)*BI$21),VLOOKUP($C35,$C$3:$D$15,2,FALSE)*BI$21-BH37)))</f>
        <v>0</v>
      </c>
      <c r="BJ35" s="642">
        <f t="shared" ref="BJ35" si="967" xml:space="preserve">
IF(BI37&gt;=VLOOKUP($C35,$C$3:$D$15,2,FALSE)*BJ$21,0,
IF(AND(BI37&lt;VLOOKUP($C35,$C$3:$D$15,2,FALSE)*BJ$21,BJ36&lt;=VLOOKUP($C35,$C$3:$D$15,2,FALSE)*BJ$21),IF(BJ36-BI37&lt;0,0,BJ36-BI37),
IF(AND(BI37&lt;VLOOKUP($C35,$C$3:$D$15,2,FALSE)*BJ$21,BJ36&gt;VLOOKUP($C35,$C$3:$D$15,2,FALSE)*BJ$21),VLOOKUP($C35,$C$3:$D$15,2,FALSE)*BJ$21-BI37)))</f>
        <v>0</v>
      </c>
      <c r="BK35" s="642">
        <f t="shared" ref="BK35" si="968" xml:space="preserve">
IF(BJ37&gt;=VLOOKUP($C35,$C$3:$D$15,2,FALSE)*BK$21,0,
IF(AND(BJ37&lt;VLOOKUP($C35,$C$3:$D$15,2,FALSE)*BK$21,BK36&lt;=VLOOKUP($C35,$C$3:$D$15,2,FALSE)*BK$21),IF(BK36-BJ37&lt;0,0,BK36-BJ37),
IF(AND(BJ37&lt;VLOOKUP($C35,$C$3:$D$15,2,FALSE)*BK$21,BK36&gt;VLOOKUP($C35,$C$3:$D$15,2,FALSE)*BK$21),VLOOKUP($C35,$C$3:$D$15,2,FALSE)*BK$21-BJ37)))</f>
        <v>0</v>
      </c>
      <c r="BL35" s="642">
        <f t="shared" ref="BL35" si="969" xml:space="preserve">
IF(BK37&gt;=VLOOKUP($C35,$C$3:$D$15,2,FALSE)*BL$21,0,
IF(AND(BK37&lt;VLOOKUP($C35,$C$3:$D$15,2,FALSE)*BL$21,BL36&lt;=VLOOKUP($C35,$C$3:$D$15,2,FALSE)*BL$21),IF(BL36-BK37&lt;0,0,BL36-BK37),
IF(AND(BK37&lt;VLOOKUP($C35,$C$3:$D$15,2,FALSE)*BL$21,BL36&gt;VLOOKUP($C35,$C$3:$D$15,2,FALSE)*BL$21),VLOOKUP($C35,$C$3:$D$15,2,FALSE)*BL$21-BK37)))</f>
        <v>0</v>
      </c>
      <c r="BM35" s="642">
        <f t="shared" ref="BM35" si="970" xml:space="preserve">
IF(BL37&gt;=VLOOKUP($C35,$C$3:$D$15,2,FALSE)*BM$21,0,
IF(AND(BL37&lt;VLOOKUP($C35,$C$3:$D$15,2,FALSE)*BM$21,BM36&lt;=VLOOKUP($C35,$C$3:$D$15,2,FALSE)*BM$21),IF(BM36-BL37&lt;0,0,BM36-BL37),
IF(AND(BL37&lt;VLOOKUP($C35,$C$3:$D$15,2,FALSE)*BM$21,BM36&gt;VLOOKUP($C35,$C$3:$D$15,2,FALSE)*BM$21),VLOOKUP($C35,$C$3:$D$15,2,FALSE)*BM$21-BL37)))</f>
        <v>0</v>
      </c>
      <c r="BN35" s="642">
        <f t="shared" ref="BN35" si="971" xml:space="preserve">
IF(BM37&gt;=VLOOKUP($C35,$C$3:$D$15,2,FALSE)*BN$21,0,
IF(AND(BM37&lt;VLOOKUP($C35,$C$3:$D$15,2,FALSE)*BN$21,BN36&lt;=VLOOKUP($C35,$C$3:$D$15,2,FALSE)*BN$21),IF(BN36-BM37&lt;0,0,BN36-BM37),
IF(AND(BM37&lt;VLOOKUP($C35,$C$3:$D$15,2,FALSE)*BN$21,BN36&gt;VLOOKUP($C35,$C$3:$D$15,2,FALSE)*BN$21),VLOOKUP($C35,$C$3:$D$15,2,FALSE)*BN$21-BM37)))</f>
        <v>0</v>
      </c>
      <c r="BO35" s="642">
        <f t="shared" ref="BO35" si="972" xml:space="preserve">
IF(BN37&gt;=VLOOKUP($C35,$C$3:$D$15,2,FALSE)*BO$21,0,
IF(AND(BN37&lt;VLOOKUP($C35,$C$3:$D$15,2,FALSE)*BO$21,BO36&lt;=VLOOKUP($C35,$C$3:$D$15,2,FALSE)*BO$21),IF(BO36-BN37&lt;0,0,BO36-BN37),
IF(AND(BN37&lt;VLOOKUP($C35,$C$3:$D$15,2,FALSE)*BO$21,BO36&gt;VLOOKUP($C35,$C$3:$D$15,2,FALSE)*BO$21),VLOOKUP($C35,$C$3:$D$15,2,FALSE)*BO$21-BN37)))</f>
        <v>0</v>
      </c>
      <c r="BP35" s="642">
        <f t="shared" ref="BP35" si="973" xml:space="preserve">
IF(BO37&gt;=VLOOKUP($C35,$C$3:$D$15,2,FALSE)*BP$21,0,
IF(AND(BO37&lt;VLOOKUP($C35,$C$3:$D$15,2,FALSE)*BP$21,BP36&lt;=VLOOKUP($C35,$C$3:$D$15,2,FALSE)*BP$21),IF(BP36-BO37&lt;0,0,BP36-BO37),
IF(AND(BO37&lt;VLOOKUP($C35,$C$3:$D$15,2,FALSE)*BP$21,BP36&gt;VLOOKUP($C35,$C$3:$D$15,2,FALSE)*BP$21),VLOOKUP($C35,$C$3:$D$15,2,FALSE)*BP$21-BO37)))</f>
        <v>0</v>
      </c>
      <c r="BQ35" s="642">
        <f t="shared" ref="BQ35" si="974" xml:space="preserve">
IF(BP37&gt;=VLOOKUP($C35,$C$3:$D$15,2,FALSE)*BQ$21,0,
IF(AND(BP37&lt;VLOOKUP($C35,$C$3:$D$15,2,FALSE)*BQ$21,BQ36&lt;=VLOOKUP($C35,$C$3:$D$15,2,FALSE)*BQ$21),IF(BQ36-BP37&lt;0,0,BQ36-BP37),
IF(AND(BP37&lt;VLOOKUP($C35,$C$3:$D$15,2,FALSE)*BQ$21,BQ36&gt;VLOOKUP($C35,$C$3:$D$15,2,FALSE)*BQ$21),VLOOKUP($C35,$C$3:$D$15,2,FALSE)*BQ$21-BP37)))</f>
        <v>0</v>
      </c>
      <c r="BR35" s="642">
        <f t="shared" ref="BR35" si="975" xml:space="preserve">
IF(BQ37&gt;=VLOOKUP($C35,$C$3:$D$15,2,FALSE)*BR$21,0,
IF(AND(BQ37&lt;VLOOKUP($C35,$C$3:$D$15,2,FALSE)*BR$21,BR36&lt;=VLOOKUP($C35,$C$3:$D$15,2,FALSE)*BR$21),IF(BR36-BQ37&lt;0,0,BR36-BQ37),
IF(AND(BQ37&lt;VLOOKUP($C35,$C$3:$D$15,2,FALSE)*BR$21,BR36&gt;VLOOKUP($C35,$C$3:$D$15,2,FALSE)*BR$21),VLOOKUP($C35,$C$3:$D$15,2,FALSE)*BR$21-BQ37)))</f>
        <v>0</v>
      </c>
      <c r="BS35" s="642">
        <f t="shared" ref="BS35" si="976" xml:space="preserve">
IF(BR37&gt;=VLOOKUP($C35,$C$3:$D$15,2,FALSE)*BS$21,0,
IF(AND(BR37&lt;VLOOKUP($C35,$C$3:$D$15,2,FALSE)*BS$21,BS36&lt;=VLOOKUP($C35,$C$3:$D$15,2,FALSE)*BS$21),IF(BS36-BR37&lt;0,0,BS36-BR37),
IF(AND(BR37&lt;VLOOKUP($C35,$C$3:$D$15,2,FALSE)*BS$21,BS36&gt;VLOOKUP($C35,$C$3:$D$15,2,FALSE)*BS$21),VLOOKUP($C35,$C$3:$D$15,2,FALSE)*BS$21-BR37)))</f>
        <v>0</v>
      </c>
      <c r="BT35" s="642">
        <f t="shared" ref="BT35" si="977" xml:space="preserve">
IF(BS37&gt;=VLOOKUP($C35,$C$3:$D$15,2,FALSE)*BT$21,0,
IF(AND(BS37&lt;VLOOKUP($C35,$C$3:$D$15,2,FALSE)*BT$21,BT36&lt;=VLOOKUP($C35,$C$3:$D$15,2,FALSE)*BT$21),IF(BT36-BS37&lt;0,0,BT36-BS37),
IF(AND(BS37&lt;VLOOKUP($C35,$C$3:$D$15,2,FALSE)*BT$21,BT36&gt;VLOOKUP($C35,$C$3:$D$15,2,FALSE)*BT$21),VLOOKUP($C35,$C$3:$D$15,2,FALSE)*BT$21-BS37)))</f>
        <v>0</v>
      </c>
      <c r="BU35" s="642">
        <f t="shared" ref="BU35" si="978" xml:space="preserve">
IF(BT37&gt;=VLOOKUP($C35,$C$3:$D$15,2,FALSE)*BU$21,0,
IF(AND(BT37&lt;VLOOKUP($C35,$C$3:$D$15,2,FALSE)*BU$21,BU36&lt;=VLOOKUP($C35,$C$3:$D$15,2,FALSE)*BU$21),IF(BU36-BT37&lt;0,0,BU36-BT37),
IF(AND(BT37&lt;VLOOKUP($C35,$C$3:$D$15,2,FALSE)*BU$21,BU36&gt;VLOOKUP($C35,$C$3:$D$15,2,FALSE)*BU$21),VLOOKUP($C35,$C$3:$D$15,2,FALSE)*BU$21-BT37)))</f>
        <v>0</v>
      </c>
      <c r="BV35" s="642">
        <f t="shared" ref="BV35" si="979" xml:space="preserve">
IF(BU37&gt;=VLOOKUP($C35,$C$3:$D$15,2,FALSE)*BV$21,0,
IF(AND(BU37&lt;VLOOKUP($C35,$C$3:$D$15,2,FALSE)*BV$21,BV36&lt;=VLOOKUP($C35,$C$3:$D$15,2,FALSE)*BV$21),IF(BV36-BU37&lt;0,0,BV36-BU37),
IF(AND(BU37&lt;VLOOKUP($C35,$C$3:$D$15,2,FALSE)*BV$21,BV36&gt;VLOOKUP($C35,$C$3:$D$15,2,FALSE)*BV$21),VLOOKUP($C35,$C$3:$D$15,2,FALSE)*BV$21-BU37)))</f>
        <v>0</v>
      </c>
      <c r="BW35" s="642">
        <f t="shared" ref="BW35" si="980" xml:space="preserve">
IF(BV37&gt;=VLOOKUP($C35,$C$3:$D$15,2,FALSE)*BW$21,0,
IF(AND(BV37&lt;VLOOKUP($C35,$C$3:$D$15,2,FALSE)*BW$21,BW36&lt;=VLOOKUP($C35,$C$3:$D$15,2,FALSE)*BW$21),IF(BW36-BV37&lt;0,0,BW36-BV37),
IF(AND(BV37&lt;VLOOKUP($C35,$C$3:$D$15,2,FALSE)*BW$21,BW36&gt;VLOOKUP($C35,$C$3:$D$15,2,FALSE)*BW$21),VLOOKUP($C35,$C$3:$D$15,2,FALSE)*BW$21-BV37)))</f>
        <v>0</v>
      </c>
      <c r="BX35" s="642">
        <f t="shared" ref="BX35" si="981" xml:space="preserve">
IF(BW37&gt;=VLOOKUP($C35,$C$3:$D$15,2,FALSE)*BX$21,0,
IF(AND(BW37&lt;VLOOKUP($C35,$C$3:$D$15,2,FALSE)*BX$21,BX36&lt;=VLOOKUP($C35,$C$3:$D$15,2,FALSE)*BX$21),IF(BX36-BW37&lt;0,0,BX36-BW37),
IF(AND(BW37&lt;VLOOKUP($C35,$C$3:$D$15,2,FALSE)*BX$21,BX36&gt;VLOOKUP($C35,$C$3:$D$15,2,FALSE)*BX$21),VLOOKUP($C35,$C$3:$D$15,2,FALSE)*BX$21-BW37)))</f>
        <v>0</v>
      </c>
      <c r="BY35" s="642">
        <f t="shared" ref="BY35" si="982" xml:space="preserve">
IF(BX37&gt;=VLOOKUP($C35,$C$3:$D$15,2,FALSE)*BY$21,0,
IF(AND(BX37&lt;VLOOKUP($C35,$C$3:$D$15,2,FALSE)*BY$21,BY36&lt;=VLOOKUP($C35,$C$3:$D$15,2,FALSE)*BY$21),IF(BY36-BX37&lt;0,0,BY36-BX37),
IF(AND(BX37&lt;VLOOKUP($C35,$C$3:$D$15,2,FALSE)*BY$21,BY36&gt;VLOOKUP($C35,$C$3:$D$15,2,FALSE)*BY$21),VLOOKUP($C35,$C$3:$D$15,2,FALSE)*BY$21-BX37)))</f>
        <v>0</v>
      </c>
      <c r="BZ35" s="642">
        <f t="shared" ref="BZ35" si="983" xml:space="preserve">
IF(BY37&gt;=VLOOKUP($C35,$C$3:$D$15,2,FALSE)*BZ$21,0,
IF(AND(BY37&lt;VLOOKUP($C35,$C$3:$D$15,2,FALSE)*BZ$21,BZ36&lt;=VLOOKUP($C35,$C$3:$D$15,2,FALSE)*BZ$21),IF(BZ36-BY37&lt;0,0,BZ36-BY37),
IF(AND(BY37&lt;VLOOKUP($C35,$C$3:$D$15,2,FALSE)*BZ$21,BZ36&gt;VLOOKUP($C35,$C$3:$D$15,2,FALSE)*BZ$21),VLOOKUP($C35,$C$3:$D$15,2,FALSE)*BZ$21-BY37)))</f>
        <v>0</v>
      </c>
      <c r="CA35" s="642">
        <f t="shared" ref="CA35" si="984" xml:space="preserve">
IF(BZ37&gt;=VLOOKUP($C35,$C$3:$D$15,2,FALSE)*CA$21,0,
IF(AND(BZ37&lt;VLOOKUP($C35,$C$3:$D$15,2,FALSE)*CA$21,CA36&lt;=VLOOKUP($C35,$C$3:$D$15,2,FALSE)*CA$21),IF(CA36-BZ37&lt;0,0,CA36-BZ37),
IF(AND(BZ37&lt;VLOOKUP($C35,$C$3:$D$15,2,FALSE)*CA$21,CA36&gt;VLOOKUP($C35,$C$3:$D$15,2,FALSE)*CA$21),VLOOKUP($C35,$C$3:$D$15,2,FALSE)*CA$21-BZ37)))</f>
        <v>0</v>
      </c>
      <c r="CB35" s="642">
        <f t="shared" ref="CB35" si="985" xml:space="preserve">
IF(CA37&gt;=VLOOKUP($C35,$C$3:$D$15,2,FALSE)*CB$21,0,
IF(AND(CA37&lt;VLOOKUP($C35,$C$3:$D$15,2,FALSE)*CB$21,CB36&lt;=VLOOKUP($C35,$C$3:$D$15,2,FALSE)*CB$21),IF(CB36-CA37&lt;0,0,CB36-CA37),
IF(AND(CA37&lt;VLOOKUP($C35,$C$3:$D$15,2,FALSE)*CB$21,CB36&gt;VLOOKUP($C35,$C$3:$D$15,2,FALSE)*CB$21),VLOOKUP($C35,$C$3:$D$15,2,FALSE)*CB$21-CA37)))</f>
        <v>0</v>
      </c>
      <c r="CC35" s="642">
        <f t="shared" ref="CC35" si="986" xml:space="preserve">
IF(CB37&gt;=VLOOKUP($C35,$C$3:$D$15,2,FALSE)*CC$21,0,
IF(AND(CB37&lt;VLOOKUP($C35,$C$3:$D$15,2,FALSE)*CC$21,CC36&lt;=VLOOKUP($C35,$C$3:$D$15,2,FALSE)*CC$21),IF(CC36-CB37&lt;0,0,CC36-CB37),
IF(AND(CB37&lt;VLOOKUP($C35,$C$3:$D$15,2,FALSE)*CC$21,CC36&gt;VLOOKUP($C35,$C$3:$D$15,2,FALSE)*CC$21),VLOOKUP($C35,$C$3:$D$15,2,FALSE)*CC$21-CB37)))</f>
        <v>0</v>
      </c>
      <c r="CD35" s="642">
        <f t="shared" ref="CD35" si="987" xml:space="preserve">
IF(CC37&gt;=VLOOKUP($C35,$C$3:$D$15,2,FALSE)*CD$21,0,
IF(AND(CC37&lt;VLOOKUP($C35,$C$3:$D$15,2,FALSE)*CD$21,CD36&lt;=VLOOKUP($C35,$C$3:$D$15,2,FALSE)*CD$21),IF(CD36-CC37&lt;0,0,CD36-CC37),
IF(AND(CC37&lt;VLOOKUP($C35,$C$3:$D$15,2,FALSE)*CD$21,CD36&gt;VLOOKUP($C35,$C$3:$D$15,2,FALSE)*CD$21),VLOOKUP($C35,$C$3:$D$15,2,FALSE)*CD$21-CC37)))</f>
        <v>0</v>
      </c>
      <c r="CE35" s="642">
        <f t="shared" ref="CE35" si="988" xml:space="preserve">
IF(CD37&gt;=VLOOKUP($C35,$C$3:$D$15,2,FALSE)*CE$21,0,
IF(AND(CD37&lt;VLOOKUP($C35,$C$3:$D$15,2,FALSE)*CE$21,CE36&lt;=VLOOKUP($C35,$C$3:$D$15,2,FALSE)*CE$21),IF(CE36-CD37&lt;0,0,CE36-CD37),
IF(AND(CD37&lt;VLOOKUP($C35,$C$3:$D$15,2,FALSE)*CE$21,CE36&gt;VLOOKUP($C35,$C$3:$D$15,2,FALSE)*CE$21),VLOOKUP($C35,$C$3:$D$15,2,FALSE)*CE$21-CD37)))</f>
        <v>0</v>
      </c>
      <c r="CF35" s="642">
        <f t="shared" ref="CF35" si="989" xml:space="preserve">
IF(CE37&gt;=VLOOKUP($C35,$C$3:$D$15,2,FALSE)*CF$21,0,
IF(AND(CE37&lt;VLOOKUP($C35,$C$3:$D$15,2,FALSE)*CF$21,CF36&lt;=VLOOKUP($C35,$C$3:$D$15,2,FALSE)*CF$21),IF(CF36-CE37&lt;0,0,CF36-CE37),
IF(AND(CE37&lt;VLOOKUP($C35,$C$3:$D$15,2,FALSE)*CF$21,CF36&gt;VLOOKUP($C35,$C$3:$D$15,2,FALSE)*CF$21),VLOOKUP($C35,$C$3:$D$15,2,FALSE)*CF$21-CE37)))</f>
        <v>0</v>
      </c>
      <c r="CG35" s="642">
        <f t="shared" ref="CG35" si="990" xml:space="preserve">
IF(CF37&gt;=VLOOKUP($C35,$C$3:$D$15,2,FALSE)*CG$21,0,
IF(AND(CF37&lt;VLOOKUP($C35,$C$3:$D$15,2,FALSE)*CG$21,CG36&lt;=VLOOKUP($C35,$C$3:$D$15,2,FALSE)*CG$21),IF(CG36-CF37&lt;0,0,CG36-CF37),
IF(AND(CF37&lt;VLOOKUP($C35,$C$3:$D$15,2,FALSE)*CG$21,CG36&gt;VLOOKUP($C35,$C$3:$D$15,2,FALSE)*CG$21),VLOOKUP($C35,$C$3:$D$15,2,FALSE)*CG$21-CF37)))</f>
        <v>0</v>
      </c>
      <c r="CH35" s="642">
        <f t="shared" ref="CH35" si="991" xml:space="preserve">
IF(CG37&gt;=VLOOKUP($C35,$C$3:$D$15,2,FALSE)*CH$21,0,
IF(AND(CG37&lt;VLOOKUP($C35,$C$3:$D$15,2,FALSE)*CH$21,CH36&lt;=VLOOKUP($C35,$C$3:$D$15,2,FALSE)*CH$21),IF(CH36-CG37&lt;0,0,CH36-CG37),
IF(AND(CG37&lt;VLOOKUP($C35,$C$3:$D$15,2,FALSE)*CH$21,CH36&gt;VLOOKUP($C35,$C$3:$D$15,2,FALSE)*CH$21),VLOOKUP($C35,$C$3:$D$15,2,FALSE)*CH$21-CG37)))</f>
        <v>0</v>
      </c>
      <c r="CI35" s="642">
        <f t="shared" ref="CI35" si="992" xml:space="preserve">
IF(CH37&gt;=VLOOKUP($C35,$C$3:$D$15,2,FALSE)*CI$21,0,
IF(AND(CH37&lt;VLOOKUP($C35,$C$3:$D$15,2,FALSE)*CI$21,CI36&lt;=VLOOKUP($C35,$C$3:$D$15,2,FALSE)*CI$21),IF(CI36-CH37&lt;0,0,CI36-CH37),
IF(AND(CH37&lt;VLOOKUP($C35,$C$3:$D$15,2,FALSE)*CI$21,CI36&gt;VLOOKUP($C35,$C$3:$D$15,2,FALSE)*CI$21),VLOOKUP($C35,$C$3:$D$15,2,FALSE)*CI$21-CH37)))</f>
        <v>0</v>
      </c>
      <c r="CJ35" s="642">
        <f t="shared" ref="CJ35" si="993" xml:space="preserve">
IF(CI37&gt;=VLOOKUP($C35,$C$3:$D$15,2,FALSE)*CJ$21,0,
IF(AND(CI37&lt;VLOOKUP($C35,$C$3:$D$15,2,FALSE)*CJ$21,CJ36&lt;=VLOOKUP($C35,$C$3:$D$15,2,FALSE)*CJ$21),IF(CJ36-CI37&lt;0,0,CJ36-CI37),
IF(AND(CI37&lt;VLOOKUP($C35,$C$3:$D$15,2,FALSE)*CJ$21,CJ36&gt;VLOOKUP($C35,$C$3:$D$15,2,FALSE)*CJ$21),VLOOKUP($C35,$C$3:$D$15,2,FALSE)*CJ$21-CI37)))</f>
        <v>0</v>
      </c>
      <c r="CK35" s="642">
        <f t="shared" ref="CK35" si="994" xml:space="preserve">
IF(CJ37&gt;=VLOOKUP($C35,$C$3:$D$15,2,FALSE)*CK$21,0,
IF(AND(CJ37&lt;VLOOKUP($C35,$C$3:$D$15,2,FALSE)*CK$21,CK36&lt;=VLOOKUP($C35,$C$3:$D$15,2,FALSE)*CK$21),IF(CK36-CJ37&lt;0,0,CK36-CJ37),
IF(AND(CJ37&lt;VLOOKUP($C35,$C$3:$D$15,2,FALSE)*CK$21,CK36&gt;VLOOKUP($C35,$C$3:$D$15,2,FALSE)*CK$21),VLOOKUP($C35,$C$3:$D$15,2,FALSE)*CK$21-CJ37)))</f>
        <v>0</v>
      </c>
      <c r="CL35" s="642">
        <f t="shared" ref="CL35" si="995" xml:space="preserve">
IF(CK37&gt;=VLOOKUP($C35,$C$3:$D$15,2,FALSE)*CL$21,0,
IF(AND(CK37&lt;VLOOKUP($C35,$C$3:$D$15,2,FALSE)*CL$21,CL36&lt;=VLOOKUP($C35,$C$3:$D$15,2,FALSE)*CL$21),IF(CL36-CK37&lt;0,0,CL36-CK37),
IF(AND(CK37&lt;VLOOKUP($C35,$C$3:$D$15,2,FALSE)*CL$21,CL36&gt;VLOOKUP($C35,$C$3:$D$15,2,FALSE)*CL$21),VLOOKUP($C35,$C$3:$D$15,2,FALSE)*CL$21-CK37)))</f>
        <v>0</v>
      </c>
      <c r="CM35" s="642">
        <f t="shared" ref="CM35" si="996" xml:space="preserve">
IF(CL37&gt;=VLOOKUP($C35,$C$3:$D$15,2,FALSE)*CM$21,0,
IF(AND(CL37&lt;VLOOKUP($C35,$C$3:$D$15,2,FALSE)*CM$21,CM36&lt;=VLOOKUP($C35,$C$3:$D$15,2,FALSE)*CM$21),IF(CM36-CL37&lt;0,0,CM36-CL37),
IF(AND(CL37&lt;VLOOKUP($C35,$C$3:$D$15,2,FALSE)*CM$21,CM36&gt;VLOOKUP($C35,$C$3:$D$15,2,FALSE)*CM$21),VLOOKUP($C35,$C$3:$D$15,2,FALSE)*CM$21-CL37)))</f>
        <v>0</v>
      </c>
      <c r="CN35" s="642">
        <f t="shared" ref="CN35" si="997" xml:space="preserve">
IF(CM37&gt;=VLOOKUP($C35,$C$3:$D$15,2,FALSE)*CN$21,0,
IF(AND(CM37&lt;VLOOKUP($C35,$C$3:$D$15,2,FALSE)*CN$21,CN36&lt;=VLOOKUP($C35,$C$3:$D$15,2,FALSE)*CN$21),IF(CN36-CM37&lt;0,0,CN36-CM37),
IF(AND(CM37&lt;VLOOKUP($C35,$C$3:$D$15,2,FALSE)*CN$21,CN36&gt;VLOOKUP($C35,$C$3:$D$15,2,FALSE)*CN$21),VLOOKUP($C35,$C$3:$D$15,2,FALSE)*CN$21-CM37)))</f>
        <v>0</v>
      </c>
      <c r="CO35" s="642">
        <f t="shared" ref="CO35" si="998" xml:space="preserve">
IF(CN37&gt;=VLOOKUP($C35,$C$3:$D$15,2,FALSE)*CO$21,0,
IF(AND(CN37&lt;VLOOKUP($C35,$C$3:$D$15,2,FALSE)*CO$21,CO36&lt;=VLOOKUP($C35,$C$3:$D$15,2,FALSE)*CO$21),IF(CO36-CN37&lt;0,0,CO36-CN37),
IF(AND(CN37&lt;VLOOKUP($C35,$C$3:$D$15,2,FALSE)*CO$21,CO36&gt;VLOOKUP($C35,$C$3:$D$15,2,FALSE)*CO$21),VLOOKUP($C35,$C$3:$D$15,2,FALSE)*CO$21-CN37)))</f>
        <v>0</v>
      </c>
      <c r="CP35" s="642">
        <f t="shared" ref="CP35" si="999" xml:space="preserve">
IF(CO37&gt;=VLOOKUP($C35,$C$3:$D$15,2,FALSE)*CP$21,0,
IF(AND(CO37&lt;VLOOKUP($C35,$C$3:$D$15,2,FALSE)*CP$21,CP36&lt;=VLOOKUP($C35,$C$3:$D$15,2,FALSE)*CP$21),IF(CP36-CO37&lt;0,0,CP36-CO37),
IF(AND(CO37&lt;VLOOKUP($C35,$C$3:$D$15,2,FALSE)*CP$21,CP36&gt;VLOOKUP($C35,$C$3:$D$15,2,FALSE)*CP$21),VLOOKUP($C35,$C$3:$D$15,2,FALSE)*CP$21-CO37)))</f>
        <v>0</v>
      </c>
      <c r="CQ35" s="642">
        <f t="shared" ref="CQ35" si="1000" xml:space="preserve">
IF(CP37&gt;=VLOOKUP($C35,$C$3:$D$15,2,FALSE)*CQ$21,0,
IF(AND(CP37&lt;VLOOKUP($C35,$C$3:$D$15,2,FALSE)*CQ$21,CQ36&lt;=VLOOKUP($C35,$C$3:$D$15,2,FALSE)*CQ$21),IF(CQ36-CP37&lt;0,0,CQ36-CP37),
IF(AND(CP37&lt;VLOOKUP($C35,$C$3:$D$15,2,FALSE)*CQ$21,CQ36&gt;VLOOKUP($C35,$C$3:$D$15,2,FALSE)*CQ$21),VLOOKUP($C35,$C$3:$D$15,2,FALSE)*CQ$21-CP37)))</f>
        <v>0</v>
      </c>
      <c r="CR35" s="642">
        <f t="shared" ref="CR35" si="1001" xml:space="preserve">
IF(CQ37&gt;=VLOOKUP($C35,$C$3:$D$15,2,FALSE)*CR$21,0,
IF(AND(CQ37&lt;VLOOKUP($C35,$C$3:$D$15,2,FALSE)*CR$21,CR36&lt;=VLOOKUP($C35,$C$3:$D$15,2,FALSE)*CR$21),IF(CR36-CQ37&lt;0,0,CR36-CQ37),
IF(AND(CQ37&lt;VLOOKUP($C35,$C$3:$D$15,2,FALSE)*CR$21,CR36&gt;VLOOKUP($C35,$C$3:$D$15,2,FALSE)*CR$21),VLOOKUP($C35,$C$3:$D$15,2,FALSE)*CR$21-CQ37)))</f>
        <v>0</v>
      </c>
      <c r="CS35" s="642">
        <f t="shared" ref="CS35" si="1002" xml:space="preserve">
IF(CR37&gt;=VLOOKUP($C35,$C$3:$D$15,2,FALSE)*CS$21,0,
IF(AND(CR37&lt;VLOOKUP($C35,$C$3:$D$15,2,FALSE)*CS$21,CS36&lt;=VLOOKUP($C35,$C$3:$D$15,2,FALSE)*CS$21),IF(CS36-CR37&lt;0,0,CS36-CR37),
IF(AND(CR37&lt;VLOOKUP($C35,$C$3:$D$15,2,FALSE)*CS$21,CS36&gt;VLOOKUP($C35,$C$3:$D$15,2,FALSE)*CS$21),VLOOKUP($C35,$C$3:$D$15,2,FALSE)*CS$21-CR37)))</f>
        <v>0</v>
      </c>
      <c r="CT35" s="642">
        <f t="shared" ref="CT35" si="1003" xml:space="preserve">
IF(CS37&gt;=VLOOKUP($C35,$C$3:$D$15,2,FALSE)*CT$21,0,
IF(AND(CS37&lt;VLOOKUP($C35,$C$3:$D$15,2,FALSE)*CT$21,CT36&lt;=VLOOKUP($C35,$C$3:$D$15,2,FALSE)*CT$21),IF(CT36-CS37&lt;0,0,CT36-CS37),
IF(AND(CS37&lt;VLOOKUP($C35,$C$3:$D$15,2,FALSE)*CT$21,CT36&gt;VLOOKUP($C35,$C$3:$D$15,2,FALSE)*CT$21),VLOOKUP($C35,$C$3:$D$15,2,FALSE)*CT$21-CS37)))</f>
        <v>0</v>
      </c>
      <c r="CU35" s="642">
        <f t="shared" ref="CU35" si="1004" xml:space="preserve">
IF(CT37&gt;=VLOOKUP($C35,$C$3:$D$15,2,FALSE)*CU$21,0,
IF(AND(CT37&lt;VLOOKUP($C35,$C$3:$D$15,2,FALSE)*CU$21,CU36&lt;=VLOOKUP($C35,$C$3:$D$15,2,FALSE)*CU$21),IF(CU36-CT37&lt;0,0,CU36-CT37),
IF(AND(CT37&lt;VLOOKUP($C35,$C$3:$D$15,2,FALSE)*CU$21,CU36&gt;VLOOKUP($C35,$C$3:$D$15,2,FALSE)*CU$21),VLOOKUP($C35,$C$3:$D$15,2,FALSE)*CU$21-CT37)))</f>
        <v>0</v>
      </c>
      <c r="CV35" s="642">
        <f t="shared" ref="CV35" si="1005" xml:space="preserve">
IF(CU37&gt;=VLOOKUP($C35,$C$3:$D$15,2,FALSE)*CV$21,0,
IF(AND(CU37&lt;VLOOKUP($C35,$C$3:$D$15,2,FALSE)*CV$21,CV36&lt;=VLOOKUP($C35,$C$3:$D$15,2,FALSE)*CV$21),IF(CV36-CU37&lt;0,0,CV36-CU37),
IF(AND(CU37&lt;VLOOKUP($C35,$C$3:$D$15,2,FALSE)*CV$21,CV36&gt;VLOOKUP($C35,$C$3:$D$15,2,FALSE)*CV$21),VLOOKUP($C35,$C$3:$D$15,2,FALSE)*CV$21-CU37)))</f>
        <v>0</v>
      </c>
      <c r="CW35" s="642">
        <f t="shared" ref="CW35" si="1006" xml:space="preserve">
IF(CV37&gt;=VLOOKUP($C35,$C$3:$D$15,2,FALSE)*CW$21,0,
IF(AND(CV37&lt;VLOOKUP($C35,$C$3:$D$15,2,FALSE)*CW$21,CW36&lt;=VLOOKUP($C35,$C$3:$D$15,2,FALSE)*CW$21),IF(CW36-CV37&lt;0,0,CW36-CV37),
IF(AND(CV37&lt;VLOOKUP($C35,$C$3:$D$15,2,FALSE)*CW$21,CW36&gt;VLOOKUP($C35,$C$3:$D$15,2,FALSE)*CW$21),VLOOKUP($C35,$C$3:$D$15,2,FALSE)*CW$21-CV37)))</f>
        <v>0</v>
      </c>
      <c r="CX35" s="642">
        <f t="shared" ref="CX35" si="1007" xml:space="preserve">
IF(CW37&gt;=VLOOKUP($C35,$C$3:$D$15,2,FALSE)*CX$21,0,
IF(AND(CW37&lt;VLOOKUP($C35,$C$3:$D$15,2,FALSE)*CX$21,CX36&lt;=VLOOKUP($C35,$C$3:$D$15,2,FALSE)*CX$21),IF(CX36-CW37&lt;0,0,CX36-CW37),
IF(AND(CW37&lt;VLOOKUP($C35,$C$3:$D$15,2,FALSE)*CX$21,CX36&gt;VLOOKUP($C35,$C$3:$D$15,2,FALSE)*CX$21),VLOOKUP($C35,$C$3:$D$15,2,FALSE)*CX$21-CW37)))</f>
        <v>0</v>
      </c>
      <c r="CY35" s="642">
        <f t="shared" ref="CY35" si="1008" xml:space="preserve">
IF(CX37&gt;=VLOOKUP($C35,$C$3:$D$15,2,FALSE)*CY$21,0,
IF(AND(CX37&lt;VLOOKUP($C35,$C$3:$D$15,2,FALSE)*CY$21,CY36&lt;=VLOOKUP($C35,$C$3:$D$15,2,FALSE)*CY$21),IF(CY36-CX37&lt;0,0,CY36-CX37),
IF(AND(CX37&lt;VLOOKUP($C35,$C$3:$D$15,2,FALSE)*CY$21,CY36&gt;VLOOKUP($C35,$C$3:$D$15,2,FALSE)*CY$21),VLOOKUP($C35,$C$3:$D$15,2,FALSE)*CY$21-CX37)))</f>
        <v>0</v>
      </c>
      <c r="CZ35" s="642">
        <f t="shared" ref="CZ35" si="1009" xml:space="preserve">
IF(CY37&gt;=VLOOKUP($C35,$C$3:$D$15,2,FALSE)*CZ$21,0,
IF(AND(CY37&lt;VLOOKUP($C35,$C$3:$D$15,2,FALSE)*CZ$21,CZ36&lt;=VLOOKUP($C35,$C$3:$D$15,2,FALSE)*CZ$21),IF(CZ36-CY37&lt;0,0,CZ36-CY37),
IF(AND(CY37&lt;VLOOKUP($C35,$C$3:$D$15,2,FALSE)*CZ$21,CZ36&gt;VLOOKUP($C35,$C$3:$D$15,2,FALSE)*CZ$21),VLOOKUP($C35,$C$3:$D$15,2,FALSE)*CZ$21-CY37)))</f>
        <v>0</v>
      </c>
      <c r="DA35" s="642">
        <f t="shared" ref="DA35" si="1010" xml:space="preserve">
IF(CZ37&gt;=VLOOKUP($C35,$C$3:$D$15,2,FALSE)*DA$21,0,
IF(AND(CZ37&lt;VLOOKUP($C35,$C$3:$D$15,2,FALSE)*DA$21,DA36&lt;=VLOOKUP($C35,$C$3:$D$15,2,FALSE)*DA$21),IF(DA36-CZ37&lt;0,0,DA36-CZ37),
IF(AND(CZ37&lt;VLOOKUP($C35,$C$3:$D$15,2,FALSE)*DA$21,DA36&gt;VLOOKUP($C35,$C$3:$D$15,2,FALSE)*DA$21),VLOOKUP($C35,$C$3:$D$15,2,FALSE)*DA$21-CZ37)))</f>
        <v>0</v>
      </c>
      <c r="DB35" s="642">
        <f t="shared" ref="DB35" si="1011" xml:space="preserve">
IF(DA37&gt;=VLOOKUP($C35,$C$3:$D$15,2,FALSE)*DB$21,0,
IF(AND(DA37&lt;VLOOKUP($C35,$C$3:$D$15,2,FALSE)*DB$21,DB36&lt;=VLOOKUP($C35,$C$3:$D$15,2,FALSE)*DB$21),IF(DB36-DA37&lt;0,0,DB36-DA37),
IF(AND(DA37&lt;VLOOKUP($C35,$C$3:$D$15,2,FALSE)*DB$21,DB36&gt;VLOOKUP($C35,$C$3:$D$15,2,FALSE)*DB$21),VLOOKUP($C35,$C$3:$D$15,2,FALSE)*DB$21-DA37)))</f>
        <v>0</v>
      </c>
      <c r="DC35" s="642">
        <f t="shared" ref="DC35" si="1012" xml:space="preserve">
IF(DB37&gt;=VLOOKUP($C35,$C$3:$D$15,2,FALSE)*DC$21,0,
IF(AND(DB37&lt;VLOOKUP($C35,$C$3:$D$15,2,FALSE)*DC$21,DC36&lt;=VLOOKUP($C35,$C$3:$D$15,2,FALSE)*DC$21),IF(DC36-DB37&lt;0,0,DC36-DB37),
IF(AND(DB37&lt;VLOOKUP($C35,$C$3:$D$15,2,FALSE)*DC$21,DC36&gt;VLOOKUP($C35,$C$3:$D$15,2,FALSE)*DC$21),VLOOKUP($C35,$C$3:$D$15,2,FALSE)*DC$21-DB37)))</f>
        <v>0</v>
      </c>
      <c r="DD35" s="642">
        <f t="shared" ref="DD35" si="1013" xml:space="preserve">
IF(DC37&gt;=VLOOKUP($C35,$C$3:$D$15,2,FALSE)*DD$21,0,
IF(AND(DC37&lt;VLOOKUP($C35,$C$3:$D$15,2,FALSE)*DD$21,DD36&lt;=VLOOKUP($C35,$C$3:$D$15,2,FALSE)*DD$21),IF(DD36-DC37&lt;0,0,DD36-DC37),
IF(AND(DC37&lt;VLOOKUP($C35,$C$3:$D$15,2,FALSE)*DD$21,DD36&gt;VLOOKUP($C35,$C$3:$D$15,2,FALSE)*DD$21),VLOOKUP($C35,$C$3:$D$15,2,FALSE)*DD$21-DC37)))</f>
        <v>0</v>
      </c>
      <c r="DE35" s="642">
        <f t="shared" ref="DE35" si="1014" xml:space="preserve">
IF(DD37&gt;=VLOOKUP($C35,$C$3:$D$15,2,FALSE)*DE$21,0,
IF(AND(DD37&lt;VLOOKUP($C35,$C$3:$D$15,2,FALSE)*DE$21,DE36&lt;=VLOOKUP($C35,$C$3:$D$15,2,FALSE)*DE$21),IF(DE36-DD37&lt;0,0,DE36-DD37),
IF(AND(DD37&lt;VLOOKUP($C35,$C$3:$D$15,2,FALSE)*DE$21,DE36&gt;VLOOKUP($C35,$C$3:$D$15,2,FALSE)*DE$21),VLOOKUP($C35,$C$3:$D$15,2,FALSE)*DE$21-DD37)))</f>
        <v>0</v>
      </c>
      <c r="DF35" s="642">
        <f t="shared" ref="DF35" si="1015" xml:space="preserve">
IF(DE37&gt;=VLOOKUP($C35,$C$3:$D$15,2,FALSE)*DF$21,0,
IF(AND(DE37&lt;VLOOKUP($C35,$C$3:$D$15,2,FALSE)*DF$21,DF36&lt;=VLOOKUP($C35,$C$3:$D$15,2,FALSE)*DF$21),IF(DF36-DE37&lt;0,0,DF36-DE37),
IF(AND(DE37&lt;VLOOKUP($C35,$C$3:$D$15,2,FALSE)*DF$21,DF36&gt;VLOOKUP($C35,$C$3:$D$15,2,FALSE)*DF$21),VLOOKUP($C35,$C$3:$D$15,2,FALSE)*DF$21-DE37)))</f>
        <v>0</v>
      </c>
      <c r="DG35" s="642">
        <f t="shared" ref="DG35" si="1016" xml:space="preserve">
IF(DF37&gt;=VLOOKUP($C35,$C$3:$D$15,2,FALSE)*DG$21,0,
IF(AND(DF37&lt;VLOOKUP($C35,$C$3:$D$15,2,FALSE)*DG$21,DG36&lt;=VLOOKUP($C35,$C$3:$D$15,2,FALSE)*DG$21),IF(DG36-DF37&lt;0,0,DG36-DF37),
IF(AND(DF37&lt;VLOOKUP($C35,$C$3:$D$15,2,FALSE)*DG$21,DG36&gt;VLOOKUP($C35,$C$3:$D$15,2,FALSE)*DG$21),VLOOKUP($C35,$C$3:$D$15,2,FALSE)*DG$21-DF37)))</f>
        <v>0</v>
      </c>
      <c r="DH35" s="642">
        <f t="shared" ref="DH35" si="1017" xml:space="preserve">
IF(DG37&gt;=VLOOKUP($C35,$C$3:$D$15,2,FALSE)*DH$21,0,
IF(AND(DG37&lt;VLOOKUP($C35,$C$3:$D$15,2,FALSE)*DH$21,DH36&lt;=VLOOKUP($C35,$C$3:$D$15,2,FALSE)*DH$21),IF(DH36-DG37&lt;0,0,DH36-DG37),
IF(AND(DG37&lt;VLOOKUP($C35,$C$3:$D$15,2,FALSE)*DH$21,DH36&gt;VLOOKUP($C35,$C$3:$D$15,2,FALSE)*DH$21),VLOOKUP($C35,$C$3:$D$15,2,FALSE)*DH$21-DG37)))</f>
        <v>0</v>
      </c>
      <c r="DI35" s="642">
        <f t="shared" ref="DI35" si="1018" xml:space="preserve">
IF(DH37&gt;=VLOOKUP($C35,$C$3:$D$15,2,FALSE)*DI$21,0,
IF(AND(DH37&lt;VLOOKUP($C35,$C$3:$D$15,2,FALSE)*DI$21,DI36&lt;=VLOOKUP($C35,$C$3:$D$15,2,FALSE)*DI$21),IF(DI36-DH37&lt;0,0,DI36-DH37),
IF(AND(DH37&lt;VLOOKUP($C35,$C$3:$D$15,2,FALSE)*DI$21,DI36&gt;VLOOKUP($C35,$C$3:$D$15,2,FALSE)*DI$21),VLOOKUP($C35,$C$3:$D$15,2,FALSE)*DI$21-DH37)))</f>
        <v>0</v>
      </c>
      <c r="DJ35" s="642">
        <f t="shared" ref="DJ35" si="1019" xml:space="preserve">
IF(DI37&gt;=VLOOKUP($C35,$C$3:$D$15,2,FALSE)*DJ$21,0,
IF(AND(DI37&lt;VLOOKUP($C35,$C$3:$D$15,2,FALSE)*DJ$21,DJ36&lt;=VLOOKUP($C35,$C$3:$D$15,2,FALSE)*DJ$21),IF(DJ36-DI37&lt;0,0,DJ36-DI37),
IF(AND(DI37&lt;VLOOKUP($C35,$C$3:$D$15,2,FALSE)*DJ$21,DJ36&gt;VLOOKUP($C35,$C$3:$D$15,2,FALSE)*DJ$21),VLOOKUP($C35,$C$3:$D$15,2,FALSE)*DJ$21-DI37)))</f>
        <v>0</v>
      </c>
      <c r="DK35" s="642">
        <f t="shared" ref="DK35" si="1020" xml:space="preserve">
IF(DJ37&gt;=VLOOKUP($C35,$C$3:$D$15,2,FALSE)*DK$21,0,
IF(AND(DJ37&lt;VLOOKUP($C35,$C$3:$D$15,2,FALSE)*DK$21,DK36&lt;=VLOOKUP($C35,$C$3:$D$15,2,FALSE)*DK$21),IF(DK36-DJ37&lt;0,0,DK36-DJ37),
IF(AND(DJ37&lt;VLOOKUP($C35,$C$3:$D$15,2,FALSE)*DK$21,DK36&gt;VLOOKUP($C35,$C$3:$D$15,2,FALSE)*DK$21),VLOOKUP($C35,$C$3:$D$15,2,FALSE)*DK$21-DJ37)))</f>
        <v>0</v>
      </c>
      <c r="DL35" s="642">
        <f t="shared" ref="DL35" si="1021" xml:space="preserve">
IF(DK37&gt;=VLOOKUP($C35,$C$3:$D$15,2,FALSE)*DL$21,0,
IF(AND(DK37&lt;VLOOKUP($C35,$C$3:$D$15,2,FALSE)*DL$21,DL36&lt;=VLOOKUP($C35,$C$3:$D$15,2,FALSE)*DL$21),IF(DL36-DK37&lt;0,0,DL36-DK37),
IF(AND(DK37&lt;VLOOKUP($C35,$C$3:$D$15,2,FALSE)*DL$21,DL36&gt;VLOOKUP($C35,$C$3:$D$15,2,FALSE)*DL$21),VLOOKUP($C35,$C$3:$D$15,2,FALSE)*DL$21-DK37)))</f>
        <v>0</v>
      </c>
      <c r="DM35" s="642">
        <f t="shared" ref="DM35" si="1022" xml:space="preserve">
IF(DL37&gt;=VLOOKUP($C35,$C$3:$D$15,2,FALSE)*DM$21,0,
IF(AND(DL37&lt;VLOOKUP($C35,$C$3:$D$15,2,FALSE)*DM$21,DM36&lt;=VLOOKUP($C35,$C$3:$D$15,2,FALSE)*DM$21),IF(DM36-DL37&lt;0,0,DM36-DL37),
IF(AND(DL37&lt;VLOOKUP($C35,$C$3:$D$15,2,FALSE)*DM$21,DM36&gt;VLOOKUP($C35,$C$3:$D$15,2,FALSE)*DM$21),VLOOKUP($C35,$C$3:$D$15,2,FALSE)*DM$21-DL37)))</f>
        <v>0</v>
      </c>
      <c r="DN35" s="642">
        <f t="shared" ref="DN35" si="1023" xml:space="preserve">
IF(DM37&gt;=VLOOKUP($C35,$C$3:$D$15,2,FALSE)*DN$21,0,
IF(AND(DM37&lt;VLOOKUP($C35,$C$3:$D$15,2,FALSE)*DN$21,DN36&lt;=VLOOKUP($C35,$C$3:$D$15,2,FALSE)*DN$21),IF(DN36-DM37&lt;0,0,DN36-DM37),
IF(AND(DM37&lt;VLOOKUP($C35,$C$3:$D$15,2,FALSE)*DN$21,DN36&gt;VLOOKUP($C35,$C$3:$D$15,2,FALSE)*DN$21),VLOOKUP($C35,$C$3:$D$15,2,FALSE)*DN$21-DM37)))</f>
        <v>0</v>
      </c>
      <c r="DO35" s="642">
        <f t="shared" ref="DO35" si="1024" xml:space="preserve">
IF(DN37&gt;=VLOOKUP($C35,$C$3:$D$15,2,FALSE)*DO$21,0,
IF(AND(DN37&lt;VLOOKUP($C35,$C$3:$D$15,2,FALSE)*DO$21,DO36&lt;=VLOOKUP($C35,$C$3:$D$15,2,FALSE)*DO$21),IF(DO36-DN37&lt;0,0,DO36-DN37),
IF(AND(DN37&lt;VLOOKUP($C35,$C$3:$D$15,2,FALSE)*DO$21,DO36&gt;VLOOKUP($C35,$C$3:$D$15,2,FALSE)*DO$21),VLOOKUP($C35,$C$3:$D$15,2,FALSE)*DO$21-DN37)))</f>
        <v>0</v>
      </c>
      <c r="DP35" s="642">
        <f t="shared" ref="DP35" si="1025" xml:space="preserve">
IF(DO37&gt;=VLOOKUP($C35,$C$3:$D$15,2,FALSE)*DP$21,0,
IF(AND(DO37&lt;VLOOKUP($C35,$C$3:$D$15,2,FALSE)*DP$21,DP36&lt;=VLOOKUP($C35,$C$3:$D$15,2,FALSE)*DP$21),IF(DP36-DO37&lt;0,0,DP36-DO37),
IF(AND(DO37&lt;VLOOKUP($C35,$C$3:$D$15,2,FALSE)*DP$21,DP36&gt;VLOOKUP($C35,$C$3:$D$15,2,FALSE)*DP$21),VLOOKUP($C35,$C$3:$D$15,2,FALSE)*DP$21-DO37)))</f>
        <v>0</v>
      </c>
      <c r="DQ35" s="642">
        <f t="shared" ref="DQ35" si="1026" xml:space="preserve">
IF(DP37&gt;=VLOOKUP($C35,$C$3:$D$15,2,FALSE)*DQ$21,0,
IF(AND(DP37&lt;VLOOKUP($C35,$C$3:$D$15,2,FALSE)*DQ$21,DQ36&lt;=VLOOKUP($C35,$C$3:$D$15,2,FALSE)*DQ$21),IF(DQ36-DP37&lt;0,0,DQ36-DP37),
IF(AND(DP37&lt;VLOOKUP($C35,$C$3:$D$15,2,FALSE)*DQ$21,DQ36&gt;VLOOKUP($C35,$C$3:$D$15,2,FALSE)*DQ$21),VLOOKUP($C35,$C$3:$D$15,2,FALSE)*DQ$21-DP37)))</f>
        <v>0</v>
      </c>
      <c r="DR35" s="642">
        <f t="shared" ref="DR35" si="1027" xml:space="preserve">
IF(DQ37&gt;=VLOOKUP($C35,$C$3:$D$15,2,FALSE)*DR$21,0,
IF(AND(DQ37&lt;VLOOKUP($C35,$C$3:$D$15,2,FALSE)*DR$21,DR36&lt;=VLOOKUP($C35,$C$3:$D$15,2,FALSE)*DR$21),IF(DR36-DQ37&lt;0,0,DR36-DQ37),
IF(AND(DQ37&lt;VLOOKUP($C35,$C$3:$D$15,2,FALSE)*DR$21,DR36&gt;VLOOKUP($C35,$C$3:$D$15,2,FALSE)*DR$21),VLOOKUP($C35,$C$3:$D$15,2,FALSE)*DR$21-DQ37)))</f>
        <v>0</v>
      </c>
      <c r="DS35" s="642">
        <f t="shared" ref="DS35" si="1028" xml:space="preserve">
IF(DR37&gt;=VLOOKUP($C35,$C$3:$D$15,2,FALSE)*DS$21,0,
IF(AND(DR37&lt;VLOOKUP($C35,$C$3:$D$15,2,FALSE)*DS$21,DS36&lt;=VLOOKUP($C35,$C$3:$D$15,2,FALSE)*DS$21),IF(DS36-DR37&lt;0,0,DS36-DR37),
IF(AND(DR37&lt;VLOOKUP($C35,$C$3:$D$15,2,FALSE)*DS$21,DS36&gt;VLOOKUP($C35,$C$3:$D$15,2,FALSE)*DS$21),VLOOKUP($C35,$C$3:$D$15,2,FALSE)*DS$21-DR37)))</f>
        <v>0</v>
      </c>
      <c r="DT35" s="642">
        <f t="shared" ref="DT35" si="1029" xml:space="preserve">
IF(DS37&gt;=VLOOKUP($C35,$C$3:$D$15,2,FALSE)*DT$21,0,
IF(AND(DS37&lt;VLOOKUP($C35,$C$3:$D$15,2,FALSE)*DT$21,DT36&lt;=VLOOKUP($C35,$C$3:$D$15,2,FALSE)*DT$21),IF(DT36-DS37&lt;0,0,DT36-DS37),
IF(AND(DS37&lt;VLOOKUP($C35,$C$3:$D$15,2,FALSE)*DT$21,DT36&gt;VLOOKUP($C35,$C$3:$D$15,2,FALSE)*DT$21),VLOOKUP($C35,$C$3:$D$15,2,FALSE)*DT$21-DS37)))</f>
        <v>0</v>
      </c>
      <c r="DU35" s="642">
        <f t="shared" ref="DU35" si="1030" xml:space="preserve">
IF(DT37&gt;=VLOOKUP($C35,$C$3:$D$15,2,FALSE)*DU$21,0,
IF(AND(DT37&lt;VLOOKUP($C35,$C$3:$D$15,2,FALSE)*DU$21,DU36&lt;=VLOOKUP($C35,$C$3:$D$15,2,FALSE)*DU$21),IF(DU36-DT37&lt;0,0,DU36-DT37),
IF(AND(DT37&lt;VLOOKUP($C35,$C$3:$D$15,2,FALSE)*DU$21,DU36&gt;VLOOKUP($C35,$C$3:$D$15,2,FALSE)*DU$21),VLOOKUP($C35,$C$3:$D$15,2,FALSE)*DU$21-DT37)))</f>
        <v>0</v>
      </c>
      <c r="DV35" s="642">
        <f t="shared" ref="DV35" si="1031" xml:space="preserve">
IF(DU37&gt;=VLOOKUP($C35,$C$3:$D$15,2,FALSE)*DV$21,0,
IF(AND(DU37&lt;VLOOKUP($C35,$C$3:$D$15,2,FALSE)*DV$21,DV36&lt;=VLOOKUP($C35,$C$3:$D$15,2,FALSE)*DV$21),IF(DV36-DU37&lt;0,0,DV36-DU37),
IF(AND(DU37&lt;VLOOKUP($C35,$C$3:$D$15,2,FALSE)*DV$21,DV36&gt;VLOOKUP($C35,$C$3:$D$15,2,FALSE)*DV$21),VLOOKUP($C35,$C$3:$D$15,2,FALSE)*DV$21-DU37)))</f>
        <v>0</v>
      </c>
      <c r="DW35" s="642">
        <f t="shared" ref="DW35" si="1032" xml:space="preserve">
IF(DV37&gt;=VLOOKUP($C35,$C$3:$D$15,2,FALSE)*DW$21,0,
IF(AND(DV37&lt;VLOOKUP($C35,$C$3:$D$15,2,FALSE)*DW$21,DW36&lt;=VLOOKUP($C35,$C$3:$D$15,2,FALSE)*DW$21),IF(DW36-DV37&lt;0,0,DW36-DV37),
IF(AND(DV37&lt;VLOOKUP($C35,$C$3:$D$15,2,FALSE)*DW$21,DW36&gt;VLOOKUP($C35,$C$3:$D$15,2,FALSE)*DW$21),VLOOKUP($C35,$C$3:$D$15,2,FALSE)*DW$21-DV37)))</f>
        <v>0</v>
      </c>
      <c r="DX35" s="642">
        <f t="shared" ref="DX35" si="1033" xml:space="preserve">
IF(DW37&gt;=VLOOKUP($C35,$C$3:$D$15,2,FALSE)*DX$21,0,
IF(AND(DW37&lt;VLOOKUP($C35,$C$3:$D$15,2,FALSE)*DX$21,DX36&lt;=VLOOKUP($C35,$C$3:$D$15,2,FALSE)*DX$21),IF(DX36-DW37&lt;0,0,DX36-DW37),
IF(AND(DW37&lt;VLOOKUP($C35,$C$3:$D$15,2,FALSE)*DX$21,DX36&gt;VLOOKUP($C35,$C$3:$D$15,2,FALSE)*DX$21),VLOOKUP($C35,$C$3:$D$15,2,FALSE)*DX$21-DW37)))</f>
        <v>0</v>
      </c>
      <c r="DY35" s="642">
        <f t="shared" ref="DY35" si="1034" xml:space="preserve">
IF(DX37&gt;=VLOOKUP($C35,$C$3:$D$15,2,FALSE)*DY$21,0,
IF(AND(DX37&lt;VLOOKUP($C35,$C$3:$D$15,2,FALSE)*DY$21,DY36&lt;=VLOOKUP($C35,$C$3:$D$15,2,FALSE)*DY$21),IF(DY36-DX37&lt;0,0,DY36-DX37),
IF(AND(DX37&lt;VLOOKUP($C35,$C$3:$D$15,2,FALSE)*DY$21,DY36&gt;VLOOKUP($C35,$C$3:$D$15,2,FALSE)*DY$21),VLOOKUP($C35,$C$3:$D$15,2,FALSE)*DY$21-DX37)))</f>
        <v>0</v>
      </c>
      <c r="DZ35" s="642">
        <f t="shared" ref="DZ35" si="1035" xml:space="preserve">
IF(DY37&gt;=VLOOKUP($C35,$C$3:$D$15,2,FALSE)*DZ$21,0,
IF(AND(DY37&lt;VLOOKUP($C35,$C$3:$D$15,2,FALSE)*DZ$21,DZ36&lt;=VLOOKUP($C35,$C$3:$D$15,2,FALSE)*DZ$21),IF(DZ36-DY37&lt;0,0,DZ36-DY37),
IF(AND(DY37&lt;VLOOKUP($C35,$C$3:$D$15,2,FALSE)*DZ$21,DZ36&gt;VLOOKUP($C35,$C$3:$D$15,2,FALSE)*DZ$21),VLOOKUP($C35,$C$3:$D$15,2,FALSE)*DZ$21-DY37)))</f>
        <v>0</v>
      </c>
      <c r="EA35" s="642">
        <f t="shared" ref="EA35" si="1036" xml:space="preserve">
IF(DZ37&gt;=VLOOKUP($C35,$C$3:$D$15,2,FALSE)*EA$21,0,
IF(AND(DZ37&lt;VLOOKUP($C35,$C$3:$D$15,2,FALSE)*EA$21,EA36&lt;=VLOOKUP($C35,$C$3:$D$15,2,FALSE)*EA$21),IF(EA36-DZ37&lt;0,0,EA36-DZ37),
IF(AND(DZ37&lt;VLOOKUP($C35,$C$3:$D$15,2,FALSE)*EA$21,EA36&gt;VLOOKUP($C35,$C$3:$D$15,2,FALSE)*EA$21),VLOOKUP($C35,$C$3:$D$15,2,FALSE)*EA$21-DZ37)))</f>
        <v>0</v>
      </c>
      <c r="EB35" s="642">
        <f t="shared" ref="EB35" si="1037" xml:space="preserve">
IF(EA37&gt;=VLOOKUP($C35,$C$3:$D$15,2,FALSE)*EB$21,0,
IF(AND(EA37&lt;VLOOKUP($C35,$C$3:$D$15,2,FALSE)*EB$21,EB36&lt;=VLOOKUP($C35,$C$3:$D$15,2,FALSE)*EB$21),IF(EB36-EA37&lt;0,0,EB36-EA37),
IF(AND(EA37&lt;VLOOKUP($C35,$C$3:$D$15,2,FALSE)*EB$21,EB36&gt;VLOOKUP($C35,$C$3:$D$15,2,FALSE)*EB$21),VLOOKUP($C35,$C$3:$D$15,2,FALSE)*EB$21-EA37)))</f>
        <v>0</v>
      </c>
      <c r="EC35" s="642">
        <f t="shared" ref="EC35" si="1038" xml:space="preserve">
IF(EB37&gt;=VLOOKUP($C35,$C$3:$D$15,2,FALSE)*EC$21,0,
IF(AND(EB37&lt;VLOOKUP($C35,$C$3:$D$15,2,FALSE)*EC$21,EC36&lt;=VLOOKUP($C35,$C$3:$D$15,2,FALSE)*EC$21),IF(EC36-EB37&lt;0,0,EC36-EB37),
IF(AND(EB37&lt;VLOOKUP($C35,$C$3:$D$15,2,FALSE)*EC$21,EC36&gt;VLOOKUP($C35,$C$3:$D$15,2,FALSE)*EC$21),VLOOKUP($C35,$C$3:$D$15,2,FALSE)*EC$21-EB37)))</f>
        <v>0</v>
      </c>
      <c r="ED35" s="642">
        <f t="shared" ref="ED35" si="1039" xml:space="preserve">
IF(EC37&gt;=VLOOKUP($C35,$C$3:$D$15,2,FALSE)*ED$21,0,
IF(AND(EC37&lt;VLOOKUP($C35,$C$3:$D$15,2,FALSE)*ED$21,ED36&lt;=VLOOKUP($C35,$C$3:$D$15,2,FALSE)*ED$21),IF(ED36-EC37&lt;0,0,ED36-EC37),
IF(AND(EC37&lt;VLOOKUP($C35,$C$3:$D$15,2,FALSE)*ED$21,ED36&gt;VLOOKUP($C35,$C$3:$D$15,2,FALSE)*ED$21),VLOOKUP($C35,$C$3:$D$15,2,FALSE)*ED$21-EC37)))</f>
        <v>0</v>
      </c>
      <c r="EE35" s="642">
        <f t="shared" ref="EE35" si="1040" xml:space="preserve">
IF(ED37&gt;=VLOOKUP($C35,$C$3:$D$15,2,FALSE)*EE$21,0,
IF(AND(ED37&lt;VLOOKUP($C35,$C$3:$D$15,2,FALSE)*EE$21,EE36&lt;=VLOOKUP($C35,$C$3:$D$15,2,FALSE)*EE$21),IF(EE36-ED37&lt;0,0,EE36-ED37),
IF(AND(ED37&lt;VLOOKUP($C35,$C$3:$D$15,2,FALSE)*EE$21,EE36&gt;VLOOKUP($C35,$C$3:$D$15,2,FALSE)*EE$21),VLOOKUP($C35,$C$3:$D$15,2,FALSE)*EE$21-ED37)))</f>
        <v>0</v>
      </c>
      <c r="EF35" s="642">
        <f t="shared" ref="EF35" si="1041" xml:space="preserve">
IF(EE37&gt;=VLOOKUP($C35,$C$3:$D$15,2,FALSE)*EF$21,0,
IF(AND(EE37&lt;VLOOKUP($C35,$C$3:$D$15,2,FALSE)*EF$21,EF36&lt;=VLOOKUP($C35,$C$3:$D$15,2,FALSE)*EF$21),IF(EF36-EE37&lt;0,0,EF36-EE37),
IF(AND(EE37&lt;VLOOKUP($C35,$C$3:$D$15,2,FALSE)*EF$21,EF36&gt;VLOOKUP($C35,$C$3:$D$15,2,FALSE)*EF$21),VLOOKUP($C35,$C$3:$D$15,2,FALSE)*EF$21-EE37)))</f>
        <v>0</v>
      </c>
      <c r="EG35" s="642">
        <f t="shared" ref="EG35" si="1042" xml:space="preserve">
IF(EF37&gt;=VLOOKUP($C35,$C$3:$D$15,2,FALSE)*EG$21,0,
IF(AND(EF37&lt;VLOOKUP($C35,$C$3:$D$15,2,FALSE)*EG$21,EG36&lt;=VLOOKUP($C35,$C$3:$D$15,2,FALSE)*EG$21),IF(EG36-EF37&lt;0,0,EG36-EF37),
IF(AND(EF37&lt;VLOOKUP($C35,$C$3:$D$15,2,FALSE)*EG$21,EG36&gt;VLOOKUP($C35,$C$3:$D$15,2,FALSE)*EG$21),VLOOKUP($C35,$C$3:$D$15,2,FALSE)*EG$21-EF37)))</f>
        <v>0</v>
      </c>
      <c r="EH35" s="642">
        <f t="shared" ref="EH35" si="1043" xml:space="preserve">
IF(EG37&gt;=VLOOKUP($C35,$C$3:$D$15,2,FALSE)*EH$21,0,
IF(AND(EG37&lt;VLOOKUP($C35,$C$3:$D$15,2,FALSE)*EH$21,EH36&lt;=VLOOKUP($C35,$C$3:$D$15,2,FALSE)*EH$21),IF(EH36-EG37&lt;0,0,EH36-EG37),
IF(AND(EG37&lt;VLOOKUP($C35,$C$3:$D$15,2,FALSE)*EH$21,EH36&gt;VLOOKUP($C35,$C$3:$D$15,2,FALSE)*EH$21),VLOOKUP($C35,$C$3:$D$15,2,FALSE)*EH$21-EG37)))</f>
        <v>0</v>
      </c>
      <c r="EI35" s="642">
        <f t="shared" ref="EI35" si="1044" xml:space="preserve">
IF(EH37&gt;=VLOOKUP($C35,$C$3:$D$15,2,FALSE)*EI$21,0,
IF(AND(EH37&lt;VLOOKUP($C35,$C$3:$D$15,2,FALSE)*EI$21,EI36&lt;=VLOOKUP($C35,$C$3:$D$15,2,FALSE)*EI$21),IF(EI36-EH37&lt;0,0,EI36-EH37),
IF(AND(EH37&lt;VLOOKUP($C35,$C$3:$D$15,2,FALSE)*EI$21,EI36&gt;VLOOKUP($C35,$C$3:$D$15,2,FALSE)*EI$21),VLOOKUP($C35,$C$3:$D$15,2,FALSE)*EI$21-EH37)))</f>
        <v>0</v>
      </c>
      <c r="EJ35" s="642">
        <f t="shared" ref="EJ35" si="1045" xml:space="preserve">
IF(EI37&gt;=VLOOKUP($C35,$C$3:$D$15,2,FALSE)*EJ$21,0,
IF(AND(EI37&lt;VLOOKUP($C35,$C$3:$D$15,2,FALSE)*EJ$21,EJ36&lt;=VLOOKUP($C35,$C$3:$D$15,2,FALSE)*EJ$21),IF(EJ36-EI37&lt;0,0,EJ36-EI37),
IF(AND(EI37&lt;VLOOKUP($C35,$C$3:$D$15,2,FALSE)*EJ$21,EJ36&gt;VLOOKUP($C35,$C$3:$D$15,2,FALSE)*EJ$21),VLOOKUP($C35,$C$3:$D$15,2,FALSE)*EJ$21-EI37)))</f>
        <v>0</v>
      </c>
      <c r="EK35" s="642">
        <f t="shared" ref="EK35" si="1046" xml:space="preserve">
IF(EJ37&gt;=VLOOKUP($C35,$C$3:$D$15,2,FALSE)*EK$21,0,
IF(AND(EJ37&lt;VLOOKUP($C35,$C$3:$D$15,2,FALSE)*EK$21,EK36&lt;=VLOOKUP($C35,$C$3:$D$15,2,FALSE)*EK$21),IF(EK36-EJ37&lt;0,0,EK36-EJ37),
IF(AND(EJ37&lt;VLOOKUP($C35,$C$3:$D$15,2,FALSE)*EK$21,EK36&gt;VLOOKUP($C35,$C$3:$D$15,2,FALSE)*EK$21),VLOOKUP($C35,$C$3:$D$15,2,FALSE)*EK$21-EJ37)))</f>
        <v>0</v>
      </c>
      <c r="EL35" s="642">
        <f t="shared" ref="EL35" si="1047" xml:space="preserve">
IF(EK37&gt;=VLOOKUP($C35,$C$3:$D$15,2,FALSE)*EL$21,0,
IF(AND(EK37&lt;VLOOKUP($C35,$C$3:$D$15,2,FALSE)*EL$21,EL36&lt;=VLOOKUP($C35,$C$3:$D$15,2,FALSE)*EL$21),IF(EL36-EK37&lt;0,0,EL36-EK37),
IF(AND(EK37&lt;VLOOKUP($C35,$C$3:$D$15,2,FALSE)*EL$21,EL36&gt;VLOOKUP($C35,$C$3:$D$15,2,FALSE)*EL$21),VLOOKUP($C35,$C$3:$D$15,2,FALSE)*EL$21-EK37)))</f>
        <v>0</v>
      </c>
      <c r="EM35" s="642">
        <f t="shared" ref="EM35" si="1048" xml:space="preserve">
IF(EL37&gt;=VLOOKUP($C35,$C$3:$D$15,2,FALSE)*EM$21,0,
IF(AND(EL37&lt;VLOOKUP($C35,$C$3:$D$15,2,FALSE)*EM$21,EM36&lt;=VLOOKUP($C35,$C$3:$D$15,2,FALSE)*EM$21),IF(EM36-EL37&lt;0,0,EM36-EL37),
IF(AND(EL37&lt;VLOOKUP($C35,$C$3:$D$15,2,FALSE)*EM$21,EM36&gt;VLOOKUP($C35,$C$3:$D$15,2,FALSE)*EM$21),VLOOKUP($C35,$C$3:$D$15,2,FALSE)*EM$21-EL37)))</f>
        <v>0</v>
      </c>
      <c r="EN35" s="642">
        <f t="shared" ref="EN35" si="1049" xml:space="preserve">
IF(EM37&gt;=VLOOKUP($C35,$C$3:$D$15,2,FALSE)*EN$21,0,
IF(AND(EM37&lt;VLOOKUP($C35,$C$3:$D$15,2,FALSE)*EN$21,EN36&lt;=VLOOKUP($C35,$C$3:$D$15,2,FALSE)*EN$21),IF(EN36-EM37&lt;0,0,EN36-EM37),
IF(AND(EM37&lt;VLOOKUP($C35,$C$3:$D$15,2,FALSE)*EN$21,EN36&gt;VLOOKUP($C35,$C$3:$D$15,2,FALSE)*EN$21),VLOOKUP($C35,$C$3:$D$15,2,FALSE)*EN$21-EM37)))</f>
        <v>0</v>
      </c>
      <c r="EO35" s="642">
        <f t="shared" ref="EO35" si="1050" xml:space="preserve">
IF(EN37&gt;=VLOOKUP($C35,$C$3:$D$15,2,FALSE)*EO$21,0,
IF(AND(EN37&lt;VLOOKUP($C35,$C$3:$D$15,2,FALSE)*EO$21,EO36&lt;=VLOOKUP($C35,$C$3:$D$15,2,FALSE)*EO$21),IF(EO36-EN37&lt;0,0,EO36-EN37),
IF(AND(EN37&lt;VLOOKUP($C35,$C$3:$D$15,2,FALSE)*EO$21,EO36&gt;VLOOKUP($C35,$C$3:$D$15,2,FALSE)*EO$21),VLOOKUP($C35,$C$3:$D$15,2,FALSE)*EO$21-EN37)))</f>
        <v>0</v>
      </c>
      <c r="EP35" s="642">
        <f t="shared" ref="EP35" si="1051" xml:space="preserve">
IF(EO37&gt;=VLOOKUP($C35,$C$3:$D$15,2,FALSE)*EP$21,0,
IF(AND(EO37&lt;VLOOKUP($C35,$C$3:$D$15,2,FALSE)*EP$21,EP36&lt;=VLOOKUP($C35,$C$3:$D$15,2,FALSE)*EP$21),IF(EP36-EO37&lt;0,0,EP36-EO37),
IF(AND(EO37&lt;VLOOKUP($C35,$C$3:$D$15,2,FALSE)*EP$21,EP36&gt;VLOOKUP($C35,$C$3:$D$15,2,FALSE)*EP$21),VLOOKUP($C35,$C$3:$D$15,2,FALSE)*EP$21-EO37)))</f>
        <v>0</v>
      </c>
      <c r="EQ35" s="642">
        <f t="shared" ref="EQ35" si="1052" xml:space="preserve">
IF(EP37&gt;=VLOOKUP($C35,$C$3:$D$15,2,FALSE)*EQ$21,0,
IF(AND(EP37&lt;VLOOKUP($C35,$C$3:$D$15,2,FALSE)*EQ$21,EQ36&lt;=VLOOKUP($C35,$C$3:$D$15,2,FALSE)*EQ$21),IF(EQ36-EP37&lt;0,0,EQ36-EP37),
IF(AND(EP37&lt;VLOOKUP($C35,$C$3:$D$15,2,FALSE)*EQ$21,EQ36&gt;VLOOKUP($C35,$C$3:$D$15,2,FALSE)*EQ$21),VLOOKUP($C35,$C$3:$D$15,2,FALSE)*EQ$21-EP37)))</f>
        <v>0</v>
      </c>
      <c r="ER35" s="642">
        <f t="shared" ref="ER35" si="1053" xml:space="preserve">
IF(EQ37&gt;=VLOOKUP($C35,$C$3:$D$15,2,FALSE)*ER$21,0,
IF(AND(EQ37&lt;VLOOKUP($C35,$C$3:$D$15,2,FALSE)*ER$21,ER36&lt;=VLOOKUP($C35,$C$3:$D$15,2,FALSE)*ER$21),IF(ER36-EQ37&lt;0,0,ER36-EQ37),
IF(AND(EQ37&lt;VLOOKUP($C35,$C$3:$D$15,2,FALSE)*ER$21,ER36&gt;VLOOKUP($C35,$C$3:$D$15,2,FALSE)*ER$21),VLOOKUP($C35,$C$3:$D$15,2,FALSE)*ER$21-EQ37)))</f>
        <v>0</v>
      </c>
      <c r="ES35" s="642">
        <f t="shared" ref="ES35" si="1054" xml:space="preserve">
IF(ER37&gt;=VLOOKUP($C35,$C$3:$D$15,2,FALSE)*ES$21,0,
IF(AND(ER37&lt;VLOOKUP($C35,$C$3:$D$15,2,FALSE)*ES$21,ES36&lt;=VLOOKUP($C35,$C$3:$D$15,2,FALSE)*ES$21),IF(ES36-ER37&lt;0,0,ES36-ER37),
IF(AND(ER37&lt;VLOOKUP($C35,$C$3:$D$15,2,FALSE)*ES$21,ES36&gt;VLOOKUP($C35,$C$3:$D$15,2,FALSE)*ES$21),VLOOKUP($C35,$C$3:$D$15,2,FALSE)*ES$21-ER37)))</f>
        <v>0</v>
      </c>
      <c r="ET35" s="642">
        <f t="shared" ref="ET35" si="1055" xml:space="preserve">
IF(ES37&gt;=VLOOKUP($C35,$C$3:$D$15,2,FALSE)*ET$21,0,
IF(AND(ES37&lt;VLOOKUP($C35,$C$3:$D$15,2,FALSE)*ET$21,ET36&lt;=VLOOKUP($C35,$C$3:$D$15,2,FALSE)*ET$21),IF(ET36-ES37&lt;0,0,ET36-ES37),
IF(AND(ES37&lt;VLOOKUP($C35,$C$3:$D$15,2,FALSE)*ET$21,ET36&gt;VLOOKUP($C35,$C$3:$D$15,2,FALSE)*ET$21),VLOOKUP($C35,$C$3:$D$15,2,FALSE)*ET$21-ES37)))</f>
        <v>0</v>
      </c>
      <c r="EU35" s="642">
        <f t="shared" ref="EU35" si="1056" xml:space="preserve">
IF(ET37&gt;=VLOOKUP($C35,$C$3:$D$15,2,FALSE)*EU$21,0,
IF(AND(ET37&lt;VLOOKUP($C35,$C$3:$D$15,2,FALSE)*EU$21,EU36&lt;=VLOOKUP($C35,$C$3:$D$15,2,FALSE)*EU$21),IF(EU36-ET37&lt;0,0,EU36-ET37),
IF(AND(ET37&lt;VLOOKUP($C35,$C$3:$D$15,2,FALSE)*EU$21,EU36&gt;VLOOKUP($C35,$C$3:$D$15,2,FALSE)*EU$21),VLOOKUP($C35,$C$3:$D$15,2,FALSE)*EU$21-ET37)))</f>
        <v>0</v>
      </c>
      <c r="EV35" s="642">
        <f t="shared" ref="EV35" si="1057" xml:space="preserve">
IF(EU37&gt;=VLOOKUP($C35,$C$3:$D$15,2,FALSE)*EV$21,0,
IF(AND(EU37&lt;VLOOKUP($C35,$C$3:$D$15,2,FALSE)*EV$21,EV36&lt;=VLOOKUP($C35,$C$3:$D$15,2,FALSE)*EV$21),IF(EV36-EU37&lt;0,0,EV36-EU37),
IF(AND(EU37&lt;VLOOKUP($C35,$C$3:$D$15,2,FALSE)*EV$21,EV36&gt;VLOOKUP($C35,$C$3:$D$15,2,FALSE)*EV$21),VLOOKUP($C35,$C$3:$D$15,2,FALSE)*EV$21-EU37)))</f>
        <v>0</v>
      </c>
      <c r="EW35" s="642">
        <f t="shared" ref="EW35" si="1058" xml:space="preserve">
IF(EV37&gt;=VLOOKUP($C35,$C$3:$D$15,2,FALSE)*EW$21,0,
IF(AND(EV37&lt;VLOOKUP($C35,$C$3:$D$15,2,FALSE)*EW$21,EW36&lt;=VLOOKUP($C35,$C$3:$D$15,2,FALSE)*EW$21),IF(EW36-EV37&lt;0,0,EW36-EV37),
IF(AND(EV37&lt;VLOOKUP($C35,$C$3:$D$15,2,FALSE)*EW$21,EW36&gt;VLOOKUP($C35,$C$3:$D$15,2,FALSE)*EW$21),VLOOKUP($C35,$C$3:$D$15,2,FALSE)*EW$21-EV37)))</f>
        <v>0</v>
      </c>
      <c r="EX35" s="642">
        <f t="shared" ref="EX35" si="1059" xml:space="preserve">
IF(EW37&gt;=VLOOKUP($C35,$C$3:$D$15,2,FALSE)*EX$21,0,
IF(AND(EW37&lt;VLOOKUP($C35,$C$3:$D$15,2,FALSE)*EX$21,EX36&lt;=VLOOKUP($C35,$C$3:$D$15,2,FALSE)*EX$21),IF(EX36-EW37&lt;0,0,EX36-EW37),
IF(AND(EW37&lt;VLOOKUP($C35,$C$3:$D$15,2,FALSE)*EX$21,EX36&gt;VLOOKUP($C35,$C$3:$D$15,2,FALSE)*EX$21),VLOOKUP($C35,$C$3:$D$15,2,FALSE)*EX$21-EW37)))</f>
        <v>0</v>
      </c>
      <c r="EY35" s="642">
        <f t="shared" ref="EY35" si="1060" xml:space="preserve">
IF(EX37&gt;=VLOOKUP($C35,$C$3:$D$15,2,FALSE)*EY$21,0,
IF(AND(EX37&lt;VLOOKUP($C35,$C$3:$D$15,2,FALSE)*EY$21,EY36&lt;=VLOOKUP($C35,$C$3:$D$15,2,FALSE)*EY$21),IF(EY36-EX37&lt;0,0,EY36-EX37),
IF(AND(EX37&lt;VLOOKUP($C35,$C$3:$D$15,2,FALSE)*EY$21,EY36&gt;VLOOKUP($C35,$C$3:$D$15,2,FALSE)*EY$21),VLOOKUP($C35,$C$3:$D$15,2,FALSE)*EY$21-EX37)))</f>
        <v>0</v>
      </c>
      <c r="EZ35" s="642">
        <f t="shared" ref="EZ35" si="1061" xml:space="preserve">
IF(EY37&gt;=VLOOKUP($C35,$C$3:$D$15,2,FALSE)*EZ$21,0,
IF(AND(EY37&lt;VLOOKUP($C35,$C$3:$D$15,2,FALSE)*EZ$21,EZ36&lt;=VLOOKUP($C35,$C$3:$D$15,2,FALSE)*EZ$21),IF(EZ36-EY37&lt;0,0,EZ36-EY37),
IF(AND(EY37&lt;VLOOKUP($C35,$C$3:$D$15,2,FALSE)*EZ$21,EZ36&gt;VLOOKUP($C35,$C$3:$D$15,2,FALSE)*EZ$21),VLOOKUP($C35,$C$3:$D$15,2,FALSE)*EZ$21-EY37)))</f>
        <v>0</v>
      </c>
      <c r="FA35" s="642">
        <f t="shared" ref="FA35" si="1062" xml:space="preserve">
IF(EZ37&gt;=VLOOKUP($C35,$C$3:$D$15,2,FALSE)*FA$21,0,
IF(AND(EZ37&lt;VLOOKUP($C35,$C$3:$D$15,2,FALSE)*FA$21,FA36&lt;=VLOOKUP($C35,$C$3:$D$15,2,FALSE)*FA$21),IF(FA36-EZ37&lt;0,0,FA36-EZ37),
IF(AND(EZ37&lt;VLOOKUP($C35,$C$3:$D$15,2,FALSE)*FA$21,FA36&gt;VLOOKUP($C35,$C$3:$D$15,2,FALSE)*FA$21),VLOOKUP($C35,$C$3:$D$15,2,FALSE)*FA$21-EZ37)))</f>
        <v>0</v>
      </c>
      <c r="FB35" s="642">
        <f t="shared" ref="FB35" si="1063" xml:space="preserve">
IF(FA37&gt;=VLOOKUP($C35,$C$3:$D$15,2,FALSE)*FB$21,0,
IF(AND(FA37&lt;VLOOKUP($C35,$C$3:$D$15,2,FALSE)*FB$21,FB36&lt;=VLOOKUP($C35,$C$3:$D$15,2,FALSE)*FB$21),IF(FB36-FA37&lt;0,0,FB36-FA37),
IF(AND(FA37&lt;VLOOKUP($C35,$C$3:$D$15,2,FALSE)*FB$21,FB36&gt;VLOOKUP($C35,$C$3:$D$15,2,FALSE)*FB$21),VLOOKUP($C35,$C$3:$D$15,2,FALSE)*FB$21-FA37)))</f>
        <v>0</v>
      </c>
      <c r="FC35" s="642">
        <f t="shared" ref="FC35" si="1064" xml:space="preserve">
IF(FB37&gt;=VLOOKUP($C35,$C$3:$D$15,2,FALSE)*FC$21,0,
IF(AND(FB37&lt;VLOOKUP($C35,$C$3:$D$15,2,FALSE)*FC$21,FC36&lt;=VLOOKUP($C35,$C$3:$D$15,2,FALSE)*FC$21),IF(FC36-FB37&lt;0,0,FC36-FB37),
IF(AND(FB37&lt;VLOOKUP($C35,$C$3:$D$15,2,FALSE)*FC$21,FC36&gt;VLOOKUP($C35,$C$3:$D$15,2,FALSE)*FC$21),VLOOKUP($C35,$C$3:$D$15,2,FALSE)*FC$21-FB37)))</f>
        <v>0</v>
      </c>
      <c r="FD35" s="642">
        <f t="shared" ref="FD35" si="1065" xml:space="preserve">
IF(FC37&gt;=VLOOKUP($C35,$C$3:$D$15,2,FALSE)*FD$21,0,
IF(AND(FC37&lt;VLOOKUP($C35,$C$3:$D$15,2,FALSE)*FD$21,FD36&lt;=VLOOKUP($C35,$C$3:$D$15,2,FALSE)*FD$21),IF(FD36-FC37&lt;0,0,FD36-FC37),
IF(AND(FC37&lt;VLOOKUP($C35,$C$3:$D$15,2,FALSE)*FD$21,FD36&gt;VLOOKUP($C35,$C$3:$D$15,2,FALSE)*FD$21),VLOOKUP($C35,$C$3:$D$15,2,FALSE)*FD$21-FC37)))</f>
        <v>0</v>
      </c>
      <c r="FE35" s="642">
        <f t="shared" ref="FE35" si="1066" xml:space="preserve">
IF(FD37&gt;=VLOOKUP($C35,$C$3:$D$15,2,FALSE)*FE$21,0,
IF(AND(FD37&lt;VLOOKUP($C35,$C$3:$D$15,2,FALSE)*FE$21,FE36&lt;=VLOOKUP($C35,$C$3:$D$15,2,FALSE)*FE$21),IF(FE36-FD37&lt;0,0,FE36-FD37),
IF(AND(FD37&lt;VLOOKUP($C35,$C$3:$D$15,2,FALSE)*FE$21,FE36&gt;VLOOKUP($C35,$C$3:$D$15,2,FALSE)*FE$21),VLOOKUP($C35,$C$3:$D$15,2,FALSE)*FE$21-FD37)))</f>
        <v>0</v>
      </c>
      <c r="FF35" s="642">
        <f t="shared" ref="FF35" si="1067" xml:space="preserve">
IF(FE37&gt;=VLOOKUP($C35,$C$3:$D$15,2,FALSE)*FF$21,0,
IF(AND(FE37&lt;VLOOKUP($C35,$C$3:$D$15,2,FALSE)*FF$21,FF36&lt;=VLOOKUP($C35,$C$3:$D$15,2,FALSE)*FF$21),IF(FF36-FE37&lt;0,0,FF36-FE37),
IF(AND(FE37&lt;VLOOKUP($C35,$C$3:$D$15,2,FALSE)*FF$21,FF36&gt;VLOOKUP($C35,$C$3:$D$15,2,FALSE)*FF$21),VLOOKUP($C35,$C$3:$D$15,2,FALSE)*FF$21-FE37)))</f>
        <v>0</v>
      </c>
      <c r="FG35" s="642">
        <f t="shared" ref="FG35" si="1068" xml:space="preserve">
IF(FF37&gt;=VLOOKUP($C35,$C$3:$D$15,2,FALSE)*FG$21,0,
IF(AND(FF37&lt;VLOOKUP($C35,$C$3:$D$15,2,FALSE)*FG$21,FG36&lt;=VLOOKUP($C35,$C$3:$D$15,2,FALSE)*FG$21),IF(FG36-FF37&lt;0,0,FG36-FF37),
IF(AND(FF37&lt;VLOOKUP($C35,$C$3:$D$15,2,FALSE)*FG$21,FG36&gt;VLOOKUP($C35,$C$3:$D$15,2,FALSE)*FG$21),VLOOKUP($C35,$C$3:$D$15,2,FALSE)*FG$21-FF37)))</f>
        <v>0</v>
      </c>
      <c r="FH35" s="642">
        <f t="shared" ref="FH35" si="1069" xml:space="preserve">
IF(FG37&gt;=VLOOKUP($C35,$C$3:$D$15,2,FALSE)*FH$21,0,
IF(AND(FG37&lt;VLOOKUP($C35,$C$3:$D$15,2,FALSE)*FH$21,FH36&lt;=VLOOKUP($C35,$C$3:$D$15,2,FALSE)*FH$21),IF(FH36-FG37&lt;0,0,FH36-FG37),
IF(AND(FG37&lt;VLOOKUP($C35,$C$3:$D$15,2,FALSE)*FH$21,FH36&gt;VLOOKUP($C35,$C$3:$D$15,2,FALSE)*FH$21),VLOOKUP($C35,$C$3:$D$15,2,FALSE)*FH$21-FG37)))</f>
        <v>0</v>
      </c>
      <c r="FI35" s="642">
        <f t="shared" ref="FI35" si="1070" xml:space="preserve">
IF(FH37&gt;=VLOOKUP($C35,$C$3:$D$15,2,FALSE)*FI$21,0,
IF(AND(FH37&lt;VLOOKUP($C35,$C$3:$D$15,2,FALSE)*FI$21,FI36&lt;=VLOOKUP($C35,$C$3:$D$15,2,FALSE)*FI$21),IF(FI36-FH37&lt;0,0,FI36-FH37),
IF(AND(FH37&lt;VLOOKUP($C35,$C$3:$D$15,2,FALSE)*FI$21,FI36&gt;VLOOKUP($C35,$C$3:$D$15,2,FALSE)*FI$21),VLOOKUP($C35,$C$3:$D$15,2,FALSE)*FI$21-FH37)))</f>
        <v>0</v>
      </c>
      <c r="FJ35" s="642">
        <f t="shared" ref="FJ35" si="1071" xml:space="preserve">
IF(FI37&gt;=VLOOKUP($C35,$C$3:$D$15,2,FALSE)*FJ$21,0,
IF(AND(FI37&lt;VLOOKUP($C35,$C$3:$D$15,2,FALSE)*FJ$21,FJ36&lt;=VLOOKUP($C35,$C$3:$D$15,2,FALSE)*FJ$21),IF(FJ36-FI37&lt;0,0,FJ36-FI37),
IF(AND(FI37&lt;VLOOKUP($C35,$C$3:$D$15,2,FALSE)*FJ$21,FJ36&gt;VLOOKUP($C35,$C$3:$D$15,2,FALSE)*FJ$21),VLOOKUP($C35,$C$3:$D$15,2,FALSE)*FJ$21-FI37)))</f>
        <v>0</v>
      </c>
      <c r="FK35" s="642">
        <f t="shared" ref="FK35" si="1072" xml:space="preserve">
IF(FJ37&gt;=VLOOKUP($C35,$C$3:$D$15,2,FALSE)*FK$21,0,
IF(AND(FJ37&lt;VLOOKUP($C35,$C$3:$D$15,2,FALSE)*FK$21,FK36&lt;=VLOOKUP($C35,$C$3:$D$15,2,FALSE)*FK$21),IF(FK36-FJ37&lt;0,0,FK36-FJ37),
IF(AND(FJ37&lt;VLOOKUP($C35,$C$3:$D$15,2,FALSE)*FK$21,FK36&gt;VLOOKUP($C35,$C$3:$D$15,2,FALSE)*FK$21),VLOOKUP($C35,$C$3:$D$15,2,FALSE)*FK$21-FJ37)))</f>
        <v>0</v>
      </c>
      <c r="FL35" s="642">
        <f t="shared" ref="FL35" si="1073" xml:space="preserve">
IF(FK37&gt;=VLOOKUP($C35,$C$3:$D$15,2,FALSE)*FL$21,0,
IF(AND(FK37&lt;VLOOKUP($C35,$C$3:$D$15,2,FALSE)*FL$21,FL36&lt;=VLOOKUP($C35,$C$3:$D$15,2,FALSE)*FL$21),IF(FL36-FK37&lt;0,0,FL36-FK37),
IF(AND(FK37&lt;VLOOKUP($C35,$C$3:$D$15,2,FALSE)*FL$21,FL36&gt;VLOOKUP($C35,$C$3:$D$15,2,FALSE)*FL$21),VLOOKUP($C35,$C$3:$D$15,2,FALSE)*FL$21-FK37)))</f>
        <v>0</v>
      </c>
      <c r="FM35" s="642">
        <f t="shared" ref="FM35" si="1074" xml:space="preserve">
IF(FL37&gt;=VLOOKUP($C35,$C$3:$D$15,2,FALSE)*FM$21,0,
IF(AND(FL37&lt;VLOOKUP($C35,$C$3:$D$15,2,FALSE)*FM$21,FM36&lt;=VLOOKUP($C35,$C$3:$D$15,2,FALSE)*FM$21),IF(FM36-FL37&lt;0,0,FM36-FL37),
IF(AND(FL37&lt;VLOOKUP($C35,$C$3:$D$15,2,FALSE)*FM$21,FM36&gt;VLOOKUP($C35,$C$3:$D$15,2,FALSE)*FM$21),VLOOKUP($C35,$C$3:$D$15,2,FALSE)*FM$21-FL37)))</f>
        <v>0</v>
      </c>
      <c r="FN35" s="642">
        <f t="shared" ref="FN35" si="1075" xml:space="preserve">
IF(FM37&gt;=VLOOKUP($C35,$C$3:$D$15,2,FALSE)*FN$21,0,
IF(AND(FM37&lt;VLOOKUP($C35,$C$3:$D$15,2,FALSE)*FN$21,FN36&lt;=VLOOKUP($C35,$C$3:$D$15,2,FALSE)*FN$21),IF(FN36-FM37&lt;0,0,FN36-FM37),
IF(AND(FM37&lt;VLOOKUP($C35,$C$3:$D$15,2,FALSE)*FN$21,FN36&gt;VLOOKUP($C35,$C$3:$D$15,2,FALSE)*FN$21),VLOOKUP($C35,$C$3:$D$15,2,FALSE)*FN$21-FM37)))</f>
        <v>0</v>
      </c>
      <c r="FO35" s="642">
        <f t="shared" ref="FO35" si="1076" xml:space="preserve">
IF(FN37&gt;=VLOOKUP($C35,$C$3:$D$15,2,FALSE)*FO$21,0,
IF(AND(FN37&lt;VLOOKUP($C35,$C$3:$D$15,2,FALSE)*FO$21,FO36&lt;=VLOOKUP($C35,$C$3:$D$15,2,FALSE)*FO$21),IF(FO36-FN37&lt;0,0,FO36-FN37),
IF(AND(FN37&lt;VLOOKUP($C35,$C$3:$D$15,2,FALSE)*FO$21,FO36&gt;VLOOKUP($C35,$C$3:$D$15,2,FALSE)*FO$21),VLOOKUP($C35,$C$3:$D$15,2,FALSE)*FO$21-FN37)))</f>
        <v>0</v>
      </c>
      <c r="FP35" s="642">
        <f t="shared" ref="FP35" si="1077" xml:space="preserve">
IF(FO37&gt;=VLOOKUP($C35,$C$3:$D$15,2,FALSE)*FP$21,0,
IF(AND(FO37&lt;VLOOKUP($C35,$C$3:$D$15,2,FALSE)*FP$21,FP36&lt;=VLOOKUP($C35,$C$3:$D$15,2,FALSE)*FP$21),IF(FP36-FO37&lt;0,0,FP36-FO37),
IF(AND(FO37&lt;VLOOKUP($C35,$C$3:$D$15,2,FALSE)*FP$21,FP36&gt;VLOOKUP($C35,$C$3:$D$15,2,FALSE)*FP$21),VLOOKUP($C35,$C$3:$D$15,2,FALSE)*FP$21-FO37)))</f>
        <v>0</v>
      </c>
      <c r="FQ35" s="642">
        <f t="shared" ref="FQ35" si="1078" xml:space="preserve">
IF(FP37&gt;=VLOOKUP($C35,$C$3:$D$15,2,FALSE)*FQ$21,0,
IF(AND(FP37&lt;VLOOKUP($C35,$C$3:$D$15,2,FALSE)*FQ$21,FQ36&lt;=VLOOKUP($C35,$C$3:$D$15,2,FALSE)*FQ$21),IF(FQ36-FP37&lt;0,0,FQ36-FP37),
IF(AND(FP37&lt;VLOOKUP($C35,$C$3:$D$15,2,FALSE)*FQ$21,FQ36&gt;VLOOKUP($C35,$C$3:$D$15,2,FALSE)*FQ$21),VLOOKUP($C35,$C$3:$D$15,2,FALSE)*FQ$21-FP37)))</f>
        <v>0</v>
      </c>
      <c r="FR35" s="642">
        <f t="shared" ref="FR35" si="1079" xml:space="preserve">
IF(FQ37&gt;=VLOOKUP($C35,$C$3:$D$15,2,FALSE)*FR$21,0,
IF(AND(FQ37&lt;VLOOKUP($C35,$C$3:$D$15,2,FALSE)*FR$21,FR36&lt;=VLOOKUP($C35,$C$3:$D$15,2,FALSE)*FR$21),IF(FR36-FQ37&lt;0,0,FR36-FQ37),
IF(AND(FQ37&lt;VLOOKUP($C35,$C$3:$D$15,2,FALSE)*FR$21,FR36&gt;VLOOKUP($C35,$C$3:$D$15,2,FALSE)*FR$21),VLOOKUP($C35,$C$3:$D$15,2,FALSE)*FR$21-FQ37)))</f>
        <v>0</v>
      </c>
      <c r="FS35" s="642">
        <f t="shared" ref="FS35" si="1080" xml:space="preserve">
IF(FR37&gt;=VLOOKUP($C35,$C$3:$D$15,2,FALSE)*FS$21,0,
IF(AND(FR37&lt;VLOOKUP($C35,$C$3:$D$15,2,FALSE)*FS$21,FS36&lt;=VLOOKUP($C35,$C$3:$D$15,2,FALSE)*FS$21),IF(FS36-FR37&lt;0,0,FS36-FR37),
IF(AND(FR37&lt;VLOOKUP($C35,$C$3:$D$15,2,FALSE)*FS$21,FS36&gt;VLOOKUP($C35,$C$3:$D$15,2,FALSE)*FS$21),VLOOKUP($C35,$C$3:$D$15,2,FALSE)*FS$21-FR37)))</f>
        <v>0</v>
      </c>
      <c r="FT35" s="642">
        <f t="shared" ref="FT35" si="1081" xml:space="preserve">
IF(FS37&gt;=VLOOKUP($C35,$C$3:$D$15,2,FALSE)*FT$21,0,
IF(AND(FS37&lt;VLOOKUP($C35,$C$3:$D$15,2,FALSE)*FT$21,FT36&lt;=VLOOKUP($C35,$C$3:$D$15,2,FALSE)*FT$21),IF(FT36-FS37&lt;0,0,FT36-FS37),
IF(AND(FS37&lt;VLOOKUP($C35,$C$3:$D$15,2,FALSE)*FT$21,FT36&gt;VLOOKUP($C35,$C$3:$D$15,2,FALSE)*FT$21),VLOOKUP($C35,$C$3:$D$15,2,FALSE)*FT$21-FS37)))</f>
        <v>0</v>
      </c>
      <c r="FU35" s="642">
        <f t="shared" ref="FU35" si="1082" xml:space="preserve">
IF(FT37&gt;=VLOOKUP($C35,$C$3:$D$15,2,FALSE)*FU$21,0,
IF(AND(FT37&lt;VLOOKUP($C35,$C$3:$D$15,2,FALSE)*FU$21,FU36&lt;=VLOOKUP($C35,$C$3:$D$15,2,FALSE)*FU$21),IF(FU36-FT37&lt;0,0,FU36-FT37),
IF(AND(FT37&lt;VLOOKUP($C35,$C$3:$D$15,2,FALSE)*FU$21,FU36&gt;VLOOKUP($C35,$C$3:$D$15,2,FALSE)*FU$21),VLOOKUP($C35,$C$3:$D$15,2,FALSE)*FU$21-FT37)))</f>
        <v>0</v>
      </c>
      <c r="FV35" s="642">
        <f t="shared" ref="FV35" si="1083" xml:space="preserve">
IF(FU37&gt;=VLOOKUP($C35,$C$3:$D$15,2,FALSE)*FV$21,0,
IF(AND(FU37&lt;VLOOKUP($C35,$C$3:$D$15,2,FALSE)*FV$21,FV36&lt;=VLOOKUP($C35,$C$3:$D$15,2,FALSE)*FV$21),IF(FV36-FU37&lt;0,0,FV36-FU37),
IF(AND(FU37&lt;VLOOKUP($C35,$C$3:$D$15,2,FALSE)*FV$21,FV36&gt;VLOOKUP($C35,$C$3:$D$15,2,FALSE)*FV$21),VLOOKUP($C35,$C$3:$D$15,2,FALSE)*FV$21-FU37)))</f>
        <v>0</v>
      </c>
      <c r="FW35" s="642">
        <f t="shared" ref="FW35" si="1084" xml:space="preserve">
IF(FV37&gt;=VLOOKUP($C35,$C$3:$D$15,2,FALSE)*FW$21,0,
IF(AND(FV37&lt;VLOOKUP($C35,$C$3:$D$15,2,FALSE)*FW$21,FW36&lt;=VLOOKUP($C35,$C$3:$D$15,2,FALSE)*FW$21),IF(FW36-FV37&lt;0,0,FW36-FV37),
IF(AND(FV37&lt;VLOOKUP($C35,$C$3:$D$15,2,FALSE)*FW$21,FW36&gt;VLOOKUP($C35,$C$3:$D$15,2,FALSE)*FW$21),VLOOKUP($C35,$C$3:$D$15,2,FALSE)*FW$21-FV37)))</f>
        <v>0</v>
      </c>
      <c r="FX35" s="642">
        <f t="shared" ref="FX35" si="1085" xml:space="preserve">
IF(FW37&gt;=VLOOKUP($C35,$C$3:$D$15,2,FALSE)*FX$21,0,
IF(AND(FW37&lt;VLOOKUP($C35,$C$3:$D$15,2,FALSE)*FX$21,FX36&lt;=VLOOKUP($C35,$C$3:$D$15,2,FALSE)*FX$21),IF(FX36-FW37&lt;0,0,FX36-FW37),
IF(AND(FW37&lt;VLOOKUP($C35,$C$3:$D$15,2,FALSE)*FX$21,FX36&gt;VLOOKUP($C35,$C$3:$D$15,2,FALSE)*FX$21),VLOOKUP($C35,$C$3:$D$15,2,FALSE)*FX$21-FW37)))</f>
        <v>0</v>
      </c>
      <c r="FY35" s="642">
        <f t="shared" ref="FY35" si="1086" xml:space="preserve">
IF(FX37&gt;=VLOOKUP($C35,$C$3:$D$15,2,FALSE)*FY$21,0,
IF(AND(FX37&lt;VLOOKUP($C35,$C$3:$D$15,2,FALSE)*FY$21,FY36&lt;=VLOOKUP($C35,$C$3:$D$15,2,FALSE)*FY$21),IF(FY36-FX37&lt;0,0,FY36-FX37),
IF(AND(FX37&lt;VLOOKUP($C35,$C$3:$D$15,2,FALSE)*FY$21,FY36&gt;VLOOKUP($C35,$C$3:$D$15,2,FALSE)*FY$21),VLOOKUP($C35,$C$3:$D$15,2,FALSE)*FY$21-FX37)))</f>
        <v>0</v>
      </c>
      <c r="FZ35" s="642">
        <f t="shared" ref="FZ35" si="1087" xml:space="preserve">
IF(FY37&gt;=VLOOKUP($C35,$C$3:$D$15,2,FALSE)*FZ$21,0,
IF(AND(FY37&lt;VLOOKUP($C35,$C$3:$D$15,2,FALSE)*FZ$21,FZ36&lt;=VLOOKUP($C35,$C$3:$D$15,2,FALSE)*FZ$21),IF(FZ36-FY37&lt;0,0,FZ36-FY37),
IF(AND(FY37&lt;VLOOKUP($C35,$C$3:$D$15,2,FALSE)*FZ$21,FZ36&gt;VLOOKUP($C35,$C$3:$D$15,2,FALSE)*FZ$21),VLOOKUP($C35,$C$3:$D$15,2,FALSE)*FZ$21-FY37)))</f>
        <v>0</v>
      </c>
      <c r="GA35" s="642">
        <f t="shared" ref="GA35" si="1088" xml:space="preserve">
IF(FZ37&gt;=VLOOKUP($C35,$C$3:$D$15,2,FALSE)*GA$21,0,
IF(AND(FZ37&lt;VLOOKUP($C35,$C$3:$D$15,2,FALSE)*GA$21,GA36&lt;=VLOOKUP($C35,$C$3:$D$15,2,FALSE)*GA$21),IF(GA36-FZ37&lt;0,0,GA36-FZ37),
IF(AND(FZ37&lt;VLOOKUP($C35,$C$3:$D$15,2,FALSE)*GA$21,GA36&gt;VLOOKUP($C35,$C$3:$D$15,2,FALSE)*GA$21),VLOOKUP($C35,$C$3:$D$15,2,FALSE)*GA$21-FZ37)))</f>
        <v>0</v>
      </c>
      <c r="GB35" s="642">
        <f t="shared" ref="GB35" si="1089" xml:space="preserve">
IF(GA37&gt;=VLOOKUP($C35,$C$3:$D$15,2,FALSE)*GB$21,0,
IF(AND(GA37&lt;VLOOKUP($C35,$C$3:$D$15,2,FALSE)*GB$21,GB36&lt;=VLOOKUP($C35,$C$3:$D$15,2,FALSE)*GB$21),IF(GB36-GA37&lt;0,0,GB36-GA37),
IF(AND(GA37&lt;VLOOKUP($C35,$C$3:$D$15,2,FALSE)*GB$21,GB36&gt;VLOOKUP($C35,$C$3:$D$15,2,FALSE)*GB$21),VLOOKUP($C35,$C$3:$D$15,2,FALSE)*GB$21-GA37)))</f>
        <v>0</v>
      </c>
      <c r="GC35" s="642">
        <f t="shared" ref="GC35" si="1090" xml:space="preserve">
IF(GB37&gt;=VLOOKUP($C35,$C$3:$D$15,2,FALSE)*GC$21,0,
IF(AND(GB37&lt;VLOOKUP($C35,$C$3:$D$15,2,FALSE)*GC$21,GC36&lt;=VLOOKUP($C35,$C$3:$D$15,2,FALSE)*GC$21),IF(GC36-GB37&lt;0,0,GC36-GB37),
IF(AND(GB37&lt;VLOOKUP($C35,$C$3:$D$15,2,FALSE)*GC$21,GC36&gt;VLOOKUP($C35,$C$3:$D$15,2,FALSE)*GC$21),VLOOKUP($C35,$C$3:$D$15,2,FALSE)*GC$21-GB37)))</f>
        <v>0</v>
      </c>
      <c r="GD35" s="642">
        <f t="shared" ref="GD35" si="1091" xml:space="preserve">
IF(GC37&gt;=VLOOKUP($C35,$C$3:$D$15,2,FALSE)*GD$21,0,
IF(AND(GC37&lt;VLOOKUP($C35,$C$3:$D$15,2,FALSE)*GD$21,GD36&lt;=VLOOKUP($C35,$C$3:$D$15,2,FALSE)*GD$21),IF(GD36-GC37&lt;0,0,GD36-GC37),
IF(AND(GC37&lt;VLOOKUP($C35,$C$3:$D$15,2,FALSE)*GD$21,GD36&gt;VLOOKUP($C35,$C$3:$D$15,2,FALSE)*GD$21),VLOOKUP($C35,$C$3:$D$15,2,FALSE)*GD$21-GC37)))</f>
        <v>0</v>
      </c>
      <c r="GE35" s="642">
        <f t="shared" ref="GE35" si="1092" xml:space="preserve">
IF(GD37&gt;=VLOOKUP($C35,$C$3:$D$15,2,FALSE)*GE$21,0,
IF(AND(GD37&lt;VLOOKUP($C35,$C$3:$D$15,2,FALSE)*GE$21,GE36&lt;=VLOOKUP($C35,$C$3:$D$15,2,FALSE)*GE$21),IF(GE36-GD37&lt;0,0,GE36-GD37),
IF(AND(GD37&lt;VLOOKUP($C35,$C$3:$D$15,2,FALSE)*GE$21,GE36&gt;VLOOKUP($C35,$C$3:$D$15,2,FALSE)*GE$21),VLOOKUP($C35,$C$3:$D$15,2,FALSE)*GE$21-GD37)))</f>
        <v>0</v>
      </c>
      <c r="GF35" s="642">
        <f t="shared" ref="GF35" si="1093" xml:space="preserve">
IF(GE37&gt;=VLOOKUP($C35,$C$3:$D$15,2,FALSE)*GF$21,0,
IF(AND(GE37&lt;VLOOKUP($C35,$C$3:$D$15,2,FALSE)*GF$21,GF36&lt;=VLOOKUP($C35,$C$3:$D$15,2,FALSE)*GF$21),IF(GF36-GE37&lt;0,0,GF36-GE37),
IF(AND(GE37&lt;VLOOKUP($C35,$C$3:$D$15,2,FALSE)*GF$21,GF36&gt;VLOOKUP($C35,$C$3:$D$15,2,FALSE)*GF$21),VLOOKUP($C35,$C$3:$D$15,2,FALSE)*GF$21-GE37)))</f>
        <v>0</v>
      </c>
      <c r="GG35" s="642">
        <f t="shared" ref="GG35" si="1094" xml:space="preserve">
IF(GF37&gt;=VLOOKUP($C35,$C$3:$D$15,2,FALSE)*GG$21,0,
IF(AND(GF37&lt;VLOOKUP($C35,$C$3:$D$15,2,FALSE)*GG$21,GG36&lt;=VLOOKUP($C35,$C$3:$D$15,2,FALSE)*GG$21),IF(GG36-GF37&lt;0,0,GG36-GF37),
IF(AND(GF37&lt;VLOOKUP($C35,$C$3:$D$15,2,FALSE)*GG$21,GG36&gt;VLOOKUP($C35,$C$3:$D$15,2,FALSE)*GG$21),VLOOKUP($C35,$C$3:$D$15,2,FALSE)*GG$21-GF37)))</f>
        <v>0</v>
      </c>
      <c r="GH35" s="642">
        <f t="shared" ref="GH35" si="1095" xml:space="preserve">
IF(GG37&gt;=VLOOKUP($C35,$C$3:$D$15,2,FALSE)*GH$21,0,
IF(AND(GG37&lt;VLOOKUP($C35,$C$3:$D$15,2,FALSE)*GH$21,GH36&lt;=VLOOKUP($C35,$C$3:$D$15,2,FALSE)*GH$21),IF(GH36-GG37&lt;0,0,GH36-GG37),
IF(AND(GG37&lt;VLOOKUP($C35,$C$3:$D$15,2,FALSE)*GH$21,GH36&gt;VLOOKUP($C35,$C$3:$D$15,2,FALSE)*GH$21),VLOOKUP($C35,$C$3:$D$15,2,FALSE)*GH$21-GG37)))</f>
        <v>0</v>
      </c>
      <c r="GI35" s="642">
        <f t="shared" ref="GI35" si="1096" xml:space="preserve">
IF(GH37&gt;=VLOOKUP($C35,$C$3:$D$15,2,FALSE)*GI$21,0,
IF(AND(GH37&lt;VLOOKUP($C35,$C$3:$D$15,2,FALSE)*GI$21,GI36&lt;=VLOOKUP($C35,$C$3:$D$15,2,FALSE)*GI$21),IF(GI36-GH37&lt;0,0,GI36-GH37),
IF(AND(GH37&lt;VLOOKUP($C35,$C$3:$D$15,2,FALSE)*GI$21,GI36&gt;VLOOKUP($C35,$C$3:$D$15,2,FALSE)*GI$21),VLOOKUP($C35,$C$3:$D$15,2,FALSE)*GI$21-GH37)))</f>
        <v>0</v>
      </c>
      <c r="GJ35" s="642">
        <f t="shared" ref="GJ35" si="1097" xml:space="preserve">
IF(GI37&gt;=VLOOKUP($C35,$C$3:$D$15,2,FALSE)*GJ$21,0,
IF(AND(GI37&lt;VLOOKUP($C35,$C$3:$D$15,2,FALSE)*GJ$21,GJ36&lt;=VLOOKUP($C35,$C$3:$D$15,2,FALSE)*GJ$21),IF(GJ36-GI37&lt;0,0,GJ36-GI37),
IF(AND(GI37&lt;VLOOKUP($C35,$C$3:$D$15,2,FALSE)*GJ$21,GJ36&gt;VLOOKUP($C35,$C$3:$D$15,2,FALSE)*GJ$21),VLOOKUP($C35,$C$3:$D$15,2,FALSE)*GJ$21-GI37)))</f>
        <v>0</v>
      </c>
    </row>
    <row r="36" spans="2:192" s="655" customFormat="1">
      <c r="B36" s="656"/>
      <c r="C36" s="641"/>
      <c r="D36" s="768" t="s">
        <v>1467</v>
      </c>
      <c r="E36" s="773"/>
      <c r="F36" s="706"/>
      <c r="G36" s="642">
        <f>SUMIF(防護具!$Y$30:$Y$212,G$17&amp;$C35,防護具!$Q$30:$Q$212)</f>
        <v>0</v>
      </c>
      <c r="H36" s="642">
        <f>IFERROR(
SUM(G36,SUMIF(防護具!$Y$30:$Y$212,H$17&amp;$C35,防護具!$Q$30:$Q$212))-G35,0)</f>
        <v>0</v>
      </c>
      <c r="I36" s="642">
        <f>IFERROR(
SUM(H36,SUMIF(防護具!$Y$30:$Y$212,I$17&amp;$C35,防護具!$Q$30:$Q$212))-H35,0)</f>
        <v>0</v>
      </c>
      <c r="J36" s="642">
        <f>IFERROR(
SUM(I36,SUMIF(防護具!$Y$30:$Y$212,J$17&amp;$C35,防護具!$Q$30:$Q$212))-I35,0)</f>
        <v>0</v>
      </c>
      <c r="K36" s="642">
        <f>IFERROR(
SUM(J36,SUMIF(防護具!$Y$30:$Y$212,K$17&amp;$C35,防護具!$Q$30:$Q$212))-J35,0)</f>
        <v>0</v>
      </c>
      <c r="L36" s="642">
        <f>IFERROR(
SUM(K36,SUMIF(防護具!$Y$30:$Y$212,L$17&amp;$C35,防護具!$Q$30:$Q$212))-K35,0)</f>
        <v>0</v>
      </c>
      <c r="M36" s="642">
        <f>IFERROR(
SUM(L36,SUMIF(防護具!$Y$30:$Y$212,M$17&amp;$C35,防護具!$Q$30:$Q$212))-L35,0)</f>
        <v>0</v>
      </c>
      <c r="N36" s="642">
        <f>IFERROR(
SUM(M36,SUMIF(防護具!$Y$30:$Y$212,N$17&amp;$C35,防護具!$Q$30:$Q$212))-M35,0)</f>
        <v>0</v>
      </c>
      <c r="O36" s="642">
        <f>IFERROR(
SUM(N36,SUMIF(防護具!$Y$30:$Y$212,O$17&amp;$C35,防護具!$Q$30:$Q$212))-N35,0)</f>
        <v>0</v>
      </c>
      <c r="P36" s="642">
        <f>IFERROR(
SUM(O36,SUMIF(防護具!$Y$30:$Y$212,P$17&amp;$C35,防護具!$Q$30:$Q$212))-O35,0)</f>
        <v>0</v>
      </c>
      <c r="Q36" s="642">
        <f>IFERROR(
SUM(P36,SUMIF(防護具!$Y$30:$Y$212,Q$17&amp;$C35,防護具!$Q$30:$Q$212))-P35,0)</f>
        <v>0</v>
      </c>
      <c r="R36" s="642">
        <f>IFERROR(
SUM(Q36,SUMIF(防護具!$Y$30:$Y$212,R$17&amp;$C35,防護具!$Q$30:$Q$212))-Q35,0)</f>
        <v>0</v>
      </c>
      <c r="S36" s="642">
        <f>IFERROR(
SUM(R36,SUMIF(防護具!$Y$30:$Y$212,S$17&amp;$C35,防護具!$Q$30:$Q$212))-R35,0)</f>
        <v>0</v>
      </c>
      <c r="T36" s="642">
        <f>IFERROR(
SUM(S36,SUMIF(防護具!$Y$30:$Y$212,T$17&amp;$C35,防護具!$Q$30:$Q$212))-S35,0)</f>
        <v>0</v>
      </c>
      <c r="U36" s="642">
        <f>IFERROR(
SUM(T36,SUMIF(防護具!$Y$30:$Y$212,U$17&amp;$C35,防護具!$Q$30:$Q$212))-T35,0)</f>
        <v>0</v>
      </c>
      <c r="V36" s="642">
        <f>IFERROR(
SUM(U36,SUMIF(防護具!$Y$30:$Y$212,V$17&amp;$C35,防護具!$Q$30:$Q$212))-U35,0)</f>
        <v>0</v>
      </c>
      <c r="W36" s="642">
        <f>IFERROR(
SUM(V36,SUMIF(防護具!$Y$30:$Y$212,W$17&amp;$C35,防護具!$Q$30:$Q$212))-V35,0)</f>
        <v>0</v>
      </c>
      <c r="X36" s="642">
        <f>IFERROR(
SUM(W36,SUMIF(防護具!$Y$30:$Y$212,X$17&amp;$C35,防護具!$Q$30:$Q$212))-W35,0)</f>
        <v>0</v>
      </c>
      <c r="Y36" s="642">
        <f>IFERROR(
SUM(X36,SUMIF(防護具!$Y$30:$Y$212,Y$17&amp;$C35,防護具!$Q$30:$Q$212))-X35,0)</f>
        <v>0</v>
      </c>
      <c r="Z36" s="642">
        <f>IFERROR(
SUM(Y36,SUMIF(防護具!$Y$30:$Y$212,Z$17&amp;$C35,防護具!$Q$30:$Q$212))-Y35,0)</f>
        <v>0</v>
      </c>
      <c r="AA36" s="642">
        <f>IFERROR(
SUM(Z36,SUMIF(防護具!$Y$30:$Y$212,AA$17&amp;$C35,防護具!$Q$30:$Q$212))-Z35,0)</f>
        <v>0</v>
      </c>
      <c r="AB36" s="642">
        <f>IFERROR(
SUM(AA36,SUMIF(防護具!$Y$30:$Y$212,AB$17&amp;$C35,防護具!$Q$30:$Q$212))-AA35,0)</f>
        <v>0</v>
      </c>
      <c r="AC36" s="642">
        <f>IFERROR(
SUM(AB36,SUMIF(防護具!$Y$30:$Y$212,AC$17&amp;$C35,防護具!$Q$30:$Q$212))-AB35,0)</f>
        <v>0</v>
      </c>
      <c r="AD36" s="642">
        <f>IFERROR(
SUM(AC36,SUMIF(防護具!$Y$30:$Y$212,AD$17&amp;$C35,防護具!$Q$30:$Q$212))-AC35,0)</f>
        <v>0</v>
      </c>
      <c r="AE36" s="642">
        <f>IFERROR(
SUM(AD36,SUMIF(防護具!$Y$30:$Y$212,AE$17&amp;$C35,防護具!$Q$30:$Q$212))-AD35,0)</f>
        <v>0</v>
      </c>
      <c r="AF36" s="642">
        <f>IFERROR(
SUM(AE36,SUMIF(防護具!$Y$30:$Y$212,AF$17&amp;$C35,防護具!$Q$30:$Q$212))-AE35,0)</f>
        <v>0</v>
      </c>
      <c r="AG36" s="642">
        <f>IFERROR(
SUM(AF36,SUMIF(防護具!$Y$30:$Y$212,AG$17&amp;$C35,防護具!$Q$30:$Q$212))-AF35,0)</f>
        <v>0</v>
      </c>
      <c r="AH36" s="642">
        <f>IFERROR(
SUM(AG36,SUMIF(防護具!$Y$30:$Y$212,AH$17&amp;$C35,防護具!$Q$30:$Q$212))-AG35,0)</f>
        <v>0</v>
      </c>
      <c r="AI36" s="642">
        <f>IFERROR(
SUM(AH36,SUMIF(防護具!$Y$30:$Y$212,AI$17&amp;$C35,防護具!$Q$30:$Q$212))-AH35,0)</f>
        <v>0</v>
      </c>
      <c r="AJ36" s="642">
        <f>IFERROR(
SUM(AI36,SUMIF(防護具!$Y$30:$Y$212,AJ$17&amp;$C35,防護具!$Q$30:$Q$212))-AI35,0)</f>
        <v>0</v>
      </c>
      <c r="AK36" s="642">
        <f>IFERROR(
SUM(AJ36,SUMIF(防護具!$Y$30:$Y$212,AK$17&amp;$C35,防護具!$Q$30:$Q$212))-AJ35,0)</f>
        <v>0</v>
      </c>
      <c r="AL36" s="642">
        <f>IFERROR(
SUM(AK36,SUMIF(防護具!$Y$30:$Y$212,AL$17&amp;$C35,防護具!$Q$30:$Q$212))-AK35,0)</f>
        <v>0</v>
      </c>
      <c r="AM36" s="642">
        <f>IFERROR(
SUM(AL36,SUMIF(防護具!$Y$30:$Y$212,AM$17&amp;$C35,防護具!$Q$30:$Q$212))-AL35,0)</f>
        <v>0</v>
      </c>
      <c r="AN36" s="642">
        <f>IFERROR(
SUM(AM36,SUMIF(防護具!$Y$30:$Y$212,AN$17&amp;$C35,防護具!$Q$30:$Q$212))-AM35,0)</f>
        <v>0</v>
      </c>
      <c r="AO36" s="642">
        <f>IFERROR(
SUM(AN36,SUMIF(防護具!$Y$30:$Y$212,AO$17&amp;$C35,防護具!$Q$30:$Q$212))-AN35,0)</f>
        <v>0</v>
      </c>
      <c r="AP36" s="642">
        <f>IFERROR(
SUM(AO36,SUMIF(防護具!$Y$30:$Y$212,AP$17&amp;$C35,防護具!$Q$30:$Q$212))-AO35,0)</f>
        <v>0</v>
      </c>
      <c r="AQ36" s="642">
        <f>IFERROR(
SUM(AP36,SUMIF(防護具!$Y$30:$Y$212,AQ$17&amp;$C35,防護具!$Q$30:$Q$212))-AP35,0)</f>
        <v>0</v>
      </c>
      <c r="AR36" s="642">
        <f>IFERROR(
SUM(AQ36,SUMIF(防護具!$Y$30:$Y$212,AR$17&amp;$C35,防護具!$Q$30:$Q$212))-AQ35,0)</f>
        <v>0</v>
      </c>
      <c r="AS36" s="642">
        <f>IFERROR(
SUM(AR36,SUMIF(防護具!$Y$30:$Y$212,AS$17&amp;$C35,防護具!$Q$30:$Q$212))-AR35,0)</f>
        <v>0</v>
      </c>
      <c r="AT36" s="642">
        <f>IFERROR(
SUM(AS36,SUMIF(防護具!$Y$30:$Y$212,AT$17&amp;$C35,防護具!$Q$30:$Q$212))-AS35,0)</f>
        <v>0</v>
      </c>
      <c r="AU36" s="642">
        <f>IFERROR(
SUM(AT36,SUMIF(防護具!$Y$30:$Y$212,AU$17&amp;$C35,防護具!$Q$30:$Q$212))-AT35,0)</f>
        <v>0</v>
      </c>
      <c r="AV36" s="642">
        <f>IFERROR(
SUM(AU36,SUMIF(防護具!$Y$30:$Y$212,AV$17&amp;$C35,防護具!$Q$30:$Q$212))-AU35,0)</f>
        <v>0</v>
      </c>
      <c r="AW36" s="642">
        <f>IFERROR(
SUM(AV36,SUMIF(防護具!$Y$30:$Y$212,AW$17&amp;$C35,防護具!$Q$30:$Q$212))-AV35,0)</f>
        <v>0</v>
      </c>
      <c r="AX36" s="642">
        <f>IFERROR(
SUM(AW36,SUMIF(防護具!$Y$30:$Y$212,AX$17&amp;$C35,防護具!$Q$30:$Q$212))-AW35,0)</f>
        <v>0</v>
      </c>
      <c r="AY36" s="642">
        <f>IFERROR(
SUM(AX36,SUMIF(防護具!$Y$30:$Y$212,AY$17&amp;$C35,防護具!$Q$30:$Q$212))-AX35,0)</f>
        <v>0</v>
      </c>
      <c r="AZ36" s="642">
        <f>IFERROR(
SUM(AY36,SUMIF(防護具!$Y$30:$Y$212,AZ$17&amp;$C35,防護具!$Q$30:$Q$212))-AY35,0)</f>
        <v>0</v>
      </c>
      <c r="BA36" s="642">
        <f>IFERROR(
SUM(AZ36,SUMIF(防護具!$Y$30:$Y$212,BA$17&amp;$C35,防護具!$Q$30:$Q$212))-AZ35,0)</f>
        <v>0</v>
      </c>
      <c r="BB36" s="642">
        <f>IFERROR(
SUM(BA36,SUMIF(防護具!$Y$30:$Y$212,BB$17&amp;$C35,防護具!$Q$30:$Q$212))-BA35,0)</f>
        <v>0</v>
      </c>
      <c r="BC36" s="642">
        <f>IFERROR(
SUM(BB36,SUMIF(防護具!$Y$30:$Y$212,BC$17&amp;$C35,防護具!$Q$30:$Q$212))-BB35,0)</f>
        <v>0</v>
      </c>
      <c r="BD36" s="642">
        <f>IFERROR(
SUM(BC36,SUMIF(防護具!$Y$30:$Y$212,BD$17&amp;$C35,防護具!$Q$30:$Q$212))-BC35,0)</f>
        <v>0</v>
      </c>
      <c r="BE36" s="642">
        <f>IFERROR(
SUM(BD36,SUMIF(防護具!$Y$30:$Y$212,BE$17&amp;$C35,防護具!$Q$30:$Q$212))-BD35,0)</f>
        <v>0</v>
      </c>
      <c r="BF36" s="642">
        <f>IFERROR(
SUM(BE36,SUMIF(防護具!$Y$30:$Y$212,BF$17&amp;$C35,防護具!$Q$30:$Q$212))-BE35,0)</f>
        <v>0</v>
      </c>
      <c r="BG36" s="642">
        <f>IFERROR(
SUM(BF36,SUMIF(防護具!$Y$30:$Y$212,BG$17&amp;$C35,防護具!$Q$30:$Q$212))-BF35,0)</f>
        <v>0</v>
      </c>
      <c r="BH36" s="642">
        <f>IFERROR(
SUM(BG36,SUMIF(防護具!$Y$30:$Y$212,BH$17&amp;$C35,防護具!$Q$30:$Q$212))-BG35,0)</f>
        <v>0</v>
      </c>
      <c r="BI36" s="642">
        <f>IFERROR(
SUM(BH36,SUMIF(防護具!$Y$30:$Y$212,BI$17&amp;$C35,防護具!$Q$30:$Q$212))-BH35,0)</f>
        <v>0</v>
      </c>
      <c r="BJ36" s="642">
        <f>IFERROR(
SUM(BI36,SUMIF(防護具!$Y$30:$Y$212,BJ$17&amp;$C35,防護具!$Q$30:$Q$212))-BI35,0)</f>
        <v>0</v>
      </c>
      <c r="BK36" s="642">
        <f>IFERROR(
SUM(BJ36,SUMIF(防護具!$Y$30:$Y$212,BK$17&amp;$C35,防護具!$Q$30:$Q$212))-BJ35,0)</f>
        <v>0</v>
      </c>
      <c r="BL36" s="642">
        <f>IFERROR(
SUM(BK36,SUMIF(防護具!$Y$30:$Y$212,BL$17&amp;$C35,防護具!$Q$30:$Q$212))-BK35,0)</f>
        <v>0</v>
      </c>
      <c r="BM36" s="642">
        <f>IFERROR(
SUM(BL36,SUMIF(防護具!$Y$30:$Y$212,BM$17&amp;$C35,防護具!$Q$30:$Q$212))-BL35,0)</f>
        <v>0</v>
      </c>
      <c r="BN36" s="642">
        <f>IFERROR(
SUM(BM36,SUMIF(防護具!$Y$30:$Y$212,BN$17&amp;$C35,防護具!$Q$30:$Q$212))-BM35,0)</f>
        <v>0</v>
      </c>
      <c r="BO36" s="642">
        <f>IFERROR(
SUM(BN36,SUMIF(防護具!$Y$30:$Y$212,BO$17&amp;$C35,防護具!$Q$30:$Q$212))-BN35,0)</f>
        <v>0</v>
      </c>
      <c r="BP36" s="642">
        <f>IFERROR(
SUM(BO36,SUMIF(防護具!$Y$30:$Y$212,BP$17&amp;$C35,防護具!$Q$30:$Q$212))-BO35,0)</f>
        <v>0</v>
      </c>
      <c r="BQ36" s="642">
        <f>IFERROR(
SUM(BP36,SUMIF(防護具!$Y$30:$Y$212,BQ$17&amp;$C35,防護具!$Q$30:$Q$212))-BP35,0)</f>
        <v>0</v>
      </c>
      <c r="BR36" s="642">
        <f>IFERROR(
SUM(BQ36,SUMIF(防護具!$Y$30:$Y$212,BR$17&amp;$C35,防護具!$Q$30:$Q$212))-BQ35,0)</f>
        <v>0</v>
      </c>
      <c r="BS36" s="642">
        <f>IFERROR(
SUM(BR36,SUMIF(防護具!$Y$30:$Y$212,BS$17&amp;$C35,防護具!$Q$30:$Q$212))-BR35,0)</f>
        <v>0</v>
      </c>
      <c r="BT36" s="642">
        <f>IFERROR(
SUM(BS36,SUMIF(防護具!$Y$30:$Y$212,BT$17&amp;$C35,防護具!$Q$30:$Q$212))-BS35,0)</f>
        <v>0</v>
      </c>
      <c r="BU36" s="642">
        <f>IFERROR(
SUM(BT36,SUMIF(防護具!$Y$30:$Y$212,BU$17&amp;$C35,防護具!$Q$30:$Q$212))-BT35,0)</f>
        <v>0</v>
      </c>
      <c r="BV36" s="642">
        <f>IFERROR(
SUM(BU36,SUMIF(防護具!$Y$30:$Y$212,BV$17&amp;$C35,防護具!$Q$30:$Q$212))-BU35,0)</f>
        <v>0</v>
      </c>
      <c r="BW36" s="642">
        <f>IFERROR(
SUM(BV36,SUMIF(防護具!$Y$30:$Y$212,BW$17&amp;$C35,防護具!$Q$30:$Q$212))-BV35,0)</f>
        <v>0</v>
      </c>
      <c r="BX36" s="642">
        <f>IFERROR(
SUM(BW36,SUMIF(防護具!$Y$30:$Y$212,BX$17&amp;$C35,防護具!$Q$30:$Q$212))-BW35,0)</f>
        <v>0</v>
      </c>
      <c r="BY36" s="642">
        <f>IFERROR(
SUM(BX36,SUMIF(防護具!$Y$30:$Y$212,BY$17&amp;$C35,防護具!$Q$30:$Q$212))-BX35,0)</f>
        <v>0</v>
      </c>
      <c r="BZ36" s="642">
        <f>IFERROR(
SUM(BY36,SUMIF(防護具!$Y$30:$Y$212,BZ$17&amp;$C35,防護具!$Q$30:$Q$212))-BY35,0)</f>
        <v>0</v>
      </c>
      <c r="CA36" s="642">
        <f>IFERROR(
SUM(BZ36,SUMIF(防護具!$Y$30:$Y$212,CA$17&amp;$C35,防護具!$Q$30:$Q$212))-BZ35,0)</f>
        <v>0</v>
      </c>
      <c r="CB36" s="642">
        <f>IFERROR(
SUM(CA36,SUMIF(防護具!$Y$30:$Y$212,CB$17&amp;$C35,防護具!$Q$30:$Q$212))-CA35,0)</f>
        <v>0</v>
      </c>
      <c r="CC36" s="642">
        <f>IFERROR(
SUM(CB36,SUMIF(防護具!$Y$30:$Y$212,CC$17&amp;$C35,防護具!$Q$30:$Q$212))-CB35,0)</f>
        <v>0</v>
      </c>
      <c r="CD36" s="642">
        <f>IFERROR(
SUM(CC36,SUMIF(防護具!$Y$30:$Y$212,CD$17&amp;$C35,防護具!$Q$30:$Q$212))-CC35,0)</f>
        <v>0</v>
      </c>
      <c r="CE36" s="642">
        <f>IFERROR(
SUM(CD36,SUMIF(防護具!$Y$30:$Y$212,CE$17&amp;$C35,防護具!$Q$30:$Q$212))-CD35,0)</f>
        <v>0</v>
      </c>
      <c r="CF36" s="642">
        <f>IFERROR(
SUM(CE36,SUMIF(防護具!$Y$30:$Y$212,CF$17&amp;$C35,防護具!$Q$30:$Q$212))-CE35,0)</f>
        <v>0</v>
      </c>
      <c r="CG36" s="642">
        <f>IFERROR(
SUM(CF36,SUMIF(防護具!$Y$30:$Y$212,CG$17&amp;$C35,防護具!$Q$30:$Q$212))-CF35,0)</f>
        <v>0</v>
      </c>
      <c r="CH36" s="642">
        <f>IFERROR(
SUM(CG36,SUMIF(防護具!$Y$30:$Y$212,CH$17&amp;$C35,防護具!$Q$30:$Q$212))-CG35,0)</f>
        <v>0</v>
      </c>
      <c r="CI36" s="642">
        <f>IFERROR(
SUM(CH36,SUMIF(防護具!$Y$30:$Y$212,CI$17&amp;$C35,防護具!$Q$30:$Q$212))-CH35,0)</f>
        <v>0</v>
      </c>
      <c r="CJ36" s="642">
        <f>IFERROR(
SUM(CI36,SUMIF(防護具!$Y$30:$Y$212,CJ$17&amp;$C35,防護具!$Q$30:$Q$212))-CI35,0)</f>
        <v>0</v>
      </c>
      <c r="CK36" s="642">
        <f>IFERROR(
SUM(CJ36,SUMIF(防護具!$Y$30:$Y$212,CK$17&amp;$C35,防護具!$Q$30:$Q$212))-CJ35,0)</f>
        <v>0</v>
      </c>
      <c r="CL36" s="642">
        <f>IFERROR(
SUM(CK36,SUMIF(防護具!$Y$30:$Y$212,CL$17&amp;$C35,防護具!$Q$30:$Q$212))-CK35,0)</f>
        <v>0</v>
      </c>
      <c r="CM36" s="642">
        <f>IFERROR(
SUM(CL36,SUMIF(防護具!$Y$30:$Y$212,CM$17&amp;$C35,防護具!$Q$30:$Q$212))-CL35,0)</f>
        <v>0</v>
      </c>
      <c r="CN36" s="642">
        <f>IFERROR(
SUM(CM36,SUMIF(防護具!$Y$30:$Y$212,CN$17&amp;$C35,防護具!$Q$30:$Q$212))-CM35,0)</f>
        <v>0</v>
      </c>
      <c r="CO36" s="642">
        <f>IFERROR(
SUM(CN36,SUMIF(防護具!$Y$30:$Y$212,CO$17&amp;$C35,防護具!$Q$30:$Q$212))-CN35,0)</f>
        <v>0</v>
      </c>
      <c r="CP36" s="642">
        <f>IFERROR(
SUM(CO36,SUMIF(防護具!$Y$30:$Y$212,CP$17&amp;$C35,防護具!$Q$30:$Q$212))-CO35,0)</f>
        <v>0</v>
      </c>
      <c r="CQ36" s="642">
        <f>IFERROR(
SUM(CP36,SUMIF(防護具!$Y$30:$Y$212,CQ$17&amp;$C35,防護具!$Q$30:$Q$212))-CP35,0)</f>
        <v>0</v>
      </c>
      <c r="CR36" s="642">
        <f>IFERROR(
SUM(CQ36,SUMIF(防護具!$Y$30:$Y$212,CR$17&amp;$C35,防護具!$Q$30:$Q$212))-CQ35,0)</f>
        <v>0</v>
      </c>
      <c r="CS36" s="642">
        <f>IFERROR(
SUM(CR36,SUMIF(防護具!$Y$30:$Y$212,CS$17&amp;$C35,防護具!$Q$30:$Q$212))-CR35,0)</f>
        <v>0</v>
      </c>
      <c r="CT36" s="642">
        <f>IFERROR(
SUM(CS36,SUMIF(防護具!$Y$30:$Y$212,CT$17&amp;$C35,防護具!$Q$30:$Q$212))-CS35,0)</f>
        <v>0</v>
      </c>
      <c r="CU36" s="642">
        <f>IFERROR(
SUM(CT36,SUMIF(防護具!$Y$30:$Y$212,CU$17&amp;$C35,防護具!$Q$30:$Q$212))-CT35,0)</f>
        <v>0</v>
      </c>
      <c r="CV36" s="642">
        <f>IFERROR(
SUM(CU36,SUMIF(防護具!$Y$30:$Y$212,CV$17&amp;$C35,防護具!$Q$30:$Q$212))-CU35,0)</f>
        <v>0</v>
      </c>
      <c r="CW36" s="642">
        <f>IFERROR(
SUM(CV36,SUMIF(防護具!$Y$30:$Y$212,CW$17&amp;$C35,防護具!$Q$30:$Q$212))-CV35,0)</f>
        <v>0</v>
      </c>
      <c r="CX36" s="642">
        <f>IFERROR(
SUM(CW36,SUMIF(防護具!$Y$30:$Y$212,CX$17&amp;$C35,防護具!$Q$30:$Q$212))-CW35,0)</f>
        <v>0</v>
      </c>
      <c r="CY36" s="642">
        <f>IFERROR(
SUM(CX36,SUMIF(防護具!$Y$30:$Y$212,CY$17&amp;$C35,防護具!$Q$30:$Q$212))-CX35,0)</f>
        <v>0</v>
      </c>
      <c r="CZ36" s="642">
        <f>IFERROR(
SUM(CY36,SUMIF(防護具!$Y$30:$Y$212,CZ$17&amp;$C35,防護具!$Q$30:$Q$212))-CY35,0)</f>
        <v>0</v>
      </c>
      <c r="DA36" s="642">
        <f>IFERROR(
SUM(CZ36,SUMIF(防護具!$Y$30:$Y$212,DA$17&amp;$C35,防護具!$Q$30:$Q$212))-CZ35,0)</f>
        <v>0</v>
      </c>
      <c r="DB36" s="642">
        <f>IFERROR(
SUM(DA36,SUMIF(防護具!$Y$30:$Y$212,DB$17&amp;$C35,防護具!$Q$30:$Q$212))-DA35,0)</f>
        <v>0</v>
      </c>
      <c r="DC36" s="642">
        <f>IFERROR(
SUM(DB36,SUMIF(防護具!$Y$30:$Y$212,DC$17&amp;$C35,防護具!$Q$30:$Q$212))-DB35,0)</f>
        <v>0</v>
      </c>
      <c r="DD36" s="642">
        <f>IFERROR(
SUM(DC36,SUMIF(防護具!$Y$30:$Y$212,DD$17&amp;$C35,防護具!$Q$30:$Q$212))-DC35,0)</f>
        <v>0</v>
      </c>
      <c r="DE36" s="642">
        <f>IFERROR(
SUM(DD36,SUMIF(防護具!$Y$30:$Y$212,DE$17&amp;$C35,防護具!$Q$30:$Q$212))-DD35,0)</f>
        <v>0</v>
      </c>
      <c r="DF36" s="642">
        <f>IFERROR(
SUM(DE36,SUMIF(防護具!$Y$30:$Y$212,DF$17&amp;$C35,防護具!$Q$30:$Q$212))-DE35,0)</f>
        <v>0</v>
      </c>
      <c r="DG36" s="642">
        <f>IFERROR(
SUM(DF36,SUMIF(防護具!$Y$30:$Y$212,DG$17&amp;$C35,防護具!$Q$30:$Q$212))-DF35,0)</f>
        <v>0</v>
      </c>
      <c r="DH36" s="642">
        <f>IFERROR(
SUM(DG36,SUMIF(防護具!$Y$30:$Y$212,DH$17&amp;$C35,防護具!$Q$30:$Q$212))-DG35,0)</f>
        <v>0</v>
      </c>
      <c r="DI36" s="642">
        <f>IFERROR(
SUM(DH36,SUMIF(防護具!$Y$30:$Y$212,DI$17&amp;$C35,防護具!$Q$30:$Q$212))-DH35,0)</f>
        <v>0</v>
      </c>
      <c r="DJ36" s="642">
        <f>IFERROR(
SUM(DI36,SUMIF(防護具!$Y$30:$Y$212,DJ$17&amp;$C35,防護具!$Q$30:$Q$212))-DI35,0)</f>
        <v>0</v>
      </c>
      <c r="DK36" s="642">
        <f>IFERROR(
SUM(DJ36,SUMIF(防護具!$Y$30:$Y$212,DK$17&amp;$C35,防護具!$Q$30:$Q$212))-DJ35,0)</f>
        <v>0</v>
      </c>
      <c r="DL36" s="642">
        <f>IFERROR(
SUM(DK36,SUMIF(防護具!$Y$30:$Y$212,DL$17&amp;$C35,防護具!$Q$30:$Q$212))-DK35,0)</f>
        <v>0</v>
      </c>
      <c r="DM36" s="642">
        <f>IFERROR(
SUM(DL36,SUMIF(防護具!$Y$30:$Y$212,DM$17&amp;$C35,防護具!$Q$30:$Q$212))-DL35,0)</f>
        <v>0</v>
      </c>
      <c r="DN36" s="642">
        <f>IFERROR(
SUM(DM36,SUMIF(防護具!$Y$30:$Y$212,DN$17&amp;$C35,防護具!$Q$30:$Q$212))-DM35,0)</f>
        <v>0</v>
      </c>
      <c r="DO36" s="642">
        <f>IFERROR(
SUM(DN36,SUMIF(防護具!$Y$30:$Y$212,DO$17&amp;$C35,防護具!$Q$30:$Q$212))-DN35,0)</f>
        <v>0</v>
      </c>
      <c r="DP36" s="642">
        <f>IFERROR(
SUM(DO36,SUMIF(防護具!$Y$30:$Y$212,DP$17&amp;$C35,防護具!$Q$30:$Q$212))-DO35,0)</f>
        <v>0</v>
      </c>
      <c r="DQ36" s="642">
        <f>IFERROR(
SUM(DP36,SUMIF(防護具!$Y$30:$Y$212,DQ$17&amp;$C35,防護具!$Q$30:$Q$212))-DP35,0)</f>
        <v>0</v>
      </c>
      <c r="DR36" s="642">
        <f>IFERROR(
SUM(DQ36,SUMIF(防護具!$Y$30:$Y$212,DR$17&amp;$C35,防護具!$Q$30:$Q$212))-DQ35,0)</f>
        <v>0</v>
      </c>
      <c r="DS36" s="642">
        <f>IFERROR(
SUM(DR36,SUMIF(防護具!$Y$30:$Y$212,DS$17&amp;$C35,防護具!$Q$30:$Q$212))-DR35,0)</f>
        <v>0</v>
      </c>
      <c r="DT36" s="642">
        <f>IFERROR(
SUM(DS36,SUMIF(防護具!$Y$30:$Y$212,DT$17&amp;$C35,防護具!$Q$30:$Q$212))-DS35,0)</f>
        <v>0</v>
      </c>
      <c r="DU36" s="642">
        <f>IFERROR(
SUM(DT36,SUMIF(防護具!$Y$30:$Y$212,DU$17&amp;$C35,防護具!$Q$30:$Q$212))-DT35,0)</f>
        <v>0</v>
      </c>
      <c r="DV36" s="642">
        <f>IFERROR(
SUM(DU36,SUMIF(防護具!$Y$30:$Y$212,DV$17&amp;$C35,防護具!$Q$30:$Q$212))-DU35,0)</f>
        <v>0</v>
      </c>
      <c r="DW36" s="642">
        <f>IFERROR(
SUM(DV36,SUMIF(防護具!$Y$30:$Y$212,DW$17&amp;$C35,防護具!$Q$30:$Q$212))-DV35,0)</f>
        <v>0</v>
      </c>
      <c r="DX36" s="642">
        <f>IFERROR(
SUM(DW36,SUMIF(防護具!$Y$30:$Y$212,DX$17&amp;$C35,防護具!$Q$30:$Q$212))-DW35,0)</f>
        <v>0</v>
      </c>
      <c r="DY36" s="642">
        <f>IFERROR(
SUM(DX36,SUMIF(防護具!$Y$30:$Y$212,DY$17&amp;$C35,防護具!$Q$30:$Q$212))-DX35,0)</f>
        <v>0</v>
      </c>
      <c r="DZ36" s="642">
        <f>IFERROR(
SUM(DY36,SUMIF(防護具!$Y$30:$Y$212,DZ$17&amp;$C35,防護具!$Q$30:$Q$212))-DY35,0)</f>
        <v>0</v>
      </c>
      <c r="EA36" s="642">
        <f>IFERROR(
SUM(DZ36,SUMIF(防護具!$Y$30:$Y$212,EA$17&amp;$C35,防護具!$Q$30:$Q$212))-DZ35,0)</f>
        <v>0</v>
      </c>
      <c r="EB36" s="642">
        <f>IFERROR(
SUM(EA36,SUMIF(防護具!$Y$30:$Y$212,EB$17&amp;$C35,防護具!$Q$30:$Q$212))-EA35,0)</f>
        <v>0</v>
      </c>
      <c r="EC36" s="642">
        <f>IFERROR(
SUM(EB36,SUMIF(防護具!$Y$30:$Y$212,EC$17&amp;$C35,防護具!$Q$30:$Q$212))-EB35,0)</f>
        <v>0</v>
      </c>
      <c r="ED36" s="642">
        <f>IFERROR(
SUM(EC36,SUMIF(防護具!$Y$30:$Y$212,ED$17&amp;$C35,防護具!$Q$30:$Q$212))-EC35,0)</f>
        <v>0</v>
      </c>
      <c r="EE36" s="642">
        <f>IFERROR(
SUM(ED36,SUMIF(防護具!$Y$30:$Y$212,EE$17&amp;$C35,防護具!$Q$30:$Q$212))-ED35,0)</f>
        <v>0</v>
      </c>
      <c r="EF36" s="642">
        <f>IFERROR(
SUM(EE36,SUMIF(防護具!$Y$30:$Y$212,EF$17&amp;$C35,防護具!$Q$30:$Q$212))-EE35,0)</f>
        <v>0</v>
      </c>
      <c r="EG36" s="642">
        <f>IFERROR(
SUM(EF36,SUMIF(防護具!$Y$30:$Y$212,EG$17&amp;$C35,防護具!$Q$30:$Q$212))-EF35,0)</f>
        <v>0</v>
      </c>
      <c r="EH36" s="642">
        <f>IFERROR(
SUM(EG36,SUMIF(防護具!$Y$30:$Y$212,EH$17&amp;$C35,防護具!$Q$30:$Q$212))-EG35,0)</f>
        <v>0</v>
      </c>
      <c r="EI36" s="642">
        <f>IFERROR(
SUM(EH36,SUMIF(防護具!$Y$30:$Y$212,EI$17&amp;$C35,防護具!$Q$30:$Q$212))-EH35,0)</f>
        <v>0</v>
      </c>
      <c r="EJ36" s="642">
        <f>IFERROR(
SUM(EI36,SUMIF(防護具!$Y$30:$Y$212,EJ$17&amp;$C35,防護具!$Q$30:$Q$212))-EI35,0)</f>
        <v>0</v>
      </c>
      <c r="EK36" s="642">
        <f>IFERROR(
SUM(EJ36,SUMIF(防護具!$Y$30:$Y$212,EK$17&amp;$C35,防護具!$Q$30:$Q$212))-EJ35,0)</f>
        <v>0</v>
      </c>
      <c r="EL36" s="642">
        <f>IFERROR(
SUM(EK36,SUMIF(防護具!$Y$30:$Y$212,EL$17&amp;$C35,防護具!$Q$30:$Q$212))-EK35,0)</f>
        <v>0</v>
      </c>
      <c r="EM36" s="642">
        <f>IFERROR(
SUM(EL36,SUMIF(防護具!$Y$30:$Y$212,EM$17&amp;$C35,防護具!$Q$30:$Q$212))-EL35,0)</f>
        <v>0</v>
      </c>
      <c r="EN36" s="642">
        <f>IFERROR(
SUM(EM36,SUMIF(防護具!$Y$30:$Y$212,EN$17&amp;$C35,防護具!$Q$30:$Q$212))-EM35,0)</f>
        <v>0</v>
      </c>
      <c r="EO36" s="642">
        <f>IFERROR(
SUM(EN36,SUMIF(防護具!$Y$30:$Y$212,EO$17&amp;$C35,防護具!$Q$30:$Q$212))-EN35,0)</f>
        <v>0</v>
      </c>
      <c r="EP36" s="642">
        <f>IFERROR(
SUM(EO36,SUMIF(防護具!$Y$30:$Y$212,EP$17&amp;$C35,防護具!$Q$30:$Q$212))-EO35,0)</f>
        <v>0</v>
      </c>
      <c r="EQ36" s="642">
        <f>IFERROR(
SUM(EP36,SUMIF(防護具!$Y$30:$Y$212,EQ$17&amp;$C35,防護具!$Q$30:$Q$212))-EP35,0)</f>
        <v>0</v>
      </c>
      <c r="ER36" s="642">
        <f>IFERROR(
SUM(EQ36,SUMIF(防護具!$Y$30:$Y$212,ER$17&amp;$C35,防護具!$Q$30:$Q$212))-EQ35,0)</f>
        <v>0</v>
      </c>
      <c r="ES36" s="642">
        <f>IFERROR(
SUM(ER36,SUMIF(防護具!$Y$30:$Y$212,ES$17&amp;$C35,防護具!$Q$30:$Q$212))-ER35,0)</f>
        <v>0</v>
      </c>
      <c r="ET36" s="642">
        <f>IFERROR(
SUM(ES36,SUMIF(防護具!$Y$30:$Y$212,ET$17&amp;$C35,防護具!$Q$30:$Q$212))-ES35,0)</f>
        <v>0</v>
      </c>
      <c r="EU36" s="642">
        <f>IFERROR(
SUM(ET36,SUMIF(防護具!$Y$30:$Y$212,EU$17&amp;$C35,防護具!$Q$30:$Q$212))-ET35,0)</f>
        <v>0</v>
      </c>
      <c r="EV36" s="642">
        <f>IFERROR(
SUM(EU36,SUMIF(防護具!$Y$30:$Y$212,EV$17&amp;$C35,防護具!$Q$30:$Q$212))-EU35,0)</f>
        <v>0</v>
      </c>
      <c r="EW36" s="642">
        <f>IFERROR(
SUM(EV36,SUMIF(防護具!$Y$30:$Y$212,EW$17&amp;$C35,防護具!$Q$30:$Q$212))-EV35,0)</f>
        <v>0</v>
      </c>
      <c r="EX36" s="642">
        <f>IFERROR(
SUM(EW36,SUMIF(防護具!$Y$30:$Y$212,EX$17&amp;$C35,防護具!$Q$30:$Q$212))-EW35,0)</f>
        <v>0</v>
      </c>
      <c r="EY36" s="642">
        <f>IFERROR(
SUM(EX36,SUMIF(防護具!$Y$30:$Y$212,EY$17&amp;$C35,防護具!$Q$30:$Q$212))-EX35,0)</f>
        <v>0</v>
      </c>
      <c r="EZ36" s="642">
        <f>IFERROR(
SUM(EY36,SUMIF(防護具!$Y$30:$Y$212,EZ$17&amp;$C35,防護具!$Q$30:$Q$212))-EY35,0)</f>
        <v>0</v>
      </c>
      <c r="FA36" s="642">
        <f>IFERROR(
SUM(EZ36,SUMIF(防護具!$Y$30:$Y$212,FA$17&amp;$C35,防護具!$Q$30:$Q$212))-EZ35,0)</f>
        <v>0</v>
      </c>
      <c r="FB36" s="642">
        <f>IFERROR(
SUM(FA36,SUMIF(防護具!$Y$30:$Y$212,FB$17&amp;$C35,防護具!$Q$30:$Q$212))-FA35,0)</f>
        <v>0</v>
      </c>
      <c r="FC36" s="642">
        <f>IFERROR(
SUM(FB36,SUMIF(防護具!$Y$30:$Y$212,FC$17&amp;$C35,防護具!$Q$30:$Q$212))-FB35,0)</f>
        <v>0</v>
      </c>
      <c r="FD36" s="642">
        <f>IFERROR(
SUM(FC36,SUMIF(防護具!$Y$30:$Y$212,FD$17&amp;$C35,防護具!$Q$30:$Q$212))-FC35,0)</f>
        <v>0</v>
      </c>
      <c r="FE36" s="642">
        <f>IFERROR(
SUM(FD36,SUMIF(防護具!$Y$30:$Y$212,FE$17&amp;$C35,防護具!$Q$30:$Q$212))-FD35,0)</f>
        <v>0</v>
      </c>
      <c r="FF36" s="642">
        <f>IFERROR(
SUM(FE36,SUMIF(防護具!$Y$30:$Y$212,FF$17&amp;$C35,防護具!$Q$30:$Q$212))-FE35,0)</f>
        <v>0</v>
      </c>
      <c r="FG36" s="642">
        <f>IFERROR(
SUM(FF36,SUMIF(防護具!$Y$30:$Y$212,FG$17&amp;$C35,防護具!$Q$30:$Q$212))-FF35,0)</f>
        <v>0</v>
      </c>
      <c r="FH36" s="642">
        <f>IFERROR(
SUM(FG36,SUMIF(防護具!$Y$30:$Y$212,FH$17&amp;$C35,防護具!$Q$30:$Q$212))-FG35,0)</f>
        <v>0</v>
      </c>
      <c r="FI36" s="642">
        <f>IFERROR(
SUM(FH36,SUMIF(防護具!$Y$30:$Y$212,FI$17&amp;$C35,防護具!$Q$30:$Q$212))-FH35,0)</f>
        <v>0</v>
      </c>
      <c r="FJ36" s="642">
        <f>IFERROR(
SUM(FI36,SUMIF(防護具!$Y$30:$Y$212,FJ$17&amp;$C35,防護具!$Q$30:$Q$212))-FI35,0)</f>
        <v>0</v>
      </c>
      <c r="FK36" s="642">
        <f>IFERROR(
SUM(FJ36,SUMIF(防護具!$Y$30:$Y$212,FK$17&amp;$C35,防護具!$Q$30:$Q$212))-FJ35,0)</f>
        <v>0</v>
      </c>
      <c r="FL36" s="642">
        <f>IFERROR(
SUM(FK36,SUMIF(防護具!$Y$30:$Y$212,FL$17&amp;$C35,防護具!$Q$30:$Q$212))-FK35,0)</f>
        <v>0</v>
      </c>
      <c r="FM36" s="642">
        <f>IFERROR(
SUM(FL36,SUMIF(防護具!$Y$30:$Y$212,FM$17&amp;$C35,防護具!$Q$30:$Q$212))-FL35,0)</f>
        <v>0</v>
      </c>
      <c r="FN36" s="642">
        <f>IFERROR(
SUM(FM36,SUMIF(防護具!$Y$30:$Y$212,FN$17&amp;$C35,防護具!$Q$30:$Q$212))-FM35,0)</f>
        <v>0</v>
      </c>
      <c r="FO36" s="642">
        <f>IFERROR(
SUM(FN36,SUMIF(防護具!$Y$30:$Y$212,FO$17&amp;$C35,防護具!$Q$30:$Q$212))-FN35,0)</f>
        <v>0</v>
      </c>
      <c r="FP36" s="642">
        <f>IFERROR(
SUM(FO36,SUMIF(防護具!$Y$30:$Y$212,FP$17&amp;$C35,防護具!$Q$30:$Q$212))-FO35,0)</f>
        <v>0</v>
      </c>
      <c r="FQ36" s="642">
        <f>IFERROR(
SUM(FP36,SUMIF(防護具!$Y$30:$Y$212,FQ$17&amp;$C35,防護具!$Q$30:$Q$212))-FP35,0)</f>
        <v>0</v>
      </c>
      <c r="FR36" s="642">
        <f>IFERROR(
SUM(FQ36,SUMIF(防護具!$Y$30:$Y$212,FR$17&amp;$C35,防護具!$Q$30:$Q$212))-FQ35,0)</f>
        <v>0</v>
      </c>
      <c r="FS36" s="642">
        <f>IFERROR(
SUM(FR36,SUMIF(防護具!$Y$30:$Y$212,FS$17&amp;$C35,防護具!$Q$30:$Q$212))-FR35,0)</f>
        <v>0</v>
      </c>
      <c r="FT36" s="642">
        <f>IFERROR(
SUM(FS36,SUMIF(防護具!$Y$30:$Y$212,FT$17&amp;$C35,防護具!$Q$30:$Q$212))-FS35,0)</f>
        <v>0</v>
      </c>
      <c r="FU36" s="642">
        <f>IFERROR(
SUM(FT36,SUMIF(防護具!$Y$30:$Y$212,FU$17&amp;$C35,防護具!$Q$30:$Q$212))-FT35,0)</f>
        <v>0</v>
      </c>
      <c r="FV36" s="642">
        <f>IFERROR(
SUM(FU36,SUMIF(防護具!$Y$30:$Y$212,FV$17&amp;$C35,防護具!$Q$30:$Q$212))-FU35,0)</f>
        <v>0</v>
      </c>
      <c r="FW36" s="642">
        <f>IFERROR(
SUM(FV36,SUMIF(防護具!$Y$30:$Y$212,FW$17&amp;$C35,防護具!$Q$30:$Q$212))-FV35,0)</f>
        <v>0</v>
      </c>
      <c r="FX36" s="642">
        <f>IFERROR(
SUM(FW36,SUMIF(防護具!$Y$30:$Y$212,FX$17&amp;$C35,防護具!$Q$30:$Q$212))-FW35,0)</f>
        <v>0</v>
      </c>
      <c r="FY36" s="642">
        <f>IFERROR(
SUM(FX36,SUMIF(防護具!$Y$30:$Y$212,FY$17&amp;$C35,防護具!$Q$30:$Q$212))-FX35,0)</f>
        <v>0</v>
      </c>
      <c r="FZ36" s="642">
        <f>IFERROR(
SUM(FY36,SUMIF(防護具!$Y$30:$Y$212,FZ$17&amp;$C35,防護具!$Q$30:$Q$212))-FY35,0)</f>
        <v>0</v>
      </c>
      <c r="GA36" s="642">
        <f>IFERROR(
SUM(FZ36,SUMIF(防護具!$Y$30:$Y$212,GA$17&amp;$C35,防護具!$Q$30:$Q$212))-FZ35,0)</f>
        <v>0</v>
      </c>
      <c r="GB36" s="642">
        <f>IFERROR(
SUM(GA36,SUMIF(防護具!$Y$30:$Y$212,GB$17&amp;$C35,防護具!$Q$30:$Q$212))-GA35,0)</f>
        <v>0</v>
      </c>
      <c r="GC36" s="642">
        <f>IFERROR(
SUM(GB36,SUMIF(防護具!$Y$30:$Y$212,GC$17&amp;$C35,防護具!$Q$30:$Q$212))-GB35,0)</f>
        <v>0</v>
      </c>
      <c r="GD36" s="642">
        <f>IFERROR(
SUM(GC36,SUMIF(防護具!$Y$30:$Y$212,GD$17&amp;$C35,防護具!$Q$30:$Q$212))-GC35,0)</f>
        <v>0</v>
      </c>
      <c r="GE36" s="642">
        <f>IFERROR(
SUM(GD36,SUMIF(防護具!$Y$30:$Y$212,GE$17&amp;$C35,防護具!$Q$30:$Q$212))-GD35,0)</f>
        <v>0</v>
      </c>
      <c r="GF36" s="642">
        <f>IFERROR(
SUM(GE36,SUMIF(防護具!$Y$30:$Y$212,GF$17&amp;$C35,防護具!$Q$30:$Q$212))-GE35,0)</f>
        <v>0</v>
      </c>
      <c r="GG36" s="642">
        <f>IFERROR(
SUM(GF36,SUMIF(防護具!$Y$30:$Y$212,GG$17&amp;$C35,防護具!$Q$30:$Q$212))-GF35,0)</f>
        <v>0</v>
      </c>
      <c r="GH36" s="642">
        <f>IFERROR(
SUM(GG36,SUMIF(防護具!$Y$30:$Y$212,GH$17&amp;$C35,防護具!$Q$30:$Q$212))-GG35,0)</f>
        <v>0</v>
      </c>
      <c r="GI36" s="642">
        <f>IFERROR(
SUM(GH36,SUMIF(防護具!$Y$30:$Y$212,GI$17&amp;$C35,防護具!$Q$30:$Q$212))-GH35,0)</f>
        <v>0</v>
      </c>
      <c r="GJ36" s="642">
        <f>IFERROR(
SUM(GI36,SUMIF(防護具!$Y$30:$Y$212,GJ$17&amp;$C35,防護具!$Q$30:$Q$212))-GI35,0)</f>
        <v>0</v>
      </c>
    </row>
    <row r="37" spans="2:192" s="655" customFormat="1">
      <c r="B37" s="656"/>
      <c r="C37" s="641"/>
      <c r="D37" s="768" t="s">
        <v>1468</v>
      </c>
      <c r="E37" s="773"/>
      <c r="F37" s="706"/>
      <c r="G37" s="642">
        <f>SUMIF(防護具!$Y$13:$Y$29,G$17&amp;PPE差引簿!C35,防護具!$Q$13:$Q$29)</f>
        <v>6000</v>
      </c>
      <c r="H37" s="642">
        <f xml:space="preserve">
IF(G37-VLOOKUP($C35,$C$3:$D$15,2,FALSE)*H$21&lt;0,0,G37-VLOOKUP($C35,$C$3:$D$15,2,FALSE)*H$21)</f>
        <v>6000</v>
      </c>
      <c r="I37" s="642">
        <f t="shared" ref="I37:BT37" si="1098" xml:space="preserve">
IF(H37-VLOOKUP($C35,$C$3:$D$15,2,FALSE)*I$21&lt;0,0,H37-VLOOKUP($C35,$C$3:$D$15,2,FALSE)*I$21)</f>
        <v>6000</v>
      </c>
      <c r="J37" s="642">
        <f t="shared" si="1098"/>
        <v>6000</v>
      </c>
      <c r="K37" s="642">
        <f t="shared" si="1098"/>
        <v>6000</v>
      </c>
      <c r="L37" s="642">
        <f t="shared" si="1098"/>
        <v>6000</v>
      </c>
      <c r="M37" s="642">
        <f t="shared" si="1098"/>
        <v>6000</v>
      </c>
      <c r="N37" s="642">
        <f t="shared" si="1098"/>
        <v>6000</v>
      </c>
      <c r="O37" s="642">
        <f t="shared" si="1098"/>
        <v>6000</v>
      </c>
      <c r="P37" s="642">
        <f t="shared" si="1098"/>
        <v>6000</v>
      </c>
      <c r="Q37" s="642">
        <f t="shared" si="1098"/>
        <v>6000</v>
      </c>
      <c r="R37" s="642">
        <f t="shared" si="1098"/>
        <v>6000</v>
      </c>
      <c r="S37" s="642">
        <f t="shared" si="1098"/>
        <v>6000</v>
      </c>
      <c r="T37" s="642">
        <f t="shared" si="1098"/>
        <v>6000</v>
      </c>
      <c r="U37" s="642">
        <f t="shared" si="1098"/>
        <v>6000</v>
      </c>
      <c r="V37" s="642">
        <f t="shared" si="1098"/>
        <v>6000</v>
      </c>
      <c r="W37" s="642">
        <f t="shared" si="1098"/>
        <v>6000</v>
      </c>
      <c r="X37" s="642">
        <f t="shared" si="1098"/>
        <v>6000</v>
      </c>
      <c r="Y37" s="642">
        <f t="shared" si="1098"/>
        <v>6000</v>
      </c>
      <c r="Z37" s="642">
        <f t="shared" si="1098"/>
        <v>6000</v>
      </c>
      <c r="AA37" s="642">
        <f t="shared" si="1098"/>
        <v>6000</v>
      </c>
      <c r="AB37" s="642">
        <f t="shared" si="1098"/>
        <v>6000</v>
      </c>
      <c r="AC37" s="642">
        <f t="shared" si="1098"/>
        <v>6000</v>
      </c>
      <c r="AD37" s="642">
        <f t="shared" si="1098"/>
        <v>6000</v>
      </c>
      <c r="AE37" s="642">
        <f t="shared" si="1098"/>
        <v>6000</v>
      </c>
      <c r="AF37" s="642">
        <f t="shared" si="1098"/>
        <v>6000</v>
      </c>
      <c r="AG37" s="642">
        <f t="shared" si="1098"/>
        <v>6000</v>
      </c>
      <c r="AH37" s="642">
        <f t="shared" si="1098"/>
        <v>6000</v>
      </c>
      <c r="AI37" s="642">
        <f t="shared" si="1098"/>
        <v>6000</v>
      </c>
      <c r="AJ37" s="642">
        <f t="shared" si="1098"/>
        <v>6000</v>
      </c>
      <c r="AK37" s="642">
        <f t="shared" si="1098"/>
        <v>6000</v>
      </c>
      <c r="AL37" s="642">
        <f t="shared" si="1098"/>
        <v>6000</v>
      </c>
      <c r="AM37" s="642">
        <f t="shared" si="1098"/>
        <v>6000</v>
      </c>
      <c r="AN37" s="642">
        <f t="shared" si="1098"/>
        <v>6000</v>
      </c>
      <c r="AO37" s="642">
        <f t="shared" si="1098"/>
        <v>6000</v>
      </c>
      <c r="AP37" s="642">
        <f t="shared" si="1098"/>
        <v>6000</v>
      </c>
      <c r="AQ37" s="642">
        <f t="shared" si="1098"/>
        <v>6000</v>
      </c>
      <c r="AR37" s="642">
        <f t="shared" si="1098"/>
        <v>6000</v>
      </c>
      <c r="AS37" s="642">
        <f t="shared" si="1098"/>
        <v>6000</v>
      </c>
      <c r="AT37" s="642">
        <f t="shared" si="1098"/>
        <v>6000</v>
      </c>
      <c r="AU37" s="642">
        <f t="shared" si="1098"/>
        <v>6000</v>
      </c>
      <c r="AV37" s="642">
        <f t="shared" si="1098"/>
        <v>6000</v>
      </c>
      <c r="AW37" s="642">
        <f t="shared" si="1098"/>
        <v>6000</v>
      </c>
      <c r="AX37" s="642">
        <f t="shared" si="1098"/>
        <v>6000</v>
      </c>
      <c r="AY37" s="642">
        <f t="shared" si="1098"/>
        <v>6000</v>
      </c>
      <c r="AZ37" s="642">
        <f t="shared" si="1098"/>
        <v>6000</v>
      </c>
      <c r="BA37" s="642">
        <f t="shared" si="1098"/>
        <v>6000</v>
      </c>
      <c r="BB37" s="642">
        <f t="shared" si="1098"/>
        <v>6000</v>
      </c>
      <c r="BC37" s="642">
        <f t="shared" si="1098"/>
        <v>6000</v>
      </c>
      <c r="BD37" s="642">
        <f t="shared" si="1098"/>
        <v>6000</v>
      </c>
      <c r="BE37" s="642">
        <f t="shared" si="1098"/>
        <v>6000</v>
      </c>
      <c r="BF37" s="642">
        <f t="shared" si="1098"/>
        <v>6000</v>
      </c>
      <c r="BG37" s="642">
        <f t="shared" si="1098"/>
        <v>6000</v>
      </c>
      <c r="BH37" s="642">
        <f t="shared" si="1098"/>
        <v>6000</v>
      </c>
      <c r="BI37" s="642">
        <f t="shared" si="1098"/>
        <v>6000</v>
      </c>
      <c r="BJ37" s="642">
        <f t="shared" si="1098"/>
        <v>6000</v>
      </c>
      <c r="BK37" s="642">
        <f t="shared" si="1098"/>
        <v>6000</v>
      </c>
      <c r="BL37" s="642">
        <f t="shared" si="1098"/>
        <v>6000</v>
      </c>
      <c r="BM37" s="642">
        <f t="shared" si="1098"/>
        <v>6000</v>
      </c>
      <c r="BN37" s="642">
        <f t="shared" si="1098"/>
        <v>6000</v>
      </c>
      <c r="BO37" s="642">
        <f t="shared" si="1098"/>
        <v>6000</v>
      </c>
      <c r="BP37" s="642">
        <f t="shared" si="1098"/>
        <v>6000</v>
      </c>
      <c r="BQ37" s="642">
        <f t="shared" si="1098"/>
        <v>6000</v>
      </c>
      <c r="BR37" s="642">
        <f t="shared" si="1098"/>
        <v>6000</v>
      </c>
      <c r="BS37" s="642">
        <f t="shared" si="1098"/>
        <v>6000</v>
      </c>
      <c r="BT37" s="642">
        <f t="shared" si="1098"/>
        <v>6000</v>
      </c>
      <c r="BU37" s="642">
        <f t="shared" ref="BU37:EF37" si="1099" xml:space="preserve">
IF(BT37-VLOOKUP($C35,$C$3:$D$15,2,FALSE)*BU$21&lt;0,0,BT37-VLOOKUP($C35,$C$3:$D$15,2,FALSE)*BU$21)</f>
        <v>6000</v>
      </c>
      <c r="BV37" s="642">
        <f t="shared" si="1099"/>
        <v>6000</v>
      </c>
      <c r="BW37" s="642">
        <f t="shared" si="1099"/>
        <v>6000</v>
      </c>
      <c r="BX37" s="642">
        <f t="shared" si="1099"/>
        <v>6000</v>
      </c>
      <c r="BY37" s="642">
        <f t="shared" si="1099"/>
        <v>6000</v>
      </c>
      <c r="BZ37" s="642">
        <f t="shared" si="1099"/>
        <v>6000</v>
      </c>
      <c r="CA37" s="642">
        <f t="shared" si="1099"/>
        <v>6000</v>
      </c>
      <c r="CB37" s="642">
        <f t="shared" si="1099"/>
        <v>6000</v>
      </c>
      <c r="CC37" s="642">
        <f t="shared" si="1099"/>
        <v>6000</v>
      </c>
      <c r="CD37" s="642">
        <f t="shared" si="1099"/>
        <v>6000</v>
      </c>
      <c r="CE37" s="642">
        <f t="shared" si="1099"/>
        <v>6000</v>
      </c>
      <c r="CF37" s="642">
        <f t="shared" si="1099"/>
        <v>6000</v>
      </c>
      <c r="CG37" s="642">
        <f t="shared" si="1099"/>
        <v>6000</v>
      </c>
      <c r="CH37" s="642">
        <f t="shared" si="1099"/>
        <v>6000</v>
      </c>
      <c r="CI37" s="642">
        <f t="shared" si="1099"/>
        <v>6000</v>
      </c>
      <c r="CJ37" s="642">
        <f t="shared" si="1099"/>
        <v>6000</v>
      </c>
      <c r="CK37" s="642">
        <f t="shared" si="1099"/>
        <v>6000</v>
      </c>
      <c r="CL37" s="642">
        <f t="shared" si="1099"/>
        <v>6000</v>
      </c>
      <c r="CM37" s="642">
        <f t="shared" si="1099"/>
        <v>6000</v>
      </c>
      <c r="CN37" s="642">
        <f t="shared" si="1099"/>
        <v>6000</v>
      </c>
      <c r="CO37" s="642">
        <f t="shared" si="1099"/>
        <v>6000</v>
      </c>
      <c r="CP37" s="642">
        <f t="shared" si="1099"/>
        <v>6000</v>
      </c>
      <c r="CQ37" s="642">
        <f t="shared" si="1099"/>
        <v>6000</v>
      </c>
      <c r="CR37" s="642">
        <f t="shared" si="1099"/>
        <v>6000</v>
      </c>
      <c r="CS37" s="642">
        <f t="shared" si="1099"/>
        <v>6000</v>
      </c>
      <c r="CT37" s="642">
        <f t="shared" si="1099"/>
        <v>6000</v>
      </c>
      <c r="CU37" s="642">
        <f t="shared" si="1099"/>
        <v>6000</v>
      </c>
      <c r="CV37" s="642">
        <f t="shared" si="1099"/>
        <v>6000</v>
      </c>
      <c r="CW37" s="642">
        <f t="shared" si="1099"/>
        <v>6000</v>
      </c>
      <c r="CX37" s="642">
        <f t="shared" si="1099"/>
        <v>6000</v>
      </c>
      <c r="CY37" s="642">
        <f t="shared" si="1099"/>
        <v>6000</v>
      </c>
      <c r="CZ37" s="642">
        <f t="shared" si="1099"/>
        <v>6000</v>
      </c>
      <c r="DA37" s="642">
        <f t="shared" si="1099"/>
        <v>6000</v>
      </c>
      <c r="DB37" s="642">
        <f t="shared" si="1099"/>
        <v>6000</v>
      </c>
      <c r="DC37" s="642">
        <f t="shared" si="1099"/>
        <v>6000</v>
      </c>
      <c r="DD37" s="642">
        <f t="shared" si="1099"/>
        <v>6000</v>
      </c>
      <c r="DE37" s="642">
        <f t="shared" si="1099"/>
        <v>6000</v>
      </c>
      <c r="DF37" s="642">
        <f t="shared" si="1099"/>
        <v>6000</v>
      </c>
      <c r="DG37" s="642">
        <f t="shared" si="1099"/>
        <v>6000</v>
      </c>
      <c r="DH37" s="642">
        <f t="shared" si="1099"/>
        <v>6000</v>
      </c>
      <c r="DI37" s="642">
        <f t="shared" si="1099"/>
        <v>6000</v>
      </c>
      <c r="DJ37" s="642">
        <f t="shared" si="1099"/>
        <v>6000</v>
      </c>
      <c r="DK37" s="642">
        <f t="shared" si="1099"/>
        <v>6000</v>
      </c>
      <c r="DL37" s="642">
        <f t="shared" si="1099"/>
        <v>6000</v>
      </c>
      <c r="DM37" s="642">
        <f t="shared" si="1099"/>
        <v>6000</v>
      </c>
      <c r="DN37" s="642">
        <f t="shared" si="1099"/>
        <v>6000</v>
      </c>
      <c r="DO37" s="642">
        <f t="shared" si="1099"/>
        <v>6000</v>
      </c>
      <c r="DP37" s="642">
        <f t="shared" si="1099"/>
        <v>6000</v>
      </c>
      <c r="DQ37" s="642">
        <f t="shared" si="1099"/>
        <v>6000</v>
      </c>
      <c r="DR37" s="642">
        <f t="shared" si="1099"/>
        <v>6000</v>
      </c>
      <c r="DS37" s="642">
        <f t="shared" si="1099"/>
        <v>6000</v>
      </c>
      <c r="DT37" s="642">
        <f t="shared" si="1099"/>
        <v>6000</v>
      </c>
      <c r="DU37" s="642">
        <f t="shared" si="1099"/>
        <v>6000</v>
      </c>
      <c r="DV37" s="642">
        <f t="shared" si="1099"/>
        <v>6000</v>
      </c>
      <c r="DW37" s="642">
        <f t="shared" si="1099"/>
        <v>6000</v>
      </c>
      <c r="DX37" s="642">
        <f t="shared" si="1099"/>
        <v>6000</v>
      </c>
      <c r="DY37" s="642">
        <f t="shared" si="1099"/>
        <v>6000</v>
      </c>
      <c r="DZ37" s="642">
        <f t="shared" si="1099"/>
        <v>6000</v>
      </c>
      <c r="EA37" s="642">
        <f t="shared" si="1099"/>
        <v>6000</v>
      </c>
      <c r="EB37" s="642">
        <f t="shared" si="1099"/>
        <v>6000</v>
      </c>
      <c r="EC37" s="642">
        <f t="shared" si="1099"/>
        <v>6000</v>
      </c>
      <c r="ED37" s="642">
        <f t="shared" si="1099"/>
        <v>6000</v>
      </c>
      <c r="EE37" s="642">
        <f t="shared" si="1099"/>
        <v>6000</v>
      </c>
      <c r="EF37" s="642">
        <f t="shared" si="1099"/>
        <v>6000</v>
      </c>
      <c r="EG37" s="642">
        <f t="shared" ref="EG37:GJ37" si="1100" xml:space="preserve">
IF(EF37-VLOOKUP($C35,$C$3:$D$15,2,FALSE)*EG$21&lt;0,0,EF37-VLOOKUP($C35,$C$3:$D$15,2,FALSE)*EG$21)</f>
        <v>6000</v>
      </c>
      <c r="EH37" s="642">
        <f t="shared" si="1100"/>
        <v>6000</v>
      </c>
      <c r="EI37" s="642">
        <f t="shared" si="1100"/>
        <v>6000</v>
      </c>
      <c r="EJ37" s="642">
        <f t="shared" si="1100"/>
        <v>6000</v>
      </c>
      <c r="EK37" s="642">
        <f t="shared" si="1100"/>
        <v>6000</v>
      </c>
      <c r="EL37" s="642">
        <f t="shared" si="1100"/>
        <v>6000</v>
      </c>
      <c r="EM37" s="642">
        <f t="shared" si="1100"/>
        <v>6000</v>
      </c>
      <c r="EN37" s="642">
        <f t="shared" si="1100"/>
        <v>6000</v>
      </c>
      <c r="EO37" s="642">
        <f t="shared" si="1100"/>
        <v>6000</v>
      </c>
      <c r="EP37" s="642">
        <f t="shared" si="1100"/>
        <v>6000</v>
      </c>
      <c r="EQ37" s="642">
        <f t="shared" si="1100"/>
        <v>6000</v>
      </c>
      <c r="ER37" s="642">
        <f t="shared" si="1100"/>
        <v>6000</v>
      </c>
      <c r="ES37" s="642">
        <f t="shared" si="1100"/>
        <v>6000</v>
      </c>
      <c r="ET37" s="642">
        <f t="shared" si="1100"/>
        <v>6000</v>
      </c>
      <c r="EU37" s="642">
        <f t="shared" si="1100"/>
        <v>6000</v>
      </c>
      <c r="EV37" s="642">
        <f t="shared" si="1100"/>
        <v>6000</v>
      </c>
      <c r="EW37" s="642">
        <f t="shared" si="1100"/>
        <v>6000</v>
      </c>
      <c r="EX37" s="642">
        <f t="shared" si="1100"/>
        <v>6000</v>
      </c>
      <c r="EY37" s="642">
        <f t="shared" si="1100"/>
        <v>6000</v>
      </c>
      <c r="EZ37" s="642">
        <f t="shared" si="1100"/>
        <v>6000</v>
      </c>
      <c r="FA37" s="642">
        <f t="shared" si="1100"/>
        <v>6000</v>
      </c>
      <c r="FB37" s="642">
        <f t="shared" si="1100"/>
        <v>6000</v>
      </c>
      <c r="FC37" s="642">
        <f t="shared" si="1100"/>
        <v>6000</v>
      </c>
      <c r="FD37" s="642">
        <f t="shared" si="1100"/>
        <v>6000</v>
      </c>
      <c r="FE37" s="642">
        <f t="shared" si="1100"/>
        <v>6000</v>
      </c>
      <c r="FF37" s="642">
        <f t="shared" si="1100"/>
        <v>6000</v>
      </c>
      <c r="FG37" s="642">
        <f t="shared" si="1100"/>
        <v>6000</v>
      </c>
      <c r="FH37" s="642">
        <f t="shared" si="1100"/>
        <v>6000</v>
      </c>
      <c r="FI37" s="642">
        <f t="shared" si="1100"/>
        <v>6000</v>
      </c>
      <c r="FJ37" s="642">
        <f t="shared" si="1100"/>
        <v>6000</v>
      </c>
      <c r="FK37" s="642">
        <f t="shared" si="1100"/>
        <v>6000</v>
      </c>
      <c r="FL37" s="642">
        <f t="shared" si="1100"/>
        <v>6000</v>
      </c>
      <c r="FM37" s="642">
        <f t="shared" si="1100"/>
        <v>6000</v>
      </c>
      <c r="FN37" s="642">
        <f t="shared" si="1100"/>
        <v>6000</v>
      </c>
      <c r="FO37" s="642">
        <f t="shared" si="1100"/>
        <v>6000</v>
      </c>
      <c r="FP37" s="642">
        <f t="shared" si="1100"/>
        <v>6000</v>
      </c>
      <c r="FQ37" s="642">
        <f t="shared" si="1100"/>
        <v>6000</v>
      </c>
      <c r="FR37" s="642">
        <f t="shared" si="1100"/>
        <v>6000</v>
      </c>
      <c r="FS37" s="642">
        <f t="shared" si="1100"/>
        <v>6000</v>
      </c>
      <c r="FT37" s="642">
        <f t="shared" si="1100"/>
        <v>6000</v>
      </c>
      <c r="FU37" s="642">
        <f t="shared" si="1100"/>
        <v>6000</v>
      </c>
      <c r="FV37" s="642">
        <f t="shared" si="1100"/>
        <v>6000</v>
      </c>
      <c r="FW37" s="642">
        <f t="shared" si="1100"/>
        <v>6000</v>
      </c>
      <c r="FX37" s="642">
        <f t="shared" si="1100"/>
        <v>6000</v>
      </c>
      <c r="FY37" s="642">
        <f t="shared" si="1100"/>
        <v>6000</v>
      </c>
      <c r="FZ37" s="642">
        <f t="shared" si="1100"/>
        <v>6000</v>
      </c>
      <c r="GA37" s="642">
        <f t="shared" si="1100"/>
        <v>6000</v>
      </c>
      <c r="GB37" s="642">
        <f t="shared" si="1100"/>
        <v>6000</v>
      </c>
      <c r="GC37" s="642">
        <f t="shared" si="1100"/>
        <v>6000</v>
      </c>
      <c r="GD37" s="642">
        <f t="shared" si="1100"/>
        <v>6000</v>
      </c>
      <c r="GE37" s="642">
        <f t="shared" si="1100"/>
        <v>6000</v>
      </c>
      <c r="GF37" s="642">
        <f t="shared" si="1100"/>
        <v>6000</v>
      </c>
      <c r="GG37" s="642">
        <f t="shared" si="1100"/>
        <v>6000</v>
      </c>
      <c r="GH37" s="642">
        <f t="shared" si="1100"/>
        <v>6000</v>
      </c>
      <c r="GI37" s="642">
        <f t="shared" si="1100"/>
        <v>6000</v>
      </c>
      <c r="GJ37" s="642">
        <f t="shared" si="1100"/>
        <v>6000</v>
      </c>
    </row>
    <row r="38" spans="2:192" s="645" customFormat="1">
      <c r="B38" s="654"/>
      <c r="C38" s="643" t="s">
        <v>1260</v>
      </c>
      <c r="D38" s="769" t="s">
        <v>1466</v>
      </c>
      <c r="E38" s="774"/>
      <c r="F38" s="707"/>
      <c r="G38" s="644">
        <f xml:space="preserve">
MIN(G39,
IF((VLOOKUP($C38,$C$3:$D$15,2,FALSE)*G$21-G40)&lt;0,0,VLOOKUP($C38,$C$3:$D$15,2,FALSE)*G$21-G40))</f>
        <v>0</v>
      </c>
      <c r="H38" s="644">
        <f t="shared" ref="H38" si="1101" xml:space="preserve">
IF(G40&gt;=VLOOKUP($C38,$C$3:$D$15,2,FALSE)*H$21,0,
IF(AND(G40&lt;VLOOKUP($C38,$C$3:$D$15,2,FALSE)*H$21,H39&lt;=VLOOKUP($C38,$C$3:$D$15,2,FALSE)*H$21),IF(H39-G40&lt;0,0,H39-G40),
IF(AND(G40&lt;VLOOKUP($C38,$C$3:$D$15,2,FALSE)*H$21,H39&gt;VLOOKUP($C38,$C$3:$D$15,2,FALSE)*H$21),VLOOKUP($C38,$C$3:$D$15,2,FALSE)*H$21-G40)))</f>
        <v>0</v>
      </c>
      <c r="I38" s="644">
        <f t="shared" ref="I38" si="1102" xml:space="preserve">
IF(H40&gt;=VLOOKUP($C38,$C$3:$D$15,2,FALSE)*I$21,0,
IF(AND(H40&lt;VLOOKUP($C38,$C$3:$D$15,2,FALSE)*I$21,I39&lt;=VLOOKUP($C38,$C$3:$D$15,2,FALSE)*I$21),IF(I39-H40&lt;0,0,I39-H40),
IF(AND(H40&lt;VLOOKUP($C38,$C$3:$D$15,2,FALSE)*I$21,I39&gt;VLOOKUP($C38,$C$3:$D$15,2,FALSE)*I$21),VLOOKUP($C38,$C$3:$D$15,2,FALSE)*I$21-H40)))</f>
        <v>0</v>
      </c>
      <c r="J38" s="644">
        <f t="shared" ref="J38" si="1103" xml:space="preserve">
IF(I40&gt;=VLOOKUP($C38,$C$3:$D$15,2,FALSE)*J$21,0,
IF(AND(I40&lt;VLOOKUP($C38,$C$3:$D$15,2,FALSE)*J$21,J39&lt;=VLOOKUP($C38,$C$3:$D$15,2,FALSE)*J$21),IF(J39-I40&lt;0,0,J39-I40),
IF(AND(I40&lt;VLOOKUP($C38,$C$3:$D$15,2,FALSE)*J$21,J39&gt;VLOOKUP($C38,$C$3:$D$15,2,FALSE)*J$21),VLOOKUP($C38,$C$3:$D$15,2,FALSE)*J$21-I40)))</f>
        <v>0</v>
      </c>
      <c r="K38" s="644">
        <f t="shared" ref="K38" si="1104" xml:space="preserve">
IF(J40&gt;=VLOOKUP($C38,$C$3:$D$15,2,FALSE)*K$21,0,
IF(AND(J40&lt;VLOOKUP($C38,$C$3:$D$15,2,FALSE)*K$21,K39&lt;=VLOOKUP($C38,$C$3:$D$15,2,FALSE)*K$21),IF(K39-J40&lt;0,0,K39-J40),
IF(AND(J40&lt;VLOOKUP($C38,$C$3:$D$15,2,FALSE)*K$21,K39&gt;VLOOKUP($C38,$C$3:$D$15,2,FALSE)*K$21),VLOOKUP($C38,$C$3:$D$15,2,FALSE)*K$21-J40)))</f>
        <v>0</v>
      </c>
      <c r="L38" s="644">
        <f t="shared" ref="L38" si="1105" xml:space="preserve">
IF(K40&gt;=VLOOKUP($C38,$C$3:$D$15,2,FALSE)*L$21,0,
IF(AND(K40&lt;VLOOKUP($C38,$C$3:$D$15,2,FALSE)*L$21,L39&lt;=VLOOKUP($C38,$C$3:$D$15,2,FALSE)*L$21),IF(L39-K40&lt;0,0,L39-K40),
IF(AND(K40&lt;VLOOKUP($C38,$C$3:$D$15,2,FALSE)*L$21,L39&gt;VLOOKUP($C38,$C$3:$D$15,2,FALSE)*L$21),VLOOKUP($C38,$C$3:$D$15,2,FALSE)*L$21-K40)))</f>
        <v>0</v>
      </c>
      <c r="M38" s="644">
        <f t="shared" ref="M38" si="1106" xml:space="preserve">
IF(L40&gt;=VLOOKUP($C38,$C$3:$D$15,2,FALSE)*M$21,0,
IF(AND(L40&lt;VLOOKUP($C38,$C$3:$D$15,2,FALSE)*M$21,M39&lt;=VLOOKUP($C38,$C$3:$D$15,2,FALSE)*M$21),IF(M39-L40&lt;0,0,M39-L40),
IF(AND(L40&lt;VLOOKUP($C38,$C$3:$D$15,2,FALSE)*M$21,M39&gt;VLOOKUP($C38,$C$3:$D$15,2,FALSE)*M$21),VLOOKUP($C38,$C$3:$D$15,2,FALSE)*M$21-L40)))</f>
        <v>0</v>
      </c>
      <c r="N38" s="644">
        <f t="shared" ref="N38" si="1107" xml:space="preserve">
IF(M40&gt;=VLOOKUP($C38,$C$3:$D$15,2,FALSE)*N$21,0,
IF(AND(M40&lt;VLOOKUP($C38,$C$3:$D$15,2,FALSE)*N$21,N39&lt;=VLOOKUP($C38,$C$3:$D$15,2,FALSE)*N$21),IF(N39-M40&lt;0,0,N39-M40),
IF(AND(M40&lt;VLOOKUP($C38,$C$3:$D$15,2,FALSE)*N$21,N39&gt;VLOOKUP($C38,$C$3:$D$15,2,FALSE)*N$21),VLOOKUP($C38,$C$3:$D$15,2,FALSE)*N$21-M40)))</f>
        <v>0</v>
      </c>
      <c r="O38" s="644">
        <f t="shared" ref="O38" si="1108" xml:space="preserve">
IF(N40&gt;=VLOOKUP($C38,$C$3:$D$15,2,FALSE)*O$21,0,
IF(AND(N40&lt;VLOOKUP($C38,$C$3:$D$15,2,FALSE)*O$21,O39&lt;=VLOOKUP($C38,$C$3:$D$15,2,FALSE)*O$21),IF(O39-N40&lt;0,0,O39-N40),
IF(AND(N40&lt;VLOOKUP($C38,$C$3:$D$15,2,FALSE)*O$21,O39&gt;VLOOKUP($C38,$C$3:$D$15,2,FALSE)*O$21),VLOOKUP($C38,$C$3:$D$15,2,FALSE)*O$21-N40)))</f>
        <v>0</v>
      </c>
      <c r="P38" s="644">
        <f t="shared" ref="P38" si="1109" xml:space="preserve">
IF(O40&gt;=VLOOKUP($C38,$C$3:$D$15,2,FALSE)*P$21,0,
IF(AND(O40&lt;VLOOKUP($C38,$C$3:$D$15,2,FALSE)*P$21,P39&lt;=VLOOKUP($C38,$C$3:$D$15,2,FALSE)*P$21),IF(P39-O40&lt;0,0,P39-O40),
IF(AND(O40&lt;VLOOKUP($C38,$C$3:$D$15,2,FALSE)*P$21,P39&gt;VLOOKUP($C38,$C$3:$D$15,2,FALSE)*P$21),VLOOKUP($C38,$C$3:$D$15,2,FALSE)*P$21-O40)))</f>
        <v>0</v>
      </c>
      <c r="Q38" s="644">
        <f t="shared" ref="Q38" si="1110" xml:space="preserve">
IF(P40&gt;=VLOOKUP($C38,$C$3:$D$15,2,FALSE)*Q$21,0,
IF(AND(P40&lt;VLOOKUP($C38,$C$3:$D$15,2,FALSE)*Q$21,Q39&lt;=VLOOKUP($C38,$C$3:$D$15,2,FALSE)*Q$21),IF(Q39-P40&lt;0,0,Q39-P40),
IF(AND(P40&lt;VLOOKUP($C38,$C$3:$D$15,2,FALSE)*Q$21,Q39&gt;VLOOKUP($C38,$C$3:$D$15,2,FALSE)*Q$21),VLOOKUP($C38,$C$3:$D$15,2,FALSE)*Q$21-P40)))</f>
        <v>0</v>
      </c>
      <c r="R38" s="644">
        <f t="shared" ref="R38" si="1111" xml:space="preserve">
IF(Q40&gt;=VLOOKUP($C38,$C$3:$D$15,2,FALSE)*R$21,0,
IF(AND(Q40&lt;VLOOKUP($C38,$C$3:$D$15,2,FALSE)*R$21,R39&lt;=VLOOKUP($C38,$C$3:$D$15,2,FALSE)*R$21),IF(R39-Q40&lt;0,0,R39-Q40),
IF(AND(Q40&lt;VLOOKUP($C38,$C$3:$D$15,2,FALSE)*R$21,R39&gt;VLOOKUP($C38,$C$3:$D$15,2,FALSE)*R$21),VLOOKUP($C38,$C$3:$D$15,2,FALSE)*R$21-Q40)))</f>
        <v>0</v>
      </c>
      <c r="S38" s="644">
        <f t="shared" ref="S38" si="1112" xml:space="preserve">
IF(R40&gt;=VLOOKUP($C38,$C$3:$D$15,2,FALSE)*S$21,0,
IF(AND(R40&lt;VLOOKUP($C38,$C$3:$D$15,2,FALSE)*S$21,S39&lt;=VLOOKUP($C38,$C$3:$D$15,2,FALSE)*S$21),IF(S39-R40&lt;0,0,S39-R40),
IF(AND(R40&lt;VLOOKUP($C38,$C$3:$D$15,2,FALSE)*S$21,S39&gt;VLOOKUP($C38,$C$3:$D$15,2,FALSE)*S$21),VLOOKUP($C38,$C$3:$D$15,2,FALSE)*S$21-R40)))</f>
        <v>0</v>
      </c>
      <c r="T38" s="644">
        <f t="shared" ref="T38" si="1113" xml:space="preserve">
IF(S40&gt;=VLOOKUP($C38,$C$3:$D$15,2,FALSE)*T$21,0,
IF(AND(S40&lt;VLOOKUP($C38,$C$3:$D$15,2,FALSE)*T$21,T39&lt;=VLOOKUP($C38,$C$3:$D$15,2,FALSE)*T$21),IF(T39-S40&lt;0,0,T39-S40),
IF(AND(S40&lt;VLOOKUP($C38,$C$3:$D$15,2,FALSE)*T$21,T39&gt;VLOOKUP($C38,$C$3:$D$15,2,FALSE)*T$21),VLOOKUP($C38,$C$3:$D$15,2,FALSE)*T$21-S40)))</f>
        <v>0</v>
      </c>
      <c r="U38" s="644">
        <f t="shared" ref="U38" si="1114" xml:space="preserve">
IF(T40&gt;=VLOOKUP($C38,$C$3:$D$15,2,FALSE)*U$21,0,
IF(AND(T40&lt;VLOOKUP($C38,$C$3:$D$15,2,FALSE)*U$21,U39&lt;=VLOOKUP($C38,$C$3:$D$15,2,FALSE)*U$21),IF(U39-T40&lt;0,0,U39-T40),
IF(AND(T40&lt;VLOOKUP($C38,$C$3:$D$15,2,FALSE)*U$21,U39&gt;VLOOKUP($C38,$C$3:$D$15,2,FALSE)*U$21),VLOOKUP($C38,$C$3:$D$15,2,FALSE)*U$21-T40)))</f>
        <v>0</v>
      </c>
      <c r="V38" s="644">
        <f t="shared" ref="V38" si="1115" xml:space="preserve">
IF(U40&gt;=VLOOKUP($C38,$C$3:$D$15,2,FALSE)*V$21,0,
IF(AND(U40&lt;VLOOKUP($C38,$C$3:$D$15,2,FALSE)*V$21,V39&lt;=VLOOKUP($C38,$C$3:$D$15,2,FALSE)*V$21),IF(V39-U40&lt;0,0,V39-U40),
IF(AND(U40&lt;VLOOKUP($C38,$C$3:$D$15,2,FALSE)*V$21,V39&gt;VLOOKUP($C38,$C$3:$D$15,2,FALSE)*V$21),VLOOKUP($C38,$C$3:$D$15,2,FALSE)*V$21-U40)))</f>
        <v>0</v>
      </c>
      <c r="W38" s="644">
        <f t="shared" ref="W38" si="1116" xml:space="preserve">
IF(V40&gt;=VLOOKUP($C38,$C$3:$D$15,2,FALSE)*W$21,0,
IF(AND(V40&lt;VLOOKUP($C38,$C$3:$D$15,2,FALSE)*W$21,W39&lt;=VLOOKUP($C38,$C$3:$D$15,2,FALSE)*W$21),IF(W39-V40&lt;0,0,W39-V40),
IF(AND(V40&lt;VLOOKUP($C38,$C$3:$D$15,2,FALSE)*W$21,W39&gt;VLOOKUP($C38,$C$3:$D$15,2,FALSE)*W$21),VLOOKUP($C38,$C$3:$D$15,2,FALSE)*W$21-V40)))</f>
        <v>0</v>
      </c>
      <c r="X38" s="644">
        <f t="shared" ref="X38" si="1117" xml:space="preserve">
IF(W40&gt;=VLOOKUP($C38,$C$3:$D$15,2,FALSE)*X$21,0,
IF(AND(W40&lt;VLOOKUP($C38,$C$3:$D$15,2,FALSE)*X$21,X39&lt;=VLOOKUP($C38,$C$3:$D$15,2,FALSE)*X$21),IF(X39-W40&lt;0,0,X39-W40),
IF(AND(W40&lt;VLOOKUP($C38,$C$3:$D$15,2,FALSE)*X$21,X39&gt;VLOOKUP($C38,$C$3:$D$15,2,FALSE)*X$21),VLOOKUP($C38,$C$3:$D$15,2,FALSE)*X$21-W40)))</f>
        <v>0</v>
      </c>
      <c r="Y38" s="644">
        <f t="shared" ref="Y38" si="1118" xml:space="preserve">
IF(X40&gt;=VLOOKUP($C38,$C$3:$D$15,2,FALSE)*Y$21,0,
IF(AND(X40&lt;VLOOKUP($C38,$C$3:$D$15,2,FALSE)*Y$21,Y39&lt;=VLOOKUP($C38,$C$3:$D$15,2,FALSE)*Y$21),IF(Y39-X40&lt;0,0,Y39-X40),
IF(AND(X40&lt;VLOOKUP($C38,$C$3:$D$15,2,FALSE)*Y$21,Y39&gt;VLOOKUP($C38,$C$3:$D$15,2,FALSE)*Y$21),VLOOKUP($C38,$C$3:$D$15,2,FALSE)*Y$21-X40)))</f>
        <v>0</v>
      </c>
      <c r="Z38" s="644">
        <f t="shared" ref="Z38" si="1119" xml:space="preserve">
IF(Y40&gt;=VLOOKUP($C38,$C$3:$D$15,2,FALSE)*Z$21,0,
IF(AND(Y40&lt;VLOOKUP($C38,$C$3:$D$15,2,FALSE)*Z$21,Z39&lt;=VLOOKUP($C38,$C$3:$D$15,2,FALSE)*Z$21),IF(Z39-Y40&lt;0,0,Z39-Y40),
IF(AND(Y40&lt;VLOOKUP($C38,$C$3:$D$15,2,FALSE)*Z$21,Z39&gt;VLOOKUP($C38,$C$3:$D$15,2,FALSE)*Z$21),VLOOKUP($C38,$C$3:$D$15,2,FALSE)*Z$21-Y40)))</f>
        <v>0</v>
      </c>
      <c r="AA38" s="644">
        <f t="shared" ref="AA38" si="1120" xml:space="preserve">
IF(Z40&gt;=VLOOKUP($C38,$C$3:$D$15,2,FALSE)*AA$21,0,
IF(AND(Z40&lt;VLOOKUP($C38,$C$3:$D$15,2,FALSE)*AA$21,AA39&lt;=VLOOKUP($C38,$C$3:$D$15,2,FALSE)*AA$21),IF(AA39-Z40&lt;0,0,AA39-Z40),
IF(AND(Z40&lt;VLOOKUP($C38,$C$3:$D$15,2,FALSE)*AA$21,AA39&gt;VLOOKUP($C38,$C$3:$D$15,2,FALSE)*AA$21),VLOOKUP($C38,$C$3:$D$15,2,FALSE)*AA$21-Z40)))</f>
        <v>0</v>
      </c>
      <c r="AB38" s="644">
        <f t="shared" ref="AB38" si="1121" xml:space="preserve">
IF(AA40&gt;=VLOOKUP($C38,$C$3:$D$15,2,FALSE)*AB$21,0,
IF(AND(AA40&lt;VLOOKUP($C38,$C$3:$D$15,2,FALSE)*AB$21,AB39&lt;=VLOOKUP($C38,$C$3:$D$15,2,FALSE)*AB$21),IF(AB39-AA40&lt;0,0,AB39-AA40),
IF(AND(AA40&lt;VLOOKUP($C38,$C$3:$D$15,2,FALSE)*AB$21,AB39&gt;VLOOKUP($C38,$C$3:$D$15,2,FALSE)*AB$21),VLOOKUP($C38,$C$3:$D$15,2,FALSE)*AB$21-AA40)))</f>
        <v>0</v>
      </c>
      <c r="AC38" s="644">
        <f t="shared" ref="AC38" si="1122" xml:space="preserve">
IF(AB40&gt;=VLOOKUP($C38,$C$3:$D$15,2,FALSE)*AC$21,0,
IF(AND(AB40&lt;VLOOKUP($C38,$C$3:$D$15,2,FALSE)*AC$21,AC39&lt;=VLOOKUP($C38,$C$3:$D$15,2,FALSE)*AC$21),IF(AC39-AB40&lt;0,0,AC39-AB40),
IF(AND(AB40&lt;VLOOKUP($C38,$C$3:$D$15,2,FALSE)*AC$21,AC39&gt;VLOOKUP($C38,$C$3:$D$15,2,FALSE)*AC$21),VLOOKUP($C38,$C$3:$D$15,2,FALSE)*AC$21-AB40)))</f>
        <v>0</v>
      </c>
      <c r="AD38" s="644">
        <f t="shared" ref="AD38" si="1123" xml:space="preserve">
IF(AC40&gt;=VLOOKUP($C38,$C$3:$D$15,2,FALSE)*AD$21,0,
IF(AND(AC40&lt;VLOOKUP($C38,$C$3:$D$15,2,FALSE)*AD$21,AD39&lt;=VLOOKUP($C38,$C$3:$D$15,2,FALSE)*AD$21),IF(AD39-AC40&lt;0,0,AD39-AC40),
IF(AND(AC40&lt;VLOOKUP($C38,$C$3:$D$15,2,FALSE)*AD$21,AD39&gt;VLOOKUP($C38,$C$3:$D$15,2,FALSE)*AD$21),VLOOKUP($C38,$C$3:$D$15,2,FALSE)*AD$21-AC40)))</f>
        <v>0</v>
      </c>
      <c r="AE38" s="644">
        <f t="shared" ref="AE38" si="1124" xml:space="preserve">
IF(AD40&gt;=VLOOKUP($C38,$C$3:$D$15,2,FALSE)*AE$21,0,
IF(AND(AD40&lt;VLOOKUP($C38,$C$3:$D$15,2,FALSE)*AE$21,AE39&lt;=VLOOKUP($C38,$C$3:$D$15,2,FALSE)*AE$21),IF(AE39-AD40&lt;0,0,AE39-AD40),
IF(AND(AD40&lt;VLOOKUP($C38,$C$3:$D$15,2,FALSE)*AE$21,AE39&gt;VLOOKUP($C38,$C$3:$D$15,2,FALSE)*AE$21),VLOOKUP($C38,$C$3:$D$15,2,FALSE)*AE$21-AD40)))</f>
        <v>0</v>
      </c>
      <c r="AF38" s="644">
        <f t="shared" ref="AF38" si="1125" xml:space="preserve">
IF(AE40&gt;=VLOOKUP($C38,$C$3:$D$15,2,FALSE)*AF$21,0,
IF(AND(AE40&lt;VLOOKUP($C38,$C$3:$D$15,2,FALSE)*AF$21,AF39&lt;=VLOOKUP($C38,$C$3:$D$15,2,FALSE)*AF$21),IF(AF39-AE40&lt;0,0,AF39-AE40),
IF(AND(AE40&lt;VLOOKUP($C38,$C$3:$D$15,2,FALSE)*AF$21,AF39&gt;VLOOKUP($C38,$C$3:$D$15,2,FALSE)*AF$21),VLOOKUP($C38,$C$3:$D$15,2,FALSE)*AF$21-AE40)))</f>
        <v>0</v>
      </c>
      <c r="AG38" s="644">
        <f t="shared" ref="AG38" si="1126" xml:space="preserve">
IF(AF40&gt;=VLOOKUP($C38,$C$3:$D$15,2,FALSE)*AG$21,0,
IF(AND(AF40&lt;VLOOKUP($C38,$C$3:$D$15,2,FALSE)*AG$21,AG39&lt;=VLOOKUP($C38,$C$3:$D$15,2,FALSE)*AG$21),IF(AG39-AF40&lt;0,0,AG39-AF40),
IF(AND(AF40&lt;VLOOKUP($C38,$C$3:$D$15,2,FALSE)*AG$21,AG39&gt;VLOOKUP($C38,$C$3:$D$15,2,FALSE)*AG$21),VLOOKUP($C38,$C$3:$D$15,2,FALSE)*AG$21-AF40)))</f>
        <v>0</v>
      </c>
      <c r="AH38" s="644">
        <f t="shared" ref="AH38" si="1127" xml:space="preserve">
IF(AG40&gt;=VLOOKUP($C38,$C$3:$D$15,2,FALSE)*AH$21,0,
IF(AND(AG40&lt;VLOOKUP($C38,$C$3:$D$15,2,FALSE)*AH$21,AH39&lt;=VLOOKUP($C38,$C$3:$D$15,2,FALSE)*AH$21),IF(AH39-AG40&lt;0,0,AH39-AG40),
IF(AND(AG40&lt;VLOOKUP($C38,$C$3:$D$15,2,FALSE)*AH$21,AH39&gt;VLOOKUP($C38,$C$3:$D$15,2,FALSE)*AH$21),VLOOKUP($C38,$C$3:$D$15,2,FALSE)*AH$21-AG40)))</f>
        <v>0</v>
      </c>
      <c r="AI38" s="644">
        <f t="shared" ref="AI38" si="1128" xml:space="preserve">
IF(AH40&gt;=VLOOKUP($C38,$C$3:$D$15,2,FALSE)*AI$21,0,
IF(AND(AH40&lt;VLOOKUP($C38,$C$3:$D$15,2,FALSE)*AI$21,AI39&lt;=VLOOKUP($C38,$C$3:$D$15,2,FALSE)*AI$21),IF(AI39-AH40&lt;0,0,AI39-AH40),
IF(AND(AH40&lt;VLOOKUP($C38,$C$3:$D$15,2,FALSE)*AI$21,AI39&gt;VLOOKUP($C38,$C$3:$D$15,2,FALSE)*AI$21),VLOOKUP($C38,$C$3:$D$15,2,FALSE)*AI$21-AH40)))</f>
        <v>0</v>
      </c>
      <c r="AJ38" s="644">
        <f t="shared" ref="AJ38" si="1129" xml:space="preserve">
IF(AI40&gt;=VLOOKUP($C38,$C$3:$D$15,2,FALSE)*AJ$21,0,
IF(AND(AI40&lt;VLOOKUP($C38,$C$3:$D$15,2,FALSE)*AJ$21,AJ39&lt;=VLOOKUP($C38,$C$3:$D$15,2,FALSE)*AJ$21),IF(AJ39-AI40&lt;0,0,AJ39-AI40),
IF(AND(AI40&lt;VLOOKUP($C38,$C$3:$D$15,2,FALSE)*AJ$21,AJ39&gt;VLOOKUP($C38,$C$3:$D$15,2,FALSE)*AJ$21),VLOOKUP($C38,$C$3:$D$15,2,FALSE)*AJ$21-AI40)))</f>
        <v>0</v>
      </c>
      <c r="AK38" s="644">
        <f t="shared" ref="AK38" si="1130" xml:space="preserve">
IF(AJ40&gt;=VLOOKUP($C38,$C$3:$D$15,2,FALSE)*AK$21,0,
IF(AND(AJ40&lt;VLOOKUP($C38,$C$3:$D$15,2,FALSE)*AK$21,AK39&lt;=VLOOKUP($C38,$C$3:$D$15,2,FALSE)*AK$21),IF(AK39-AJ40&lt;0,0,AK39-AJ40),
IF(AND(AJ40&lt;VLOOKUP($C38,$C$3:$D$15,2,FALSE)*AK$21,AK39&gt;VLOOKUP($C38,$C$3:$D$15,2,FALSE)*AK$21),VLOOKUP($C38,$C$3:$D$15,2,FALSE)*AK$21-AJ40)))</f>
        <v>0</v>
      </c>
      <c r="AL38" s="644">
        <f t="shared" ref="AL38" si="1131" xml:space="preserve">
IF(AK40&gt;=VLOOKUP($C38,$C$3:$D$15,2,FALSE)*AL$21,0,
IF(AND(AK40&lt;VLOOKUP($C38,$C$3:$D$15,2,FALSE)*AL$21,AL39&lt;=VLOOKUP($C38,$C$3:$D$15,2,FALSE)*AL$21),IF(AL39-AK40&lt;0,0,AL39-AK40),
IF(AND(AK40&lt;VLOOKUP($C38,$C$3:$D$15,2,FALSE)*AL$21,AL39&gt;VLOOKUP($C38,$C$3:$D$15,2,FALSE)*AL$21),VLOOKUP($C38,$C$3:$D$15,2,FALSE)*AL$21-AK40)))</f>
        <v>0</v>
      </c>
      <c r="AM38" s="644">
        <f t="shared" ref="AM38" si="1132" xml:space="preserve">
IF(AL40&gt;=VLOOKUP($C38,$C$3:$D$15,2,FALSE)*AM$21,0,
IF(AND(AL40&lt;VLOOKUP($C38,$C$3:$D$15,2,FALSE)*AM$21,AM39&lt;=VLOOKUP($C38,$C$3:$D$15,2,FALSE)*AM$21),IF(AM39-AL40&lt;0,0,AM39-AL40),
IF(AND(AL40&lt;VLOOKUP($C38,$C$3:$D$15,2,FALSE)*AM$21,AM39&gt;VLOOKUP($C38,$C$3:$D$15,2,FALSE)*AM$21),VLOOKUP($C38,$C$3:$D$15,2,FALSE)*AM$21-AL40)))</f>
        <v>0</v>
      </c>
      <c r="AN38" s="644">
        <f t="shared" ref="AN38" si="1133" xml:space="preserve">
IF(AM40&gt;=VLOOKUP($C38,$C$3:$D$15,2,FALSE)*AN$21,0,
IF(AND(AM40&lt;VLOOKUP($C38,$C$3:$D$15,2,FALSE)*AN$21,AN39&lt;=VLOOKUP($C38,$C$3:$D$15,2,FALSE)*AN$21),IF(AN39-AM40&lt;0,0,AN39-AM40),
IF(AND(AM40&lt;VLOOKUP($C38,$C$3:$D$15,2,FALSE)*AN$21,AN39&gt;VLOOKUP($C38,$C$3:$D$15,2,FALSE)*AN$21),VLOOKUP($C38,$C$3:$D$15,2,FALSE)*AN$21-AM40)))</f>
        <v>0</v>
      </c>
      <c r="AO38" s="644">
        <f t="shared" ref="AO38" si="1134" xml:space="preserve">
IF(AN40&gt;=VLOOKUP($C38,$C$3:$D$15,2,FALSE)*AO$21,0,
IF(AND(AN40&lt;VLOOKUP($C38,$C$3:$D$15,2,FALSE)*AO$21,AO39&lt;=VLOOKUP($C38,$C$3:$D$15,2,FALSE)*AO$21),IF(AO39-AN40&lt;0,0,AO39-AN40),
IF(AND(AN40&lt;VLOOKUP($C38,$C$3:$D$15,2,FALSE)*AO$21,AO39&gt;VLOOKUP($C38,$C$3:$D$15,2,FALSE)*AO$21),VLOOKUP($C38,$C$3:$D$15,2,FALSE)*AO$21-AN40)))</f>
        <v>0</v>
      </c>
      <c r="AP38" s="644">
        <f t="shared" ref="AP38" si="1135" xml:space="preserve">
IF(AO40&gt;=VLOOKUP($C38,$C$3:$D$15,2,FALSE)*AP$21,0,
IF(AND(AO40&lt;VLOOKUP($C38,$C$3:$D$15,2,FALSE)*AP$21,AP39&lt;=VLOOKUP($C38,$C$3:$D$15,2,FALSE)*AP$21),IF(AP39-AO40&lt;0,0,AP39-AO40),
IF(AND(AO40&lt;VLOOKUP($C38,$C$3:$D$15,2,FALSE)*AP$21,AP39&gt;VLOOKUP($C38,$C$3:$D$15,2,FALSE)*AP$21),VLOOKUP($C38,$C$3:$D$15,2,FALSE)*AP$21-AO40)))</f>
        <v>0</v>
      </c>
      <c r="AQ38" s="644">
        <f t="shared" ref="AQ38" si="1136" xml:space="preserve">
IF(AP40&gt;=VLOOKUP($C38,$C$3:$D$15,2,FALSE)*AQ$21,0,
IF(AND(AP40&lt;VLOOKUP($C38,$C$3:$D$15,2,FALSE)*AQ$21,AQ39&lt;=VLOOKUP($C38,$C$3:$D$15,2,FALSE)*AQ$21),IF(AQ39-AP40&lt;0,0,AQ39-AP40),
IF(AND(AP40&lt;VLOOKUP($C38,$C$3:$D$15,2,FALSE)*AQ$21,AQ39&gt;VLOOKUP($C38,$C$3:$D$15,2,FALSE)*AQ$21),VLOOKUP($C38,$C$3:$D$15,2,FALSE)*AQ$21-AP40)))</f>
        <v>0</v>
      </c>
      <c r="AR38" s="644">
        <f t="shared" ref="AR38" si="1137" xml:space="preserve">
IF(AQ40&gt;=VLOOKUP($C38,$C$3:$D$15,2,FALSE)*AR$21,0,
IF(AND(AQ40&lt;VLOOKUP($C38,$C$3:$D$15,2,FALSE)*AR$21,AR39&lt;=VLOOKUP($C38,$C$3:$D$15,2,FALSE)*AR$21),IF(AR39-AQ40&lt;0,0,AR39-AQ40),
IF(AND(AQ40&lt;VLOOKUP($C38,$C$3:$D$15,2,FALSE)*AR$21,AR39&gt;VLOOKUP($C38,$C$3:$D$15,2,FALSE)*AR$21),VLOOKUP($C38,$C$3:$D$15,2,FALSE)*AR$21-AQ40)))</f>
        <v>0</v>
      </c>
      <c r="AS38" s="644">
        <f t="shared" ref="AS38" si="1138" xml:space="preserve">
IF(AR40&gt;=VLOOKUP($C38,$C$3:$D$15,2,FALSE)*AS$21,0,
IF(AND(AR40&lt;VLOOKUP($C38,$C$3:$D$15,2,FALSE)*AS$21,AS39&lt;=VLOOKUP($C38,$C$3:$D$15,2,FALSE)*AS$21),IF(AS39-AR40&lt;0,0,AS39-AR40),
IF(AND(AR40&lt;VLOOKUP($C38,$C$3:$D$15,2,FALSE)*AS$21,AS39&gt;VLOOKUP($C38,$C$3:$D$15,2,FALSE)*AS$21),VLOOKUP($C38,$C$3:$D$15,2,FALSE)*AS$21-AR40)))</f>
        <v>0</v>
      </c>
      <c r="AT38" s="644">
        <f t="shared" ref="AT38" si="1139" xml:space="preserve">
IF(AS40&gt;=VLOOKUP($C38,$C$3:$D$15,2,FALSE)*AT$21,0,
IF(AND(AS40&lt;VLOOKUP($C38,$C$3:$D$15,2,FALSE)*AT$21,AT39&lt;=VLOOKUP($C38,$C$3:$D$15,2,FALSE)*AT$21),IF(AT39-AS40&lt;0,0,AT39-AS40),
IF(AND(AS40&lt;VLOOKUP($C38,$C$3:$D$15,2,FALSE)*AT$21,AT39&gt;VLOOKUP($C38,$C$3:$D$15,2,FALSE)*AT$21),VLOOKUP($C38,$C$3:$D$15,2,FALSE)*AT$21-AS40)))</f>
        <v>0</v>
      </c>
      <c r="AU38" s="644">
        <f t="shared" ref="AU38" si="1140" xml:space="preserve">
IF(AT40&gt;=VLOOKUP($C38,$C$3:$D$15,2,FALSE)*AU$21,0,
IF(AND(AT40&lt;VLOOKUP($C38,$C$3:$D$15,2,FALSE)*AU$21,AU39&lt;=VLOOKUP($C38,$C$3:$D$15,2,FALSE)*AU$21),IF(AU39-AT40&lt;0,0,AU39-AT40),
IF(AND(AT40&lt;VLOOKUP($C38,$C$3:$D$15,2,FALSE)*AU$21,AU39&gt;VLOOKUP($C38,$C$3:$D$15,2,FALSE)*AU$21),VLOOKUP($C38,$C$3:$D$15,2,FALSE)*AU$21-AT40)))</f>
        <v>0</v>
      </c>
      <c r="AV38" s="644">
        <f t="shared" ref="AV38" si="1141" xml:space="preserve">
IF(AU40&gt;=VLOOKUP($C38,$C$3:$D$15,2,FALSE)*AV$21,0,
IF(AND(AU40&lt;VLOOKUP($C38,$C$3:$D$15,2,FALSE)*AV$21,AV39&lt;=VLOOKUP($C38,$C$3:$D$15,2,FALSE)*AV$21),IF(AV39-AU40&lt;0,0,AV39-AU40),
IF(AND(AU40&lt;VLOOKUP($C38,$C$3:$D$15,2,FALSE)*AV$21,AV39&gt;VLOOKUP($C38,$C$3:$D$15,2,FALSE)*AV$21),VLOOKUP($C38,$C$3:$D$15,2,FALSE)*AV$21-AU40)))</f>
        <v>0</v>
      </c>
      <c r="AW38" s="644">
        <f t="shared" ref="AW38" si="1142" xml:space="preserve">
IF(AV40&gt;=VLOOKUP($C38,$C$3:$D$15,2,FALSE)*AW$21,0,
IF(AND(AV40&lt;VLOOKUP($C38,$C$3:$D$15,2,FALSE)*AW$21,AW39&lt;=VLOOKUP($C38,$C$3:$D$15,2,FALSE)*AW$21),IF(AW39-AV40&lt;0,0,AW39-AV40),
IF(AND(AV40&lt;VLOOKUP($C38,$C$3:$D$15,2,FALSE)*AW$21,AW39&gt;VLOOKUP($C38,$C$3:$D$15,2,FALSE)*AW$21),VLOOKUP($C38,$C$3:$D$15,2,FALSE)*AW$21-AV40)))</f>
        <v>0</v>
      </c>
      <c r="AX38" s="644">
        <f t="shared" ref="AX38" si="1143" xml:space="preserve">
IF(AW40&gt;=VLOOKUP($C38,$C$3:$D$15,2,FALSE)*AX$21,0,
IF(AND(AW40&lt;VLOOKUP($C38,$C$3:$D$15,2,FALSE)*AX$21,AX39&lt;=VLOOKUP($C38,$C$3:$D$15,2,FALSE)*AX$21),IF(AX39-AW40&lt;0,0,AX39-AW40),
IF(AND(AW40&lt;VLOOKUP($C38,$C$3:$D$15,2,FALSE)*AX$21,AX39&gt;VLOOKUP($C38,$C$3:$D$15,2,FALSE)*AX$21),VLOOKUP($C38,$C$3:$D$15,2,FALSE)*AX$21-AW40)))</f>
        <v>0</v>
      </c>
      <c r="AY38" s="644">
        <f t="shared" ref="AY38" si="1144" xml:space="preserve">
IF(AX40&gt;=VLOOKUP($C38,$C$3:$D$15,2,FALSE)*AY$21,0,
IF(AND(AX40&lt;VLOOKUP($C38,$C$3:$D$15,2,FALSE)*AY$21,AY39&lt;=VLOOKUP($C38,$C$3:$D$15,2,FALSE)*AY$21),IF(AY39-AX40&lt;0,0,AY39-AX40),
IF(AND(AX40&lt;VLOOKUP($C38,$C$3:$D$15,2,FALSE)*AY$21,AY39&gt;VLOOKUP($C38,$C$3:$D$15,2,FALSE)*AY$21),VLOOKUP($C38,$C$3:$D$15,2,FALSE)*AY$21-AX40)))</f>
        <v>0</v>
      </c>
      <c r="AZ38" s="644">
        <f t="shared" ref="AZ38" si="1145" xml:space="preserve">
IF(AY40&gt;=VLOOKUP($C38,$C$3:$D$15,2,FALSE)*AZ$21,0,
IF(AND(AY40&lt;VLOOKUP($C38,$C$3:$D$15,2,FALSE)*AZ$21,AZ39&lt;=VLOOKUP($C38,$C$3:$D$15,2,FALSE)*AZ$21),IF(AZ39-AY40&lt;0,0,AZ39-AY40),
IF(AND(AY40&lt;VLOOKUP($C38,$C$3:$D$15,2,FALSE)*AZ$21,AZ39&gt;VLOOKUP($C38,$C$3:$D$15,2,FALSE)*AZ$21),VLOOKUP($C38,$C$3:$D$15,2,FALSE)*AZ$21-AY40)))</f>
        <v>0</v>
      </c>
      <c r="BA38" s="644">
        <f t="shared" ref="BA38" si="1146" xml:space="preserve">
IF(AZ40&gt;=VLOOKUP($C38,$C$3:$D$15,2,FALSE)*BA$21,0,
IF(AND(AZ40&lt;VLOOKUP($C38,$C$3:$D$15,2,FALSE)*BA$21,BA39&lt;=VLOOKUP($C38,$C$3:$D$15,2,FALSE)*BA$21),IF(BA39-AZ40&lt;0,0,BA39-AZ40),
IF(AND(AZ40&lt;VLOOKUP($C38,$C$3:$D$15,2,FALSE)*BA$21,BA39&gt;VLOOKUP($C38,$C$3:$D$15,2,FALSE)*BA$21),VLOOKUP($C38,$C$3:$D$15,2,FALSE)*BA$21-AZ40)))</f>
        <v>0</v>
      </c>
      <c r="BB38" s="644">
        <f t="shared" ref="BB38" si="1147" xml:space="preserve">
IF(BA40&gt;=VLOOKUP($C38,$C$3:$D$15,2,FALSE)*BB$21,0,
IF(AND(BA40&lt;VLOOKUP($C38,$C$3:$D$15,2,FALSE)*BB$21,BB39&lt;=VLOOKUP($C38,$C$3:$D$15,2,FALSE)*BB$21),IF(BB39-BA40&lt;0,0,BB39-BA40),
IF(AND(BA40&lt;VLOOKUP($C38,$C$3:$D$15,2,FALSE)*BB$21,BB39&gt;VLOOKUP($C38,$C$3:$D$15,2,FALSE)*BB$21),VLOOKUP($C38,$C$3:$D$15,2,FALSE)*BB$21-BA40)))</f>
        <v>0</v>
      </c>
      <c r="BC38" s="644">
        <f t="shared" ref="BC38" si="1148" xml:space="preserve">
IF(BB40&gt;=VLOOKUP($C38,$C$3:$D$15,2,FALSE)*BC$21,0,
IF(AND(BB40&lt;VLOOKUP($C38,$C$3:$D$15,2,FALSE)*BC$21,BC39&lt;=VLOOKUP($C38,$C$3:$D$15,2,FALSE)*BC$21),IF(BC39-BB40&lt;0,0,BC39-BB40),
IF(AND(BB40&lt;VLOOKUP($C38,$C$3:$D$15,2,FALSE)*BC$21,BC39&gt;VLOOKUP($C38,$C$3:$D$15,2,FALSE)*BC$21),VLOOKUP($C38,$C$3:$D$15,2,FALSE)*BC$21-BB40)))</f>
        <v>0</v>
      </c>
      <c r="BD38" s="644">
        <f t="shared" ref="BD38" si="1149" xml:space="preserve">
IF(BC40&gt;=VLOOKUP($C38,$C$3:$D$15,2,FALSE)*BD$21,0,
IF(AND(BC40&lt;VLOOKUP($C38,$C$3:$D$15,2,FALSE)*BD$21,BD39&lt;=VLOOKUP($C38,$C$3:$D$15,2,FALSE)*BD$21),IF(BD39-BC40&lt;0,0,BD39-BC40),
IF(AND(BC40&lt;VLOOKUP($C38,$C$3:$D$15,2,FALSE)*BD$21,BD39&gt;VLOOKUP($C38,$C$3:$D$15,2,FALSE)*BD$21),VLOOKUP($C38,$C$3:$D$15,2,FALSE)*BD$21-BC40)))</f>
        <v>0</v>
      </c>
      <c r="BE38" s="644">
        <f t="shared" ref="BE38" si="1150" xml:space="preserve">
IF(BD40&gt;=VLOOKUP($C38,$C$3:$D$15,2,FALSE)*BE$21,0,
IF(AND(BD40&lt;VLOOKUP($C38,$C$3:$D$15,2,FALSE)*BE$21,BE39&lt;=VLOOKUP($C38,$C$3:$D$15,2,FALSE)*BE$21),IF(BE39-BD40&lt;0,0,BE39-BD40),
IF(AND(BD40&lt;VLOOKUP($C38,$C$3:$D$15,2,FALSE)*BE$21,BE39&gt;VLOOKUP($C38,$C$3:$D$15,2,FALSE)*BE$21),VLOOKUP($C38,$C$3:$D$15,2,FALSE)*BE$21-BD40)))</f>
        <v>0</v>
      </c>
      <c r="BF38" s="644">
        <f t="shared" ref="BF38" si="1151" xml:space="preserve">
IF(BE40&gt;=VLOOKUP($C38,$C$3:$D$15,2,FALSE)*BF$21,0,
IF(AND(BE40&lt;VLOOKUP($C38,$C$3:$D$15,2,FALSE)*BF$21,BF39&lt;=VLOOKUP($C38,$C$3:$D$15,2,FALSE)*BF$21),IF(BF39-BE40&lt;0,0,BF39-BE40),
IF(AND(BE40&lt;VLOOKUP($C38,$C$3:$D$15,2,FALSE)*BF$21,BF39&gt;VLOOKUP($C38,$C$3:$D$15,2,FALSE)*BF$21),VLOOKUP($C38,$C$3:$D$15,2,FALSE)*BF$21-BE40)))</f>
        <v>0</v>
      </c>
      <c r="BG38" s="644">
        <f t="shared" ref="BG38" si="1152" xml:space="preserve">
IF(BF40&gt;=VLOOKUP($C38,$C$3:$D$15,2,FALSE)*BG$21,0,
IF(AND(BF40&lt;VLOOKUP($C38,$C$3:$D$15,2,FALSE)*BG$21,BG39&lt;=VLOOKUP($C38,$C$3:$D$15,2,FALSE)*BG$21),IF(BG39-BF40&lt;0,0,BG39-BF40),
IF(AND(BF40&lt;VLOOKUP($C38,$C$3:$D$15,2,FALSE)*BG$21,BG39&gt;VLOOKUP($C38,$C$3:$D$15,2,FALSE)*BG$21),VLOOKUP($C38,$C$3:$D$15,2,FALSE)*BG$21-BF40)))</f>
        <v>0</v>
      </c>
      <c r="BH38" s="644">
        <f t="shared" ref="BH38" si="1153" xml:space="preserve">
IF(BG40&gt;=VLOOKUP($C38,$C$3:$D$15,2,FALSE)*BH$21,0,
IF(AND(BG40&lt;VLOOKUP($C38,$C$3:$D$15,2,FALSE)*BH$21,BH39&lt;=VLOOKUP($C38,$C$3:$D$15,2,FALSE)*BH$21),IF(BH39-BG40&lt;0,0,BH39-BG40),
IF(AND(BG40&lt;VLOOKUP($C38,$C$3:$D$15,2,FALSE)*BH$21,BH39&gt;VLOOKUP($C38,$C$3:$D$15,2,FALSE)*BH$21),VLOOKUP($C38,$C$3:$D$15,2,FALSE)*BH$21-BG40)))</f>
        <v>0</v>
      </c>
      <c r="BI38" s="644">
        <f t="shared" ref="BI38" si="1154" xml:space="preserve">
IF(BH40&gt;=VLOOKUP($C38,$C$3:$D$15,2,FALSE)*BI$21,0,
IF(AND(BH40&lt;VLOOKUP($C38,$C$3:$D$15,2,FALSE)*BI$21,BI39&lt;=VLOOKUP($C38,$C$3:$D$15,2,FALSE)*BI$21),IF(BI39-BH40&lt;0,0,BI39-BH40),
IF(AND(BH40&lt;VLOOKUP($C38,$C$3:$D$15,2,FALSE)*BI$21,BI39&gt;VLOOKUP($C38,$C$3:$D$15,2,FALSE)*BI$21),VLOOKUP($C38,$C$3:$D$15,2,FALSE)*BI$21-BH40)))</f>
        <v>0</v>
      </c>
      <c r="BJ38" s="644">
        <f t="shared" ref="BJ38" si="1155" xml:space="preserve">
IF(BI40&gt;=VLOOKUP($C38,$C$3:$D$15,2,FALSE)*BJ$21,0,
IF(AND(BI40&lt;VLOOKUP($C38,$C$3:$D$15,2,FALSE)*BJ$21,BJ39&lt;=VLOOKUP($C38,$C$3:$D$15,2,FALSE)*BJ$21),IF(BJ39-BI40&lt;0,0,BJ39-BI40),
IF(AND(BI40&lt;VLOOKUP($C38,$C$3:$D$15,2,FALSE)*BJ$21,BJ39&gt;VLOOKUP($C38,$C$3:$D$15,2,FALSE)*BJ$21),VLOOKUP($C38,$C$3:$D$15,2,FALSE)*BJ$21-BI40)))</f>
        <v>0</v>
      </c>
      <c r="BK38" s="644">
        <f t="shared" ref="BK38" si="1156" xml:space="preserve">
IF(BJ40&gt;=VLOOKUP($C38,$C$3:$D$15,2,FALSE)*BK$21,0,
IF(AND(BJ40&lt;VLOOKUP($C38,$C$3:$D$15,2,FALSE)*BK$21,BK39&lt;=VLOOKUP($C38,$C$3:$D$15,2,FALSE)*BK$21),IF(BK39-BJ40&lt;0,0,BK39-BJ40),
IF(AND(BJ40&lt;VLOOKUP($C38,$C$3:$D$15,2,FALSE)*BK$21,BK39&gt;VLOOKUP($C38,$C$3:$D$15,2,FALSE)*BK$21),VLOOKUP($C38,$C$3:$D$15,2,FALSE)*BK$21-BJ40)))</f>
        <v>0</v>
      </c>
      <c r="BL38" s="644">
        <f t="shared" ref="BL38" si="1157" xml:space="preserve">
IF(BK40&gt;=VLOOKUP($C38,$C$3:$D$15,2,FALSE)*BL$21,0,
IF(AND(BK40&lt;VLOOKUP($C38,$C$3:$D$15,2,FALSE)*BL$21,BL39&lt;=VLOOKUP($C38,$C$3:$D$15,2,FALSE)*BL$21),IF(BL39-BK40&lt;0,0,BL39-BK40),
IF(AND(BK40&lt;VLOOKUP($C38,$C$3:$D$15,2,FALSE)*BL$21,BL39&gt;VLOOKUP($C38,$C$3:$D$15,2,FALSE)*BL$21),VLOOKUP($C38,$C$3:$D$15,2,FALSE)*BL$21-BK40)))</f>
        <v>0</v>
      </c>
      <c r="BM38" s="644">
        <f t="shared" ref="BM38" si="1158" xml:space="preserve">
IF(BL40&gt;=VLOOKUP($C38,$C$3:$D$15,2,FALSE)*BM$21,0,
IF(AND(BL40&lt;VLOOKUP($C38,$C$3:$D$15,2,FALSE)*BM$21,BM39&lt;=VLOOKUP($C38,$C$3:$D$15,2,FALSE)*BM$21),IF(BM39-BL40&lt;0,0,BM39-BL40),
IF(AND(BL40&lt;VLOOKUP($C38,$C$3:$D$15,2,FALSE)*BM$21,BM39&gt;VLOOKUP($C38,$C$3:$D$15,2,FALSE)*BM$21),VLOOKUP($C38,$C$3:$D$15,2,FALSE)*BM$21-BL40)))</f>
        <v>0</v>
      </c>
      <c r="BN38" s="644">
        <f t="shared" ref="BN38" si="1159" xml:space="preserve">
IF(BM40&gt;=VLOOKUP($C38,$C$3:$D$15,2,FALSE)*BN$21,0,
IF(AND(BM40&lt;VLOOKUP($C38,$C$3:$D$15,2,FALSE)*BN$21,BN39&lt;=VLOOKUP($C38,$C$3:$D$15,2,FALSE)*BN$21),IF(BN39-BM40&lt;0,0,BN39-BM40),
IF(AND(BM40&lt;VLOOKUP($C38,$C$3:$D$15,2,FALSE)*BN$21,BN39&gt;VLOOKUP($C38,$C$3:$D$15,2,FALSE)*BN$21),VLOOKUP($C38,$C$3:$D$15,2,FALSE)*BN$21-BM40)))</f>
        <v>0</v>
      </c>
      <c r="BO38" s="644">
        <f t="shared" ref="BO38" si="1160" xml:space="preserve">
IF(BN40&gt;=VLOOKUP($C38,$C$3:$D$15,2,FALSE)*BO$21,0,
IF(AND(BN40&lt;VLOOKUP($C38,$C$3:$D$15,2,FALSE)*BO$21,BO39&lt;=VLOOKUP($C38,$C$3:$D$15,2,FALSE)*BO$21),IF(BO39-BN40&lt;0,0,BO39-BN40),
IF(AND(BN40&lt;VLOOKUP($C38,$C$3:$D$15,2,FALSE)*BO$21,BO39&gt;VLOOKUP($C38,$C$3:$D$15,2,FALSE)*BO$21),VLOOKUP($C38,$C$3:$D$15,2,FALSE)*BO$21-BN40)))</f>
        <v>0</v>
      </c>
      <c r="BP38" s="644">
        <f t="shared" ref="BP38" si="1161" xml:space="preserve">
IF(BO40&gt;=VLOOKUP($C38,$C$3:$D$15,2,FALSE)*BP$21,0,
IF(AND(BO40&lt;VLOOKUP($C38,$C$3:$D$15,2,FALSE)*BP$21,BP39&lt;=VLOOKUP($C38,$C$3:$D$15,2,FALSE)*BP$21),IF(BP39-BO40&lt;0,0,BP39-BO40),
IF(AND(BO40&lt;VLOOKUP($C38,$C$3:$D$15,2,FALSE)*BP$21,BP39&gt;VLOOKUP($C38,$C$3:$D$15,2,FALSE)*BP$21),VLOOKUP($C38,$C$3:$D$15,2,FALSE)*BP$21-BO40)))</f>
        <v>0</v>
      </c>
      <c r="BQ38" s="644">
        <f t="shared" ref="BQ38" si="1162" xml:space="preserve">
IF(BP40&gt;=VLOOKUP($C38,$C$3:$D$15,2,FALSE)*BQ$21,0,
IF(AND(BP40&lt;VLOOKUP($C38,$C$3:$D$15,2,FALSE)*BQ$21,BQ39&lt;=VLOOKUP($C38,$C$3:$D$15,2,FALSE)*BQ$21),IF(BQ39-BP40&lt;0,0,BQ39-BP40),
IF(AND(BP40&lt;VLOOKUP($C38,$C$3:$D$15,2,FALSE)*BQ$21,BQ39&gt;VLOOKUP($C38,$C$3:$D$15,2,FALSE)*BQ$21),VLOOKUP($C38,$C$3:$D$15,2,FALSE)*BQ$21-BP40)))</f>
        <v>0</v>
      </c>
      <c r="BR38" s="644">
        <f t="shared" ref="BR38" si="1163" xml:space="preserve">
IF(BQ40&gt;=VLOOKUP($C38,$C$3:$D$15,2,FALSE)*BR$21,0,
IF(AND(BQ40&lt;VLOOKUP($C38,$C$3:$D$15,2,FALSE)*BR$21,BR39&lt;=VLOOKUP($C38,$C$3:$D$15,2,FALSE)*BR$21),IF(BR39-BQ40&lt;0,0,BR39-BQ40),
IF(AND(BQ40&lt;VLOOKUP($C38,$C$3:$D$15,2,FALSE)*BR$21,BR39&gt;VLOOKUP($C38,$C$3:$D$15,2,FALSE)*BR$21),VLOOKUP($C38,$C$3:$D$15,2,FALSE)*BR$21-BQ40)))</f>
        <v>0</v>
      </c>
      <c r="BS38" s="644">
        <f t="shared" ref="BS38" si="1164" xml:space="preserve">
IF(BR40&gt;=VLOOKUP($C38,$C$3:$D$15,2,FALSE)*BS$21,0,
IF(AND(BR40&lt;VLOOKUP($C38,$C$3:$D$15,2,FALSE)*BS$21,BS39&lt;=VLOOKUP($C38,$C$3:$D$15,2,FALSE)*BS$21),IF(BS39-BR40&lt;0,0,BS39-BR40),
IF(AND(BR40&lt;VLOOKUP($C38,$C$3:$D$15,2,FALSE)*BS$21,BS39&gt;VLOOKUP($C38,$C$3:$D$15,2,FALSE)*BS$21),VLOOKUP($C38,$C$3:$D$15,2,FALSE)*BS$21-BR40)))</f>
        <v>0</v>
      </c>
      <c r="BT38" s="644">
        <f t="shared" ref="BT38" si="1165" xml:space="preserve">
IF(BS40&gt;=VLOOKUP($C38,$C$3:$D$15,2,FALSE)*BT$21,0,
IF(AND(BS40&lt;VLOOKUP($C38,$C$3:$D$15,2,FALSE)*BT$21,BT39&lt;=VLOOKUP($C38,$C$3:$D$15,2,FALSE)*BT$21),IF(BT39-BS40&lt;0,0,BT39-BS40),
IF(AND(BS40&lt;VLOOKUP($C38,$C$3:$D$15,2,FALSE)*BT$21,BT39&gt;VLOOKUP($C38,$C$3:$D$15,2,FALSE)*BT$21),VLOOKUP($C38,$C$3:$D$15,2,FALSE)*BT$21-BS40)))</f>
        <v>0</v>
      </c>
      <c r="BU38" s="644">
        <f t="shared" ref="BU38" si="1166" xml:space="preserve">
IF(BT40&gt;=VLOOKUP($C38,$C$3:$D$15,2,FALSE)*BU$21,0,
IF(AND(BT40&lt;VLOOKUP($C38,$C$3:$D$15,2,FALSE)*BU$21,BU39&lt;=VLOOKUP($C38,$C$3:$D$15,2,FALSE)*BU$21),IF(BU39-BT40&lt;0,0,BU39-BT40),
IF(AND(BT40&lt;VLOOKUP($C38,$C$3:$D$15,2,FALSE)*BU$21,BU39&gt;VLOOKUP($C38,$C$3:$D$15,2,FALSE)*BU$21),VLOOKUP($C38,$C$3:$D$15,2,FALSE)*BU$21-BT40)))</f>
        <v>0</v>
      </c>
      <c r="BV38" s="644">
        <f t="shared" ref="BV38" si="1167" xml:space="preserve">
IF(BU40&gt;=VLOOKUP($C38,$C$3:$D$15,2,FALSE)*BV$21,0,
IF(AND(BU40&lt;VLOOKUP($C38,$C$3:$D$15,2,FALSE)*BV$21,BV39&lt;=VLOOKUP($C38,$C$3:$D$15,2,FALSE)*BV$21),IF(BV39-BU40&lt;0,0,BV39-BU40),
IF(AND(BU40&lt;VLOOKUP($C38,$C$3:$D$15,2,FALSE)*BV$21,BV39&gt;VLOOKUP($C38,$C$3:$D$15,2,FALSE)*BV$21),VLOOKUP($C38,$C$3:$D$15,2,FALSE)*BV$21-BU40)))</f>
        <v>0</v>
      </c>
      <c r="BW38" s="644">
        <f t="shared" ref="BW38" si="1168" xml:space="preserve">
IF(BV40&gt;=VLOOKUP($C38,$C$3:$D$15,2,FALSE)*BW$21,0,
IF(AND(BV40&lt;VLOOKUP($C38,$C$3:$D$15,2,FALSE)*BW$21,BW39&lt;=VLOOKUP($C38,$C$3:$D$15,2,FALSE)*BW$21),IF(BW39-BV40&lt;0,0,BW39-BV40),
IF(AND(BV40&lt;VLOOKUP($C38,$C$3:$D$15,2,FALSE)*BW$21,BW39&gt;VLOOKUP($C38,$C$3:$D$15,2,FALSE)*BW$21),VLOOKUP($C38,$C$3:$D$15,2,FALSE)*BW$21-BV40)))</f>
        <v>0</v>
      </c>
      <c r="BX38" s="644">
        <f t="shared" ref="BX38" si="1169" xml:space="preserve">
IF(BW40&gt;=VLOOKUP($C38,$C$3:$D$15,2,FALSE)*BX$21,0,
IF(AND(BW40&lt;VLOOKUP($C38,$C$3:$D$15,2,FALSE)*BX$21,BX39&lt;=VLOOKUP($C38,$C$3:$D$15,2,FALSE)*BX$21),IF(BX39-BW40&lt;0,0,BX39-BW40),
IF(AND(BW40&lt;VLOOKUP($C38,$C$3:$D$15,2,FALSE)*BX$21,BX39&gt;VLOOKUP($C38,$C$3:$D$15,2,FALSE)*BX$21),VLOOKUP($C38,$C$3:$D$15,2,FALSE)*BX$21-BW40)))</f>
        <v>0</v>
      </c>
      <c r="BY38" s="644">
        <f t="shared" ref="BY38" si="1170" xml:space="preserve">
IF(BX40&gt;=VLOOKUP($C38,$C$3:$D$15,2,FALSE)*BY$21,0,
IF(AND(BX40&lt;VLOOKUP($C38,$C$3:$D$15,2,FALSE)*BY$21,BY39&lt;=VLOOKUP($C38,$C$3:$D$15,2,FALSE)*BY$21),IF(BY39-BX40&lt;0,0,BY39-BX40),
IF(AND(BX40&lt;VLOOKUP($C38,$C$3:$D$15,2,FALSE)*BY$21,BY39&gt;VLOOKUP($C38,$C$3:$D$15,2,FALSE)*BY$21),VLOOKUP($C38,$C$3:$D$15,2,FALSE)*BY$21-BX40)))</f>
        <v>0</v>
      </c>
      <c r="BZ38" s="644">
        <f t="shared" ref="BZ38" si="1171" xml:space="preserve">
IF(BY40&gt;=VLOOKUP($C38,$C$3:$D$15,2,FALSE)*BZ$21,0,
IF(AND(BY40&lt;VLOOKUP($C38,$C$3:$D$15,2,FALSE)*BZ$21,BZ39&lt;=VLOOKUP($C38,$C$3:$D$15,2,FALSE)*BZ$21),IF(BZ39-BY40&lt;0,0,BZ39-BY40),
IF(AND(BY40&lt;VLOOKUP($C38,$C$3:$D$15,2,FALSE)*BZ$21,BZ39&gt;VLOOKUP($C38,$C$3:$D$15,2,FALSE)*BZ$21),VLOOKUP($C38,$C$3:$D$15,2,FALSE)*BZ$21-BY40)))</f>
        <v>0</v>
      </c>
      <c r="CA38" s="644">
        <f t="shared" ref="CA38" si="1172" xml:space="preserve">
IF(BZ40&gt;=VLOOKUP($C38,$C$3:$D$15,2,FALSE)*CA$21,0,
IF(AND(BZ40&lt;VLOOKUP($C38,$C$3:$D$15,2,FALSE)*CA$21,CA39&lt;=VLOOKUP($C38,$C$3:$D$15,2,FALSE)*CA$21),IF(CA39-BZ40&lt;0,0,CA39-BZ40),
IF(AND(BZ40&lt;VLOOKUP($C38,$C$3:$D$15,2,FALSE)*CA$21,CA39&gt;VLOOKUP($C38,$C$3:$D$15,2,FALSE)*CA$21),VLOOKUP($C38,$C$3:$D$15,2,FALSE)*CA$21-BZ40)))</f>
        <v>0</v>
      </c>
      <c r="CB38" s="644">
        <f t="shared" ref="CB38" si="1173" xml:space="preserve">
IF(CA40&gt;=VLOOKUP($C38,$C$3:$D$15,2,FALSE)*CB$21,0,
IF(AND(CA40&lt;VLOOKUP($C38,$C$3:$D$15,2,FALSE)*CB$21,CB39&lt;=VLOOKUP($C38,$C$3:$D$15,2,FALSE)*CB$21),IF(CB39-CA40&lt;0,0,CB39-CA40),
IF(AND(CA40&lt;VLOOKUP($C38,$C$3:$D$15,2,FALSE)*CB$21,CB39&gt;VLOOKUP($C38,$C$3:$D$15,2,FALSE)*CB$21),VLOOKUP($C38,$C$3:$D$15,2,FALSE)*CB$21-CA40)))</f>
        <v>0</v>
      </c>
      <c r="CC38" s="644">
        <f t="shared" ref="CC38" si="1174" xml:space="preserve">
IF(CB40&gt;=VLOOKUP($C38,$C$3:$D$15,2,FALSE)*CC$21,0,
IF(AND(CB40&lt;VLOOKUP($C38,$C$3:$D$15,2,FALSE)*CC$21,CC39&lt;=VLOOKUP($C38,$C$3:$D$15,2,FALSE)*CC$21),IF(CC39-CB40&lt;0,0,CC39-CB40),
IF(AND(CB40&lt;VLOOKUP($C38,$C$3:$D$15,2,FALSE)*CC$21,CC39&gt;VLOOKUP($C38,$C$3:$D$15,2,FALSE)*CC$21),VLOOKUP($C38,$C$3:$D$15,2,FALSE)*CC$21-CB40)))</f>
        <v>0</v>
      </c>
      <c r="CD38" s="644">
        <f t="shared" ref="CD38" si="1175" xml:space="preserve">
IF(CC40&gt;=VLOOKUP($C38,$C$3:$D$15,2,FALSE)*CD$21,0,
IF(AND(CC40&lt;VLOOKUP($C38,$C$3:$D$15,2,FALSE)*CD$21,CD39&lt;=VLOOKUP($C38,$C$3:$D$15,2,FALSE)*CD$21),IF(CD39-CC40&lt;0,0,CD39-CC40),
IF(AND(CC40&lt;VLOOKUP($C38,$C$3:$D$15,2,FALSE)*CD$21,CD39&gt;VLOOKUP($C38,$C$3:$D$15,2,FALSE)*CD$21),VLOOKUP($C38,$C$3:$D$15,2,FALSE)*CD$21-CC40)))</f>
        <v>0</v>
      </c>
      <c r="CE38" s="644">
        <f t="shared" ref="CE38" si="1176" xml:space="preserve">
IF(CD40&gt;=VLOOKUP($C38,$C$3:$D$15,2,FALSE)*CE$21,0,
IF(AND(CD40&lt;VLOOKUP($C38,$C$3:$D$15,2,FALSE)*CE$21,CE39&lt;=VLOOKUP($C38,$C$3:$D$15,2,FALSE)*CE$21),IF(CE39-CD40&lt;0,0,CE39-CD40),
IF(AND(CD40&lt;VLOOKUP($C38,$C$3:$D$15,2,FALSE)*CE$21,CE39&gt;VLOOKUP($C38,$C$3:$D$15,2,FALSE)*CE$21),VLOOKUP($C38,$C$3:$D$15,2,FALSE)*CE$21-CD40)))</f>
        <v>0</v>
      </c>
      <c r="CF38" s="644">
        <f t="shared" ref="CF38" si="1177" xml:space="preserve">
IF(CE40&gt;=VLOOKUP($C38,$C$3:$D$15,2,FALSE)*CF$21,0,
IF(AND(CE40&lt;VLOOKUP($C38,$C$3:$D$15,2,FALSE)*CF$21,CF39&lt;=VLOOKUP($C38,$C$3:$D$15,2,FALSE)*CF$21),IF(CF39-CE40&lt;0,0,CF39-CE40),
IF(AND(CE40&lt;VLOOKUP($C38,$C$3:$D$15,2,FALSE)*CF$21,CF39&gt;VLOOKUP($C38,$C$3:$D$15,2,FALSE)*CF$21),VLOOKUP($C38,$C$3:$D$15,2,FALSE)*CF$21-CE40)))</f>
        <v>0</v>
      </c>
      <c r="CG38" s="644">
        <f t="shared" ref="CG38" si="1178" xml:space="preserve">
IF(CF40&gt;=VLOOKUP($C38,$C$3:$D$15,2,FALSE)*CG$21,0,
IF(AND(CF40&lt;VLOOKUP($C38,$C$3:$D$15,2,FALSE)*CG$21,CG39&lt;=VLOOKUP($C38,$C$3:$D$15,2,FALSE)*CG$21),IF(CG39-CF40&lt;0,0,CG39-CF40),
IF(AND(CF40&lt;VLOOKUP($C38,$C$3:$D$15,2,FALSE)*CG$21,CG39&gt;VLOOKUP($C38,$C$3:$D$15,2,FALSE)*CG$21),VLOOKUP($C38,$C$3:$D$15,2,FALSE)*CG$21-CF40)))</f>
        <v>0</v>
      </c>
      <c r="CH38" s="644">
        <f t="shared" ref="CH38" si="1179" xml:space="preserve">
IF(CG40&gt;=VLOOKUP($C38,$C$3:$D$15,2,FALSE)*CH$21,0,
IF(AND(CG40&lt;VLOOKUP($C38,$C$3:$D$15,2,FALSE)*CH$21,CH39&lt;=VLOOKUP($C38,$C$3:$D$15,2,FALSE)*CH$21),IF(CH39-CG40&lt;0,0,CH39-CG40),
IF(AND(CG40&lt;VLOOKUP($C38,$C$3:$D$15,2,FALSE)*CH$21,CH39&gt;VLOOKUP($C38,$C$3:$D$15,2,FALSE)*CH$21),VLOOKUP($C38,$C$3:$D$15,2,FALSE)*CH$21-CG40)))</f>
        <v>0</v>
      </c>
      <c r="CI38" s="644">
        <f t="shared" ref="CI38" si="1180" xml:space="preserve">
IF(CH40&gt;=VLOOKUP($C38,$C$3:$D$15,2,FALSE)*CI$21,0,
IF(AND(CH40&lt;VLOOKUP($C38,$C$3:$D$15,2,FALSE)*CI$21,CI39&lt;=VLOOKUP($C38,$C$3:$D$15,2,FALSE)*CI$21),IF(CI39-CH40&lt;0,0,CI39-CH40),
IF(AND(CH40&lt;VLOOKUP($C38,$C$3:$D$15,2,FALSE)*CI$21,CI39&gt;VLOOKUP($C38,$C$3:$D$15,2,FALSE)*CI$21),VLOOKUP($C38,$C$3:$D$15,2,FALSE)*CI$21-CH40)))</f>
        <v>0</v>
      </c>
      <c r="CJ38" s="644">
        <f t="shared" ref="CJ38" si="1181" xml:space="preserve">
IF(CI40&gt;=VLOOKUP($C38,$C$3:$D$15,2,FALSE)*CJ$21,0,
IF(AND(CI40&lt;VLOOKUP($C38,$C$3:$D$15,2,FALSE)*CJ$21,CJ39&lt;=VLOOKUP($C38,$C$3:$D$15,2,FALSE)*CJ$21),IF(CJ39-CI40&lt;0,0,CJ39-CI40),
IF(AND(CI40&lt;VLOOKUP($C38,$C$3:$D$15,2,FALSE)*CJ$21,CJ39&gt;VLOOKUP($C38,$C$3:$D$15,2,FALSE)*CJ$21),VLOOKUP($C38,$C$3:$D$15,2,FALSE)*CJ$21-CI40)))</f>
        <v>0</v>
      </c>
      <c r="CK38" s="644">
        <f t="shared" ref="CK38" si="1182" xml:space="preserve">
IF(CJ40&gt;=VLOOKUP($C38,$C$3:$D$15,2,FALSE)*CK$21,0,
IF(AND(CJ40&lt;VLOOKUP($C38,$C$3:$D$15,2,FALSE)*CK$21,CK39&lt;=VLOOKUP($C38,$C$3:$D$15,2,FALSE)*CK$21),IF(CK39-CJ40&lt;0,0,CK39-CJ40),
IF(AND(CJ40&lt;VLOOKUP($C38,$C$3:$D$15,2,FALSE)*CK$21,CK39&gt;VLOOKUP($C38,$C$3:$D$15,2,FALSE)*CK$21),VLOOKUP($C38,$C$3:$D$15,2,FALSE)*CK$21-CJ40)))</f>
        <v>0</v>
      </c>
      <c r="CL38" s="644">
        <f t="shared" ref="CL38" si="1183" xml:space="preserve">
IF(CK40&gt;=VLOOKUP($C38,$C$3:$D$15,2,FALSE)*CL$21,0,
IF(AND(CK40&lt;VLOOKUP($C38,$C$3:$D$15,2,FALSE)*CL$21,CL39&lt;=VLOOKUP($C38,$C$3:$D$15,2,FALSE)*CL$21),IF(CL39-CK40&lt;0,0,CL39-CK40),
IF(AND(CK40&lt;VLOOKUP($C38,$C$3:$D$15,2,FALSE)*CL$21,CL39&gt;VLOOKUP($C38,$C$3:$D$15,2,FALSE)*CL$21),VLOOKUP($C38,$C$3:$D$15,2,FALSE)*CL$21-CK40)))</f>
        <v>0</v>
      </c>
      <c r="CM38" s="644">
        <f t="shared" ref="CM38" si="1184" xml:space="preserve">
IF(CL40&gt;=VLOOKUP($C38,$C$3:$D$15,2,FALSE)*CM$21,0,
IF(AND(CL40&lt;VLOOKUP($C38,$C$3:$D$15,2,FALSE)*CM$21,CM39&lt;=VLOOKUP($C38,$C$3:$D$15,2,FALSE)*CM$21),IF(CM39-CL40&lt;0,0,CM39-CL40),
IF(AND(CL40&lt;VLOOKUP($C38,$C$3:$D$15,2,FALSE)*CM$21,CM39&gt;VLOOKUP($C38,$C$3:$D$15,2,FALSE)*CM$21),VLOOKUP($C38,$C$3:$D$15,2,FALSE)*CM$21-CL40)))</f>
        <v>0</v>
      </c>
      <c r="CN38" s="644">
        <f t="shared" ref="CN38" si="1185" xml:space="preserve">
IF(CM40&gt;=VLOOKUP($C38,$C$3:$D$15,2,FALSE)*CN$21,0,
IF(AND(CM40&lt;VLOOKUP($C38,$C$3:$D$15,2,FALSE)*CN$21,CN39&lt;=VLOOKUP($C38,$C$3:$D$15,2,FALSE)*CN$21),IF(CN39-CM40&lt;0,0,CN39-CM40),
IF(AND(CM40&lt;VLOOKUP($C38,$C$3:$D$15,2,FALSE)*CN$21,CN39&gt;VLOOKUP($C38,$C$3:$D$15,2,FALSE)*CN$21),VLOOKUP($C38,$C$3:$D$15,2,FALSE)*CN$21-CM40)))</f>
        <v>0</v>
      </c>
      <c r="CO38" s="644">
        <f t="shared" ref="CO38" si="1186" xml:space="preserve">
IF(CN40&gt;=VLOOKUP($C38,$C$3:$D$15,2,FALSE)*CO$21,0,
IF(AND(CN40&lt;VLOOKUP($C38,$C$3:$D$15,2,FALSE)*CO$21,CO39&lt;=VLOOKUP($C38,$C$3:$D$15,2,FALSE)*CO$21),IF(CO39-CN40&lt;0,0,CO39-CN40),
IF(AND(CN40&lt;VLOOKUP($C38,$C$3:$D$15,2,FALSE)*CO$21,CO39&gt;VLOOKUP($C38,$C$3:$D$15,2,FALSE)*CO$21),VLOOKUP($C38,$C$3:$D$15,2,FALSE)*CO$21-CN40)))</f>
        <v>0</v>
      </c>
      <c r="CP38" s="644">
        <f t="shared" ref="CP38" si="1187" xml:space="preserve">
IF(CO40&gt;=VLOOKUP($C38,$C$3:$D$15,2,FALSE)*CP$21,0,
IF(AND(CO40&lt;VLOOKUP($C38,$C$3:$D$15,2,FALSE)*CP$21,CP39&lt;=VLOOKUP($C38,$C$3:$D$15,2,FALSE)*CP$21),IF(CP39-CO40&lt;0,0,CP39-CO40),
IF(AND(CO40&lt;VLOOKUP($C38,$C$3:$D$15,2,FALSE)*CP$21,CP39&gt;VLOOKUP($C38,$C$3:$D$15,2,FALSE)*CP$21),VLOOKUP($C38,$C$3:$D$15,2,FALSE)*CP$21-CO40)))</f>
        <v>0</v>
      </c>
      <c r="CQ38" s="644">
        <f t="shared" ref="CQ38" si="1188" xml:space="preserve">
IF(CP40&gt;=VLOOKUP($C38,$C$3:$D$15,2,FALSE)*CQ$21,0,
IF(AND(CP40&lt;VLOOKUP($C38,$C$3:$D$15,2,FALSE)*CQ$21,CQ39&lt;=VLOOKUP($C38,$C$3:$D$15,2,FALSE)*CQ$21),IF(CQ39-CP40&lt;0,0,CQ39-CP40),
IF(AND(CP40&lt;VLOOKUP($C38,$C$3:$D$15,2,FALSE)*CQ$21,CQ39&gt;VLOOKUP($C38,$C$3:$D$15,2,FALSE)*CQ$21),VLOOKUP($C38,$C$3:$D$15,2,FALSE)*CQ$21-CP40)))</f>
        <v>0</v>
      </c>
      <c r="CR38" s="644">
        <f t="shared" ref="CR38" si="1189" xml:space="preserve">
IF(CQ40&gt;=VLOOKUP($C38,$C$3:$D$15,2,FALSE)*CR$21,0,
IF(AND(CQ40&lt;VLOOKUP($C38,$C$3:$D$15,2,FALSE)*CR$21,CR39&lt;=VLOOKUP($C38,$C$3:$D$15,2,FALSE)*CR$21),IF(CR39-CQ40&lt;0,0,CR39-CQ40),
IF(AND(CQ40&lt;VLOOKUP($C38,$C$3:$D$15,2,FALSE)*CR$21,CR39&gt;VLOOKUP($C38,$C$3:$D$15,2,FALSE)*CR$21),VLOOKUP($C38,$C$3:$D$15,2,FALSE)*CR$21-CQ40)))</f>
        <v>0</v>
      </c>
      <c r="CS38" s="644">
        <f t="shared" ref="CS38" si="1190" xml:space="preserve">
IF(CR40&gt;=VLOOKUP($C38,$C$3:$D$15,2,FALSE)*CS$21,0,
IF(AND(CR40&lt;VLOOKUP($C38,$C$3:$D$15,2,FALSE)*CS$21,CS39&lt;=VLOOKUP($C38,$C$3:$D$15,2,FALSE)*CS$21),IF(CS39-CR40&lt;0,0,CS39-CR40),
IF(AND(CR40&lt;VLOOKUP($C38,$C$3:$D$15,2,FALSE)*CS$21,CS39&gt;VLOOKUP($C38,$C$3:$D$15,2,FALSE)*CS$21),VLOOKUP($C38,$C$3:$D$15,2,FALSE)*CS$21-CR40)))</f>
        <v>0</v>
      </c>
      <c r="CT38" s="644">
        <f t="shared" ref="CT38" si="1191" xml:space="preserve">
IF(CS40&gt;=VLOOKUP($C38,$C$3:$D$15,2,FALSE)*CT$21,0,
IF(AND(CS40&lt;VLOOKUP($C38,$C$3:$D$15,2,FALSE)*CT$21,CT39&lt;=VLOOKUP($C38,$C$3:$D$15,2,FALSE)*CT$21),IF(CT39-CS40&lt;0,0,CT39-CS40),
IF(AND(CS40&lt;VLOOKUP($C38,$C$3:$D$15,2,FALSE)*CT$21,CT39&gt;VLOOKUP($C38,$C$3:$D$15,2,FALSE)*CT$21),VLOOKUP($C38,$C$3:$D$15,2,FALSE)*CT$21-CS40)))</f>
        <v>0</v>
      </c>
      <c r="CU38" s="644">
        <f t="shared" ref="CU38" si="1192" xml:space="preserve">
IF(CT40&gt;=VLOOKUP($C38,$C$3:$D$15,2,FALSE)*CU$21,0,
IF(AND(CT40&lt;VLOOKUP($C38,$C$3:$D$15,2,FALSE)*CU$21,CU39&lt;=VLOOKUP($C38,$C$3:$D$15,2,FALSE)*CU$21),IF(CU39-CT40&lt;0,0,CU39-CT40),
IF(AND(CT40&lt;VLOOKUP($C38,$C$3:$D$15,2,FALSE)*CU$21,CU39&gt;VLOOKUP($C38,$C$3:$D$15,2,FALSE)*CU$21),VLOOKUP($C38,$C$3:$D$15,2,FALSE)*CU$21-CT40)))</f>
        <v>0</v>
      </c>
      <c r="CV38" s="644">
        <f t="shared" ref="CV38" si="1193" xml:space="preserve">
IF(CU40&gt;=VLOOKUP($C38,$C$3:$D$15,2,FALSE)*CV$21,0,
IF(AND(CU40&lt;VLOOKUP($C38,$C$3:$D$15,2,FALSE)*CV$21,CV39&lt;=VLOOKUP($C38,$C$3:$D$15,2,FALSE)*CV$21),IF(CV39-CU40&lt;0,0,CV39-CU40),
IF(AND(CU40&lt;VLOOKUP($C38,$C$3:$D$15,2,FALSE)*CV$21,CV39&gt;VLOOKUP($C38,$C$3:$D$15,2,FALSE)*CV$21),VLOOKUP($C38,$C$3:$D$15,2,FALSE)*CV$21-CU40)))</f>
        <v>0</v>
      </c>
      <c r="CW38" s="644">
        <f t="shared" ref="CW38" si="1194" xml:space="preserve">
IF(CV40&gt;=VLOOKUP($C38,$C$3:$D$15,2,FALSE)*CW$21,0,
IF(AND(CV40&lt;VLOOKUP($C38,$C$3:$D$15,2,FALSE)*CW$21,CW39&lt;=VLOOKUP($C38,$C$3:$D$15,2,FALSE)*CW$21),IF(CW39-CV40&lt;0,0,CW39-CV40),
IF(AND(CV40&lt;VLOOKUP($C38,$C$3:$D$15,2,FALSE)*CW$21,CW39&gt;VLOOKUP($C38,$C$3:$D$15,2,FALSE)*CW$21),VLOOKUP($C38,$C$3:$D$15,2,FALSE)*CW$21-CV40)))</f>
        <v>0</v>
      </c>
      <c r="CX38" s="644">
        <f t="shared" ref="CX38" si="1195" xml:space="preserve">
IF(CW40&gt;=VLOOKUP($C38,$C$3:$D$15,2,FALSE)*CX$21,0,
IF(AND(CW40&lt;VLOOKUP($C38,$C$3:$D$15,2,FALSE)*CX$21,CX39&lt;=VLOOKUP($C38,$C$3:$D$15,2,FALSE)*CX$21),IF(CX39-CW40&lt;0,0,CX39-CW40),
IF(AND(CW40&lt;VLOOKUP($C38,$C$3:$D$15,2,FALSE)*CX$21,CX39&gt;VLOOKUP($C38,$C$3:$D$15,2,FALSE)*CX$21),VLOOKUP($C38,$C$3:$D$15,2,FALSE)*CX$21-CW40)))</f>
        <v>0</v>
      </c>
      <c r="CY38" s="644">
        <f t="shared" ref="CY38" si="1196" xml:space="preserve">
IF(CX40&gt;=VLOOKUP($C38,$C$3:$D$15,2,FALSE)*CY$21,0,
IF(AND(CX40&lt;VLOOKUP($C38,$C$3:$D$15,2,FALSE)*CY$21,CY39&lt;=VLOOKUP($C38,$C$3:$D$15,2,FALSE)*CY$21),IF(CY39-CX40&lt;0,0,CY39-CX40),
IF(AND(CX40&lt;VLOOKUP($C38,$C$3:$D$15,2,FALSE)*CY$21,CY39&gt;VLOOKUP($C38,$C$3:$D$15,2,FALSE)*CY$21),VLOOKUP($C38,$C$3:$D$15,2,FALSE)*CY$21-CX40)))</f>
        <v>0</v>
      </c>
      <c r="CZ38" s="644">
        <f t="shared" ref="CZ38" si="1197" xml:space="preserve">
IF(CY40&gt;=VLOOKUP($C38,$C$3:$D$15,2,FALSE)*CZ$21,0,
IF(AND(CY40&lt;VLOOKUP($C38,$C$3:$D$15,2,FALSE)*CZ$21,CZ39&lt;=VLOOKUP($C38,$C$3:$D$15,2,FALSE)*CZ$21),IF(CZ39-CY40&lt;0,0,CZ39-CY40),
IF(AND(CY40&lt;VLOOKUP($C38,$C$3:$D$15,2,FALSE)*CZ$21,CZ39&gt;VLOOKUP($C38,$C$3:$D$15,2,FALSE)*CZ$21),VLOOKUP($C38,$C$3:$D$15,2,FALSE)*CZ$21-CY40)))</f>
        <v>0</v>
      </c>
      <c r="DA38" s="644">
        <f t="shared" ref="DA38" si="1198" xml:space="preserve">
IF(CZ40&gt;=VLOOKUP($C38,$C$3:$D$15,2,FALSE)*DA$21,0,
IF(AND(CZ40&lt;VLOOKUP($C38,$C$3:$D$15,2,FALSE)*DA$21,DA39&lt;=VLOOKUP($C38,$C$3:$D$15,2,FALSE)*DA$21),IF(DA39-CZ40&lt;0,0,DA39-CZ40),
IF(AND(CZ40&lt;VLOOKUP($C38,$C$3:$D$15,2,FALSE)*DA$21,DA39&gt;VLOOKUP($C38,$C$3:$D$15,2,FALSE)*DA$21),VLOOKUP($C38,$C$3:$D$15,2,FALSE)*DA$21-CZ40)))</f>
        <v>0</v>
      </c>
      <c r="DB38" s="644">
        <f t="shared" ref="DB38" si="1199" xml:space="preserve">
IF(DA40&gt;=VLOOKUP($C38,$C$3:$D$15,2,FALSE)*DB$21,0,
IF(AND(DA40&lt;VLOOKUP($C38,$C$3:$D$15,2,FALSE)*DB$21,DB39&lt;=VLOOKUP($C38,$C$3:$D$15,2,FALSE)*DB$21),IF(DB39-DA40&lt;0,0,DB39-DA40),
IF(AND(DA40&lt;VLOOKUP($C38,$C$3:$D$15,2,FALSE)*DB$21,DB39&gt;VLOOKUP($C38,$C$3:$D$15,2,FALSE)*DB$21),VLOOKUP($C38,$C$3:$D$15,2,FALSE)*DB$21-DA40)))</f>
        <v>0</v>
      </c>
      <c r="DC38" s="644">
        <f t="shared" ref="DC38" si="1200" xml:space="preserve">
IF(DB40&gt;=VLOOKUP($C38,$C$3:$D$15,2,FALSE)*DC$21,0,
IF(AND(DB40&lt;VLOOKUP($C38,$C$3:$D$15,2,FALSE)*DC$21,DC39&lt;=VLOOKUP($C38,$C$3:$D$15,2,FALSE)*DC$21),IF(DC39-DB40&lt;0,0,DC39-DB40),
IF(AND(DB40&lt;VLOOKUP($C38,$C$3:$D$15,2,FALSE)*DC$21,DC39&gt;VLOOKUP($C38,$C$3:$D$15,2,FALSE)*DC$21),VLOOKUP($C38,$C$3:$D$15,2,FALSE)*DC$21-DB40)))</f>
        <v>0</v>
      </c>
      <c r="DD38" s="644">
        <f t="shared" ref="DD38" si="1201" xml:space="preserve">
IF(DC40&gt;=VLOOKUP($C38,$C$3:$D$15,2,FALSE)*DD$21,0,
IF(AND(DC40&lt;VLOOKUP($C38,$C$3:$D$15,2,FALSE)*DD$21,DD39&lt;=VLOOKUP($C38,$C$3:$D$15,2,FALSE)*DD$21),IF(DD39-DC40&lt;0,0,DD39-DC40),
IF(AND(DC40&lt;VLOOKUP($C38,$C$3:$D$15,2,FALSE)*DD$21,DD39&gt;VLOOKUP($C38,$C$3:$D$15,2,FALSE)*DD$21),VLOOKUP($C38,$C$3:$D$15,2,FALSE)*DD$21-DC40)))</f>
        <v>0</v>
      </c>
      <c r="DE38" s="644">
        <f t="shared" ref="DE38" si="1202" xml:space="preserve">
IF(DD40&gt;=VLOOKUP($C38,$C$3:$D$15,2,FALSE)*DE$21,0,
IF(AND(DD40&lt;VLOOKUP($C38,$C$3:$D$15,2,FALSE)*DE$21,DE39&lt;=VLOOKUP($C38,$C$3:$D$15,2,FALSE)*DE$21),IF(DE39-DD40&lt;0,0,DE39-DD40),
IF(AND(DD40&lt;VLOOKUP($C38,$C$3:$D$15,2,FALSE)*DE$21,DE39&gt;VLOOKUP($C38,$C$3:$D$15,2,FALSE)*DE$21),VLOOKUP($C38,$C$3:$D$15,2,FALSE)*DE$21-DD40)))</f>
        <v>0</v>
      </c>
      <c r="DF38" s="644">
        <f t="shared" ref="DF38" si="1203" xml:space="preserve">
IF(DE40&gt;=VLOOKUP($C38,$C$3:$D$15,2,FALSE)*DF$21,0,
IF(AND(DE40&lt;VLOOKUP($C38,$C$3:$D$15,2,FALSE)*DF$21,DF39&lt;=VLOOKUP($C38,$C$3:$D$15,2,FALSE)*DF$21),IF(DF39-DE40&lt;0,0,DF39-DE40),
IF(AND(DE40&lt;VLOOKUP($C38,$C$3:$D$15,2,FALSE)*DF$21,DF39&gt;VLOOKUP($C38,$C$3:$D$15,2,FALSE)*DF$21),VLOOKUP($C38,$C$3:$D$15,2,FALSE)*DF$21-DE40)))</f>
        <v>0</v>
      </c>
      <c r="DG38" s="644">
        <f t="shared" ref="DG38" si="1204" xml:space="preserve">
IF(DF40&gt;=VLOOKUP($C38,$C$3:$D$15,2,FALSE)*DG$21,0,
IF(AND(DF40&lt;VLOOKUP($C38,$C$3:$D$15,2,FALSE)*DG$21,DG39&lt;=VLOOKUP($C38,$C$3:$D$15,2,FALSE)*DG$21),IF(DG39-DF40&lt;0,0,DG39-DF40),
IF(AND(DF40&lt;VLOOKUP($C38,$C$3:$D$15,2,FALSE)*DG$21,DG39&gt;VLOOKUP($C38,$C$3:$D$15,2,FALSE)*DG$21),VLOOKUP($C38,$C$3:$D$15,2,FALSE)*DG$21-DF40)))</f>
        <v>0</v>
      </c>
      <c r="DH38" s="644">
        <f t="shared" ref="DH38" si="1205" xml:space="preserve">
IF(DG40&gt;=VLOOKUP($C38,$C$3:$D$15,2,FALSE)*DH$21,0,
IF(AND(DG40&lt;VLOOKUP($C38,$C$3:$D$15,2,FALSE)*DH$21,DH39&lt;=VLOOKUP($C38,$C$3:$D$15,2,FALSE)*DH$21),IF(DH39-DG40&lt;0,0,DH39-DG40),
IF(AND(DG40&lt;VLOOKUP($C38,$C$3:$D$15,2,FALSE)*DH$21,DH39&gt;VLOOKUP($C38,$C$3:$D$15,2,FALSE)*DH$21),VLOOKUP($C38,$C$3:$D$15,2,FALSE)*DH$21-DG40)))</f>
        <v>0</v>
      </c>
      <c r="DI38" s="644">
        <f t="shared" ref="DI38" si="1206" xml:space="preserve">
IF(DH40&gt;=VLOOKUP($C38,$C$3:$D$15,2,FALSE)*DI$21,0,
IF(AND(DH40&lt;VLOOKUP($C38,$C$3:$D$15,2,FALSE)*DI$21,DI39&lt;=VLOOKUP($C38,$C$3:$D$15,2,FALSE)*DI$21),IF(DI39-DH40&lt;0,0,DI39-DH40),
IF(AND(DH40&lt;VLOOKUP($C38,$C$3:$D$15,2,FALSE)*DI$21,DI39&gt;VLOOKUP($C38,$C$3:$D$15,2,FALSE)*DI$21),VLOOKUP($C38,$C$3:$D$15,2,FALSE)*DI$21-DH40)))</f>
        <v>0</v>
      </c>
      <c r="DJ38" s="644">
        <f t="shared" ref="DJ38" si="1207" xml:space="preserve">
IF(DI40&gt;=VLOOKUP($C38,$C$3:$D$15,2,FALSE)*DJ$21,0,
IF(AND(DI40&lt;VLOOKUP($C38,$C$3:$D$15,2,FALSE)*DJ$21,DJ39&lt;=VLOOKUP($C38,$C$3:$D$15,2,FALSE)*DJ$21),IF(DJ39-DI40&lt;0,0,DJ39-DI40),
IF(AND(DI40&lt;VLOOKUP($C38,$C$3:$D$15,2,FALSE)*DJ$21,DJ39&gt;VLOOKUP($C38,$C$3:$D$15,2,FALSE)*DJ$21),VLOOKUP($C38,$C$3:$D$15,2,FALSE)*DJ$21-DI40)))</f>
        <v>0</v>
      </c>
      <c r="DK38" s="644">
        <f t="shared" ref="DK38" si="1208" xml:space="preserve">
IF(DJ40&gt;=VLOOKUP($C38,$C$3:$D$15,2,FALSE)*DK$21,0,
IF(AND(DJ40&lt;VLOOKUP($C38,$C$3:$D$15,2,FALSE)*DK$21,DK39&lt;=VLOOKUP($C38,$C$3:$D$15,2,FALSE)*DK$21),IF(DK39-DJ40&lt;0,0,DK39-DJ40),
IF(AND(DJ40&lt;VLOOKUP($C38,$C$3:$D$15,2,FALSE)*DK$21,DK39&gt;VLOOKUP($C38,$C$3:$D$15,2,FALSE)*DK$21),VLOOKUP($C38,$C$3:$D$15,2,FALSE)*DK$21-DJ40)))</f>
        <v>0</v>
      </c>
      <c r="DL38" s="644">
        <f t="shared" ref="DL38" si="1209" xml:space="preserve">
IF(DK40&gt;=VLOOKUP($C38,$C$3:$D$15,2,FALSE)*DL$21,0,
IF(AND(DK40&lt;VLOOKUP($C38,$C$3:$D$15,2,FALSE)*DL$21,DL39&lt;=VLOOKUP($C38,$C$3:$D$15,2,FALSE)*DL$21),IF(DL39-DK40&lt;0,0,DL39-DK40),
IF(AND(DK40&lt;VLOOKUP($C38,$C$3:$D$15,2,FALSE)*DL$21,DL39&gt;VLOOKUP($C38,$C$3:$D$15,2,FALSE)*DL$21),VLOOKUP($C38,$C$3:$D$15,2,FALSE)*DL$21-DK40)))</f>
        <v>0</v>
      </c>
      <c r="DM38" s="644">
        <f t="shared" ref="DM38" si="1210" xml:space="preserve">
IF(DL40&gt;=VLOOKUP($C38,$C$3:$D$15,2,FALSE)*DM$21,0,
IF(AND(DL40&lt;VLOOKUP($C38,$C$3:$D$15,2,FALSE)*DM$21,DM39&lt;=VLOOKUP($C38,$C$3:$D$15,2,FALSE)*DM$21),IF(DM39-DL40&lt;0,0,DM39-DL40),
IF(AND(DL40&lt;VLOOKUP($C38,$C$3:$D$15,2,FALSE)*DM$21,DM39&gt;VLOOKUP($C38,$C$3:$D$15,2,FALSE)*DM$21),VLOOKUP($C38,$C$3:$D$15,2,FALSE)*DM$21-DL40)))</f>
        <v>0</v>
      </c>
      <c r="DN38" s="644">
        <f t="shared" ref="DN38" si="1211" xml:space="preserve">
IF(DM40&gt;=VLOOKUP($C38,$C$3:$D$15,2,FALSE)*DN$21,0,
IF(AND(DM40&lt;VLOOKUP($C38,$C$3:$D$15,2,FALSE)*DN$21,DN39&lt;=VLOOKUP($C38,$C$3:$D$15,2,FALSE)*DN$21),IF(DN39-DM40&lt;0,0,DN39-DM40),
IF(AND(DM40&lt;VLOOKUP($C38,$C$3:$D$15,2,FALSE)*DN$21,DN39&gt;VLOOKUP($C38,$C$3:$D$15,2,FALSE)*DN$21),VLOOKUP($C38,$C$3:$D$15,2,FALSE)*DN$21-DM40)))</f>
        <v>0</v>
      </c>
      <c r="DO38" s="644">
        <f t="shared" ref="DO38" si="1212" xml:space="preserve">
IF(DN40&gt;=VLOOKUP($C38,$C$3:$D$15,2,FALSE)*DO$21,0,
IF(AND(DN40&lt;VLOOKUP($C38,$C$3:$D$15,2,FALSE)*DO$21,DO39&lt;=VLOOKUP($C38,$C$3:$D$15,2,FALSE)*DO$21),IF(DO39-DN40&lt;0,0,DO39-DN40),
IF(AND(DN40&lt;VLOOKUP($C38,$C$3:$D$15,2,FALSE)*DO$21,DO39&gt;VLOOKUP($C38,$C$3:$D$15,2,FALSE)*DO$21),VLOOKUP($C38,$C$3:$D$15,2,FALSE)*DO$21-DN40)))</f>
        <v>0</v>
      </c>
      <c r="DP38" s="644">
        <f t="shared" ref="DP38" si="1213" xml:space="preserve">
IF(DO40&gt;=VLOOKUP($C38,$C$3:$D$15,2,FALSE)*DP$21,0,
IF(AND(DO40&lt;VLOOKUP($C38,$C$3:$D$15,2,FALSE)*DP$21,DP39&lt;=VLOOKUP($C38,$C$3:$D$15,2,FALSE)*DP$21),IF(DP39-DO40&lt;0,0,DP39-DO40),
IF(AND(DO40&lt;VLOOKUP($C38,$C$3:$D$15,2,FALSE)*DP$21,DP39&gt;VLOOKUP($C38,$C$3:$D$15,2,FALSE)*DP$21),VLOOKUP($C38,$C$3:$D$15,2,FALSE)*DP$21-DO40)))</f>
        <v>0</v>
      </c>
      <c r="DQ38" s="644">
        <f t="shared" ref="DQ38" si="1214" xml:space="preserve">
IF(DP40&gt;=VLOOKUP($C38,$C$3:$D$15,2,FALSE)*DQ$21,0,
IF(AND(DP40&lt;VLOOKUP($C38,$C$3:$D$15,2,FALSE)*DQ$21,DQ39&lt;=VLOOKUP($C38,$C$3:$D$15,2,FALSE)*DQ$21),IF(DQ39-DP40&lt;0,0,DQ39-DP40),
IF(AND(DP40&lt;VLOOKUP($C38,$C$3:$D$15,2,FALSE)*DQ$21,DQ39&gt;VLOOKUP($C38,$C$3:$D$15,2,FALSE)*DQ$21),VLOOKUP($C38,$C$3:$D$15,2,FALSE)*DQ$21-DP40)))</f>
        <v>0</v>
      </c>
      <c r="DR38" s="644">
        <f t="shared" ref="DR38" si="1215" xml:space="preserve">
IF(DQ40&gt;=VLOOKUP($C38,$C$3:$D$15,2,FALSE)*DR$21,0,
IF(AND(DQ40&lt;VLOOKUP($C38,$C$3:$D$15,2,FALSE)*DR$21,DR39&lt;=VLOOKUP($C38,$C$3:$D$15,2,FALSE)*DR$21),IF(DR39-DQ40&lt;0,0,DR39-DQ40),
IF(AND(DQ40&lt;VLOOKUP($C38,$C$3:$D$15,2,FALSE)*DR$21,DR39&gt;VLOOKUP($C38,$C$3:$D$15,2,FALSE)*DR$21),VLOOKUP($C38,$C$3:$D$15,2,FALSE)*DR$21-DQ40)))</f>
        <v>0</v>
      </c>
      <c r="DS38" s="644">
        <f t="shared" ref="DS38" si="1216" xml:space="preserve">
IF(DR40&gt;=VLOOKUP($C38,$C$3:$D$15,2,FALSE)*DS$21,0,
IF(AND(DR40&lt;VLOOKUP($C38,$C$3:$D$15,2,FALSE)*DS$21,DS39&lt;=VLOOKUP($C38,$C$3:$D$15,2,FALSE)*DS$21),IF(DS39-DR40&lt;0,0,DS39-DR40),
IF(AND(DR40&lt;VLOOKUP($C38,$C$3:$D$15,2,FALSE)*DS$21,DS39&gt;VLOOKUP($C38,$C$3:$D$15,2,FALSE)*DS$21),VLOOKUP($C38,$C$3:$D$15,2,FALSE)*DS$21-DR40)))</f>
        <v>0</v>
      </c>
      <c r="DT38" s="644">
        <f t="shared" ref="DT38" si="1217" xml:space="preserve">
IF(DS40&gt;=VLOOKUP($C38,$C$3:$D$15,2,FALSE)*DT$21,0,
IF(AND(DS40&lt;VLOOKUP($C38,$C$3:$D$15,2,FALSE)*DT$21,DT39&lt;=VLOOKUP($C38,$C$3:$D$15,2,FALSE)*DT$21),IF(DT39-DS40&lt;0,0,DT39-DS40),
IF(AND(DS40&lt;VLOOKUP($C38,$C$3:$D$15,2,FALSE)*DT$21,DT39&gt;VLOOKUP($C38,$C$3:$D$15,2,FALSE)*DT$21),VLOOKUP($C38,$C$3:$D$15,2,FALSE)*DT$21-DS40)))</f>
        <v>0</v>
      </c>
      <c r="DU38" s="644">
        <f t="shared" ref="DU38" si="1218" xml:space="preserve">
IF(DT40&gt;=VLOOKUP($C38,$C$3:$D$15,2,FALSE)*DU$21,0,
IF(AND(DT40&lt;VLOOKUP($C38,$C$3:$D$15,2,FALSE)*DU$21,DU39&lt;=VLOOKUP($C38,$C$3:$D$15,2,FALSE)*DU$21),IF(DU39-DT40&lt;0,0,DU39-DT40),
IF(AND(DT40&lt;VLOOKUP($C38,$C$3:$D$15,2,FALSE)*DU$21,DU39&gt;VLOOKUP($C38,$C$3:$D$15,2,FALSE)*DU$21),VLOOKUP($C38,$C$3:$D$15,2,FALSE)*DU$21-DT40)))</f>
        <v>0</v>
      </c>
      <c r="DV38" s="644">
        <f t="shared" ref="DV38" si="1219" xml:space="preserve">
IF(DU40&gt;=VLOOKUP($C38,$C$3:$D$15,2,FALSE)*DV$21,0,
IF(AND(DU40&lt;VLOOKUP($C38,$C$3:$D$15,2,FALSE)*DV$21,DV39&lt;=VLOOKUP($C38,$C$3:$D$15,2,FALSE)*DV$21),IF(DV39-DU40&lt;0,0,DV39-DU40),
IF(AND(DU40&lt;VLOOKUP($C38,$C$3:$D$15,2,FALSE)*DV$21,DV39&gt;VLOOKUP($C38,$C$3:$D$15,2,FALSE)*DV$21),VLOOKUP($C38,$C$3:$D$15,2,FALSE)*DV$21-DU40)))</f>
        <v>0</v>
      </c>
      <c r="DW38" s="644">
        <f t="shared" ref="DW38" si="1220" xml:space="preserve">
IF(DV40&gt;=VLOOKUP($C38,$C$3:$D$15,2,FALSE)*DW$21,0,
IF(AND(DV40&lt;VLOOKUP($C38,$C$3:$D$15,2,FALSE)*DW$21,DW39&lt;=VLOOKUP($C38,$C$3:$D$15,2,FALSE)*DW$21),IF(DW39-DV40&lt;0,0,DW39-DV40),
IF(AND(DV40&lt;VLOOKUP($C38,$C$3:$D$15,2,FALSE)*DW$21,DW39&gt;VLOOKUP($C38,$C$3:$D$15,2,FALSE)*DW$21),VLOOKUP($C38,$C$3:$D$15,2,FALSE)*DW$21-DV40)))</f>
        <v>0</v>
      </c>
      <c r="DX38" s="644">
        <f t="shared" ref="DX38" si="1221" xml:space="preserve">
IF(DW40&gt;=VLOOKUP($C38,$C$3:$D$15,2,FALSE)*DX$21,0,
IF(AND(DW40&lt;VLOOKUP($C38,$C$3:$D$15,2,FALSE)*DX$21,DX39&lt;=VLOOKUP($C38,$C$3:$D$15,2,FALSE)*DX$21),IF(DX39-DW40&lt;0,0,DX39-DW40),
IF(AND(DW40&lt;VLOOKUP($C38,$C$3:$D$15,2,FALSE)*DX$21,DX39&gt;VLOOKUP($C38,$C$3:$D$15,2,FALSE)*DX$21),VLOOKUP($C38,$C$3:$D$15,2,FALSE)*DX$21-DW40)))</f>
        <v>0</v>
      </c>
      <c r="DY38" s="644">
        <f t="shared" ref="DY38" si="1222" xml:space="preserve">
IF(DX40&gt;=VLOOKUP($C38,$C$3:$D$15,2,FALSE)*DY$21,0,
IF(AND(DX40&lt;VLOOKUP($C38,$C$3:$D$15,2,FALSE)*DY$21,DY39&lt;=VLOOKUP($C38,$C$3:$D$15,2,FALSE)*DY$21),IF(DY39-DX40&lt;0,0,DY39-DX40),
IF(AND(DX40&lt;VLOOKUP($C38,$C$3:$D$15,2,FALSE)*DY$21,DY39&gt;VLOOKUP($C38,$C$3:$D$15,2,FALSE)*DY$21),VLOOKUP($C38,$C$3:$D$15,2,FALSE)*DY$21-DX40)))</f>
        <v>0</v>
      </c>
      <c r="DZ38" s="644">
        <f t="shared" ref="DZ38" si="1223" xml:space="preserve">
IF(DY40&gt;=VLOOKUP($C38,$C$3:$D$15,2,FALSE)*DZ$21,0,
IF(AND(DY40&lt;VLOOKUP($C38,$C$3:$D$15,2,FALSE)*DZ$21,DZ39&lt;=VLOOKUP($C38,$C$3:$D$15,2,FALSE)*DZ$21),IF(DZ39-DY40&lt;0,0,DZ39-DY40),
IF(AND(DY40&lt;VLOOKUP($C38,$C$3:$D$15,2,FALSE)*DZ$21,DZ39&gt;VLOOKUP($C38,$C$3:$D$15,2,FALSE)*DZ$21),VLOOKUP($C38,$C$3:$D$15,2,FALSE)*DZ$21-DY40)))</f>
        <v>0</v>
      </c>
      <c r="EA38" s="644">
        <f t="shared" ref="EA38" si="1224" xml:space="preserve">
IF(DZ40&gt;=VLOOKUP($C38,$C$3:$D$15,2,FALSE)*EA$21,0,
IF(AND(DZ40&lt;VLOOKUP($C38,$C$3:$D$15,2,FALSE)*EA$21,EA39&lt;=VLOOKUP($C38,$C$3:$D$15,2,FALSE)*EA$21),IF(EA39-DZ40&lt;0,0,EA39-DZ40),
IF(AND(DZ40&lt;VLOOKUP($C38,$C$3:$D$15,2,FALSE)*EA$21,EA39&gt;VLOOKUP($C38,$C$3:$D$15,2,FALSE)*EA$21),VLOOKUP($C38,$C$3:$D$15,2,FALSE)*EA$21-DZ40)))</f>
        <v>0</v>
      </c>
      <c r="EB38" s="644">
        <f t="shared" ref="EB38" si="1225" xml:space="preserve">
IF(EA40&gt;=VLOOKUP($C38,$C$3:$D$15,2,FALSE)*EB$21,0,
IF(AND(EA40&lt;VLOOKUP($C38,$C$3:$D$15,2,FALSE)*EB$21,EB39&lt;=VLOOKUP($C38,$C$3:$D$15,2,FALSE)*EB$21),IF(EB39-EA40&lt;0,0,EB39-EA40),
IF(AND(EA40&lt;VLOOKUP($C38,$C$3:$D$15,2,FALSE)*EB$21,EB39&gt;VLOOKUP($C38,$C$3:$D$15,2,FALSE)*EB$21),VLOOKUP($C38,$C$3:$D$15,2,FALSE)*EB$21-EA40)))</f>
        <v>0</v>
      </c>
      <c r="EC38" s="644">
        <f t="shared" ref="EC38" si="1226" xml:space="preserve">
IF(EB40&gt;=VLOOKUP($C38,$C$3:$D$15,2,FALSE)*EC$21,0,
IF(AND(EB40&lt;VLOOKUP($C38,$C$3:$D$15,2,FALSE)*EC$21,EC39&lt;=VLOOKUP($C38,$C$3:$D$15,2,FALSE)*EC$21),IF(EC39-EB40&lt;0,0,EC39-EB40),
IF(AND(EB40&lt;VLOOKUP($C38,$C$3:$D$15,2,FALSE)*EC$21,EC39&gt;VLOOKUP($C38,$C$3:$D$15,2,FALSE)*EC$21),VLOOKUP($C38,$C$3:$D$15,2,FALSE)*EC$21-EB40)))</f>
        <v>0</v>
      </c>
      <c r="ED38" s="644">
        <f t="shared" ref="ED38" si="1227" xml:space="preserve">
IF(EC40&gt;=VLOOKUP($C38,$C$3:$D$15,2,FALSE)*ED$21,0,
IF(AND(EC40&lt;VLOOKUP($C38,$C$3:$D$15,2,FALSE)*ED$21,ED39&lt;=VLOOKUP($C38,$C$3:$D$15,2,FALSE)*ED$21),IF(ED39-EC40&lt;0,0,ED39-EC40),
IF(AND(EC40&lt;VLOOKUP($C38,$C$3:$D$15,2,FALSE)*ED$21,ED39&gt;VLOOKUP($C38,$C$3:$D$15,2,FALSE)*ED$21),VLOOKUP($C38,$C$3:$D$15,2,FALSE)*ED$21-EC40)))</f>
        <v>0</v>
      </c>
      <c r="EE38" s="644">
        <f t="shared" ref="EE38" si="1228" xml:space="preserve">
IF(ED40&gt;=VLOOKUP($C38,$C$3:$D$15,2,FALSE)*EE$21,0,
IF(AND(ED40&lt;VLOOKUP($C38,$C$3:$D$15,2,FALSE)*EE$21,EE39&lt;=VLOOKUP($C38,$C$3:$D$15,2,FALSE)*EE$21),IF(EE39-ED40&lt;0,0,EE39-ED40),
IF(AND(ED40&lt;VLOOKUP($C38,$C$3:$D$15,2,FALSE)*EE$21,EE39&gt;VLOOKUP($C38,$C$3:$D$15,2,FALSE)*EE$21),VLOOKUP($C38,$C$3:$D$15,2,FALSE)*EE$21-ED40)))</f>
        <v>0</v>
      </c>
      <c r="EF38" s="644">
        <f t="shared" ref="EF38" si="1229" xml:space="preserve">
IF(EE40&gt;=VLOOKUP($C38,$C$3:$D$15,2,FALSE)*EF$21,0,
IF(AND(EE40&lt;VLOOKUP($C38,$C$3:$D$15,2,FALSE)*EF$21,EF39&lt;=VLOOKUP($C38,$C$3:$D$15,2,FALSE)*EF$21),IF(EF39-EE40&lt;0,0,EF39-EE40),
IF(AND(EE40&lt;VLOOKUP($C38,$C$3:$D$15,2,FALSE)*EF$21,EF39&gt;VLOOKUP($C38,$C$3:$D$15,2,FALSE)*EF$21),VLOOKUP($C38,$C$3:$D$15,2,FALSE)*EF$21-EE40)))</f>
        <v>0</v>
      </c>
      <c r="EG38" s="644">
        <f t="shared" ref="EG38" si="1230" xml:space="preserve">
IF(EF40&gt;=VLOOKUP($C38,$C$3:$D$15,2,FALSE)*EG$21,0,
IF(AND(EF40&lt;VLOOKUP($C38,$C$3:$D$15,2,FALSE)*EG$21,EG39&lt;=VLOOKUP($C38,$C$3:$D$15,2,FALSE)*EG$21),IF(EG39-EF40&lt;0,0,EG39-EF40),
IF(AND(EF40&lt;VLOOKUP($C38,$C$3:$D$15,2,FALSE)*EG$21,EG39&gt;VLOOKUP($C38,$C$3:$D$15,2,FALSE)*EG$21),VLOOKUP($C38,$C$3:$D$15,2,FALSE)*EG$21-EF40)))</f>
        <v>0</v>
      </c>
      <c r="EH38" s="644">
        <f t="shared" ref="EH38" si="1231" xml:space="preserve">
IF(EG40&gt;=VLOOKUP($C38,$C$3:$D$15,2,FALSE)*EH$21,0,
IF(AND(EG40&lt;VLOOKUP($C38,$C$3:$D$15,2,FALSE)*EH$21,EH39&lt;=VLOOKUP($C38,$C$3:$D$15,2,FALSE)*EH$21),IF(EH39-EG40&lt;0,0,EH39-EG40),
IF(AND(EG40&lt;VLOOKUP($C38,$C$3:$D$15,2,FALSE)*EH$21,EH39&gt;VLOOKUP($C38,$C$3:$D$15,2,FALSE)*EH$21),VLOOKUP($C38,$C$3:$D$15,2,FALSE)*EH$21-EG40)))</f>
        <v>0</v>
      </c>
      <c r="EI38" s="644">
        <f t="shared" ref="EI38" si="1232" xml:space="preserve">
IF(EH40&gt;=VLOOKUP($C38,$C$3:$D$15,2,FALSE)*EI$21,0,
IF(AND(EH40&lt;VLOOKUP($C38,$C$3:$D$15,2,FALSE)*EI$21,EI39&lt;=VLOOKUP($C38,$C$3:$D$15,2,FALSE)*EI$21),IF(EI39-EH40&lt;0,0,EI39-EH40),
IF(AND(EH40&lt;VLOOKUP($C38,$C$3:$D$15,2,FALSE)*EI$21,EI39&gt;VLOOKUP($C38,$C$3:$D$15,2,FALSE)*EI$21),VLOOKUP($C38,$C$3:$D$15,2,FALSE)*EI$21-EH40)))</f>
        <v>0</v>
      </c>
      <c r="EJ38" s="644">
        <f t="shared" ref="EJ38" si="1233" xml:space="preserve">
IF(EI40&gt;=VLOOKUP($C38,$C$3:$D$15,2,FALSE)*EJ$21,0,
IF(AND(EI40&lt;VLOOKUP($C38,$C$3:$D$15,2,FALSE)*EJ$21,EJ39&lt;=VLOOKUP($C38,$C$3:$D$15,2,FALSE)*EJ$21),IF(EJ39-EI40&lt;0,0,EJ39-EI40),
IF(AND(EI40&lt;VLOOKUP($C38,$C$3:$D$15,2,FALSE)*EJ$21,EJ39&gt;VLOOKUP($C38,$C$3:$D$15,2,FALSE)*EJ$21),VLOOKUP($C38,$C$3:$D$15,2,FALSE)*EJ$21-EI40)))</f>
        <v>0</v>
      </c>
      <c r="EK38" s="644">
        <f t="shared" ref="EK38" si="1234" xml:space="preserve">
IF(EJ40&gt;=VLOOKUP($C38,$C$3:$D$15,2,FALSE)*EK$21,0,
IF(AND(EJ40&lt;VLOOKUP($C38,$C$3:$D$15,2,FALSE)*EK$21,EK39&lt;=VLOOKUP($C38,$C$3:$D$15,2,FALSE)*EK$21),IF(EK39-EJ40&lt;0,0,EK39-EJ40),
IF(AND(EJ40&lt;VLOOKUP($C38,$C$3:$D$15,2,FALSE)*EK$21,EK39&gt;VLOOKUP($C38,$C$3:$D$15,2,FALSE)*EK$21),VLOOKUP($C38,$C$3:$D$15,2,FALSE)*EK$21-EJ40)))</f>
        <v>0</v>
      </c>
      <c r="EL38" s="644">
        <f t="shared" ref="EL38" si="1235" xml:space="preserve">
IF(EK40&gt;=VLOOKUP($C38,$C$3:$D$15,2,FALSE)*EL$21,0,
IF(AND(EK40&lt;VLOOKUP($C38,$C$3:$D$15,2,FALSE)*EL$21,EL39&lt;=VLOOKUP($C38,$C$3:$D$15,2,FALSE)*EL$21),IF(EL39-EK40&lt;0,0,EL39-EK40),
IF(AND(EK40&lt;VLOOKUP($C38,$C$3:$D$15,2,FALSE)*EL$21,EL39&gt;VLOOKUP($C38,$C$3:$D$15,2,FALSE)*EL$21),VLOOKUP($C38,$C$3:$D$15,2,FALSE)*EL$21-EK40)))</f>
        <v>0</v>
      </c>
      <c r="EM38" s="644">
        <f t="shared" ref="EM38" si="1236" xml:space="preserve">
IF(EL40&gt;=VLOOKUP($C38,$C$3:$D$15,2,FALSE)*EM$21,0,
IF(AND(EL40&lt;VLOOKUP($C38,$C$3:$D$15,2,FALSE)*EM$21,EM39&lt;=VLOOKUP($C38,$C$3:$D$15,2,FALSE)*EM$21),IF(EM39-EL40&lt;0,0,EM39-EL40),
IF(AND(EL40&lt;VLOOKUP($C38,$C$3:$D$15,2,FALSE)*EM$21,EM39&gt;VLOOKUP($C38,$C$3:$D$15,2,FALSE)*EM$21),VLOOKUP($C38,$C$3:$D$15,2,FALSE)*EM$21-EL40)))</f>
        <v>0</v>
      </c>
      <c r="EN38" s="644">
        <f t="shared" ref="EN38" si="1237" xml:space="preserve">
IF(EM40&gt;=VLOOKUP($C38,$C$3:$D$15,2,FALSE)*EN$21,0,
IF(AND(EM40&lt;VLOOKUP($C38,$C$3:$D$15,2,FALSE)*EN$21,EN39&lt;=VLOOKUP($C38,$C$3:$D$15,2,FALSE)*EN$21),IF(EN39-EM40&lt;0,0,EN39-EM40),
IF(AND(EM40&lt;VLOOKUP($C38,$C$3:$D$15,2,FALSE)*EN$21,EN39&gt;VLOOKUP($C38,$C$3:$D$15,2,FALSE)*EN$21),VLOOKUP($C38,$C$3:$D$15,2,FALSE)*EN$21-EM40)))</f>
        <v>0</v>
      </c>
      <c r="EO38" s="644">
        <f t="shared" ref="EO38" si="1238" xml:space="preserve">
IF(EN40&gt;=VLOOKUP($C38,$C$3:$D$15,2,FALSE)*EO$21,0,
IF(AND(EN40&lt;VLOOKUP($C38,$C$3:$D$15,2,FALSE)*EO$21,EO39&lt;=VLOOKUP($C38,$C$3:$D$15,2,FALSE)*EO$21),IF(EO39-EN40&lt;0,0,EO39-EN40),
IF(AND(EN40&lt;VLOOKUP($C38,$C$3:$D$15,2,FALSE)*EO$21,EO39&gt;VLOOKUP($C38,$C$3:$D$15,2,FALSE)*EO$21),VLOOKUP($C38,$C$3:$D$15,2,FALSE)*EO$21-EN40)))</f>
        <v>0</v>
      </c>
      <c r="EP38" s="644">
        <f t="shared" ref="EP38" si="1239" xml:space="preserve">
IF(EO40&gt;=VLOOKUP($C38,$C$3:$D$15,2,FALSE)*EP$21,0,
IF(AND(EO40&lt;VLOOKUP($C38,$C$3:$D$15,2,FALSE)*EP$21,EP39&lt;=VLOOKUP($C38,$C$3:$D$15,2,FALSE)*EP$21),IF(EP39-EO40&lt;0,0,EP39-EO40),
IF(AND(EO40&lt;VLOOKUP($C38,$C$3:$D$15,2,FALSE)*EP$21,EP39&gt;VLOOKUP($C38,$C$3:$D$15,2,FALSE)*EP$21),VLOOKUP($C38,$C$3:$D$15,2,FALSE)*EP$21-EO40)))</f>
        <v>0</v>
      </c>
      <c r="EQ38" s="644">
        <f t="shared" ref="EQ38" si="1240" xml:space="preserve">
IF(EP40&gt;=VLOOKUP($C38,$C$3:$D$15,2,FALSE)*EQ$21,0,
IF(AND(EP40&lt;VLOOKUP($C38,$C$3:$D$15,2,FALSE)*EQ$21,EQ39&lt;=VLOOKUP($C38,$C$3:$D$15,2,FALSE)*EQ$21),IF(EQ39-EP40&lt;0,0,EQ39-EP40),
IF(AND(EP40&lt;VLOOKUP($C38,$C$3:$D$15,2,FALSE)*EQ$21,EQ39&gt;VLOOKUP($C38,$C$3:$D$15,2,FALSE)*EQ$21),VLOOKUP($C38,$C$3:$D$15,2,FALSE)*EQ$21-EP40)))</f>
        <v>0</v>
      </c>
      <c r="ER38" s="644">
        <f t="shared" ref="ER38" si="1241" xml:space="preserve">
IF(EQ40&gt;=VLOOKUP($C38,$C$3:$D$15,2,FALSE)*ER$21,0,
IF(AND(EQ40&lt;VLOOKUP($C38,$C$3:$D$15,2,FALSE)*ER$21,ER39&lt;=VLOOKUP($C38,$C$3:$D$15,2,FALSE)*ER$21),IF(ER39-EQ40&lt;0,0,ER39-EQ40),
IF(AND(EQ40&lt;VLOOKUP($C38,$C$3:$D$15,2,FALSE)*ER$21,ER39&gt;VLOOKUP($C38,$C$3:$D$15,2,FALSE)*ER$21),VLOOKUP($C38,$C$3:$D$15,2,FALSE)*ER$21-EQ40)))</f>
        <v>0</v>
      </c>
      <c r="ES38" s="644">
        <f t="shared" ref="ES38" si="1242" xml:space="preserve">
IF(ER40&gt;=VLOOKUP($C38,$C$3:$D$15,2,FALSE)*ES$21,0,
IF(AND(ER40&lt;VLOOKUP($C38,$C$3:$D$15,2,FALSE)*ES$21,ES39&lt;=VLOOKUP($C38,$C$3:$D$15,2,FALSE)*ES$21),IF(ES39-ER40&lt;0,0,ES39-ER40),
IF(AND(ER40&lt;VLOOKUP($C38,$C$3:$D$15,2,FALSE)*ES$21,ES39&gt;VLOOKUP($C38,$C$3:$D$15,2,FALSE)*ES$21),VLOOKUP($C38,$C$3:$D$15,2,FALSE)*ES$21-ER40)))</f>
        <v>0</v>
      </c>
      <c r="ET38" s="644">
        <f t="shared" ref="ET38" si="1243" xml:space="preserve">
IF(ES40&gt;=VLOOKUP($C38,$C$3:$D$15,2,FALSE)*ET$21,0,
IF(AND(ES40&lt;VLOOKUP($C38,$C$3:$D$15,2,FALSE)*ET$21,ET39&lt;=VLOOKUP($C38,$C$3:$D$15,2,FALSE)*ET$21),IF(ET39-ES40&lt;0,0,ET39-ES40),
IF(AND(ES40&lt;VLOOKUP($C38,$C$3:$D$15,2,FALSE)*ET$21,ET39&gt;VLOOKUP($C38,$C$3:$D$15,2,FALSE)*ET$21),VLOOKUP($C38,$C$3:$D$15,2,FALSE)*ET$21-ES40)))</f>
        <v>0</v>
      </c>
      <c r="EU38" s="644">
        <f t="shared" ref="EU38" si="1244" xml:space="preserve">
IF(ET40&gt;=VLOOKUP($C38,$C$3:$D$15,2,FALSE)*EU$21,0,
IF(AND(ET40&lt;VLOOKUP($C38,$C$3:$D$15,2,FALSE)*EU$21,EU39&lt;=VLOOKUP($C38,$C$3:$D$15,2,FALSE)*EU$21),IF(EU39-ET40&lt;0,0,EU39-ET40),
IF(AND(ET40&lt;VLOOKUP($C38,$C$3:$D$15,2,FALSE)*EU$21,EU39&gt;VLOOKUP($C38,$C$3:$D$15,2,FALSE)*EU$21),VLOOKUP($C38,$C$3:$D$15,2,FALSE)*EU$21-ET40)))</f>
        <v>0</v>
      </c>
      <c r="EV38" s="644">
        <f t="shared" ref="EV38" si="1245" xml:space="preserve">
IF(EU40&gt;=VLOOKUP($C38,$C$3:$D$15,2,FALSE)*EV$21,0,
IF(AND(EU40&lt;VLOOKUP($C38,$C$3:$D$15,2,FALSE)*EV$21,EV39&lt;=VLOOKUP($C38,$C$3:$D$15,2,FALSE)*EV$21),IF(EV39-EU40&lt;0,0,EV39-EU40),
IF(AND(EU40&lt;VLOOKUP($C38,$C$3:$D$15,2,FALSE)*EV$21,EV39&gt;VLOOKUP($C38,$C$3:$D$15,2,FALSE)*EV$21),VLOOKUP($C38,$C$3:$D$15,2,FALSE)*EV$21-EU40)))</f>
        <v>0</v>
      </c>
      <c r="EW38" s="644">
        <f t="shared" ref="EW38" si="1246" xml:space="preserve">
IF(EV40&gt;=VLOOKUP($C38,$C$3:$D$15,2,FALSE)*EW$21,0,
IF(AND(EV40&lt;VLOOKUP($C38,$C$3:$D$15,2,FALSE)*EW$21,EW39&lt;=VLOOKUP($C38,$C$3:$D$15,2,FALSE)*EW$21),IF(EW39-EV40&lt;0,0,EW39-EV40),
IF(AND(EV40&lt;VLOOKUP($C38,$C$3:$D$15,2,FALSE)*EW$21,EW39&gt;VLOOKUP($C38,$C$3:$D$15,2,FALSE)*EW$21),VLOOKUP($C38,$C$3:$D$15,2,FALSE)*EW$21-EV40)))</f>
        <v>0</v>
      </c>
      <c r="EX38" s="644">
        <f t="shared" ref="EX38" si="1247" xml:space="preserve">
IF(EW40&gt;=VLOOKUP($C38,$C$3:$D$15,2,FALSE)*EX$21,0,
IF(AND(EW40&lt;VLOOKUP($C38,$C$3:$D$15,2,FALSE)*EX$21,EX39&lt;=VLOOKUP($C38,$C$3:$D$15,2,FALSE)*EX$21),IF(EX39-EW40&lt;0,0,EX39-EW40),
IF(AND(EW40&lt;VLOOKUP($C38,$C$3:$D$15,2,FALSE)*EX$21,EX39&gt;VLOOKUP($C38,$C$3:$D$15,2,FALSE)*EX$21),VLOOKUP($C38,$C$3:$D$15,2,FALSE)*EX$21-EW40)))</f>
        <v>0</v>
      </c>
      <c r="EY38" s="644">
        <f t="shared" ref="EY38" si="1248" xml:space="preserve">
IF(EX40&gt;=VLOOKUP($C38,$C$3:$D$15,2,FALSE)*EY$21,0,
IF(AND(EX40&lt;VLOOKUP($C38,$C$3:$D$15,2,FALSE)*EY$21,EY39&lt;=VLOOKUP($C38,$C$3:$D$15,2,FALSE)*EY$21),IF(EY39-EX40&lt;0,0,EY39-EX40),
IF(AND(EX40&lt;VLOOKUP($C38,$C$3:$D$15,2,FALSE)*EY$21,EY39&gt;VLOOKUP($C38,$C$3:$D$15,2,FALSE)*EY$21),VLOOKUP($C38,$C$3:$D$15,2,FALSE)*EY$21-EX40)))</f>
        <v>0</v>
      </c>
      <c r="EZ38" s="644">
        <f t="shared" ref="EZ38" si="1249" xml:space="preserve">
IF(EY40&gt;=VLOOKUP($C38,$C$3:$D$15,2,FALSE)*EZ$21,0,
IF(AND(EY40&lt;VLOOKUP($C38,$C$3:$D$15,2,FALSE)*EZ$21,EZ39&lt;=VLOOKUP($C38,$C$3:$D$15,2,FALSE)*EZ$21),IF(EZ39-EY40&lt;0,0,EZ39-EY40),
IF(AND(EY40&lt;VLOOKUP($C38,$C$3:$D$15,2,FALSE)*EZ$21,EZ39&gt;VLOOKUP($C38,$C$3:$D$15,2,FALSE)*EZ$21),VLOOKUP($C38,$C$3:$D$15,2,FALSE)*EZ$21-EY40)))</f>
        <v>0</v>
      </c>
      <c r="FA38" s="644">
        <f t="shared" ref="FA38" si="1250" xml:space="preserve">
IF(EZ40&gt;=VLOOKUP($C38,$C$3:$D$15,2,FALSE)*FA$21,0,
IF(AND(EZ40&lt;VLOOKUP($C38,$C$3:$D$15,2,FALSE)*FA$21,FA39&lt;=VLOOKUP($C38,$C$3:$D$15,2,FALSE)*FA$21),IF(FA39-EZ40&lt;0,0,FA39-EZ40),
IF(AND(EZ40&lt;VLOOKUP($C38,$C$3:$D$15,2,FALSE)*FA$21,FA39&gt;VLOOKUP($C38,$C$3:$D$15,2,FALSE)*FA$21),VLOOKUP($C38,$C$3:$D$15,2,FALSE)*FA$21-EZ40)))</f>
        <v>0</v>
      </c>
      <c r="FB38" s="644">
        <f t="shared" ref="FB38" si="1251" xml:space="preserve">
IF(FA40&gt;=VLOOKUP($C38,$C$3:$D$15,2,FALSE)*FB$21,0,
IF(AND(FA40&lt;VLOOKUP($C38,$C$3:$D$15,2,FALSE)*FB$21,FB39&lt;=VLOOKUP($C38,$C$3:$D$15,2,FALSE)*FB$21),IF(FB39-FA40&lt;0,0,FB39-FA40),
IF(AND(FA40&lt;VLOOKUP($C38,$C$3:$D$15,2,FALSE)*FB$21,FB39&gt;VLOOKUP($C38,$C$3:$D$15,2,FALSE)*FB$21),VLOOKUP($C38,$C$3:$D$15,2,FALSE)*FB$21-FA40)))</f>
        <v>0</v>
      </c>
      <c r="FC38" s="644">
        <f t="shared" ref="FC38" si="1252" xml:space="preserve">
IF(FB40&gt;=VLOOKUP($C38,$C$3:$D$15,2,FALSE)*FC$21,0,
IF(AND(FB40&lt;VLOOKUP($C38,$C$3:$D$15,2,FALSE)*FC$21,FC39&lt;=VLOOKUP($C38,$C$3:$D$15,2,FALSE)*FC$21),IF(FC39-FB40&lt;0,0,FC39-FB40),
IF(AND(FB40&lt;VLOOKUP($C38,$C$3:$D$15,2,FALSE)*FC$21,FC39&gt;VLOOKUP($C38,$C$3:$D$15,2,FALSE)*FC$21),VLOOKUP($C38,$C$3:$D$15,2,FALSE)*FC$21-FB40)))</f>
        <v>0</v>
      </c>
      <c r="FD38" s="644">
        <f t="shared" ref="FD38" si="1253" xml:space="preserve">
IF(FC40&gt;=VLOOKUP($C38,$C$3:$D$15,2,FALSE)*FD$21,0,
IF(AND(FC40&lt;VLOOKUP($C38,$C$3:$D$15,2,FALSE)*FD$21,FD39&lt;=VLOOKUP($C38,$C$3:$D$15,2,FALSE)*FD$21),IF(FD39-FC40&lt;0,0,FD39-FC40),
IF(AND(FC40&lt;VLOOKUP($C38,$C$3:$D$15,2,FALSE)*FD$21,FD39&gt;VLOOKUP($C38,$C$3:$D$15,2,FALSE)*FD$21),VLOOKUP($C38,$C$3:$D$15,2,FALSE)*FD$21-FC40)))</f>
        <v>0</v>
      </c>
      <c r="FE38" s="644">
        <f t="shared" ref="FE38" si="1254" xml:space="preserve">
IF(FD40&gt;=VLOOKUP($C38,$C$3:$D$15,2,FALSE)*FE$21,0,
IF(AND(FD40&lt;VLOOKUP($C38,$C$3:$D$15,2,FALSE)*FE$21,FE39&lt;=VLOOKUP($C38,$C$3:$D$15,2,FALSE)*FE$21),IF(FE39-FD40&lt;0,0,FE39-FD40),
IF(AND(FD40&lt;VLOOKUP($C38,$C$3:$D$15,2,FALSE)*FE$21,FE39&gt;VLOOKUP($C38,$C$3:$D$15,2,FALSE)*FE$21),VLOOKUP($C38,$C$3:$D$15,2,FALSE)*FE$21-FD40)))</f>
        <v>0</v>
      </c>
      <c r="FF38" s="644">
        <f t="shared" ref="FF38" si="1255" xml:space="preserve">
IF(FE40&gt;=VLOOKUP($C38,$C$3:$D$15,2,FALSE)*FF$21,0,
IF(AND(FE40&lt;VLOOKUP($C38,$C$3:$D$15,2,FALSE)*FF$21,FF39&lt;=VLOOKUP($C38,$C$3:$D$15,2,FALSE)*FF$21),IF(FF39-FE40&lt;0,0,FF39-FE40),
IF(AND(FE40&lt;VLOOKUP($C38,$C$3:$D$15,2,FALSE)*FF$21,FF39&gt;VLOOKUP($C38,$C$3:$D$15,2,FALSE)*FF$21),VLOOKUP($C38,$C$3:$D$15,2,FALSE)*FF$21-FE40)))</f>
        <v>0</v>
      </c>
      <c r="FG38" s="644">
        <f t="shared" ref="FG38" si="1256" xml:space="preserve">
IF(FF40&gt;=VLOOKUP($C38,$C$3:$D$15,2,FALSE)*FG$21,0,
IF(AND(FF40&lt;VLOOKUP($C38,$C$3:$D$15,2,FALSE)*FG$21,FG39&lt;=VLOOKUP($C38,$C$3:$D$15,2,FALSE)*FG$21),IF(FG39-FF40&lt;0,0,FG39-FF40),
IF(AND(FF40&lt;VLOOKUP($C38,$C$3:$D$15,2,FALSE)*FG$21,FG39&gt;VLOOKUP($C38,$C$3:$D$15,2,FALSE)*FG$21),VLOOKUP($C38,$C$3:$D$15,2,FALSE)*FG$21-FF40)))</f>
        <v>0</v>
      </c>
      <c r="FH38" s="644">
        <f t="shared" ref="FH38" si="1257" xml:space="preserve">
IF(FG40&gt;=VLOOKUP($C38,$C$3:$D$15,2,FALSE)*FH$21,0,
IF(AND(FG40&lt;VLOOKUP($C38,$C$3:$D$15,2,FALSE)*FH$21,FH39&lt;=VLOOKUP($C38,$C$3:$D$15,2,FALSE)*FH$21),IF(FH39-FG40&lt;0,0,FH39-FG40),
IF(AND(FG40&lt;VLOOKUP($C38,$C$3:$D$15,2,FALSE)*FH$21,FH39&gt;VLOOKUP($C38,$C$3:$D$15,2,FALSE)*FH$21),VLOOKUP($C38,$C$3:$D$15,2,FALSE)*FH$21-FG40)))</f>
        <v>0</v>
      </c>
      <c r="FI38" s="644">
        <f t="shared" ref="FI38" si="1258" xml:space="preserve">
IF(FH40&gt;=VLOOKUP($C38,$C$3:$D$15,2,FALSE)*FI$21,0,
IF(AND(FH40&lt;VLOOKUP($C38,$C$3:$D$15,2,FALSE)*FI$21,FI39&lt;=VLOOKUP($C38,$C$3:$D$15,2,FALSE)*FI$21),IF(FI39-FH40&lt;0,0,FI39-FH40),
IF(AND(FH40&lt;VLOOKUP($C38,$C$3:$D$15,2,FALSE)*FI$21,FI39&gt;VLOOKUP($C38,$C$3:$D$15,2,FALSE)*FI$21),VLOOKUP($C38,$C$3:$D$15,2,FALSE)*FI$21-FH40)))</f>
        <v>0</v>
      </c>
      <c r="FJ38" s="644">
        <f t="shared" ref="FJ38" si="1259" xml:space="preserve">
IF(FI40&gt;=VLOOKUP($C38,$C$3:$D$15,2,FALSE)*FJ$21,0,
IF(AND(FI40&lt;VLOOKUP($C38,$C$3:$D$15,2,FALSE)*FJ$21,FJ39&lt;=VLOOKUP($C38,$C$3:$D$15,2,FALSE)*FJ$21),IF(FJ39-FI40&lt;0,0,FJ39-FI40),
IF(AND(FI40&lt;VLOOKUP($C38,$C$3:$D$15,2,FALSE)*FJ$21,FJ39&gt;VLOOKUP($C38,$C$3:$D$15,2,FALSE)*FJ$21),VLOOKUP($C38,$C$3:$D$15,2,FALSE)*FJ$21-FI40)))</f>
        <v>0</v>
      </c>
      <c r="FK38" s="644">
        <f t="shared" ref="FK38" si="1260" xml:space="preserve">
IF(FJ40&gt;=VLOOKUP($C38,$C$3:$D$15,2,FALSE)*FK$21,0,
IF(AND(FJ40&lt;VLOOKUP($C38,$C$3:$D$15,2,FALSE)*FK$21,FK39&lt;=VLOOKUP($C38,$C$3:$D$15,2,FALSE)*FK$21),IF(FK39-FJ40&lt;0,0,FK39-FJ40),
IF(AND(FJ40&lt;VLOOKUP($C38,$C$3:$D$15,2,FALSE)*FK$21,FK39&gt;VLOOKUP($C38,$C$3:$D$15,2,FALSE)*FK$21),VLOOKUP($C38,$C$3:$D$15,2,FALSE)*FK$21-FJ40)))</f>
        <v>0</v>
      </c>
      <c r="FL38" s="644">
        <f t="shared" ref="FL38" si="1261" xml:space="preserve">
IF(FK40&gt;=VLOOKUP($C38,$C$3:$D$15,2,FALSE)*FL$21,0,
IF(AND(FK40&lt;VLOOKUP($C38,$C$3:$D$15,2,FALSE)*FL$21,FL39&lt;=VLOOKUP($C38,$C$3:$D$15,2,FALSE)*FL$21),IF(FL39-FK40&lt;0,0,FL39-FK40),
IF(AND(FK40&lt;VLOOKUP($C38,$C$3:$D$15,2,FALSE)*FL$21,FL39&gt;VLOOKUP($C38,$C$3:$D$15,2,FALSE)*FL$21),VLOOKUP($C38,$C$3:$D$15,2,FALSE)*FL$21-FK40)))</f>
        <v>0</v>
      </c>
      <c r="FM38" s="644">
        <f t="shared" ref="FM38" si="1262" xml:space="preserve">
IF(FL40&gt;=VLOOKUP($C38,$C$3:$D$15,2,FALSE)*FM$21,0,
IF(AND(FL40&lt;VLOOKUP($C38,$C$3:$D$15,2,FALSE)*FM$21,FM39&lt;=VLOOKUP($C38,$C$3:$D$15,2,FALSE)*FM$21),IF(FM39-FL40&lt;0,0,FM39-FL40),
IF(AND(FL40&lt;VLOOKUP($C38,$C$3:$D$15,2,FALSE)*FM$21,FM39&gt;VLOOKUP($C38,$C$3:$D$15,2,FALSE)*FM$21),VLOOKUP($C38,$C$3:$D$15,2,FALSE)*FM$21-FL40)))</f>
        <v>0</v>
      </c>
      <c r="FN38" s="644">
        <f t="shared" ref="FN38" si="1263" xml:space="preserve">
IF(FM40&gt;=VLOOKUP($C38,$C$3:$D$15,2,FALSE)*FN$21,0,
IF(AND(FM40&lt;VLOOKUP($C38,$C$3:$D$15,2,FALSE)*FN$21,FN39&lt;=VLOOKUP($C38,$C$3:$D$15,2,FALSE)*FN$21),IF(FN39-FM40&lt;0,0,FN39-FM40),
IF(AND(FM40&lt;VLOOKUP($C38,$C$3:$D$15,2,FALSE)*FN$21,FN39&gt;VLOOKUP($C38,$C$3:$D$15,2,FALSE)*FN$21),VLOOKUP($C38,$C$3:$D$15,2,FALSE)*FN$21-FM40)))</f>
        <v>0</v>
      </c>
      <c r="FO38" s="644">
        <f t="shared" ref="FO38" si="1264" xml:space="preserve">
IF(FN40&gt;=VLOOKUP($C38,$C$3:$D$15,2,FALSE)*FO$21,0,
IF(AND(FN40&lt;VLOOKUP($C38,$C$3:$D$15,2,FALSE)*FO$21,FO39&lt;=VLOOKUP($C38,$C$3:$D$15,2,FALSE)*FO$21),IF(FO39-FN40&lt;0,0,FO39-FN40),
IF(AND(FN40&lt;VLOOKUP($C38,$C$3:$D$15,2,FALSE)*FO$21,FO39&gt;VLOOKUP($C38,$C$3:$D$15,2,FALSE)*FO$21),VLOOKUP($C38,$C$3:$D$15,2,FALSE)*FO$21-FN40)))</f>
        <v>0</v>
      </c>
      <c r="FP38" s="644">
        <f t="shared" ref="FP38" si="1265" xml:space="preserve">
IF(FO40&gt;=VLOOKUP($C38,$C$3:$D$15,2,FALSE)*FP$21,0,
IF(AND(FO40&lt;VLOOKUP($C38,$C$3:$D$15,2,FALSE)*FP$21,FP39&lt;=VLOOKUP($C38,$C$3:$D$15,2,FALSE)*FP$21),IF(FP39-FO40&lt;0,0,FP39-FO40),
IF(AND(FO40&lt;VLOOKUP($C38,$C$3:$D$15,2,FALSE)*FP$21,FP39&gt;VLOOKUP($C38,$C$3:$D$15,2,FALSE)*FP$21),VLOOKUP($C38,$C$3:$D$15,2,FALSE)*FP$21-FO40)))</f>
        <v>0</v>
      </c>
      <c r="FQ38" s="644">
        <f t="shared" ref="FQ38" si="1266" xml:space="preserve">
IF(FP40&gt;=VLOOKUP($C38,$C$3:$D$15,2,FALSE)*FQ$21,0,
IF(AND(FP40&lt;VLOOKUP($C38,$C$3:$D$15,2,FALSE)*FQ$21,FQ39&lt;=VLOOKUP($C38,$C$3:$D$15,2,FALSE)*FQ$21),IF(FQ39-FP40&lt;0,0,FQ39-FP40),
IF(AND(FP40&lt;VLOOKUP($C38,$C$3:$D$15,2,FALSE)*FQ$21,FQ39&gt;VLOOKUP($C38,$C$3:$D$15,2,FALSE)*FQ$21),VLOOKUP($C38,$C$3:$D$15,2,FALSE)*FQ$21-FP40)))</f>
        <v>0</v>
      </c>
      <c r="FR38" s="644">
        <f t="shared" ref="FR38" si="1267" xml:space="preserve">
IF(FQ40&gt;=VLOOKUP($C38,$C$3:$D$15,2,FALSE)*FR$21,0,
IF(AND(FQ40&lt;VLOOKUP($C38,$C$3:$D$15,2,FALSE)*FR$21,FR39&lt;=VLOOKUP($C38,$C$3:$D$15,2,FALSE)*FR$21),IF(FR39-FQ40&lt;0,0,FR39-FQ40),
IF(AND(FQ40&lt;VLOOKUP($C38,$C$3:$D$15,2,FALSE)*FR$21,FR39&gt;VLOOKUP($C38,$C$3:$D$15,2,FALSE)*FR$21),VLOOKUP($C38,$C$3:$D$15,2,FALSE)*FR$21-FQ40)))</f>
        <v>0</v>
      </c>
      <c r="FS38" s="644">
        <f t="shared" ref="FS38" si="1268" xml:space="preserve">
IF(FR40&gt;=VLOOKUP($C38,$C$3:$D$15,2,FALSE)*FS$21,0,
IF(AND(FR40&lt;VLOOKUP($C38,$C$3:$D$15,2,FALSE)*FS$21,FS39&lt;=VLOOKUP($C38,$C$3:$D$15,2,FALSE)*FS$21),IF(FS39-FR40&lt;0,0,FS39-FR40),
IF(AND(FR40&lt;VLOOKUP($C38,$C$3:$D$15,2,FALSE)*FS$21,FS39&gt;VLOOKUP($C38,$C$3:$D$15,2,FALSE)*FS$21),VLOOKUP($C38,$C$3:$D$15,2,FALSE)*FS$21-FR40)))</f>
        <v>0</v>
      </c>
      <c r="FT38" s="644">
        <f t="shared" ref="FT38" si="1269" xml:space="preserve">
IF(FS40&gt;=VLOOKUP($C38,$C$3:$D$15,2,FALSE)*FT$21,0,
IF(AND(FS40&lt;VLOOKUP($C38,$C$3:$D$15,2,FALSE)*FT$21,FT39&lt;=VLOOKUP($C38,$C$3:$D$15,2,FALSE)*FT$21),IF(FT39-FS40&lt;0,0,FT39-FS40),
IF(AND(FS40&lt;VLOOKUP($C38,$C$3:$D$15,2,FALSE)*FT$21,FT39&gt;VLOOKUP($C38,$C$3:$D$15,2,FALSE)*FT$21),VLOOKUP($C38,$C$3:$D$15,2,FALSE)*FT$21-FS40)))</f>
        <v>0</v>
      </c>
      <c r="FU38" s="644">
        <f t="shared" ref="FU38" si="1270" xml:space="preserve">
IF(FT40&gt;=VLOOKUP($C38,$C$3:$D$15,2,FALSE)*FU$21,0,
IF(AND(FT40&lt;VLOOKUP($C38,$C$3:$D$15,2,FALSE)*FU$21,FU39&lt;=VLOOKUP($C38,$C$3:$D$15,2,FALSE)*FU$21),IF(FU39-FT40&lt;0,0,FU39-FT40),
IF(AND(FT40&lt;VLOOKUP($C38,$C$3:$D$15,2,FALSE)*FU$21,FU39&gt;VLOOKUP($C38,$C$3:$D$15,2,FALSE)*FU$21),VLOOKUP($C38,$C$3:$D$15,2,FALSE)*FU$21-FT40)))</f>
        <v>0</v>
      </c>
      <c r="FV38" s="644">
        <f t="shared" ref="FV38" si="1271" xml:space="preserve">
IF(FU40&gt;=VLOOKUP($C38,$C$3:$D$15,2,FALSE)*FV$21,0,
IF(AND(FU40&lt;VLOOKUP($C38,$C$3:$D$15,2,FALSE)*FV$21,FV39&lt;=VLOOKUP($C38,$C$3:$D$15,2,FALSE)*FV$21),IF(FV39-FU40&lt;0,0,FV39-FU40),
IF(AND(FU40&lt;VLOOKUP($C38,$C$3:$D$15,2,FALSE)*FV$21,FV39&gt;VLOOKUP($C38,$C$3:$D$15,2,FALSE)*FV$21),VLOOKUP($C38,$C$3:$D$15,2,FALSE)*FV$21-FU40)))</f>
        <v>0</v>
      </c>
      <c r="FW38" s="644">
        <f t="shared" ref="FW38" si="1272" xml:space="preserve">
IF(FV40&gt;=VLOOKUP($C38,$C$3:$D$15,2,FALSE)*FW$21,0,
IF(AND(FV40&lt;VLOOKUP($C38,$C$3:$D$15,2,FALSE)*FW$21,FW39&lt;=VLOOKUP($C38,$C$3:$D$15,2,FALSE)*FW$21),IF(FW39-FV40&lt;0,0,FW39-FV40),
IF(AND(FV40&lt;VLOOKUP($C38,$C$3:$D$15,2,FALSE)*FW$21,FW39&gt;VLOOKUP($C38,$C$3:$D$15,2,FALSE)*FW$21),VLOOKUP($C38,$C$3:$D$15,2,FALSE)*FW$21-FV40)))</f>
        <v>0</v>
      </c>
      <c r="FX38" s="644">
        <f t="shared" ref="FX38" si="1273" xml:space="preserve">
IF(FW40&gt;=VLOOKUP($C38,$C$3:$D$15,2,FALSE)*FX$21,0,
IF(AND(FW40&lt;VLOOKUP($C38,$C$3:$D$15,2,FALSE)*FX$21,FX39&lt;=VLOOKUP($C38,$C$3:$D$15,2,FALSE)*FX$21),IF(FX39-FW40&lt;0,0,FX39-FW40),
IF(AND(FW40&lt;VLOOKUP($C38,$C$3:$D$15,2,FALSE)*FX$21,FX39&gt;VLOOKUP($C38,$C$3:$D$15,2,FALSE)*FX$21),VLOOKUP($C38,$C$3:$D$15,2,FALSE)*FX$21-FW40)))</f>
        <v>0</v>
      </c>
      <c r="FY38" s="644">
        <f t="shared" ref="FY38" si="1274" xml:space="preserve">
IF(FX40&gt;=VLOOKUP($C38,$C$3:$D$15,2,FALSE)*FY$21,0,
IF(AND(FX40&lt;VLOOKUP($C38,$C$3:$D$15,2,FALSE)*FY$21,FY39&lt;=VLOOKUP($C38,$C$3:$D$15,2,FALSE)*FY$21),IF(FY39-FX40&lt;0,0,FY39-FX40),
IF(AND(FX40&lt;VLOOKUP($C38,$C$3:$D$15,2,FALSE)*FY$21,FY39&gt;VLOOKUP($C38,$C$3:$D$15,2,FALSE)*FY$21),VLOOKUP($C38,$C$3:$D$15,2,FALSE)*FY$21-FX40)))</f>
        <v>0</v>
      </c>
      <c r="FZ38" s="644">
        <f t="shared" ref="FZ38" si="1275" xml:space="preserve">
IF(FY40&gt;=VLOOKUP($C38,$C$3:$D$15,2,FALSE)*FZ$21,0,
IF(AND(FY40&lt;VLOOKUP($C38,$C$3:$D$15,2,FALSE)*FZ$21,FZ39&lt;=VLOOKUP($C38,$C$3:$D$15,2,FALSE)*FZ$21),IF(FZ39-FY40&lt;0,0,FZ39-FY40),
IF(AND(FY40&lt;VLOOKUP($C38,$C$3:$D$15,2,FALSE)*FZ$21,FZ39&gt;VLOOKUP($C38,$C$3:$D$15,2,FALSE)*FZ$21),VLOOKUP($C38,$C$3:$D$15,2,FALSE)*FZ$21-FY40)))</f>
        <v>0</v>
      </c>
      <c r="GA38" s="644">
        <f t="shared" ref="GA38" si="1276" xml:space="preserve">
IF(FZ40&gt;=VLOOKUP($C38,$C$3:$D$15,2,FALSE)*GA$21,0,
IF(AND(FZ40&lt;VLOOKUP($C38,$C$3:$D$15,2,FALSE)*GA$21,GA39&lt;=VLOOKUP($C38,$C$3:$D$15,2,FALSE)*GA$21),IF(GA39-FZ40&lt;0,0,GA39-FZ40),
IF(AND(FZ40&lt;VLOOKUP($C38,$C$3:$D$15,2,FALSE)*GA$21,GA39&gt;VLOOKUP($C38,$C$3:$D$15,2,FALSE)*GA$21),VLOOKUP($C38,$C$3:$D$15,2,FALSE)*GA$21-FZ40)))</f>
        <v>0</v>
      </c>
      <c r="GB38" s="644">
        <f t="shared" ref="GB38" si="1277" xml:space="preserve">
IF(GA40&gt;=VLOOKUP($C38,$C$3:$D$15,2,FALSE)*GB$21,0,
IF(AND(GA40&lt;VLOOKUP($C38,$C$3:$D$15,2,FALSE)*GB$21,GB39&lt;=VLOOKUP($C38,$C$3:$D$15,2,FALSE)*GB$21),IF(GB39-GA40&lt;0,0,GB39-GA40),
IF(AND(GA40&lt;VLOOKUP($C38,$C$3:$D$15,2,FALSE)*GB$21,GB39&gt;VLOOKUP($C38,$C$3:$D$15,2,FALSE)*GB$21),VLOOKUP($C38,$C$3:$D$15,2,FALSE)*GB$21-GA40)))</f>
        <v>0</v>
      </c>
      <c r="GC38" s="644">
        <f t="shared" ref="GC38" si="1278" xml:space="preserve">
IF(GB40&gt;=VLOOKUP($C38,$C$3:$D$15,2,FALSE)*GC$21,0,
IF(AND(GB40&lt;VLOOKUP($C38,$C$3:$D$15,2,FALSE)*GC$21,GC39&lt;=VLOOKUP($C38,$C$3:$D$15,2,FALSE)*GC$21),IF(GC39-GB40&lt;0,0,GC39-GB40),
IF(AND(GB40&lt;VLOOKUP($C38,$C$3:$D$15,2,FALSE)*GC$21,GC39&gt;VLOOKUP($C38,$C$3:$D$15,2,FALSE)*GC$21),VLOOKUP($C38,$C$3:$D$15,2,FALSE)*GC$21-GB40)))</f>
        <v>0</v>
      </c>
      <c r="GD38" s="644">
        <f t="shared" ref="GD38" si="1279" xml:space="preserve">
IF(GC40&gt;=VLOOKUP($C38,$C$3:$D$15,2,FALSE)*GD$21,0,
IF(AND(GC40&lt;VLOOKUP($C38,$C$3:$D$15,2,FALSE)*GD$21,GD39&lt;=VLOOKUP($C38,$C$3:$D$15,2,FALSE)*GD$21),IF(GD39-GC40&lt;0,0,GD39-GC40),
IF(AND(GC40&lt;VLOOKUP($C38,$C$3:$D$15,2,FALSE)*GD$21,GD39&gt;VLOOKUP($C38,$C$3:$D$15,2,FALSE)*GD$21),VLOOKUP($C38,$C$3:$D$15,2,FALSE)*GD$21-GC40)))</f>
        <v>0</v>
      </c>
      <c r="GE38" s="644">
        <f t="shared" ref="GE38" si="1280" xml:space="preserve">
IF(GD40&gt;=VLOOKUP($C38,$C$3:$D$15,2,FALSE)*GE$21,0,
IF(AND(GD40&lt;VLOOKUP($C38,$C$3:$D$15,2,FALSE)*GE$21,GE39&lt;=VLOOKUP($C38,$C$3:$D$15,2,FALSE)*GE$21),IF(GE39-GD40&lt;0,0,GE39-GD40),
IF(AND(GD40&lt;VLOOKUP($C38,$C$3:$D$15,2,FALSE)*GE$21,GE39&gt;VLOOKUP($C38,$C$3:$D$15,2,FALSE)*GE$21),VLOOKUP($C38,$C$3:$D$15,2,FALSE)*GE$21-GD40)))</f>
        <v>0</v>
      </c>
      <c r="GF38" s="644">
        <f t="shared" ref="GF38" si="1281" xml:space="preserve">
IF(GE40&gt;=VLOOKUP($C38,$C$3:$D$15,2,FALSE)*GF$21,0,
IF(AND(GE40&lt;VLOOKUP($C38,$C$3:$D$15,2,FALSE)*GF$21,GF39&lt;=VLOOKUP($C38,$C$3:$D$15,2,FALSE)*GF$21),IF(GF39-GE40&lt;0,0,GF39-GE40),
IF(AND(GE40&lt;VLOOKUP($C38,$C$3:$D$15,2,FALSE)*GF$21,GF39&gt;VLOOKUP($C38,$C$3:$D$15,2,FALSE)*GF$21),VLOOKUP($C38,$C$3:$D$15,2,FALSE)*GF$21-GE40)))</f>
        <v>0</v>
      </c>
      <c r="GG38" s="644">
        <f t="shared" ref="GG38" si="1282" xml:space="preserve">
IF(GF40&gt;=VLOOKUP($C38,$C$3:$D$15,2,FALSE)*GG$21,0,
IF(AND(GF40&lt;VLOOKUP($C38,$C$3:$D$15,2,FALSE)*GG$21,GG39&lt;=VLOOKUP($C38,$C$3:$D$15,2,FALSE)*GG$21),IF(GG39-GF40&lt;0,0,GG39-GF40),
IF(AND(GF40&lt;VLOOKUP($C38,$C$3:$D$15,2,FALSE)*GG$21,GG39&gt;VLOOKUP($C38,$C$3:$D$15,2,FALSE)*GG$21),VLOOKUP($C38,$C$3:$D$15,2,FALSE)*GG$21-GF40)))</f>
        <v>0</v>
      </c>
      <c r="GH38" s="644">
        <f t="shared" ref="GH38" si="1283" xml:space="preserve">
IF(GG40&gt;=VLOOKUP($C38,$C$3:$D$15,2,FALSE)*GH$21,0,
IF(AND(GG40&lt;VLOOKUP($C38,$C$3:$D$15,2,FALSE)*GH$21,GH39&lt;=VLOOKUP($C38,$C$3:$D$15,2,FALSE)*GH$21),IF(GH39-GG40&lt;0,0,GH39-GG40),
IF(AND(GG40&lt;VLOOKUP($C38,$C$3:$D$15,2,FALSE)*GH$21,GH39&gt;VLOOKUP($C38,$C$3:$D$15,2,FALSE)*GH$21),VLOOKUP($C38,$C$3:$D$15,2,FALSE)*GH$21-GG40)))</f>
        <v>0</v>
      </c>
      <c r="GI38" s="644">
        <f t="shared" ref="GI38" si="1284" xml:space="preserve">
IF(GH40&gt;=VLOOKUP($C38,$C$3:$D$15,2,FALSE)*GI$21,0,
IF(AND(GH40&lt;VLOOKUP($C38,$C$3:$D$15,2,FALSE)*GI$21,GI39&lt;=VLOOKUP($C38,$C$3:$D$15,2,FALSE)*GI$21),IF(GI39-GH40&lt;0,0,GI39-GH40),
IF(AND(GH40&lt;VLOOKUP($C38,$C$3:$D$15,2,FALSE)*GI$21,GI39&gt;VLOOKUP($C38,$C$3:$D$15,2,FALSE)*GI$21),VLOOKUP($C38,$C$3:$D$15,2,FALSE)*GI$21-GH40)))</f>
        <v>0</v>
      </c>
      <c r="GJ38" s="644">
        <f t="shared" ref="GJ38" si="1285" xml:space="preserve">
IF(GI40&gt;=VLOOKUP($C38,$C$3:$D$15,2,FALSE)*GJ$21,0,
IF(AND(GI40&lt;VLOOKUP($C38,$C$3:$D$15,2,FALSE)*GJ$21,GJ39&lt;=VLOOKUP($C38,$C$3:$D$15,2,FALSE)*GJ$21),IF(GJ39-GI40&lt;0,0,GJ39-GI40),
IF(AND(GI40&lt;VLOOKUP($C38,$C$3:$D$15,2,FALSE)*GJ$21,GJ39&gt;VLOOKUP($C38,$C$3:$D$15,2,FALSE)*GJ$21),VLOOKUP($C38,$C$3:$D$15,2,FALSE)*GJ$21-GI40)))</f>
        <v>0</v>
      </c>
    </row>
    <row r="39" spans="2:192" s="645" customFormat="1">
      <c r="B39" s="654"/>
      <c r="C39" s="643"/>
      <c r="D39" s="769" t="s">
        <v>1467</v>
      </c>
      <c r="E39" s="774"/>
      <c r="F39" s="707"/>
      <c r="G39" s="644">
        <f>SUMIF(防護具!$Y$30:$Y$212,G$17&amp;$C38,防護具!$Q$30:$Q$212)</f>
        <v>0</v>
      </c>
      <c r="H39" s="644">
        <f>IFERROR(
SUM(G39,SUMIF(防護具!$Y$30:$Y$212,H$17&amp;$C38,防護具!$Q$30:$Q$212))-G38,0)</f>
        <v>0</v>
      </c>
      <c r="I39" s="644">
        <f>IFERROR(
SUM(H39,SUMIF(防護具!$Y$30:$Y$212,I$17&amp;$C38,防護具!$Q$30:$Q$212))-H38,0)</f>
        <v>0</v>
      </c>
      <c r="J39" s="644">
        <f>IFERROR(
SUM(I39,SUMIF(防護具!$Y$30:$Y$212,J$17&amp;$C38,防護具!$Q$30:$Q$212))-I38,0)</f>
        <v>0</v>
      </c>
      <c r="K39" s="644">
        <f>IFERROR(
SUM(J39,SUMIF(防護具!$Y$30:$Y$212,K$17&amp;$C38,防護具!$Q$30:$Q$212))-J38,0)</f>
        <v>0</v>
      </c>
      <c r="L39" s="644">
        <f>IFERROR(
SUM(K39,SUMIF(防護具!$Y$30:$Y$212,L$17&amp;$C38,防護具!$Q$30:$Q$212))-K38,0)</f>
        <v>0</v>
      </c>
      <c r="M39" s="644">
        <f>IFERROR(
SUM(L39,SUMIF(防護具!$Y$30:$Y$212,M$17&amp;$C38,防護具!$Q$30:$Q$212))-L38,0)</f>
        <v>0</v>
      </c>
      <c r="N39" s="644">
        <f>IFERROR(
SUM(M39,SUMIF(防護具!$Y$30:$Y$212,N$17&amp;$C38,防護具!$Q$30:$Q$212))-M38,0)</f>
        <v>0</v>
      </c>
      <c r="O39" s="644">
        <f>IFERROR(
SUM(N39,SUMIF(防護具!$Y$30:$Y$212,O$17&amp;$C38,防護具!$Q$30:$Q$212))-N38,0)</f>
        <v>0</v>
      </c>
      <c r="P39" s="644">
        <f>IFERROR(
SUM(O39,SUMIF(防護具!$Y$30:$Y$212,P$17&amp;$C38,防護具!$Q$30:$Q$212))-O38,0)</f>
        <v>0</v>
      </c>
      <c r="Q39" s="644">
        <f>IFERROR(
SUM(P39,SUMIF(防護具!$Y$30:$Y$212,Q$17&amp;$C38,防護具!$Q$30:$Q$212))-P38,0)</f>
        <v>0</v>
      </c>
      <c r="R39" s="644">
        <f>IFERROR(
SUM(Q39,SUMIF(防護具!$Y$30:$Y$212,R$17&amp;$C38,防護具!$Q$30:$Q$212))-Q38,0)</f>
        <v>0</v>
      </c>
      <c r="S39" s="644">
        <f>IFERROR(
SUM(R39,SUMIF(防護具!$Y$30:$Y$212,S$17&amp;$C38,防護具!$Q$30:$Q$212))-R38,0)</f>
        <v>0</v>
      </c>
      <c r="T39" s="644">
        <f>IFERROR(
SUM(S39,SUMIF(防護具!$Y$30:$Y$212,T$17&amp;$C38,防護具!$Q$30:$Q$212))-S38,0)</f>
        <v>0</v>
      </c>
      <c r="U39" s="644">
        <f>IFERROR(
SUM(T39,SUMIF(防護具!$Y$30:$Y$212,U$17&amp;$C38,防護具!$Q$30:$Q$212))-T38,0)</f>
        <v>0</v>
      </c>
      <c r="V39" s="644">
        <f>IFERROR(
SUM(U39,SUMIF(防護具!$Y$30:$Y$212,V$17&amp;$C38,防護具!$Q$30:$Q$212))-U38,0)</f>
        <v>0</v>
      </c>
      <c r="W39" s="644">
        <f>IFERROR(
SUM(V39,SUMIF(防護具!$Y$30:$Y$212,W$17&amp;$C38,防護具!$Q$30:$Q$212))-V38,0)</f>
        <v>0</v>
      </c>
      <c r="X39" s="644">
        <f>IFERROR(
SUM(W39,SUMIF(防護具!$Y$30:$Y$212,X$17&amp;$C38,防護具!$Q$30:$Q$212))-W38,0)</f>
        <v>0</v>
      </c>
      <c r="Y39" s="644">
        <f>IFERROR(
SUM(X39,SUMIF(防護具!$Y$30:$Y$212,Y$17&amp;$C38,防護具!$Q$30:$Q$212))-X38,0)</f>
        <v>0</v>
      </c>
      <c r="Z39" s="644">
        <f>IFERROR(
SUM(Y39,SUMIF(防護具!$Y$30:$Y$212,Z$17&amp;$C38,防護具!$Q$30:$Q$212))-Y38,0)</f>
        <v>0</v>
      </c>
      <c r="AA39" s="644">
        <f>IFERROR(
SUM(Z39,SUMIF(防護具!$Y$30:$Y$212,AA$17&amp;$C38,防護具!$Q$30:$Q$212))-Z38,0)</f>
        <v>0</v>
      </c>
      <c r="AB39" s="644">
        <f>IFERROR(
SUM(AA39,SUMIF(防護具!$Y$30:$Y$212,AB$17&amp;$C38,防護具!$Q$30:$Q$212))-AA38,0)</f>
        <v>0</v>
      </c>
      <c r="AC39" s="644">
        <f>IFERROR(
SUM(AB39,SUMIF(防護具!$Y$30:$Y$212,AC$17&amp;$C38,防護具!$Q$30:$Q$212))-AB38,0)</f>
        <v>0</v>
      </c>
      <c r="AD39" s="644">
        <f>IFERROR(
SUM(AC39,SUMIF(防護具!$Y$30:$Y$212,AD$17&amp;$C38,防護具!$Q$30:$Q$212))-AC38,0)</f>
        <v>0</v>
      </c>
      <c r="AE39" s="644">
        <f>IFERROR(
SUM(AD39,SUMIF(防護具!$Y$30:$Y$212,AE$17&amp;$C38,防護具!$Q$30:$Q$212))-AD38,0)</f>
        <v>0</v>
      </c>
      <c r="AF39" s="644">
        <f>IFERROR(
SUM(AE39,SUMIF(防護具!$Y$30:$Y$212,AF$17&amp;$C38,防護具!$Q$30:$Q$212))-AE38,0)</f>
        <v>0</v>
      </c>
      <c r="AG39" s="644">
        <f>IFERROR(
SUM(AF39,SUMIF(防護具!$Y$30:$Y$212,AG$17&amp;$C38,防護具!$Q$30:$Q$212))-AF38,0)</f>
        <v>0</v>
      </c>
      <c r="AH39" s="644">
        <f>IFERROR(
SUM(AG39,SUMIF(防護具!$Y$30:$Y$212,AH$17&amp;$C38,防護具!$Q$30:$Q$212))-AG38,0)</f>
        <v>0</v>
      </c>
      <c r="AI39" s="644">
        <f>IFERROR(
SUM(AH39,SUMIF(防護具!$Y$30:$Y$212,AI$17&amp;$C38,防護具!$Q$30:$Q$212))-AH38,0)</f>
        <v>0</v>
      </c>
      <c r="AJ39" s="644">
        <f>IFERROR(
SUM(AI39,SUMIF(防護具!$Y$30:$Y$212,AJ$17&amp;$C38,防護具!$Q$30:$Q$212))-AI38,0)</f>
        <v>0</v>
      </c>
      <c r="AK39" s="644">
        <f>IFERROR(
SUM(AJ39,SUMIF(防護具!$Y$30:$Y$212,AK$17&amp;$C38,防護具!$Q$30:$Q$212))-AJ38,0)</f>
        <v>0</v>
      </c>
      <c r="AL39" s="644">
        <f>IFERROR(
SUM(AK39,SUMIF(防護具!$Y$30:$Y$212,AL$17&amp;$C38,防護具!$Q$30:$Q$212))-AK38,0)</f>
        <v>0</v>
      </c>
      <c r="AM39" s="644">
        <f>IFERROR(
SUM(AL39,SUMIF(防護具!$Y$30:$Y$212,AM$17&amp;$C38,防護具!$Q$30:$Q$212))-AL38,0)</f>
        <v>0</v>
      </c>
      <c r="AN39" s="644">
        <f>IFERROR(
SUM(AM39,SUMIF(防護具!$Y$30:$Y$212,AN$17&amp;$C38,防護具!$Q$30:$Q$212))-AM38,0)</f>
        <v>0</v>
      </c>
      <c r="AO39" s="644">
        <f>IFERROR(
SUM(AN39,SUMIF(防護具!$Y$30:$Y$212,AO$17&amp;$C38,防護具!$Q$30:$Q$212))-AN38,0)</f>
        <v>0</v>
      </c>
      <c r="AP39" s="644">
        <f>IFERROR(
SUM(AO39,SUMIF(防護具!$Y$30:$Y$212,AP$17&amp;$C38,防護具!$Q$30:$Q$212))-AO38,0)</f>
        <v>0</v>
      </c>
      <c r="AQ39" s="644">
        <f>IFERROR(
SUM(AP39,SUMIF(防護具!$Y$30:$Y$212,AQ$17&amp;$C38,防護具!$Q$30:$Q$212))-AP38,0)</f>
        <v>0</v>
      </c>
      <c r="AR39" s="644">
        <f>IFERROR(
SUM(AQ39,SUMIF(防護具!$Y$30:$Y$212,AR$17&amp;$C38,防護具!$Q$30:$Q$212))-AQ38,0)</f>
        <v>0</v>
      </c>
      <c r="AS39" s="644">
        <f>IFERROR(
SUM(AR39,SUMIF(防護具!$Y$30:$Y$212,AS$17&amp;$C38,防護具!$Q$30:$Q$212))-AR38,0)</f>
        <v>0</v>
      </c>
      <c r="AT39" s="644">
        <f>IFERROR(
SUM(AS39,SUMIF(防護具!$Y$30:$Y$212,AT$17&amp;$C38,防護具!$Q$30:$Q$212))-AS38,0)</f>
        <v>0</v>
      </c>
      <c r="AU39" s="644">
        <f>IFERROR(
SUM(AT39,SUMIF(防護具!$Y$30:$Y$212,AU$17&amp;$C38,防護具!$Q$30:$Q$212))-AT38,0)</f>
        <v>0</v>
      </c>
      <c r="AV39" s="644">
        <f>IFERROR(
SUM(AU39,SUMIF(防護具!$Y$30:$Y$212,AV$17&amp;$C38,防護具!$Q$30:$Q$212))-AU38,0)</f>
        <v>0</v>
      </c>
      <c r="AW39" s="644">
        <f>IFERROR(
SUM(AV39,SUMIF(防護具!$Y$30:$Y$212,AW$17&amp;$C38,防護具!$Q$30:$Q$212))-AV38,0)</f>
        <v>0</v>
      </c>
      <c r="AX39" s="644">
        <f>IFERROR(
SUM(AW39,SUMIF(防護具!$Y$30:$Y$212,AX$17&amp;$C38,防護具!$Q$30:$Q$212))-AW38,0)</f>
        <v>0</v>
      </c>
      <c r="AY39" s="644">
        <f>IFERROR(
SUM(AX39,SUMIF(防護具!$Y$30:$Y$212,AY$17&amp;$C38,防護具!$Q$30:$Q$212))-AX38,0)</f>
        <v>0</v>
      </c>
      <c r="AZ39" s="644">
        <f>IFERROR(
SUM(AY39,SUMIF(防護具!$Y$30:$Y$212,AZ$17&amp;$C38,防護具!$Q$30:$Q$212))-AY38,0)</f>
        <v>0</v>
      </c>
      <c r="BA39" s="644">
        <f>IFERROR(
SUM(AZ39,SUMIF(防護具!$Y$30:$Y$212,BA$17&amp;$C38,防護具!$Q$30:$Q$212))-AZ38,0)</f>
        <v>0</v>
      </c>
      <c r="BB39" s="644">
        <f>IFERROR(
SUM(BA39,SUMIF(防護具!$Y$30:$Y$212,BB$17&amp;$C38,防護具!$Q$30:$Q$212))-BA38,0)</f>
        <v>0</v>
      </c>
      <c r="BC39" s="644">
        <f>IFERROR(
SUM(BB39,SUMIF(防護具!$Y$30:$Y$212,BC$17&amp;$C38,防護具!$Q$30:$Q$212))-BB38,0)</f>
        <v>0</v>
      </c>
      <c r="BD39" s="644">
        <f>IFERROR(
SUM(BC39,SUMIF(防護具!$Y$30:$Y$212,BD$17&amp;$C38,防護具!$Q$30:$Q$212))-BC38,0)</f>
        <v>0</v>
      </c>
      <c r="BE39" s="644">
        <f>IFERROR(
SUM(BD39,SUMIF(防護具!$Y$30:$Y$212,BE$17&amp;$C38,防護具!$Q$30:$Q$212))-BD38,0)</f>
        <v>0</v>
      </c>
      <c r="BF39" s="644">
        <f>IFERROR(
SUM(BE39,SUMIF(防護具!$Y$30:$Y$212,BF$17&amp;$C38,防護具!$Q$30:$Q$212))-BE38,0)</f>
        <v>0</v>
      </c>
      <c r="BG39" s="644">
        <f>IFERROR(
SUM(BF39,SUMIF(防護具!$Y$30:$Y$212,BG$17&amp;$C38,防護具!$Q$30:$Q$212))-BF38,0)</f>
        <v>0</v>
      </c>
      <c r="BH39" s="644">
        <f>IFERROR(
SUM(BG39,SUMIF(防護具!$Y$30:$Y$212,BH$17&amp;$C38,防護具!$Q$30:$Q$212))-BG38,0)</f>
        <v>0</v>
      </c>
      <c r="BI39" s="644">
        <f>IFERROR(
SUM(BH39,SUMIF(防護具!$Y$30:$Y$212,BI$17&amp;$C38,防護具!$Q$30:$Q$212))-BH38,0)</f>
        <v>0</v>
      </c>
      <c r="BJ39" s="644">
        <f>IFERROR(
SUM(BI39,SUMIF(防護具!$Y$30:$Y$212,BJ$17&amp;$C38,防護具!$Q$30:$Q$212))-BI38,0)</f>
        <v>0</v>
      </c>
      <c r="BK39" s="644">
        <f>IFERROR(
SUM(BJ39,SUMIF(防護具!$Y$30:$Y$212,BK$17&amp;$C38,防護具!$Q$30:$Q$212))-BJ38,0)</f>
        <v>0</v>
      </c>
      <c r="BL39" s="644">
        <f>IFERROR(
SUM(BK39,SUMIF(防護具!$Y$30:$Y$212,BL$17&amp;$C38,防護具!$Q$30:$Q$212))-BK38,0)</f>
        <v>0</v>
      </c>
      <c r="BM39" s="644">
        <f>IFERROR(
SUM(BL39,SUMIF(防護具!$Y$30:$Y$212,BM$17&amp;$C38,防護具!$Q$30:$Q$212))-BL38,0)</f>
        <v>0</v>
      </c>
      <c r="BN39" s="644">
        <f>IFERROR(
SUM(BM39,SUMIF(防護具!$Y$30:$Y$212,BN$17&amp;$C38,防護具!$Q$30:$Q$212))-BM38,0)</f>
        <v>0</v>
      </c>
      <c r="BO39" s="644">
        <f>IFERROR(
SUM(BN39,SUMIF(防護具!$Y$30:$Y$212,BO$17&amp;$C38,防護具!$Q$30:$Q$212))-BN38,0)</f>
        <v>0</v>
      </c>
      <c r="BP39" s="644">
        <f>IFERROR(
SUM(BO39,SUMIF(防護具!$Y$30:$Y$212,BP$17&amp;$C38,防護具!$Q$30:$Q$212))-BO38,0)</f>
        <v>0</v>
      </c>
      <c r="BQ39" s="644">
        <f>IFERROR(
SUM(BP39,SUMIF(防護具!$Y$30:$Y$212,BQ$17&amp;$C38,防護具!$Q$30:$Q$212))-BP38,0)</f>
        <v>0</v>
      </c>
      <c r="BR39" s="644">
        <f>IFERROR(
SUM(BQ39,SUMIF(防護具!$Y$30:$Y$212,BR$17&amp;$C38,防護具!$Q$30:$Q$212))-BQ38,0)</f>
        <v>0</v>
      </c>
      <c r="BS39" s="644">
        <f>IFERROR(
SUM(BR39,SUMIF(防護具!$Y$30:$Y$212,BS$17&amp;$C38,防護具!$Q$30:$Q$212))-BR38,0)</f>
        <v>0</v>
      </c>
      <c r="BT39" s="644">
        <f>IFERROR(
SUM(BS39,SUMIF(防護具!$Y$30:$Y$212,BT$17&amp;$C38,防護具!$Q$30:$Q$212))-BS38,0)</f>
        <v>0</v>
      </c>
      <c r="BU39" s="644">
        <f>IFERROR(
SUM(BT39,SUMIF(防護具!$Y$30:$Y$212,BU$17&amp;$C38,防護具!$Q$30:$Q$212))-BT38,0)</f>
        <v>0</v>
      </c>
      <c r="BV39" s="644">
        <f>IFERROR(
SUM(BU39,SUMIF(防護具!$Y$30:$Y$212,BV$17&amp;$C38,防護具!$Q$30:$Q$212))-BU38,0)</f>
        <v>0</v>
      </c>
      <c r="BW39" s="644">
        <f>IFERROR(
SUM(BV39,SUMIF(防護具!$Y$30:$Y$212,BW$17&amp;$C38,防護具!$Q$30:$Q$212))-BV38,0)</f>
        <v>0</v>
      </c>
      <c r="BX39" s="644">
        <f>IFERROR(
SUM(BW39,SUMIF(防護具!$Y$30:$Y$212,BX$17&amp;$C38,防護具!$Q$30:$Q$212))-BW38,0)</f>
        <v>0</v>
      </c>
      <c r="BY39" s="644">
        <f>IFERROR(
SUM(BX39,SUMIF(防護具!$Y$30:$Y$212,BY$17&amp;$C38,防護具!$Q$30:$Q$212))-BX38,0)</f>
        <v>0</v>
      </c>
      <c r="BZ39" s="644">
        <f>IFERROR(
SUM(BY39,SUMIF(防護具!$Y$30:$Y$212,BZ$17&amp;$C38,防護具!$Q$30:$Q$212))-BY38,0)</f>
        <v>0</v>
      </c>
      <c r="CA39" s="644">
        <f>IFERROR(
SUM(BZ39,SUMIF(防護具!$Y$30:$Y$212,CA$17&amp;$C38,防護具!$Q$30:$Q$212))-BZ38,0)</f>
        <v>0</v>
      </c>
      <c r="CB39" s="644">
        <f>IFERROR(
SUM(CA39,SUMIF(防護具!$Y$30:$Y$212,CB$17&amp;$C38,防護具!$Q$30:$Q$212))-CA38,0)</f>
        <v>0</v>
      </c>
      <c r="CC39" s="644">
        <f>IFERROR(
SUM(CB39,SUMIF(防護具!$Y$30:$Y$212,CC$17&amp;$C38,防護具!$Q$30:$Q$212))-CB38,0)</f>
        <v>0</v>
      </c>
      <c r="CD39" s="644">
        <f>IFERROR(
SUM(CC39,SUMIF(防護具!$Y$30:$Y$212,CD$17&amp;$C38,防護具!$Q$30:$Q$212))-CC38,0)</f>
        <v>0</v>
      </c>
      <c r="CE39" s="644">
        <f>IFERROR(
SUM(CD39,SUMIF(防護具!$Y$30:$Y$212,CE$17&amp;$C38,防護具!$Q$30:$Q$212))-CD38,0)</f>
        <v>0</v>
      </c>
      <c r="CF39" s="644">
        <f>IFERROR(
SUM(CE39,SUMIF(防護具!$Y$30:$Y$212,CF$17&amp;$C38,防護具!$Q$30:$Q$212))-CE38,0)</f>
        <v>0</v>
      </c>
      <c r="CG39" s="644">
        <f>IFERROR(
SUM(CF39,SUMIF(防護具!$Y$30:$Y$212,CG$17&amp;$C38,防護具!$Q$30:$Q$212))-CF38,0)</f>
        <v>0</v>
      </c>
      <c r="CH39" s="644">
        <f>IFERROR(
SUM(CG39,SUMIF(防護具!$Y$30:$Y$212,CH$17&amp;$C38,防護具!$Q$30:$Q$212))-CG38,0)</f>
        <v>0</v>
      </c>
      <c r="CI39" s="644">
        <f>IFERROR(
SUM(CH39,SUMIF(防護具!$Y$30:$Y$212,CI$17&amp;$C38,防護具!$Q$30:$Q$212))-CH38,0)</f>
        <v>0</v>
      </c>
      <c r="CJ39" s="644">
        <f>IFERROR(
SUM(CI39,SUMIF(防護具!$Y$30:$Y$212,CJ$17&amp;$C38,防護具!$Q$30:$Q$212))-CI38,0)</f>
        <v>0</v>
      </c>
      <c r="CK39" s="644">
        <f>IFERROR(
SUM(CJ39,SUMIF(防護具!$Y$30:$Y$212,CK$17&amp;$C38,防護具!$Q$30:$Q$212))-CJ38,0)</f>
        <v>0</v>
      </c>
      <c r="CL39" s="644">
        <f>IFERROR(
SUM(CK39,SUMIF(防護具!$Y$30:$Y$212,CL$17&amp;$C38,防護具!$Q$30:$Q$212))-CK38,0)</f>
        <v>0</v>
      </c>
      <c r="CM39" s="644">
        <f>IFERROR(
SUM(CL39,SUMIF(防護具!$Y$30:$Y$212,CM$17&amp;$C38,防護具!$Q$30:$Q$212))-CL38,0)</f>
        <v>0</v>
      </c>
      <c r="CN39" s="644">
        <f>IFERROR(
SUM(CM39,SUMIF(防護具!$Y$30:$Y$212,CN$17&amp;$C38,防護具!$Q$30:$Q$212))-CM38,0)</f>
        <v>0</v>
      </c>
      <c r="CO39" s="644">
        <f>IFERROR(
SUM(CN39,SUMIF(防護具!$Y$30:$Y$212,CO$17&amp;$C38,防護具!$Q$30:$Q$212))-CN38,0)</f>
        <v>0</v>
      </c>
      <c r="CP39" s="644">
        <f>IFERROR(
SUM(CO39,SUMIF(防護具!$Y$30:$Y$212,CP$17&amp;$C38,防護具!$Q$30:$Q$212))-CO38,0)</f>
        <v>0</v>
      </c>
      <c r="CQ39" s="644">
        <f>IFERROR(
SUM(CP39,SUMIF(防護具!$Y$30:$Y$212,CQ$17&amp;$C38,防護具!$Q$30:$Q$212))-CP38,0)</f>
        <v>0</v>
      </c>
      <c r="CR39" s="644">
        <f>IFERROR(
SUM(CQ39,SUMIF(防護具!$Y$30:$Y$212,CR$17&amp;$C38,防護具!$Q$30:$Q$212))-CQ38,0)</f>
        <v>0</v>
      </c>
      <c r="CS39" s="644">
        <f>IFERROR(
SUM(CR39,SUMIF(防護具!$Y$30:$Y$212,CS$17&amp;$C38,防護具!$Q$30:$Q$212))-CR38,0)</f>
        <v>0</v>
      </c>
      <c r="CT39" s="644">
        <f>IFERROR(
SUM(CS39,SUMIF(防護具!$Y$30:$Y$212,CT$17&amp;$C38,防護具!$Q$30:$Q$212))-CS38,0)</f>
        <v>0</v>
      </c>
      <c r="CU39" s="644">
        <f>IFERROR(
SUM(CT39,SUMIF(防護具!$Y$30:$Y$212,CU$17&amp;$C38,防護具!$Q$30:$Q$212))-CT38,0)</f>
        <v>0</v>
      </c>
      <c r="CV39" s="644">
        <f>IFERROR(
SUM(CU39,SUMIF(防護具!$Y$30:$Y$212,CV$17&amp;$C38,防護具!$Q$30:$Q$212))-CU38,0)</f>
        <v>0</v>
      </c>
      <c r="CW39" s="644">
        <f>IFERROR(
SUM(CV39,SUMIF(防護具!$Y$30:$Y$212,CW$17&amp;$C38,防護具!$Q$30:$Q$212))-CV38,0)</f>
        <v>0</v>
      </c>
      <c r="CX39" s="644">
        <f>IFERROR(
SUM(CW39,SUMIF(防護具!$Y$30:$Y$212,CX$17&amp;$C38,防護具!$Q$30:$Q$212))-CW38,0)</f>
        <v>0</v>
      </c>
      <c r="CY39" s="644">
        <f>IFERROR(
SUM(CX39,SUMIF(防護具!$Y$30:$Y$212,CY$17&amp;$C38,防護具!$Q$30:$Q$212))-CX38,0)</f>
        <v>0</v>
      </c>
      <c r="CZ39" s="644">
        <f>IFERROR(
SUM(CY39,SUMIF(防護具!$Y$30:$Y$212,CZ$17&amp;$C38,防護具!$Q$30:$Q$212))-CY38,0)</f>
        <v>0</v>
      </c>
      <c r="DA39" s="644">
        <f>IFERROR(
SUM(CZ39,SUMIF(防護具!$Y$30:$Y$212,DA$17&amp;$C38,防護具!$Q$30:$Q$212))-CZ38,0)</f>
        <v>0</v>
      </c>
      <c r="DB39" s="644">
        <f>IFERROR(
SUM(DA39,SUMIF(防護具!$Y$30:$Y$212,DB$17&amp;$C38,防護具!$Q$30:$Q$212))-DA38,0)</f>
        <v>0</v>
      </c>
      <c r="DC39" s="644">
        <f>IFERROR(
SUM(DB39,SUMIF(防護具!$Y$30:$Y$212,DC$17&amp;$C38,防護具!$Q$30:$Q$212))-DB38,0)</f>
        <v>0</v>
      </c>
      <c r="DD39" s="644">
        <f>IFERROR(
SUM(DC39,SUMIF(防護具!$Y$30:$Y$212,DD$17&amp;$C38,防護具!$Q$30:$Q$212))-DC38,0)</f>
        <v>0</v>
      </c>
      <c r="DE39" s="644">
        <f>IFERROR(
SUM(DD39,SUMIF(防護具!$Y$30:$Y$212,DE$17&amp;$C38,防護具!$Q$30:$Q$212))-DD38,0)</f>
        <v>0</v>
      </c>
      <c r="DF39" s="644">
        <f>IFERROR(
SUM(DE39,SUMIF(防護具!$Y$30:$Y$212,DF$17&amp;$C38,防護具!$Q$30:$Q$212))-DE38,0)</f>
        <v>0</v>
      </c>
      <c r="DG39" s="644">
        <f>IFERROR(
SUM(DF39,SUMIF(防護具!$Y$30:$Y$212,DG$17&amp;$C38,防護具!$Q$30:$Q$212))-DF38,0)</f>
        <v>0</v>
      </c>
      <c r="DH39" s="644">
        <f>IFERROR(
SUM(DG39,SUMIF(防護具!$Y$30:$Y$212,DH$17&amp;$C38,防護具!$Q$30:$Q$212))-DG38,0)</f>
        <v>0</v>
      </c>
      <c r="DI39" s="644">
        <f>IFERROR(
SUM(DH39,SUMIF(防護具!$Y$30:$Y$212,DI$17&amp;$C38,防護具!$Q$30:$Q$212))-DH38,0)</f>
        <v>0</v>
      </c>
      <c r="DJ39" s="644">
        <f>IFERROR(
SUM(DI39,SUMIF(防護具!$Y$30:$Y$212,DJ$17&amp;$C38,防護具!$Q$30:$Q$212))-DI38,0)</f>
        <v>0</v>
      </c>
      <c r="DK39" s="644">
        <f>IFERROR(
SUM(DJ39,SUMIF(防護具!$Y$30:$Y$212,DK$17&amp;$C38,防護具!$Q$30:$Q$212))-DJ38,0)</f>
        <v>0</v>
      </c>
      <c r="DL39" s="644">
        <f>IFERROR(
SUM(DK39,SUMIF(防護具!$Y$30:$Y$212,DL$17&amp;$C38,防護具!$Q$30:$Q$212))-DK38,0)</f>
        <v>0</v>
      </c>
      <c r="DM39" s="644">
        <f>IFERROR(
SUM(DL39,SUMIF(防護具!$Y$30:$Y$212,DM$17&amp;$C38,防護具!$Q$30:$Q$212))-DL38,0)</f>
        <v>0</v>
      </c>
      <c r="DN39" s="644">
        <f>IFERROR(
SUM(DM39,SUMIF(防護具!$Y$30:$Y$212,DN$17&amp;$C38,防護具!$Q$30:$Q$212))-DM38,0)</f>
        <v>0</v>
      </c>
      <c r="DO39" s="644">
        <f>IFERROR(
SUM(DN39,SUMIF(防護具!$Y$30:$Y$212,DO$17&amp;$C38,防護具!$Q$30:$Q$212))-DN38,0)</f>
        <v>0</v>
      </c>
      <c r="DP39" s="644">
        <f>IFERROR(
SUM(DO39,SUMIF(防護具!$Y$30:$Y$212,DP$17&amp;$C38,防護具!$Q$30:$Q$212))-DO38,0)</f>
        <v>0</v>
      </c>
      <c r="DQ39" s="644">
        <f>IFERROR(
SUM(DP39,SUMIF(防護具!$Y$30:$Y$212,DQ$17&amp;$C38,防護具!$Q$30:$Q$212))-DP38,0)</f>
        <v>0</v>
      </c>
      <c r="DR39" s="644">
        <f>IFERROR(
SUM(DQ39,SUMIF(防護具!$Y$30:$Y$212,DR$17&amp;$C38,防護具!$Q$30:$Q$212))-DQ38,0)</f>
        <v>0</v>
      </c>
      <c r="DS39" s="644">
        <f>IFERROR(
SUM(DR39,SUMIF(防護具!$Y$30:$Y$212,DS$17&amp;$C38,防護具!$Q$30:$Q$212))-DR38,0)</f>
        <v>0</v>
      </c>
      <c r="DT39" s="644">
        <f>IFERROR(
SUM(DS39,SUMIF(防護具!$Y$30:$Y$212,DT$17&amp;$C38,防護具!$Q$30:$Q$212))-DS38,0)</f>
        <v>0</v>
      </c>
      <c r="DU39" s="644">
        <f>IFERROR(
SUM(DT39,SUMIF(防護具!$Y$30:$Y$212,DU$17&amp;$C38,防護具!$Q$30:$Q$212))-DT38,0)</f>
        <v>0</v>
      </c>
      <c r="DV39" s="644">
        <f>IFERROR(
SUM(DU39,SUMIF(防護具!$Y$30:$Y$212,DV$17&amp;$C38,防護具!$Q$30:$Q$212))-DU38,0)</f>
        <v>0</v>
      </c>
      <c r="DW39" s="644">
        <f>IFERROR(
SUM(DV39,SUMIF(防護具!$Y$30:$Y$212,DW$17&amp;$C38,防護具!$Q$30:$Q$212))-DV38,0)</f>
        <v>0</v>
      </c>
      <c r="DX39" s="644">
        <f>IFERROR(
SUM(DW39,SUMIF(防護具!$Y$30:$Y$212,DX$17&amp;$C38,防護具!$Q$30:$Q$212))-DW38,0)</f>
        <v>0</v>
      </c>
      <c r="DY39" s="644">
        <f>IFERROR(
SUM(DX39,SUMIF(防護具!$Y$30:$Y$212,DY$17&amp;$C38,防護具!$Q$30:$Q$212))-DX38,0)</f>
        <v>0</v>
      </c>
      <c r="DZ39" s="644">
        <f>IFERROR(
SUM(DY39,SUMIF(防護具!$Y$30:$Y$212,DZ$17&amp;$C38,防護具!$Q$30:$Q$212))-DY38,0)</f>
        <v>0</v>
      </c>
      <c r="EA39" s="644">
        <f>IFERROR(
SUM(DZ39,SUMIF(防護具!$Y$30:$Y$212,EA$17&amp;$C38,防護具!$Q$30:$Q$212))-DZ38,0)</f>
        <v>0</v>
      </c>
      <c r="EB39" s="644">
        <f>IFERROR(
SUM(EA39,SUMIF(防護具!$Y$30:$Y$212,EB$17&amp;$C38,防護具!$Q$30:$Q$212))-EA38,0)</f>
        <v>0</v>
      </c>
      <c r="EC39" s="644">
        <f>IFERROR(
SUM(EB39,SUMIF(防護具!$Y$30:$Y$212,EC$17&amp;$C38,防護具!$Q$30:$Q$212))-EB38,0)</f>
        <v>0</v>
      </c>
      <c r="ED39" s="644">
        <f>IFERROR(
SUM(EC39,SUMIF(防護具!$Y$30:$Y$212,ED$17&amp;$C38,防護具!$Q$30:$Q$212))-EC38,0)</f>
        <v>0</v>
      </c>
      <c r="EE39" s="644">
        <f>IFERROR(
SUM(ED39,SUMIF(防護具!$Y$30:$Y$212,EE$17&amp;$C38,防護具!$Q$30:$Q$212))-ED38,0)</f>
        <v>0</v>
      </c>
      <c r="EF39" s="644">
        <f>IFERROR(
SUM(EE39,SUMIF(防護具!$Y$30:$Y$212,EF$17&amp;$C38,防護具!$Q$30:$Q$212))-EE38,0)</f>
        <v>0</v>
      </c>
      <c r="EG39" s="644">
        <f>IFERROR(
SUM(EF39,SUMIF(防護具!$Y$30:$Y$212,EG$17&amp;$C38,防護具!$Q$30:$Q$212))-EF38,0)</f>
        <v>0</v>
      </c>
      <c r="EH39" s="644">
        <f>IFERROR(
SUM(EG39,SUMIF(防護具!$Y$30:$Y$212,EH$17&amp;$C38,防護具!$Q$30:$Q$212))-EG38,0)</f>
        <v>0</v>
      </c>
      <c r="EI39" s="644">
        <f>IFERROR(
SUM(EH39,SUMIF(防護具!$Y$30:$Y$212,EI$17&amp;$C38,防護具!$Q$30:$Q$212))-EH38,0)</f>
        <v>0</v>
      </c>
      <c r="EJ39" s="644">
        <f>IFERROR(
SUM(EI39,SUMIF(防護具!$Y$30:$Y$212,EJ$17&amp;$C38,防護具!$Q$30:$Q$212))-EI38,0)</f>
        <v>0</v>
      </c>
      <c r="EK39" s="644">
        <f>IFERROR(
SUM(EJ39,SUMIF(防護具!$Y$30:$Y$212,EK$17&amp;$C38,防護具!$Q$30:$Q$212))-EJ38,0)</f>
        <v>0</v>
      </c>
      <c r="EL39" s="644">
        <f>IFERROR(
SUM(EK39,SUMIF(防護具!$Y$30:$Y$212,EL$17&amp;$C38,防護具!$Q$30:$Q$212))-EK38,0)</f>
        <v>0</v>
      </c>
      <c r="EM39" s="644">
        <f>IFERROR(
SUM(EL39,SUMIF(防護具!$Y$30:$Y$212,EM$17&amp;$C38,防護具!$Q$30:$Q$212))-EL38,0)</f>
        <v>0</v>
      </c>
      <c r="EN39" s="644">
        <f>IFERROR(
SUM(EM39,SUMIF(防護具!$Y$30:$Y$212,EN$17&amp;$C38,防護具!$Q$30:$Q$212))-EM38,0)</f>
        <v>0</v>
      </c>
      <c r="EO39" s="644">
        <f>IFERROR(
SUM(EN39,SUMIF(防護具!$Y$30:$Y$212,EO$17&amp;$C38,防護具!$Q$30:$Q$212))-EN38,0)</f>
        <v>0</v>
      </c>
      <c r="EP39" s="644">
        <f>IFERROR(
SUM(EO39,SUMIF(防護具!$Y$30:$Y$212,EP$17&amp;$C38,防護具!$Q$30:$Q$212))-EO38,0)</f>
        <v>0</v>
      </c>
      <c r="EQ39" s="644">
        <f>IFERROR(
SUM(EP39,SUMIF(防護具!$Y$30:$Y$212,EQ$17&amp;$C38,防護具!$Q$30:$Q$212))-EP38,0)</f>
        <v>0</v>
      </c>
      <c r="ER39" s="644">
        <f>IFERROR(
SUM(EQ39,SUMIF(防護具!$Y$30:$Y$212,ER$17&amp;$C38,防護具!$Q$30:$Q$212))-EQ38,0)</f>
        <v>0</v>
      </c>
      <c r="ES39" s="644">
        <f>IFERROR(
SUM(ER39,SUMIF(防護具!$Y$30:$Y$212,ES$17&amp;$C38,防護具!$Q$30:$Q$212))-ER38,0)</f>
        <v>0</v>
      </c>
      <c r="ET39" s="644">
        <f>IFERROR(
SUM(ES39,SUMIF(防護具!$Y$30:$Y$212,ET$17&amp;$C38,防護具!$Q$30:$Q$212))-ES38,0)</f>
        <v>0</v>
      </c>
      <c r="EU39" s="644">
        <f>IFERROR(
SUM(ET39,SUMIF(防護具!$Y$30:$Y$212,EU$17&amp;$C38,防護具!$Q$30:$Q$212))-ET38,0)</f>
        <v>0</v>
      </c>
      <c r="EV39" s="644">
        <f>IFERROR(
SUM(EU39,SUMIF(防護具!$Y$30:$Y$212,EV$17&amp;$C38,防護具!$Q$30:$Q$212))-EU38,0)</f>
        <v>0</v>
      </c>
      <c r="EW39" s="644">
        <f>IFERROR(
SUM(EV39,SUMIF(防護具!$Y$30:$Y$212,EW$17&amp;$C38,防護具!$Q$30:$Q$212))-EV38,0)</f>
        <v>0</v>
      </c>
      <c r="EX39" s="644">
        <f>IFERROR(
SUM(EW39,SUMIF(防護具!$Y$30:$Y$212,EX$17&amp;$C38,防護具!$Q$30:$Q$212))-EW38,0)</f>
        <v>0</v>
      </c>
      <c r="EY39" s="644">
        <f>IFERROR(
SUM(EX39,SUMIF(防護具!$Y$30:$Y$212,EY$17&amp;$C38,防護具!$Q$30:$Q$212))-EX38,0)</f>
        <v>0</v>
      </c>
      <c r="EZ39" s="644">
        <f>IFERROR(
SUM(EY39,SUMIF(防護具!$Y$30:$Y$212,EZ$17&amp;$C38,防護具!$Q$30:$Q$212))-EY38,0)</f>
        <v>0</v>
      </c>
      <c r="FA39" s="644">
        <f>IFERROR(
SUM(EZ39,SUMIF(防護具!$Y$30:$Y$212,FA$17&amp;$C38,防護具!$Q$30:$Q$212))-EZ38,0)</f>
        <v>0</v>
      </c>
      <c r="FB39" s="644">
        <f>IFERROR(
SUM(FA39,SUMIF(防護具!$Y$30:$Y$212,FB$17&amp;$C38,防護具!$Q$30:$Q$212))-FA38,0)</f>
        <v>0</v>
      </c>
      <c r="FC39" s="644">
        <f>IFERROR(
SUM(FB39,SUMIF(防護具!$Y$30:$Y$212,FC$17&amp;$C38,防護具!$Q$30:$Q$212))-FB38,0)</f>
        <v>0</v>
      </c>
      <c r="FD39" s="644">
        <f>IFERROR(
SUM(FC39,SUMIF(防護具!$Y$30:$Y$212,FD$17&amp;$C38,防護具!$Q$30:$Q$212))-FC38,0)</f>
        <v>0</v>
      </c>
      <c r="FE39" s="644">
        <f>IFERROR(
SUM(FD39,SUMIF(防護具!$Y$30:$Y$212,FE$17&amp;$C38,防護具!$Q$30:$Q$212))-FD38,0)</f>
        <v>0</v>
      </c>
      <c r="FF39" s="644">
        <f>IFERROR(
SUM(FE39,SUMIF(防護具!$Y$30:$Y$212,FF$17&amp;$C38,防護具!$Q$30:$Q$212))-FE38,0)</f>
        <v>0</v>
      </c>
      <c r="FG39" s="644">
        <f>IFERROR(
SUM(FF39,SUMIF(防護具!$Y$30:$Y$212,FG$17&amp;$C38,防護具!$Q$30:$Q$212))-FF38,0)</f>
        <v>0</v>
      </c>
      <c r="FH39" s="644">
        <f>IFERROR(
SUM(FG39,SUMIF(防護具!$Y$30:$Y$212,FH$17&amp;$C38,防護具!$Q$30:$Q$212))-FG38,0)</f>
        <v>0</v>
      </c>
      <c r="FI39" s="644">
        <f>IFERROR(
SUM(FH39,SUMIF(防護具!$Y$30:$Y$212,FI$17&amp;$C38,防護具!$Q$30:$Q$212))-FH38,0)</f>
        <v>0</v>
      </c>
      <c r="FJ39" s="644">
        <f>IFERROR(
SUM(FI39,SUMIF(防護具!$Y$30:$Y$212,FJ$17&amp;$C38,防護具!$Q$30:$Q$212))-FI38,0)</f>
        <v>0</v>
      </c>
      <c r="FK39" s="644">
        <f>IFERROR(
SUM(FJ39,SUMIF(防護具!$Y$30:$Y$212,FK$17&amp;$C38,防護具!$Q$30:$Q$212))-FJ38,0)</f>
        <v>0</v>
      </c>
      <c r="FL39" s="644">
        <f>IFERROR(
SUM(FK39,SUMIF(防護具!$Y$30:$Y$212,FL$17&amp;$C38,防護具!$Q$30:$Q$212))-FK38,0)</f>
        <v>0</v>
      </c>
      <c r="FM39" s="644">
        <f>IFERROR(
SUM(FL39,SUMIF(防護具!$Y$30:$Y$212,FM$17&amp;$C38,防護具!$Q$30:$Q$212))-FL38,0)</f>
        <v>0</v>
      </c>
      <c r="FN39" s="644">
        <f>IFERROR(
SUM(FM39,SUMIF(防護具!$Y$30:$Y$212,FN$17&amp;$C38,防護具!$Q$30:$Q$212))-FM38,0)</f>
        <v>0</v>
      </c>
      <c r="FO39" s="644">
        <f>IFERROR(
SUM(FN39,SUMIF(防護具!$Y$30:$Y$212,FO$17&amp;$C38,防護具!$Q$30:$Q$212))-FN38,0)</f>
        <v>0</v>
      </c>
      <c r="FP39" s="644">
        <f>IFERROR(
SUM(FO39,SUMIF(防護具!$Y$30:$Y$212,FP$17&amp;$C38,防護具!$Q$30:$Q$212))-FO38,0)</f>
        <v>0</v>
      </c>
      <c r="FQ39" s="644">
        <f>IFERROR(
SUM(FP39,SUMIF(防護具!$Y$30:$Y$212,FQ$17&amp;$C38,防護具!$Q$30:$Q$212))-FP38,0)</f>
        <v>0</v>
      </c>
      <c r="FR39" s="644">
        <f>IFERROR(
SUM(FQ39,SUMIF(防護具!$Y$30:$Y$212,FR$17&amp;$C38,防護具!$Q$30:$Q$212))-FQ38,0)</f>
        <v>0</v>
      </c>
      <c r="FS39" s="644">
        <f>IFERROR(
SUM(FR39,SUMIF(防護具!$Y$30:$Y$212,FS$17&amp;$C38,防護具!$Q$30:$Q$212))-FR38,0)</f>
        <v>0</v>
      </c>
      <c r="FT39" s="644">
        <f>IFERROR(
SUM(FS39,SUMIF(防護具!$Y$30:$Y$212,FT$17&amp;$C38,防護具!$Q$30:$Q$212))-FS38,0)</f>
        <v>0</v>
      </c>
      <c r="FU39" s="644">
        <f>IFERROR(
SUM(FT39,SUMIF(防護具!$Y$30:$Y$212,FU$17&amp;$C38,防護具!$Q$30:$Q$212))-FT38,0)</f>
        <v>0</v>
      </c>
      <c r="FV39" s="644">
        <f>IFERROR(
SUM(FU39,SUMIF(防護具!$Y$30:$Y$212,FV$17&amp;$C38,防護具!$Q$30:$Q$212))-FU38,0)</f>
        <v>0</v>
      </c>
      <c r="FW39" s="644">
        <f>IFERROR(
SUM(FV39,SUMIF(防護具!$Y$30:$Y$212,FW$17&amp;$C38,防護具!$Q$30:$Q$212))-FV38,0)</f>
        <v>0</v>
      </c>
      <c r="FX39" s="644">
        <f>IFERROR(
SUM(FW39,SUMIF(防護具!$Y$30:$Y$212,FX$17&amp;$C38,防護具!$Q$30:$Q$212))-FW38,0)</f>
        <v>0</v>
      </c>
      <c r="FY39" s="644">
        <f>IFERROR(
SUM(FX39,SUMIF(防護具!$Y$30:$Y$212,FY$17&amp;$C38,防護具!$Q$30:$Q$212))-FX38,0)</f>
        <v>0</v>
      </c>
      <c r="FZ39" s="644">
        <f>IFERROR(
SUM(FY39,SUMIF(防護具!$Y$30:$Y$212,FZ$17&amp;$C38,防護具!$Q$30:$Q$212))-FY38,0)</f>
        <v>0</v>
      </c>
      <c r="GA39" s="644">
        <f>IFERROR(
SUM(FZ39,SUMIF(防護具!$Y$30:$Y$212,GA$17&amp;$C38,防護具!$Q$30:$Q$212))-FZ38,0)</f>
        <v>0</v>
      </c>
      <c r="GB39" s="644">
        <f>IFERROR(
SUM(GA39,SUMIF(防護具!$Y$30:$Y$212,GB$17&amp;$C38,防護具!$Q$30:$Q$212))-GA38,0)</f>
        <v>0</v>
      </c>
      <c r="GC39" s="644">
        <f>IFERROR(
SUM(GB39,SUMIF(防護具!$Y$30:$Y$212,GC$17&amp;$C38,防護具!$Q$30:$Q$212))-GB38,0)</f>
        <v>0</v>
      </c>
      <c r="GD39" s="644">
        <f>IFERROR(
SUM(GC39,SUMIF(防護具!$Y$30:$Y$212,GD$17&amp;$C38,防護具!$Q$30:$Q$212))-GC38,0)</f>
        <v>0</v>
      </c>
      <c r="GE39" s="644">
        <f>IFERROR(
SUM(GD39,SUMIF(防護具!$Y$30:$Y$212,GE$17&amp;$C38,防護具!$Q$30:$Q$212))-GD38,0)</f>
        <v>0</v>
      </c>
      <c r="GF39" s="644">
        <f>IFERROR(
SUM(GE39,SUMIF(防護具!$Y$30:$Y$212,GF$17&amp;$C38,防護具!$Q$30:$Q$212))-GE38,0)</f>
        <v>0</v>
      </c>
      <c r="GG39" s="644">
        <f>IFERROR(
SUM(GF39,SUMIF(防護具!$Y$30:$Y$212,GG$17&amp;$C38,防護具!$Q$30:$Q$212))-GF38,0)</f>
        <v>0</v>
      </c>
      <c r="GH39" s="644">
        <f>IFERROR(
SUM(GG39,SUMIF(防護具!$Y$30:$Y$212,GH$17&amp;$C38,防護具!$Q$30:$Q$212))-GG38,0)</f>
        <v>0</v>
      </c>
      <c r="GI39" s="644">
        <f>IFERROR(
SUM(GH39,SUMIF(防護具!$Y$30:$Y$212,GI$17&amp;$C38,防護具!$Q$30:$Q$212))-GH38,0)</f>
        <v>0</v>
      </c>
      <c r="GJ39" s="644">
        <f>IFERROR(
SUM(GI39,SUMIF(防護具!$Y$30:$Y$212,GJ$17&amp;$C38,防護具!$Q$30:$Q$212))-GI38,0)</f>
        <v>0</v>
      </c>
    </row>
    <row r="40" spans="2:192" s="645" customFormat="1">
      <c r="B40" s="654"/>
      <c r="C40" s="643"/>
      <c r="D40" s="769" t="s">
        <v>1468</v>
      </c>
      <c r="E40" s="774"/>
      <c r="F40" s="707"/>
      <c r="G40" s="644">
        <f>SUMIF(防護具!$Y$13:$Y$29,G$17&amp;PPE差引簿!C38,防護具!$Q$13:$Q$29)</f>
        <v>7000</v>
      </c>
      <c r="H40" s="644">
        <f xml:space="preserve">
IF(G40-VLOOKUP($C38,$C$3:$D$15,2,FALSE)*H$21&lt;0,0,G40-VLOOKUP($C38,$C$3:$D$15,2,FALSE)*H$21)</f>
        <v>7000</v>
      </c>
      <c r="I40" s="644">
        <f t="shared" ref="I40:BT40" si="1286" xml:space="preserve">
IF(H40-VLOOKUP($C38,$C$3:$D$15,2,FALSE)*I$21&lt;0,0,H40-VLOOKUP($C38,$C$3:$D$15,2,FALSE)*I$21)</f>
        <v>7000</v>
      </c>
      <c r="J40" s="644">
        <f t="shared" si="1286"/>
        <v>7000</v>
      </c>
      <c r="K40" s="644">
        <f t="shared" si="1286"/>
        <v>7000</v>
      </c>
      <c r="L40" s="644">
        <f t="shared" si="1286"/>
        <v>7000</v>
      </c>
      <c r="M40" s="644">
        <f t="shared" si="1286"/>
        <v>7000</v>
      </c>
      <c r="N40" s="644">
        <f t="shared" si="1286"/>
        <v>7000</v>
      </c>
      <c r="O40" s="644">
        <f t="shared" si="1286"/>
        <v>7000</v>
      </c>
      <c r="P40" s="644">
        <f t="shared" si="1286"/>
        <v>7000</v>
      </c>
      <c r="Q40" s="644">
        <f t="shared" si="1286"/>
        <v>7000</v>
      </c>
      <c r="R40" s="644">
        <f t="shared" si="1286"/>
        <v>7000</v>
      </c>
      <c r="S40" s="644">
        <f t="shared" si="1286"/>
        <v>7000</v>
      </c>
      <c r="T40" s="644">
        <f t="shared" si="1286"/>
        <v>7000</v>
      </c>
      <c r="U40" s="644">
        <f t="shared" si="1286"/>
        <v>7000</v>
      </c>
      <c r="V40" s="644">
        <f t="shared" si="1286"/>
        <v>7000</v>
      </c>
      <c r="W40" s="644">
        <f t="shared" si="1286"/>
        <v>7000</v>
      </c>
      <c r="X40" s="644">
        <f t="shared" si="1286"/>
        <v>7000</v>
      </c>
      <c r="Y40" s="644">
        <f t="shared" si="1286"/>
        <v>7000</v>
      </c>
      <c r="Z40" s="644">
        <f t="shared" si="1286"/>
        <v>7000</v>
      </c>
      <c r="AA40" s="644">
        <f t="shared" si="1286"/>
        <v>7000</v>
      </c>
      <c r="AB40" s="644">
        <f t="shared" si="1286"/>
        <v>7000</v>
      </c>
      <c r="AC40" s="644">
        <f t="shared" si="1286"/>
        <v>7000</v>
      </c>
      <c r="AD40" s="644">
        <f t="shared" si="1286"/>
        <v>7000</v>
      </c>
      <c r="AE40" s="644">
        <f t="shared" si="1286"/>
        <v>7000</v>
      </c>
      <c r="AF40" s="644">
        <f t="shared" si="1286"/>
        <v>7000</v>
      </c>
      <c r="AG40" s="644">
        <f t="shared" si="1286"/>
        <v>7000</v>
      </c>
      <c r="AH40" s="644">
        <f t="shared" si="1286"/>
        <v>7000</v>
      </c>
      <c r="AI40" s="644">
        <f t="shared" si="1286"/>
        <v>7000</v>
      </c>
      <c r="AJ40" s="644">
        <f t="shared" si="1286"/>
        <v>7000</v>
      </c>
      <c r="AK40" s="644">
        <f t="shared" si="1286"/>
        <v>7000</v>
      </c>
      <c r="AL40" s="644">
        <f t="shared" si="1286"/>
        <v>7000</v>
      </c>
      <c r="AM40" s="644">
        <f t="shared" si="1286"/>
        <v>7000</v>
      </c>
      <c r="AN40" s="644">
        <f t="shared" si="1286"/>
        <v>7000</v>
      </c>
      <c r="AO40" s="644">
        <f t="shared" si="1286"/>
        <v>7000</v>
      </c>
      <c r="AP40" s="644">
        <f t="shared" si="1286"/>
        <v>7000</v>
      </c>
      <c r="AQ40" s="644">
        <f t="shared" si="1286"/>
        <v>7000</v>
      </c>
      <c r="AR40" s="644">
        <f t="shared" si="1286"/>
        <v>7000</v>
      </c>
      <c r="AS40" s="644">
        <f t="shared" si="1286"/>
        <v>7000</v>
      </c>
      <c r="AT40" s="644">
        <f t="shared" si="1286"/>
        <v>7000</v>
      </c>
      <c r="AU40" s="644">
        <f t="shared" si="1286"/>
        <v>7000</v>
      </c>
      <c r="AV40" s="644">
        <f t="shared" si="1286"/>
        <v>7000</v>
      </c>
      <c r="AW40" s="644">
        <f t="shared" si="1286"/>
        <v>7000</v>
      </c>
      <c r="AX40" s="644">
        <f t="shared" si="1286"/>
        <v>7000</v>
      </c>
      <c r="AY40" s="644">
        <f t="shared" si="1286"/>
        <v>7000</v>
      </c>
      <c r="AZ40" s="644">
        <f t="shared" si="1286"/>
        <v>7000</v>
      </c>
      <c r="BA40" s="644">
        <f t="shared" si="1286"/>
        <v>7000</v>
      </c>
      <c r="BB40" s="644">
        <f t="shared" si="1286"/>
        <v>7000</v>
      </c>
      <c r="BC40" s="644">
        <f t="shared" si="1286"/>
        <v>7000</v>
      </c>
      <c r="BD40" s="644">
        <f t="shared" si="1286"/>
        <v>7000</v>
      </c>
      <c r="BE40" s="644">
        <f t="shared" si="1286"/>
        <v>7000</v>
      </c>
      <c r="BF40" s="644">
        <f t="shared" si="1286"/>
        <v>7000</v>
      </c>
      <c r="BG40" s="644">
        <f t="shared" si="1286"/>
        <v>7000</v>
      </c>
      <c r="BH40" s="644">
        <f t="shared" si="1286"/>
        <v>7000</v>
      </c>
      <c r="BI40" s="644">
        <f t="shared" si="1286"/>
        <v>7000</v>
      </c>
      <c r="BJ40" s="644">
        <f t="shared" si="1286"/>
        <v>7000</v>
      </c>
      <c r="BK40" s="644">
        <f t="shared" si="1286"/>
        <v>7000</v>
      </c>
      <c r="BL40" s="644">
        <f t="shared" si="1286"/>
        <v>7000</v>
      </c>
      <c r="BM40" s="644">
        <f t="shared" si="1286"/>
        <v>7000</v>
      </c>
      <c r="BN40" s="644">
        <f t="shared" si="1286"/>
        <v>7000</v>
      </c>
      <c r="BO40" s="644">
        <f t="shared" si="1286"/>
        <v>7000</v>
      </c>
      <c r="BP40" s="644">
        <f t="shared" si="1286"/>
        <v>7000</v>
      </c>
      <c r="BQ40" s="644">
        <f t="shared" si="1286"/>
        <v>7000</v>
      </c>
      <c r="BR40" s="644">
        <f t="shared" si="1286"/>
        <v>7000</v>
      </c>
      <c r="BS40" s="644">
        <f t="shared" si="1286"/>
        <v>7000</v>
      </c>
      <c r="BT40" s="644">
        <f t="shared" si="1286"/>
        <v>7000</v>
      </c>
      <c r="BU40" s="644">
        <f t="shared" ref="BU40:EF40" si="1287" xml:space="preserve">
IF(BT40-VLOOKUP($C38,$C$3:$D$15,2,FALSE)*BU$21&lt;0,0,BT40-VLOOKUP($C38,$C$3:$D$15,2,FALSE)*BU$21)</f>
        <v>7000</v>
      </c>
      <c r="BV40" s="644">
        <f t="shared" si="1287"/>
        <v>7000</v>
      </c>
      <c r="BW40" s="644">
        <f t="shared" si="1287"/>
        <v>7000</v>
      </c>
      <c r="BX40" s="644">
        <f t="shared" si="1287"/>
        <v>7000</v>
      </c>
      <c r="BY40" s="644">
        <f t="shared" si="1287"/>
        <v>7000</v>
      </c>
      <c r="BZ40" s="644">
        <f t="shared" si="1287"/>
        <v>7000</v>
      </c>
      <c r="CA40" s="644">
        <f t="shared" si="1287"/>
        <v>7000</v>
      </c>
      <c r="CB40" s="644">
        <f t="shared" si="1287"/>
        <v>7000</v>
      </c>
      <c r="CC40" s="644">
        <f t="shared" si="1287"/>
        <v>7000</v>
      </c>
      <c r="CD40" s="644">
        <f t="shared" si="1287"/>
        <v>7000</v>
      </c>
      <c r="CE40" s="644">
        <f t="shared" si="1287"/>
        <v>7000</v>
      </c>
      <c r="CF40" s="644">
        <f t="shared" si="1287"/>
        <v>7000</v>
      </c>
      <c r="CG40" s="644">
        <f t="shared" si="1287"/>
        <v>7000</v>
      </c>
      <c r="CH40" s="644">
        <f t="shared" si="1287"/>
        <v>7000</v>
      </c>
      <c r="CI40" s="644">
        <f t="shared" si="1287"/>
        <v>7000</v>
      </c>
      <c r="CJ40" s="644">
        <f t="shared" si="1287"/>
        <v>7000</v>
      </c>
      <c r="CK40" s="644">
        <f t="shared" si="1287"/>
        <v>7000</v>
      </c>
      <c r="CL40" s="644">
        <f t="shared" si="1287"/>
        <v>7000</v>
      </c>
      <c r="CM40" s="644">
        <f t="shared" si="1287"/>
        <v>7000</v>
      </c>
      <c r="CN40" s="644">
        <f t="shared" si="1287"/>
        <v>7000</v>
      </c>
      <c r="CO40" s="644">
        <f t="shared" si="1287"/>
        <v>7000</v>
      </c>
      <c r="CP40" s="644">
        <f t="shared" si="1287"/>
        <v>7000</v>
      </c>
      <c r="CQ40" s="644">
        <f t="shared" si="1287"/>
        <v>7000</v>
      </c>
      <c r="CR40" s="644">
        <f t="shared" si="1287"/>
        <v>7000</v>
      </c>
      <c r="CS40" s="644">
        <f t="shared" si="1287"/>
        <v>7000</v>
      </c>
      <c r="CT40" s="644">
        <f t="shared" si="1287"/>
        <v>7000</v>
      </c>
      <c r="CU40" s="644">
        <f t="shared" si="1287"/>
        <v>7000</v>
      </c>
      <c r="CV40" s="644">
        <f t="shared" si="1287"/>
        <v>7000</v>
      </c>
      <c r="CW40" s="644">
        <f t="shared" si="1287"/>
        <v>7000</v>
      </c>
      <c r="CX40" s="644">
        <f t="shared" si="1287"/>
        <v>7000</v>
      </c>
      <c r="CY40" s="644">
        <f t="shared" si="1287"/>
        <v>7000</v>
      </c>
      <c r="CZ40" s="644">
        <f t="shared" si="1287"/>
        <v>7000</v>
      </c>
      <c r="DA40" s="644">
        <f t="shared" si="1287"/>
        <v>7000</v>
      </c>
      <c r="DB40" s="644">
        <f t="shared" si="1287"/>
        <v>7000</v>
      </c>
      <c r="DC40" s="644">
        <f t="shared" si="1287"/>
        <v>7000</v>
      </c>
      <c r="DD40" s="644">
        <f t="shared" si="1287"/>
        <v>7000</v>
      </c>
      <c r="DE40" s="644">
        <f t="shared" si="1287"/>
        <v>7000</v>
      </c>
      <c r="DF40" s="644">
        <f t="shared" si="1287"/>
        <v>7000</v>
      </c>
      <c r="DG40" s="644">
        <f t="shared" si="1287"/>
        <v>7000</v>
      </c>
      <c r="DH40" s="644">
        <f t="shared" si="1287"/>
        <v>7000</v>
      </c>
      <c r="DI40" s="644">
        <f t="shared" si="1287"/>
        <v>7000</v>
      </c>
      <c r="DJ40" s="644">
        <f t="shared" si="1287"/>
        <v>7000</v>
      </c>
      <c r="DK40" s="644">
        <f t="shared" si="1287"/>
        <v>7000</v>
      </c>
      <c r="DL40" s="644">
        <f t="shared" si="1287"/>
        <v>7000</v>
      </c>
      <c r="DM40" s="644">
        <f t="shared" si="1287"/>
        <v>7000</v>
      </c>
      <c r="DN40" s="644">
        <f t="shared" si="1287"/>
        <v>7000</v>
      </c>
      <c r="DO40" s="644">
        <f t="shared" si="1287"/>
        <v>7000</v>
      </c>
      <c r="DP40" s="644">
        <f t="shared" si="1287"/>
        <v>7000</v>
      </c>
      <c r="DQ40" s="644">
        <f t="shared" si="1287"/>
        <v>7000</v>
      </c>
      <c r="DR40" s="644">
        <f t="shared" si="1287"/>
        <v>7000</v>
      </c>
      <c r="DS40" s="644">
        <f t="shared" si="1287"/>
        <v>7000</v>
      </c>
      <c r="DT40" s="644">
        <f t="shared" si="1287"/>
        <v>7000</v>
      </c>
      <c r="DU40" s="644">
        <f t="shared" si="1287"/>
        <v>7000</v>
      </c>
      <c r="DV40" s="644">
        <f t="shared" si="1287"/>
        <v>7000</v>
      </c>
      <c r="DW40" s="644">
        <f t="shared" si="1287"/>
        <v>7000</v>
      </c>
      <c r="DX40" s="644">
        <f t="shared" si="1287"/>
        <v>7000</v>
      </c>
      <c r="DY40" s="644">
        <f t="shared" si="1287"/>
        <v>7000</v>
      </c>
      <c r="DZ40" s="644">
        <f t="shared" si="1287"/>
        <v>7000</v>
      </c>
      <c r="EA40" s="644">
        <f t="shared" si="1287"/>
        <v>7000</v>
      </c>
      <c r="EB40" s="644">
        <f t="shared" si="1287"/>
        <v>7000</v>
      </c>
      <c r="EC40" s="644">
        <f t="shared" si="1287"/>
        <v>7000</v>
      </c>
      <c r="ED40" s="644">
        <f t="shared" si="1287"/>
        <v>7000</v>
      </c>
      <c r="EE40" s="644">
        <f t="shared" si="1287"/>
        <v>7000</v>
      </c>
      <c r="EF40" s="644">
        <f t="shared" si="1287"/>
        <v>7000</v>
      </c>
      <c r="EG40" s="644">
        <f t="shared" ref="EG40:GJ40" si="1288" xml:space="preserve">
IF(EF40-VLOOKUP($C38,$C$3:$D$15,2,FALSE)*EG$21&lt;0,0,EF40-VLOOKUP($C38,$C$3:$D$15,2,FALSE)*EG$21)</f>
        <v>7000</v>
      </c>
      <c r="EH40" s="644">
        <f t="shared" si="1288"/>
        <v>7000</v>
      </c>
      <c r="EI40" s="644">
        <f t="shared" si="1288"/>
        <v>7000</v>
      </c>
      <c r="EJ40" s="644">
        <f t="shared" si="1288"/>
        <v>7000</v>
      </c>
      <c r="EK40" s="644">
        <f t="shared" si="1288"/>
        <v>7000</v>
      </c>
      <c r="EL40" s="644">
        <f t="shared" si="1288"/>
        <v>7000</v>
      </c>
      <c r="EM40" s="644">
        <f t="shared" si="1288"/>
        <v>7000</v>
      </c>
      <c r="EN40" s="644">
        <f t="shared" si="1288"/>
        <v>7000</v>
      </c>
      <c r="EO40" s="644">
        <f t="shared" si="1288"/>
        <v>7000</v>
      </c>
      <c r="EP40" s="644">
        <f t="shared" si="1288"/>
        <v>7000</v>
      </c>
      <c r="EQ40" s="644">
        <f t="shared" si="1288"/>
        <v>7000</v>
      </c>
      <c r="ER40" s="644">
        <f t="shared" si="1288"/>
        <v>7000</v>
      </c>
      <c r="ES40" s="644">
        <f t="shared" si="1288"/>
        <v>7000</v>
      </c>
      <c r="ET40" s="644">
        <f t="shared" si="1288"/>
        <v>7000</v>
      </c>
      <c r="EU40" s="644">
        <f t="shared" si="1288"/>
        <v>7000</v>
      </c>
      <c r="EV40" s="644">
        <f t="shared" si="1288"/>
        <v>7000</v>
      </c>
      <c r="EW40" s="644">
        <f t="shared" si="1288"/>
        <v>7000</v>
      </c>
      <c r="EX40" s="644">
        <f t="shared" si="1288"/>
        <v>7000</v>
      </c>
      <c r="EY40" s="644">
        <f t="shared" si="1288"/>
        <v>7000</v>
      </c>
      <c r="EZ40" s="644">
        <f t="shared" si="1288"/>
        <v>7000</v>
      </c>
      <c r="FA40" s="644">
        <f t="shared" si="1288"/>
        <v>7000</v>
      </c>
      <c r="FB40" s="644">
        <f t="shared" si="1288"/>
        <v>7000</v>
      </c>
      <c r="FC40" s="644">
        <f t="shared" si="1288"/>
        <v>7000</v>
      </c>
      <c r="FD40" s="644">
        <f t="shared" si="1288"/>
        <v>7000</v>
      </c>
      <c r="FE40" s="644">
        <f t="shared" si="1288"/>
        <v>7000</v>
      </c>
      <c r="FF40" s="644">
        <f t="shared" si="1288"/>
        <v>7000</v>
      </c>
      <c r="FG40" s="644">
        <f t="shared" si="1288"/>
        <v>7000</v>
      </c>
      <c r="FH40" s="644">
        <f t="shared" si="1288"/>
        <v>7000</v>
      </c>
      <c r="FI40" s="644">
        <f t="shared" si="1288"/>
        <v>7000</v>
      </c>
      <c r="FJ40" s="644">
        <f t="shared" si="1288"/>
        <v>7000</v>
      </c>
      <c r="FK40" s="644">
        <f t="shared" si="1288"/>
        <v>7000</v>
      </c>
      <c r="FL40" s="644">
        <f t="shared" si="1288"/>
        <v>7000</v>
      </c>
      <c r="FM40" s="644">
        <f t="shared" si="1288"/>
        <v>7000</v>
      </c>
      <c r="FN40" s="644">
        <f t="shared" si="1288"/>
        <v>7000</v>
      </c>
      <c r="FO40" s="644">
        <f t="shared" si="1288"/>
        <v>7000</v>
      </c>
      <c r="FP40" s="644">
        <f t="shared" si="1288"/>
        <v>7000</v>
      </c>
      <c r="FQ40" s="644">
        <f t="shared" si="1288"/>
        <v>7000</v>
      </c>
      <c r="FR40" s="644">
        <f t="shared" si="1288"/>
        <v>7000</v>
      </c>
      <c r="FS40" s="644">
        <f t="shared" si="1288"/>
        <v>7000</v>
      </c>
      <c r="FT40" s="644">
        <f t="shared" si="1288"/>
        <v>7000</v>
      </c>
      <c r="FU40" s="644">
        <f t="shared" si="1288"/>
        <v>7000</v>
      </c>
      <c r="FV40" s="644">
        <f t="shared" si="1288"/>
        <v>7000</v>
      </c>
      <c r="FW40" s="644">
        <f t="shared" si="1288"/>
        <v>7000</v>
      </c>
      <c r="FX40" s="644">
        <f t="shared" si="1288"/>
        <v>7000</v>
      </c>
      <c r="FY40" s="644">
        <f t="shared" si="1288"/>
        <v>7000</v>
      </c>
      <c r="FZ40" s="644">
        <f t="shared" si="1288"/>
        <v>7000</v>
      </c>
      <c r="GA40" s="644">
        <f t="shared" si="1288"/>
        <v>7000</v>
      </c>
      <c r="GB40" s="644">
        <f t="shared" si="1288"/>
        <v>7000</v>
      </c>
      <c r="GC40" s="644">
        <f t="shared" si="1288"/>
        <v>7000</v>
      </c>
      <c r="GD40" s="644">
        <f t="shared" si="1288"/>
        <v>7000</v>
      </c>
      <c r="GE40" s="644">
        <f t="shared" si="1288"/>
        <v>7000</v>
      </c>
      <c r="GF40" s="644">
        <f t="shared" si="1288"/>
        <v>7000</v>
      </c>
      <c r="GG40" s="644">
        <f t="shared" si="1288"/>
        <v>7000</v>
      </c>
      <c r="GH40" s="644">
        <f t="shared" si="1288"/>
        <v>7000</v>
      </c>
      <c r="GI40" s="644">
        <f t="shared" si="1288"/>
        <v>7000</v>
      </c>
      <c r="GJ40" s="644">
        <f t="shared" si="1288"/>
        <v>7000</v>
      </c>
    </row>
    <row r="41" spans="2:192" s="655" customFormat="1">
      <c r="B41" s="656"/>
      <c r="C41" s="641" t="s">
        <v>476</v>
      </c>
      <c r="D41" s="768" t="s">
        <v>1466</v>
      </c>
      <c r="E41" s="773"/>
      <c r="F41" s="706"/>
      <c r="G41" s="642">
        <f xml:space="preserve">
MIN(G42,
IF((VLOOKUP($C41,$C$3:$D$15,2,FALSE)*G$22-G43)&lt;0,0,VLOOKUP($C41,$C$3:$D$15,2,FALSE)*G$22-G43))</f>
        <v>0</v>
      </c>
      <c r="H41" s="642">
        <f t="shared" ref="H41" si="1289" xml:space="preserve">
IF(G43&gt;=VLOOKUP($C41,$C$3:$D$15,2,FALSE)*H$22,0,
IF(AND(G43&lt;VLOOKUP($C41,$C$3:$D$15,2,FALSE)*H$22,H42&lt;=VLOOKUP($C41,$C$3:$D$15,2,FALSE)*H$22),IF(H42-G43&lt;0,0,H42-G43),
IF(AND(G43&lt;VLOOKUP($C41,$C$3:$D$15,2,FALSE)*H$22,H42&gt;VLOOKUP($C41,$C$3:$D$15,2,FALSE)*H$22),VLOOKUP($C41,$C$3:$D$15,2,FALSE)*H$22-G43)))</f>
        <v>0</v>
      </c>
      <c r="I41" s="642">
        <f t="shared" ref="I41" si="1290" xml:space="preserve">
IF(H43&gt;=VLOOKUP($C41,$C$3:$D$15,2,FALSE)*I$22,0,
IF(AND(H43&lt;VLOOKUP($C41,$C$3:$D$15,2,FALSE)*I$22,I42&lt;=VLOOKUP($C41,$C$3:$D$15,2,FALSE)*I$22),IF(I42-H43&lt;0,0,I42-H43),
IF(AND(H43&lt;VLOOKUP($C41,$C$3:$D$15,2,FALSE)*I$22,I42&gt;VLOOKUP($C41,$C$3:$D$15,2,FALSE)*I$22),VLOOKUP($C41,$C$3:$D$15,2,FALSE)*I$22-H43)))</f>
        <v>0</v>
      </c>
      <c r="J41" s="642">
        <f t="shared" ref="J41" si="1291" xml:space="preserve">
IF(I43&gt;=VLOOKUP($C41,$C$3:$D$15,2,FALSE)*J$22,0,
IF(AND(I43&lt;VLOOKUP($C41,$C$3:$D$15,2,FALSE)*J$22,J42&lt;=VLOOKUP($C41,$C$3:$D$15,2,FALSE)*J$22),IF(J42-I43&lt;0,0,J42-I43),
IF(AND(I43&lt;VLOOKUP($C41,$C$3:$D$15,2,FALSE)*J$22,J42&gt;VLOOKUP($C41,$C$3:$D$15,2,FALSE)*J$22),VLOOKUP($C41,$C$3:$D$15,2,FALSE)*J$22-I43)))</f>
        <v>0</v>
      </c>
      <c r="K41" s="642">
        <f t="shared" ref="K41" si="1292" xml:space="preserve">
IF(J43&gt;=VLOOKUP($C41,$C$3:$D$15,2,FALSE)*K$22,0,
IF(AND(J43&lt;VLOOKUP($C41,$C$3:$D$15,2,FALSE)*K$22,K42&lt;=VLOOKUP($C41,$C$3:$D$15,2,FALSE)*K$22),IF(K42-J43&lt;0,0,K42-J43),
IF(AND(J43&lt;VLOOKUP($C41,$C$3:$D$15,2,FALSE)*K$22,K42&gt;VLOOKUP($C41,$C$3:$D$15,2,FALSE)*K$22),VLOOKUP($C41,$C$3:$D$15,2,FALSE)*K$22-J43)))</f>
        <v>0</v>
      </c>
      <c r="L41" s="642">
        <f t="shared" ref="L41" si="1293" xml:space="preserve">
IF(K43&gt;=VLOOKUP($C41,$C$3:$D$15,2,FALSE)*L$22,0,
IF(AND(K43&lt;VLOOKUP($C41,$C$3:$D$15,2,FALSE)*L$22,L42&lt;=VLOOKUP($C41,$C$3:$D$15,2,FALSE)*L$22),IF(L42-K43&lt;0,0,L42-K43),
IF(AND(K43&lt;VLOOKUP($C41,$C$3:$D$15,2,FALSE)*L$22,L42&gt;VLOOKUP($C41,$C$3:$D$15,2,FALSE)*L$22),VLOOKUP($C41,$C$3:$D$15,2,FALSE)*L$22-K43)))</f>
        <v>0</v>
      </c>
      <c r="M41" s="642">
        <f t="shared" ref="M41" si="1294" xml:space="preserve">
IF(L43&gt;=VLOOKUP($C41,$C$3:$D$15,2,FALSE)*M$22,0,
IF(AND(L43&lt;VLOOKUP($C41,$C$3:$D$15,2,FALSE)*M$22,M42&lt;=VLOOKUP($C41,$C$3:$D$15,2,FALSE)*M$22),IF(M42-L43&lt;0,0,M42-L43),
IF(AND(L43&lt;VLOOKUP($C41,$C$3:$D$15,2,FALSE)*M$22,M42&gt;VLOOKUP($C41,$C$3:$D$15,2,FALSE)*M$22),VLOOKUP($C41,$C$3:$D$15,2,FALSE)*M$22-L43)))</f>
        <v>0</v>
      </c>
      <c r="N41" s="642">
        <f t="shared" ref="N41" si="1295" xml:space="preserve">
IF(M43&gt;=VLOOKUP($C41,$C$3:$D$15,2,FALSE)*N$22,0,
IF(AND(M43&lt;VLOOKUP($C41,$C$3:$D$15,2,FALSE)*N$22,N42&lt;=VLOOKUP($C41,$C$3:$D$15,2,FALSE)*N$22),IF(N42-M43&lt;0,0,N42-M43),
IF(AND(M43&lt;VLOOKUP($C41,$C$3:$D$15,2,FALSE)*N$22,N42&gt;VLOOKUP($C41,$C$3:$D$15,2,FALSE)*N$22),VLOOKUP($C41,$C$3:$D$15,2,FALSE)*N$22-M43)))</f>
        <v>0</v>
      </c>
      <c r="O41" s="642">
        <f t="shared" ref="O41" si="1296" xml:space="preserve">
IF(N43&gt;=VLOOKUP($C41,$C$3:$D$15,2,FALSE)*O$22,0,
IF(AND(N43&lt;VLOOKUP($C41,$C$3:$D$15,2,FALSE)*O$22,O42&lt;=VLOOKUP($C41,$C$3:$D$15,2,FALSE)*O$22),IF(O42-N43&lt;0,0,O42-N43),
IF(AND(N43&lt;VLOOKUP($C41,$C$3:$D$15,2,FALSE)*O$22,O42&gt;VLOOKUP($C41,$C$3:$D$15,2,FALSE)*O$22),VLOOKUP($C41,$C$3:$D$15,2,FALSE)*O$22-N43)))</f>
        <v>0</v>
      </c>
      <c r="P41" s="642">
        <f t="shared" ref="P41" si="1297" xml:space="preserve">
IF(O43&gt;=VLOOKUP($C41,$C$3:$D$15,2,FALSE)*P$22,0,
IF(AND(O43&lt;VLOOKUP($C41,$C$3:$D$15,2,FALSE)*P$22,P42&lt;=VLOOKUP($C41,$C$3:$D$15,2,FALSE)*P$22),IF(P42-O43&lt;0,0,P42-O43),
IF(AND(O43&lt;VLOOKUP($C41,$C$3:$D$15,2,FALSE)*P$22,P42&gt;VLOOKUP($C41,$C$3:$D$15,2,FALSE)*P$22),VLOOKUP($C41,$C$3:$D$15,2,FALSE)*P$22-O43)))</f>
        <v>0</v>
      </c>
      <c r="Q41" s="642">
        <f t="shared" ref="Q41" si="1298" xml:space="preserve">
IF(P43&gt;=VLOOKUP($C41,$C$3:$D$15,2,FALSE)*Q$22,0,
IF(AND(P43&lt;VLOOKUP($C41,$C$3:$D$15,2,FALSE)*Q$22,Q42&lt;=VLOOKUP($C41,$C$3:$D$15,2,FALSE)*Q$22),IF(Q42-P43&lt;0,0,Q42-P43),
IF(AND(P43&lt;VLOOKUP($C41,$C$3:$D$15,2,FALSE)*Q$22,Q42&gt;VLOOKUP($C41,$C$3:$D$15,2,FALSE)*Q$22),VLOOKUP($C41,$C$3:$D$15,2,FALSE)*Q$22-P43)))</f>
        <v>0</v>
      </c>
      <c r="R41" s="642">
        <f t="shared" ref="R41" si="1299" xml:space="preserve">
IF(Q43&gt;=VLOOKUP($C41,$C$3:$D$15,2,FALSE)*R$22,0,
IF(AND(Q43&lt;VLOOKUP($C41,$C$3:$D$15,2,FALSE)*R$22,R42&lt;=VLOOKUP($C41,$C$3:$D$15,2,FALSE)*R$22),IF(R42-Q43&lt;0,0,R42-Q43),
IF(AND(Q43&lt;VLOOKUP($C41,$C$3:$D$15,2,FALSE)*R$22,R42&gt;VLOOKUP($C41,$C$3:$D$15,2,FALSE)*R$22),VLOOKUP($C41,$C$3:$D$15,2,FALSE)*R$22-Q43)))</f>
        <v>0</v>
      </c>
      <c r="S41" s="642">
        <f t="shared" ref="S41" si="1300" xml:space="preserve">
IF(R43&gt;=VLOOKUP($C41,$C$3:$D$15,2,FALSE)*S$22,0,
IF(AND(R43&lt;VLOOKUP($C41,$C$3:$D$15,2,FALSE)*S$22,S42&lt;=VLOOKUP($C41,$C$3:$D$15,2,FALSE)*S$22),IF(S42-R43&lt;0,0,S42-R43),
IF(AND(R43&lt;VLOOKUP($C41,$C$3:$D$15,2,FALSE)*S$22,S42&gt;VLOOKUP($C41,$C$3:$D$15,2,FALSE)*S$22),VLOOKUP($C41,$C$3:$D$15,2,FALSE)*S$22-R43)))</f>
        <v>0</v>
      </c>
      <c r="T41" s="642">
        <f t="shared" ref="T41" si="1301" xml:space="preserve">
IF(S43&gt;=VLOOKUP($C41,$C$3:$D$15,2,FALSE)*T$22,0,
IF(AND(S43&lt;VLOOKUP($C41,$C$3:$D$15,2,FALSE)*T$22,T42&lt;=VLOOKUP($C41,$C$3:$D$15,2,FALSE)*T$22),IF(T42-S43&lt;0,0,T42-S43),
IF(AND(S43&lt;VLOOKUP($C41,$C$3:$D$15,2,FALSE)*T$22,T42&gt;VLOOKUP($C41,$C$3:$D$15,2,FALSE)*T$22),VLOOKUP($C41,$C$3:$D$15,2,FALSE)*T$22-S43)))</f>
        <v>0</v>
      </c>
      <c r="U41" s="642">
        <f t="shared" ref="U41" si="1302" xml:space="preserve">
IF(T43&gt;=VLOOKUP($C41,$C$3:$D$15,2,FALSE)*U$22,0,
IF(AND(T43&lt;VLOOKUP($C41,$C$3:$D$15,2,FALSE)*U$22,U42&lt;=VLOOKUP($C41,$C$3:$D$15,2,FALSE)*U$22),IF(U42-T43&lt;0,0,U42-T43),
IF(AND(T43&lt;VLOOKUP($C41,$C$3:$D$15,2,FALSE)*U$22,U42&gt;VLOOKUP($C41,$C$3:$D$15,2,FALSE)*U$22),VLOOKUP($C41,$C$3:$D$15,2,FALSE)*U$22-T43)))</f>
        <v>0</v>
      </c>
      <c r="V41" s="642">
        <f t="shared" ref="V41" si="1303" xml:space="preserve">
IF(U43&gt;=VLOOKUP($C41,$C$3:$D$15,2,FALSE)*V$22,0,
IF(AND(U43&lt;VLOOKUP($C41,$C$3:$D$15,2,FALSE)*V$22,V42&lt;=VLOOKUP($C41,$C$3:$D$15,2,FALSE)*V$22),IF(V42-U43&lt;0,0,V42-U43),
IF(AND(U43&lt;VLOOKUP($C41,$C$3:$D$15,2,FALSE)*V$22,V42&gt;VLOOKUP($C41,$C$3:$D$15,2,FALSE)*V$22),VLOOKUP($C41,$C$3:$D$15,2,FALSE)*V$22-U43)))</f>
        <v>0</v>
      </c>
      <c r="W41" s="642">
        <f t="shared" ref="W41" si="1304" xml:space="preserve">
IF(V43&gt;=VLOOKUP($C41,$C$3:$D$15,2,FALSE)*W$22,0,
IF(AND(V43&lt;VLOOKUP($C41,$C$3:$D$15,2,FALSE)*W$22,W42&lt;=VLOOKUP($C41,$C$3:$D$15,2,FALSE)*W$22),IF(W42-V43&lt;0,0,W42-V43),
IF(AND(V43&lt;VLOOKUP($C41,$C$3:$D$15,2,FALSE)*W$22,W42&gt;VLOOKUP($C41,$C$3:$D$15,2,FALSE)*W$22),VLOOKUP($C41,$C$3:$D$15,2,FALSE)*W$22-V43)))</f>
        <v>0</v>
      </c>
      <c r="X41" s="642">
        <f t="shared" ref="X41" si="1305" xml:space="preserve">
IF(W43&gt;=VLOOKUP($C41,$C$3:$D$15,2,FALSE)*X$22,0,
IF(AND(W43&lt;VLOOKUP($C41,$C$3:$D$15,2,FALSE)*X$22,X42&lt;=VLOOKUP($C41,$C$3:$D$15,2,FALSE)*X$22),IF(X42-W43&lt;0,0,X42-W43),
IF(AND(W43&lt;VLOOKUP($C41,$C$3:$D$15,2,FALSE)*X$22,X42&gt;VLOOKUP($C41,$C$3:$D$15,2,FALSE)*X$22),VLOOKUP($C41,$C$3:$D$15,2,FALSE)*X$22-W43)))</f>
        <v>0</v>
      </c>
      <c r="Y41" s="642">
        <f t="shared" ref="Y41" si="1306" xml:space="preserve">
IF(X43&gt;=VLOOKUP($C41,$C$3:$D$15,2,FALSE)*Y$22,0,
IF(AND(X43&lt;VLOOKUP($C41,$C$3:$D$15,2,FALSE)*Y$22,Y42&lt;=VLOOKUP($C41,$C$3:$D$15,2,FALSE)*Y$22),IF(Y42-X43&lt;0,0,Y42-X43),
IF(AND(X43&lt;VLOOKUP($C41,$C$3:$D$15,2,FALSE)*Y$22,Y42&gt;VLOOKUP($C41,$C$3:$D$15,2,FALSE)*Y$22),VLOOKUP($C41,$C$3:$D$15,2,FALSE)*Y$22-X43)))</f>
        <v>0</v>
      </c>
      <c r="Z41" s="642">
        <f t="shared" ref="Z41" si="1307" xml:space="preserve">
IF(Y43&gt;=VLOOKUP($C41,$C$3:$D$15,2,FALSE)*Z$22,0,
IF(AND(Y43&lt;VLOOKUP($C41,$C$3:$D$15,2,FALSE)*Z$22,Z42&lt;=VLOOKUP($C41,$C$3:$D$15,2,FALSE)*Z$22),IF(Z42-Y43&lt;0,0,Z42-Y43),
IF(AND(Y43&lt;VLOOKUP($C41,$C$3:$D$15,2,FALSE)*Z$22,Z42&gt;VLOOKUP($C41,$C$3:$D$15,2,FALSE)*Z$22),VLOOKUP($C41,$C$3:$D$15,2,FALSE)*Z$22-Y43)))</f>
        <v>0</v>
      </c>
      <c r="AA41" s="642">
        <f t="shared" ref="AA41" si="1308" xml:space="preserve">
IF(Z43&gt;=VLOOKUP($C41,$C$3:$D$15,2,FALSE)*AA$22,0,
IF(AND(Z43&lt;VLOOKUP($C41,$C$3:$D$15,2,FALSE)*AA$22,AA42&lt;=VLOOKUP($C41,$C$3:$D$15,2,FALSE)*AA$22),IF(AA42-Z43&lt;0,0,AA42-Z43),
IF(AND(Z43&lt;VLOOKUP($C41,$C$3:$D$15,2,FALSE)*AA$22,AA42&gt;VLOOKUP($C41,$C$3:$D$15,2,FALSE)*AA$22),VLOOKUP($C41,$C$3:$D$15,2,FALSE)*AA$22-Z43)))</f>
        <v>0</v>
      </c>
      <c r="AB41" s="642">
        <f t="shared" ref="AB41" si="1309" xml:space="preserve">
IF(AA43&gt;=VLOOKUP($C41,$C$3:$D$15,2,FALSE)*AB$22,0,
IF(AND(AA43&lt;VLOOKUP($C41,$C$3:$D$15,2,FALSE)*AB$22,AB42&lt;=VLOOKUP($C41,$C$3:$D$15,2,FALSE)*AB$22),IF(AB42-AA43&lt;0,0,AB42-AA43),
IF(AND(AA43&lt;VLOOKUP($C41,$C$3:$D$15,2,FALSE)*AB$22,AB42&gt;VLOOKUP($C41,$C$3:$D$15,2,FALSE)*AB$22),VLOOKUP($C41,$C$3:$D$15,2,FALSE)*AB$22-AA43)))</f>
        <v>0</v>
      </c>
      <c r="AC41" s="642">
        <f t="shared" ref="AC41" si="1310" xml:space="preserve">
IF(AB43&gt;=VLOOKUP($C41,$C$3:$D$15,2,FALSE)*AC$22,0,
IF(AND(AB43&lt;VLOOKUP($C41,$C$3:$D$15,2,FALSE)*AC$22,AC42&lt;=VLOOKUP($C41,$C$3:$D$15,2,FALSE)*AC$22),IF(AC42-AB43&lt;0,0,AC42-AB43),
IF(AND(AB43&lt;VLOOKUP($C41,$C$3:$D$15,2,FALSE)*AC$22,AC42&gt;VLOOKUP($C41,$C$3:$D$15,2,FALSE)*AC$22),VLOOKUP($C41,$C$3:$D$15,2,FALSE)*AC$22-AB43)))</f>
        <v>0</v>
      </c>
      <c r="AD41" s="642">
        <f t="shared" ref="AD41" si="1311" xml:space="preserve">
IF(AC43&gt;=VLOOKUP($C41,$C$3:$D$15,2,FALSE)*AD$22,0,
IF(AND(AC43&lt;VLOOKUP($C41,$C$3:$D$15,2,FALSE)*AD$22,AD42&lt;=VLOOKUP($C41,$C$3:$D$15,2,FALSE)*AD$22),IF(AD42-AC43&lt;0,0,AD42-AC43),
IF(AND(AC43&lt;VLOOKUP($C41,$C$3:$D$15,2,FALSE)*AD$22,AD42&gt;VLOOKUP($C41,$C$3:$D$15,2,FALSE)*AD$22),VLOOKUP($C41,$C$3:$D$15,2,FALSE)*AD$22-AC43)))</f>
        <v>0</v>
      </c>
      <c r="AE41" s="642">
        <f t="shared" ref="AE41" si="1312" xml:space="preserve">
IF(AD43&gt;=VLOOKUP($C41,$C$3:$D$15,2,FALSE)*AE$22,0,
IF(AND(AD43&lt;VLOOKUP($C41,$C$3:$D$15,2,FALSE)*AE$22,AE42&lt;=VLOOKUP($C41,$C$3:$D$15,2,FALSE)*AE$22),IF(AE42-AD43&lt;0,0,AE42-AD43),
IF(AND(AD43&lt;VLOOKUP($C41,$C$3:$D$15,2,FALSE)*AE$22,AE42&gt;VLOOKUP($C41,$C$3:$D$15,2,FALSE)*AE$22),VLOOKUP($C41,$C$3:$D$15,2,FALSE)*AE$22-AD43)))</f>
        <v>0</v>
      </c>
      <c r="AF41" s="642">
        <f t="shared" ref="AF41" si="1313" xml:space="preserve">
IF(AE43&gt;=VLOOKUP($C41,$C$3:$D$15,2,FALSE)*AF$22,0,
IF(AND(AE43&lt;VLOOKUP($C41,$C$3:$D$15,2,FALSE)*AF$22,AF42&lt;=VLOOKUP($C41,$C$3:$D$15,2,FALSE)*AF$22),IF(AF42-AE43&lt;0,0,AF42-AE43),
IF(AND(AE43&lt;VLOOKUP($C41,$C$3:$D$15,2,FALSE)*AF$22,AF42&gt;VLOOKUP($C41,$C$3:$D$15,2,FALSE)*AF$22),VLOOKUP($C41,$C$3:$D$15,2,FALSE)*AF$22-AE43)))</f>
        <v>0</v>
      </c>
      <c r="AG41" s="642">
        <f t="shared" ref="AG41" si="1314" xml:space="preserve">
IF(AF43&gt;=VLOOKUP($C41,$C$3:$D$15,2,FALSE)*AG$22,0,
IF(AND(AF43&lt;VLOOKUP($C41,$C$3:$D$15,2,FALSE)*AG$22,AG42&lt;=VLOOKUP($C41,$C$3:$D$15,2,FALSE)*AG$22),IF(AG42-AF43&lt;0,0,AG42-AF43),
IF(AND(AF43&lt;VLOOKUP($C41,$C$3:$D$15,2,FALSE)*AG$22,AG42&gt;VLOOKUP($C41,$C$3:$D$15,2,FALSE)*AG$22),VLOOKUP($C41,$C$3:$D$15,2,FALSE)*AG$22-AF43)))</f>
        <v>0</v>
      </c>
      <c r="AH41" s="642">
        <f t="shared" ref="AH41" si="1315" xml:space="preserve">
IF(AG43&gt;=VLOOKUP($C41,$C$3:$D$15,2,FALSE)*AH$22,0,
IF(AND(AG43&lt;VLOOKUP($C41,$C$3:$D$15,2,FALSE)*AH$22,AH42&lt;=VLOOKUP($C41,$C$3:$D$15,2,FALSE)*AH$22),IF(AH42-AG43&lt;0,0,AH42-AG43),
IF(AND(AG43&lt;VLOOKUP($C41,$C$3:$D$15,2,FALSE)*AH$22,AH42&gt;VLOOKUP($C41,$C$3:$D$15,2,FALSE)*AH$22),VLOOKUP($C41,$C$3:$D$15,2,FALSE)*AH$22-AG43)))</f>
        <v>0</v>
      </c>
      <c r="AI41" s="642">
        <f t="shared" ref="AI41" si="1316" xml:space="preserve">
IF(AH43&gt;=VLOOKUP($C41,$C$3:$D$15,2,FALSE)*AI$22,0,
IF(AND(AH43&lt;VLOOKUP($C41,$C$3:$D$15,2,FALSE)*AI$22,AI42&lt;=VLOOKUP($C41,$C$3:$D$15,2,FALSE)*AI$22),IF(AI42-AH43&lt;0,0,AI42-AH43),
IF(AND(AH43&lt;VLOOKUP($C41,$C$3:$D$15,2,FALSE)*AI$22,AI42&gt;VLOOKUP($C41,$C$3:$D$15,2,FALSE)*AI$22),VLOOKUP($C41,$C$3:$D$15,2,FALSE)*AI$22-AH43)))</f>
        <v>0</v>
      </c>
      <c r="AJ41" s="642">
        <f t="shared" ref="AJ41" si="1317" xml:space="preserve">
IF(AI43&gt;=VLOOKUP($C41,$C$3:$D$15,2,FALSE)*AJ$22,0,
IF(AND(AI43&lt;VLOOKUP($C41,$C$3:$D$15,2,FALSE)*AJ$22,AJ42&lt;=VLOOKUP($C41,$C$3:$D$15,2,FALSE)*AJ$22),IF(AJ42-AI43&lt;0,0,AJ42-AI43),
IF(AND(AI43&lt;VLOOKUP($C41,$C$3:$D$15,2,FALSE)*AJ$22,AJ42&gt;VLOOKUP($C41,$C$3:$D$15,2,FALSE)*AJ$22),VLOOKUP($C41,$C$3:$D$15,2,FALSE)*AJ$22-AI43)))</f>
        <v>0</v>
      </c>
      <c r="AK41" s="642">
        <f t="shared" ref="AK41" si="1318" xml:space="preserve">
IF(AJ43&gt;=VLOOKUP($C41,$C$3:$D$15,2,FALSE)*AK$22,0,
IF(AND(AJ43&lt;VLOOKUP($C41,$C$3:$D$15,2,FALSE)*AK$22,AK42&lt;=VLOOKUP($C41,$C$3:$D$15,2,FALSE)*AK$22),IF(AK42-AJ43&lt;0,0,AK42-AJ43),
IF(AND(AJ43&lt;VLOOKUP($C41,$C$3:$D$15,2,FALSE)*AK$22,AK42&gt;VLOOKUP($C41,$C$3:$D$15,2,FALSE)*AK$22),VLOOKUP($C41,$C$3:$D$15,2,FALSE)*AK$22-AJ43)))</f>
        <v>0</v>
      </c>
      <c r="AL41" s="642">
        <f t="shared" ref="AL41" si="1319" xml:space="preserve">
IF(AK43&gt;=VLOOKUP($C41,$C$3:$D$15,2,FALSE)*AL$22,0,
IF(AND(AK43&lt;VLOOKUP($C41,$C$3:$D$15,2,FALSE)*AL$22,AL42&lt;=VLOOKUP($C41,$C$3:$D$15,2,FALSE)*AL$22),IF(AL42-AK43&lt;0,0,AL42-AK43),
IF(AND(AK43&lt;VLOOKUP($C41,$C$3:$D$15,2,FALSE)*AL$22,AL42&gt;VLOOKUP($C41,$C$3:$D$15,2,FALSE)*AL$22),VLOOKUP($C41,$C$3:$D$15,2,FALSE)*AL$22-AK43)))</f>
        <v>0</v>
      </c>
      <c r="AM41" s="642">
        <f t="shared" ref="AM41" si="1320" xml:space="preserve">
IF(AL43&gt;=VLOOKUP($C41,$C$3:$D$15,2,FALSE)*AM$22,0,
IF(AND(AL43&lt;VLOOKUP($C41,$C$3:$D$15,2,FALSE)*AM$22,AM42&lt;=VLOOKUP($C41,$C$3:$D$15,2,FALSE)*AM$22),IF(AM42-AL43&lt;0,0,AM42-AL43),
IF(AND(AL43&lt;VLOOKUP($C41,$C$3:$D$15,2,FALSE)*AM$22,AM42&gt;VLOOKUP($C41,$C$3:$D$15,2,FALSE)*AM$22),VLOOKUP($C41,$C$3:$D$15,2,FALSE)*AM$22-AL43)))</f>
        <v>0</v>
      </c>
      <c r="AN41" s="642">
        <f t="shared" ref="AN41" si="1321" xml:space="preserve">
IF(AM43&gt;=VLOOKUP($C41,$C$3:$D$15,2,FALSE)*AN$22,0,
IF(AND(AM43&lt;VLOOKUP($C41,$C$3:$D$15,2,FALSE)*AN$22,AN42&lt;=VLOOKUP($C41,$C$3:$D$15,2,FALSE)*AN$22),IF(AN42-AM43&lt;0,0,AN42-AM43),
IF(AND(AM43&lt;VLOOKUP($C41,$C$3:$D$15,2,FALSE)*AN$22,AN42&gt;VLOOKUP($C41,$C$3:$D$15,2,FALSE)*AN$22),VLOOKUP($C41,$C$3:$D$15,2,FALSE)*AN$22-AM43)))</f>
        <v>0</v>
      </c>
      <c r="AO41" s="642">
        <f t="shared" ref="AO41" si="1322" xml:space="preserve">
IF(AN43&gt;=VLOOKUP($C41,$C$3:$D$15,2,FALSE)*AO$22,0,
IF(AND(AN43&lt;VLOOKUP($C41,$C$3:$D$15,2,FALSE)*AO$22,AO42&lt;=VLOOKUP($C41,$C$3:$D$15,2,FALSE)*AO$22),IF(AO42-AN43&lt;0,0,AO42-AN43),
IF(AND(AN43&lt;VLOOKUP($C41,$C$3:$D$15,2,FALSE)*AO$22,AO42&gt;VLOOKUP($C41,$C$3:$D$15,2,FALSE)*AO$22),VLOOKUP($C41,$C$3:$D$15,2,FALSE)*AO$22-AN43)))</f>
        <v>0</v>
      </c>
      <c r="AP41" s="642">
        <f t="shared" ref="AP41" si="1323" xml:space="preserve">
IF(AO43&gt;=VLOOKUP($C41,$C$3:$D$15,2,FALSE)*AP$22,0,
IF(AND(AO43&lt;VLOOKUP($C41,$C$3:$D$15,2,FALSE)*AP$22,AP42&lt;=VLOOKUP($C41,$C$3:$D$15,2,FALSE)*AP$22),IF(AP42-AO43&lt;0,0,AP42-AO43),
IF(AND(AO43&lt;VLOOKUP($C41,$C$3:$D$15,2,FALSE)*AP$22,AP42&gt;VLOOKUP($C41,$C$3:$D$15,2,FALSE)*AP$22),VLOOKUP($C41,$C$3:$D$15,2,FALSE)*AP$22-AO43)))</f>
        <v>0</v>
      </c>
      <c r="AQ41" s="642">
        <f t="shared" ref="AQ41" si="1324" xml:space="preserve">
IF(AP43&gt;=VLOOKUP($C41,$C$3:$D$15,2,FALSE)*AQ$22,0,
IF(AND(AP43&lt;VLOOKUP($C41,$C$3:$D$15,2,FALSE)*AQ$22,AQ42&lt;=VLOOKUP($C41,$C$3:$D$15,2,FALSE)*AQ$22),IF(AQ42-AP43&lt;0,0,AQ42-AP43),
IF(AND(AP43&lt;VLOOKUP($C41,$C$3:$D$15,2,FALSE)*AQ$22,AQ42&gt;VLOOKUP($C41,$C$3:$D$15,2,FALSE)*AQ$22),VLOOKUP($C41,$C$3:$D$15,2,FALSE)*AQ$22-AP43)))</f>
        <v>0</v>
      </c>
      <c r="AR41" s="642">
        <f t="shared" ref="AR41" si="1325" xml:space="preserve">
IF(AQ43&gt;=VLOOKUP($C41,$C$3:$D$15,2,FALSE)*AR$22,0,
IF(AND(AQ43&lt;VLOOKUP($C41,$C$3:$D$15,2,FALSE)*AR$22,AR42&lt;=VLOOKUP($C41,$C$3:$D$15,2,FALSE)*AR$22),IF(AR42-AQ43&lt;0,0,AR42-AQ43),
IF(AND(AQ43&lt;VLOOKUP($C41,$C$3:$D$15,2,FALSE)*AR$22,AR42&gt;VLOOKUP($C41,$C$3:$D$15,2,FALSE)*AR$22),VLOOKUP($C41,$C$3:$D$15,2,FALSE)*AR$22-AQ43)))</f>
        <v>0</v>
      </c>
      <c r="AS41" s="642">
        <f t="shared" ref="AS41" si="1326" xml:space="preserve">
IF(AR43&gt;=VLOOKUP($C41,$C$3:$D$15,2,FALSE)*AS$22,0,
IF(AND(AR43&lt;VLOOKUP($C41,$C$3:$D$15,2,FALSE)*AS$22,AS42&lt;=VLOOKUP($C41,$C$3:$D$15,2,FALSE)*AS$22),IF(AS42-AR43&lt;0,0,AS42-AR43),
IF(AND(AR43&lt;VLOOKUP($C41,$C$3:$D$15,2,FALSE)*AS$22,AS42&gt;VLOOKUP($C41,$C$3:$D$15,2,FALSE)*AS$22),VLOOKUP($C41,$C$3:$D$15,2,FALSE)*AS$22-AR43)))</f>
        <v>0</v>
      </c>
      <c r="AT41" s="642">
        <f t="shared" ref="AT41" si="1327" xml:space="preserve">
IF(AS43&gt;=VLOOKUP($C41,$C$3:$D$15,2,FALSE)*AT$22,0,
IF(AND(AS43&lt;VLOOKUP($C41,$C$3:$D$15,2,FALSE)*AT$22,AT42&lt;=VLOOKUP($C41,$C$3:$D$15,2,FALSE)*AT$22),IF(AT42-AS43&lt;0,0,AT42-AS43),
IF(AND(AS43&lt;VLOOKUP($C41,$C$3:$D$15,2,FALSE)*AT$22,AT42&gt;VLOOKUP($C41,$C$3:$D$15,2,FALSE)*AT$22),VLOOKUP($C41,$C$3:$D$15,2,FALSE)*AT$22-AS43)))</f>
        <v>0</v>
      </c>
      <c r="AU41" s="642">
        <f t="shared" ref="AU41" si="1328" xml:space="preserve">
IF(AT43&gt;=VLOOKUP($C41,$C$3:$D$15,2,FALSE)*AU$22,0,
IF(AND(AT43&lt;VLOOKUP($C41,$C$3:$D$15,2,FALSE)*AU$22,AU42&lt;=VLOOKUP($C41,$C$3:$D$15,2,FALSE)*AU$22),IF(AU42-AT43&lt;0,0,AU42-AT43),
IF(AND(AT43&lt;VLOOKUP($C41,$C$3:$D$15,2,FALSE)*AU$22,AU42&gt;VLOOKUP($C41,$C$3:$D$15,2,FALSE)*AU$22),VLOOKUP($C41,$C$3:$D$15,2,FALSE)*AU$22-AT43)))</f>
        <v>0</v>
      </c>
      <c r="AV41" s="642">
        <f t="shared" ref="AV41" si="1329" xml:space="preserve">
IF(AU43&gt;=VLOOKUP($C41,$C$3:$D$15,2,FALSE)*AV$22,0,
IF(AND(AU43&lt;VLOOKUP($C41,$C$3:$D$15,2,FALSE)*AV$22,AV42&lt;=VLOOKUP($C41,$C$3:$D$15,2,FALSE)*AV$22),IF(AV42-AU43&lt;0,0,AV42-AU43),
IF(AND(AU43&lt;VLOOKUP($C41,$C$3:$D$15,2,FALSE)*AV$22,AV42&gt;VLOOKUP($C41,$C$3:$D$15,2,FALSE)*AV$22),VLOOKUP($C41,$C$3:$D$15,2,FALSE)*AV$22-AU43)))</f>
        <v>0</v>
      </c>
      <c r="AW41" s="642">
        <f t="shared" ref="AW41" si="1330" xml:space="preserve">
IF(AV43&gt;=VLOOKUP($C41,$C$3:$D$15,2,FALSE)*AW$22,0,
IF(AND(AV43&lt;VLOOKUP($C41,$C$3:$D$15,2,FALSE)*AW$22,AW42&lt;=VLOOKUP($C41,$C$3:$D$15,2,FALSE)*AW$22),IF(AW42-AV43&lt;0,0,AW42-AV43),
IF(AND(AV43&lt;VLOOKUP($C41,$C$3:$D$15,2,FALSE)*AW$22,AW42&gt;VLOOKUP($C41,$C$3:$D$15,2,FALSE)*AW$22),VLOOKUP($C41,$C$3:$D$15,2,FALSE)*AW$22-AV43)))</f>
        <v>0</v>
      </c>
      <c r="AX41" s="642">
        <f t="shared" ref="AX41" si="1331" xml:space="preserve">
IF(AW43&gt;=VLOOKUP($C41,$C$3:$D$15,2,FALSE)*AX$22,0,
IF(AND(AW43&lt;VLOOKUP($C41,$C$3:$D$15,2,FALSE)*AX$22,AX42&lt;=VLOOKUP($C41,$C$3:$D$15,2,FALSE)*AX$22),IF(AX42-AW43&lt;0,0,AX42-AW43),
IF(AND(AW43&lt;VLOOKUP($C41,$C$3:$D$15,2,FALSE)*AX$22,AX42&gt;VLOOKUP($C41,$C$3:$D$15,2,FALSE)*AX$22),VLOOKUP($C41,$C$3:$D$15,2,FALSE)*AX$22-AW43)))</f>
        <v>0</v>
      </c>
      <c r="AY41" s="642">
        <f t="shared" ref="AY41" si="1332" xml:space="preserve">
IF(AX43&gt;=VLOOKUP($C41,$C$3:$D$15,2,FALSE)*AY$22,0,
IF(AND(AX43&lt;VLOOKUP($C41,$C$3:$D$15,2,FALSE)*AY$22,AY42&lt;=VLOOKUP($C41,$C$3:$D$15,2,FALSE)*AY$22),IF(AY42-AX43&lt;0,0,AY42-AX43),
IF(AND(AX43&lt;VLOOKUP($C41,$C$3:$D$15,2,FALSE)*AY$22,AY42&gt;VLOOKUP($C41,$C$3:$D$15,2,FALSE)*AY$22),VLOOKUP($C41,$C$3:$D$15,2,FALSE)*AY$22-AX43)))</f>
        <v>0</v>
      </c>
      <c r="AZ41" s="642">
        <f t="shared" ref="AZ41" si="1333" xml:space="preserve">
IF(AY43&gt;=VLOOKUP($C41,$C$3:$D$15,2,FALSE)*AZ$22,0,
IF(AND(AY43&lt;VLOOKUP($C41,$C$3:$D$15,2,FALSE)*AZ$22,AZ42&lt;=VLOOKUP($C41,$C$3:$D$15,2,FALSE)*AZ$22),IF(AZ42-AY43&lt;0,0,AZ42-AY43),
IF(AND(AY43&lt;VLOOKUP($C41,$C$3:$D$15,2,FALSE)*AZ$22,AZ42&gt;VLOOKUP($C41,$C$3:$D$15,2,FALSE)*AZ$22),VLOOKUP($C41,$C$3:$D$15,2,FALSE)*AZ$22-AY43)))</f>
        <v>0</v>
      </c>
      <c r="BA41" s="642">
        <f t="shared" ref="BA41" si="1334" xml:space="preserve">
IF(AZ43&gt;=VLOOKUP($C41,$C$3:$D$15,2,FALSE)*BA$22,0,
IF(AND(AZ43&lt;VLOOKUP($C41,$C$3:$D$15,2,FALSE)*BA$22,BA42&lt;=VLOOKUP($C41,$C$3:$D$15,2,FALSE)*BA$22),IF(BA42-AZ43&lt;0,0,BA42-AZ43),
IF(AND(AZ43&lt;VLOOKUP($C41,$C$3:$D$15,2,FALSE)*BA$22,BA42&gt;VLOOKUP($C41,$C$3:$D$15,2,FALSE)*BA$22),VLOOKUP($C41,$C$3:$D$15,2,FALSE)*BA$22-AZ43)))</f>
        <v>0</v>
      </c>
      <c r="BB41" s="642">
        <f t="shared" ref="BB41" si="1335" xml:space="preserve">
IF(BA43&gt;=VLOOKUP($C41,$C$3:$D$15,2,FALSE)*BB$22,0,
IF(AND(BA43&lt;VLOOKUP($C41,$C$3:$D$15,2,FALSE)*BB$22,BB42&lt;=VLOOKUP($C41,$C$3:$D$15,2,FALSE)*BB$22),IF(BB42-BA43&lt;0,0,BB42-BA43),
IF(AND(BA43&lt;VLOOKUP($C41,$C$3:$D$15,2,FALSE)*BB$22,BB42&gt;VLOOKUP($C41,$C$3:$D$15,2,FALSE)*BB$22),VLOOKUP($C41,$C$3:$D$15,2,FALSE)*BB$22-BA43)))</f>
        <v>0</v>
      </c>
      <c r="BC41" s="642">
        <f t="shared" ref="BC41" si="1336" xml:space="preserve">
IF(BB43&gt;=VLOOKUP($C41,$C$3:$D$15,2,FALSE)*BC$22,0,
IF(AND(BB43&lt;VLOOKUP($C41,$C$3:$D$15,2,FALSE)*BC$22,BC42&lt;=VLOOKUP($C41,$C$3:$D$15,2,FALSE)*BC$22),IF(BC42-BB43&lt;0,0,BC42-BB43),
IF(AND(BB43&lt;VLOOKUP($C41,$C$3:$D$15,2,FALSE)*BC$22,BC42&gt;VLOOKUP($C41,$C$3:$D$15,2,FALSE)*BC$22),VLOOKUP($C41,$C$3:$D$15,2,FALSE)*BC$22-BB43)))</f>
        <v>0</v>
      </c>
      <c r="BD41" s="642">
        <f t="shared" ref="BD41" si="1337" xml:space="preserve">
IF(BC43&gt;=VLOOKUP($C41,$C$3:$D$15,2,FALSE)*BD$22,0,
IF(AND(BC43&lt;VLOOKUP($C41,$C$3:$D$15,2,FALSE)*BD$22,BD42&lt;=VLOOKUP($C41,$C$3:$D$15,2,FALSE)*BD$22),IF(BD42-BC43&lt;0,0,BD42-BC43),
IF(AND(BC43&lt;VLOOKUP($C41,$C$3:$D$15,2,FALSE)*BD$22,BD42&gt;VLOOKUP($C41,$C$3:$D$15,2,FALSE)*BD$22),VLOOKUP($C41,$C$3:$D$15,2,FALSE)*BD$22-BC43)))</f>
        <v>0</v>
      </c>
      <c r="BE41" s="642">
        <f t="shared" ref="BE41" si="1338" xml:space="preserve">
IF(BD43&gt;=VLOOKUP($C41,$C$3:$D$15,2,FALSE)*BE$22,0,
IF(AND(BD43&lt;VLOOKUP($C41,$C$3:$D$15,2,FALSE)*BE$22,BE42&lt;=VLOOKUP($C41,$C$3:$D$15,2,FALSE)*BE$22),IF(BE42-BD43&lt;0,0,BE42-BD43),
IF(AND(BD43&lt;VLOOKUP($C41,$C$3:$D$15,2,FALSE)*BE$22,BE42&gt;VLOOKUP($C41,$C$3:$D$15,2,FALSE)*BE$22),VLOOKUP($C41,$C$3:$D$15,2,FALSE)*BE$22-BD43)))</f>
        <v>0</v>
      </c>
      <c r="BF41" s="642">
        <f t="shared" ref="BF41" si="1339" xml:space="preserve">
IF(BE43&gt;=VLOOKUP($C41,$C$3:$D$15,2,FALSE)*BF$22,0,
IF(AND(BE43&lt;VLOOKUP($C41,$C$3:$D$15,2,FALSE)*BF$22,BF42&lt;=VLOOKUP($C41,$C$3:$D$15,2,FALSE)*BF$22),IF(BF42-BE43&lt;0,0,BF42-BE43),
IF(AND(BE43&lt;VLOOKUP($C41,$C$3:$D$15,2,FALSE)*BF$22,BF42&gt;VLOOKUP($C41,$C$3:$D$15,2,FALSE)*BF$22),VLOOKUP($C41,$C$3:$D$15,2,FALSE)*BF$22-BE43)))</f>
        <v>0</v>
      </c>
      <c r="BG41" s="642">
        <f t="shared" ref="BG41" si="1340" xml:space="preserve">
IF(BF43&gt;=VLOOKUP($C41,$C$3:$D$15,2,FALSE)*BG$22,0,
IF(AND(BF43&lt;VLOOKUP($C41,$C$3:$D$15,2,FALSE)*BG$22,BG42&lt;=VLOOKUP($C41,$C$3:$D$15,2,FALSE)*BG$22),IF(BG42-BF43&lt;0,0,BG42-BF43),
IF(AND(BF43&lt;VLOOKUP($C41,$C$3:$D$15,2,FALSE)*BG$22,BG42&gt;VLOOKUP($C41,$C$3:$D$15,2,FALSE)*BG$22),VLOOKUP($C41,$C$3:$D$15,2,FALSE)*BG$22-BF43)))</f>
        <v>0</v>
      </c>
      <c r="BH41" s="642">
        <f t="shared" ref="BH41" si="1341" xml:space="preserve">
IF(BG43&gt;=VLOOKUP($C41,$C$3:$D$15,2,FALSE)*BH$22,0,
IF(AND(BG43&lt;VLOOKUP($C41,$C$3:$D$15,2,FALSE)*BH$22,BH42&lt;=VLOOKUP($C41,$C$3:$D$15,2,FALSE)*BH$22),IF(BH42-BG43&lt;0,0,BH42-BG43),
IF(AND(BG43&lt;VLOOKUP($C41,$C$3:$D$15,2,FALSE)*BH$22,BH42&gt;VLOOKUP($C41,$C$3:$D$15,2,FALSE)*BH$22),VLOOKUP($C41,$C$3:$D$15,2,FALSE)*BH$22-BG43)))</f>
        <v>0</v>
      </c>
      <c r="BI41" s="642">
        <f t="shared" ref="BI41" si="1342" xml:space="preserve">
IF(BH43&gt;=VLOOKUP($C41,$C$3:$D$15,2,FALSE)*BI$22,0,
IF(AND(BH43&lt;VLOOKUP($C41,$C$3:$D$15,2,FALSE)*BI$22,BI42&lt;=VLOOKUP($C41,$C$3:$D$15,2,FALSE)*BI$22),IF(BI42-BH43&lt;0,0,BI42-BH43),
IF(AND(BH43&lt;VLOOKUP($C41,$C$3:$D$15,2,FALSE)*BI$22,BI42&gt;VLOOKUP($C41,$C$3:$D$15,2,FALSE)*BI$22),VLOOKUP($C41,$C$3:$D$15,2,FALSE)*BI$22-BH43)))</f>
        <v>0</v>
      </c>
      <c r="BJ41" s="642">
        <f t="shared" ref="BJ41" si="1343" xml:space="preserve">
IF(BI43&gt;=VLOOKUP($C41,$C$3:$D$15,2,FALSE)*BJ$22,0,
IF(AND(BI43&lt;VLOOKUP($C41,$C$3:$D$15,2,FALSE)*BJ$22,BJ42&lt;=VLOOKUP($C41,$C$3:$D$15,2,FALSE)*BJ$22),IF(BJ42-BI43&lt;0,0,BJ42-BI43),
IF(AND(BI43&lt;VLOOKUP($C41,$C$3:$D$15,2,FALSE)*BJ$22,BJ42&gt;VLOOKUP($C41,$C$3:$D$15,2,FALSE)*BJ$22),VLOOKUP($C41,$C$3:$D$15,2,FALSE)*BJ$22-BI43)))</f>
        <v>0</v>
      </c>
      <c r="BK41" s="642">
        <f t="shared" ref="BK41" si="1344" xml:space="preserve">
IF(BJ43&gt;=VLOOKUP($C41,$C$3:$D$15,2,FALSE)*BK$22,0,
IF(AND(BJ43&lt;VLOOKUP($C41,$C$3:$D$15,2,FALSE)*BK$22,BK42&lt;=VLOOKUP($C41,$C$3:$D$15,2,FALSE)*BK$22),IF(BK42-BJ43&lt;0,0,BK42-BJ43),
IF(AND(BJ43&lt;VLOOKUP($C41,$C$3:$D$15,2,FALSE)*BK$22,BK42&gt;VLOOKUP($C41,$C$3:$D$15,2,FALSE)*BK$22),VLOOKUP($C41,$C$3:$D$15,2,FALSE)*BK$22-BJ43)))</f>
        <v>0</v>
      </c>
      <c r="BL41" s="642">
        <f t="shared" ref="BL41" si="1345" xml:space="preserve">
IF(BK43&gt;=VLOOKUP($C41,$C$3:$D$15,2,FALSE)*BL$22,0,
IF(AND(BK43&lt;VLOOKUP($C41,$C$3:$D$15,2,FALSE)*BL$22,BL42&lt;=VLOOKUP($C41,$C$3:$D$15,2,FALSE)*BL$22),IF(BL42-BK43&lt;0,0,BL42-BK43),
IF(AND(BK43&lt;VLOOKUP($C41,$C$3:$D$15,2,FALSE)*BL$22,BL42&gt;VLOOKUP($C41,$C$3:$D$15,2,FALSE)*BL$22),VLOOKUP($C41,$C$3:$D$15,2,FALSE)*BL$22-BK43)))</f>
        <v>0</v>
      </c>
      <c r="BM41" s="642">
        <f t="shared" ref="BM41" si="1346" xml:space="preserve">
IF(BL43&gt;=VLOOKUP($C41,$C$3:$D$15,2,FALSE)*BM$22,0,
IF(AND(BL43&lt;VLOOKUP($C41,$C$3:$D$15,2,FALSE)*BM$22,BM42&lt;=VLOOKUP($C41,$C$3:$D$15,2,FALSE)*BM$22),IF(BM42-BL43&lt;0,0,BM42-BL43),
IF(AND(BL43&lt;VLOOKUP($C41,$C$3:$D$15,2,FALSE)*BM$22,BM42&gt;VLOOKUP($C41,$C$3:$D$15,2,FALSE)*BM$22),VLOOKUP($C41,$C$3:$D$15,2,FALSE)*BM$22-BL43)))</f>
        <v>0</v>
      </c>
      <c r="BN41" s="642">
        <f t="shared" ref="BN41" si="1347" xml:space="preserve">
IF(BM43&gt;=VLOOKUP($C41,$C$3:$D$15,2,FALSE)*BN$22,0,
IF(AND(BM43&lt;VLOOKUP($C41,$C$3:$D$15,2,FALSE)*BN$22,BN42&lt;=VLOOKUP($C41,$C$3:$D$15,2,FALSE)*BN$22),IF(BN42-BM43&lt;0,0,BN42-BM43),
IF(AND(BM43&lt;VLOOKUP($C41,$C$3:$D$15,2,FALSE)*BN$22,BN42&gt;VLOOKUP($C41,$C$3:$D$15,2,FALSE)*BN$22),VLOOKUP($C41,$C$3:$D$15,2,FALSE)*BN$22-BM43)))</f>
        <v>0</v>
      </c>
      <c r="BO41" s="642">
        <f t="shared" ref="BO41" si="1348" xml:space="preserve">
IF(BN43&gt;=VLOOKUP($C41,$C$3:$D$15,2,FALSE)*BO$22,0,
IF(AND(BN43&lt;VLOOKUP($C41,$C$3:$D$15,2,FALSE)*BO$22,BO42&lt;=VLOOKUP($C41,$C$3:$D$15,2,FALSE)*BO$22),IF(BO42-BN43&lt;0,0,BO42-BN43),
IF(AND(BN43&lt;VLOOKUP($C41,$C$3:$D$15,2,FALSE)*BO$22,BO42&gt;VLOOKUP($C41,$C$3:$D$15,2,FALSE)*BO$22),VLOOKUP($C41,$C$3:$D$15,2,FALSE)*BO$22-BN43)))</f>
        <v>0</v>
      </c>
      <c r="BP41" s="642">
        <f t="shared" ref="BP41" si="1349" xml:space="preserve">
IF(BO43&gt;=VLOOKUP($C41,$C$3:$D$15,2,FALSE)*BP$22,0,
IF(AND(BO43&lt;VLOOKUP($C41,$C$3:$D$15,2,FALSE)*BP$22,BP42&lt;=VLOOKUP($C41,$C$3:$D$15,2,FALSE)*BP$22),IF(BP42-BO43&lt;0,0,BP42-BO43),
IF(AND(BO43&lt;VLOOKUP($C41,$C$3:$D$15,2,FALSE)*BP$22,BP42&gt;VLOOKUP($C41,$C$3:$D$15,2,FALSE)*BP$22),VLOOKUP($C41,$C$3:$D$15,2,FALSE)*BP$22-BO43)))</f>
        <v>0</v>
      </c>
      <c r="BQ41" s="642">
        <f t="shared" ref="BQ41" si="1350" xml:space="preserve">
IF(BP43&gt;=VLOOKUP($C41,$C$3:$D$15,2,FALSE)*BQ$22,0,
IF(AND(BP43&lt;VLOOKUP($C41,$C$3:$D$15,2,FALSE)*BQ$22,BQ42&lt;=VLOOKUP($C41,$C$3:$D$15,2,FALSE)*BQ$22),IF(BQ42-BP43&lt;0,0,BQ42-BP43),
IF(AND(BP43&lt;VLOOKUP($C41,$C$3:$D$15,2,FALSE)*BQ$22,BQ42&gt;VLOOKUP($C41,$C$3:$D$15,2,FALSE)*BQ$22),VLOOKUP($C41,$C$3:$D$15,2,FALSE)*BQ$22-BP43)))</f>
        <v>0</v>
      </c>
      <c r="BR41" s="642">
        <f t="shared" ref="BR41" si="1351" xml:space="preserve">
IF(BQ43&gt;=VLOOKUP($C41,$C$3:$D$15,2,FALSE)*BR$22,0,
IF(AND(BQ43&lt;VLOOKUP($C41,$C$3:$D$15,2,FALSE)*BR$22,BR42&lt;=VLOOKUP($C41,$C$3:$D$15,2,FALSE)*BR$22),IF(BR42-BQ43&lt;0,0,BR42-BQ43),
IF(AND(BQ43&lt;VLOOKUP($C41,$C$3:$D$15,2,FALSE)*BR$22,BR42&gt;VLOOKUP($C41,$C$3:$D$15,2,FALSE)*BR$22),VLOOKUP($C41,$C$3:$D$15,2,FALSE)*BR$22-BQ43)))</f>
        <v>0</v>
      </c>
      <c r="BS41" s="642">
        <f t="shared" ref="BS41" si="1352" xml:space="preserve">
IF(BR43&gt;=VLOOKUP($C41,$C$3:$D$15,2,FALSE)*BS$22,0,
IF(AND(BR43&lt;VLOOKUP($C41,$C$3:$D$15,2,FALSE)*BS$22,BS42&lt;=VLOOKUP($C41,$C$3:$D$15,2,FALSE)*BS$22),IF(BS42-BR43&lt;0,0,BS42-BR43),
IF(AND(BR43&lt;VLOOKUP($C41,$C$3:$D$15,2,FALSE)*BS$22,BS42&gt;VLOOKUP($C41,$C$3:$D$15,2,FALSE)*BS$22),VLOOKUP($C41,$C$3:$D$15,2,FALSE)*BS$22-BR43)))</f>
        <v>0</v>
      </c>
      <c r="BT41" s="642">
        <f t="shared" ref="BT41" si="1353" xml:space="preserve">
IF(BS43&gt;=VLOOKUP($C41,$C$3:$D$15,2,FALSE)*BT$22,0,
IF(AND(BS43&lt;VLOOKUP($C41,$C$3:$D$15,2,FALSE)*BT$22,BT42&lt;=VLOOKUP($C41,$C$3:$D$15,2,FALSE)*BT$22),IF(BT42-BS43&lt;0,0,BT42-BS43),
IF(AND(BS43&lt;VLOOKUP($C41,$C$3:$D$15,2,FALSE)*BT$22,BT42&gt;VLOOKUP($C41,$C$3:$D$15,2,FALSE)*BT$22),VLOOKUP($C41,$C$3:$D$15,2,FALSE)*BT$22-BS43)))</f>
        <v>0</v>
      </c>
      <c r="BU41" s="642">
        <f t="shared" ref="BU41" si="1354" xml:space="preserve">
IF(BT43&gt;=VLOOKUP($C41,$C$3:$D$15,2,FALSE)*BU$22,0,
IF(AND(BT43&lt;VLOOKUP($C41,$C$3:$D$15,2,FALSE)*BU$22,BU42&lt;=VLOOKUP($C41,$C$3:$D$15,2,FALSE)*BU$22),IF(BU42-BT43&lt;0,0,BU42-BT43),
IF(AND(BT43&lt;VLOOKUP($C41,$C$3:$D$15,2,FALSE)*BU$22,BU42&gt;VLOOKUP($C41,$C$3:$D$15,2,FALSE)*BU$22),VLOOKUP($C41,$C$3:$D$15,2,FALSE)*BU$22-BT43)))</f>
        <v>0</v>
      </c>
      <c r="BV41" s="642">
        <f t="shared" ref="BV41" si="1355" xml:space="preserve">
IF(BU43&gt;=VLOOKUP($C41,$C$3:$D$15,2,FALSE)*BV$22,0,
IF(AND(BU43&lt;VLOOKUP($C41,$C$3:$D$15,2,FALSE)*BV$22,BV42&lt;=VLOOKUP($C41,$C$3:$D$15,2,FALSE)*BV$22),IF(BV42-BU43&lt;0,0,BV42-BU43),
IF(AND(BU43&lt;VLOOKUP($C41,$C$3:$D$15,2,FALSE)*BV$22,BV42&gt;VLOOKUP($C41,$C$3:$D$15,2,FALSE)*BV$22),VLOOKUP($C41,$C$3:$D$15,2,FALSE)*BV$22-BU43)))</f>
        <v>0</v>
      </c>
      <c r="BW41" s="642">
        <f t="shared" ref="BW41" si="1356" xml:space="preserve">
IF(BV43&gt;=VLOOKUP($C41,$C$3:$D$15,2,FALSE)*BW$22,0,
IF(AND(BV43&lt;VLOOKUP($C41,$C$3:$D$15,2,FALSE)*BW$22,BW42&lt;=VLOOKUP($C41,$C$3:$D$15,2,FALSE)*BW$22),IF(BW42-BV43&lt;0,0,BW42-BV43),
IF(AND(BV43&lt;VLOOKUP($C41,$C$3:$D$15,2,FALSE)*BW$22,BW42&gt;VLOOKUP($C41,$C$3:$D$15,2,FALSE)*BW$22),VLOOKUP($C41,$C$3:$D$15,2,FALSE)*BW$22-BV43)))</f>
        <v>0</v>
      </c>
      <c r="BX41" s="642">
        <f t="shared" ref="BX41" si="1357" xml:space="preserve">
IF(BW43&gt;=VLOOKUP($C41,$C$3:$D$15,2,FALSE)*BX$22,0,
IF(AND(BW43&lt;VLOOKUP($C41,$C$3:$D$15,2,FALSE)*BX$22,BX42&lt;=VLOOKUP($C41,$C$3:$D$15,2,FALSE)*BX$22),IF(BX42-BW43&lt;0,0,BX42-BW43),
IF(AND(BW43&lt;VLOOKUP($C41,$C$3:$D$15,2,FALSE)*BX$22,BX42&gt;VLOOKUP($C41,$C$3:$D$15,2,FALSE)*BX$22),VLOOKUP($C41,$C$3:$D$15,2,FALSE)*BX$22-BW43)))</f>
        <v>0</v>
      </c>
      <c r="BY41" s="642">
        <f t="shared" ref="BY41" si="1358" xml:space="preserve">
IF(BX43&gt;=VLOOKUP($C41,$C$3:$D$15,2,FALSE)*BY$22,0,
IF(AND(BX43&lt;VLOOKUP($C41,$C$3:$D$15,2,FALSE)*BY$22,BY42&lt;=VLOOKUP($C41,$C$3:$D$15,2,FALSE)*BY$22),IF(BY42-BX43&lt;0,0,BY42-BX43),
IF(AND(BX43&lt;VLOOKUP($C41,$C$3:$D$15,2,FALSE)*BY$22,BY42&gt;VLOOKUP($C41,$C$3:$D$15,2,FALSE)*BY$22),VLOOKUP($C41,$C$3:$D$15,2,FALSE)*BY$22-BX43)))</f>
        <v>0</v>
      </c>
      <c r="BZ41" s="642">
        <f t="shared" ref="BZ41" si="1359" xml:space="preserve">
IF(BY43&gt;=VLOOKUP($C41,$C$3:$D$15,2,FALSE)*BZ$22,0,
IF(AND(BY43&lt;VLOOKUP($C41,$C$3:$D$15,2,FALSE)*BZ$22,BZ42&lt;=VLOOKUP($C41,$C$3:$D$15,2,FALSE)*BZ$22),IF(BZ42-BY43&lt;0,0,BZ42-BY43),
IF(AND(BY43&lt;VLOOKUP($C41,$C$3:$D$15,2,FALSE)*BZ$22,BZ42&gt;VLOOKUP($C41,$C$3:$D$15,2,FALSE)*BZ$22),VLOOKUP($C41,$C$3:$D$15,2,FALSE)*BZ$22-BY43)))</f>
        <v>0</v>
      </c>
      <c r="CA41" s="642">
        <f t="shared" ref="CA41" si="1360" xml:space="preserve">
IF(BZ43&gt;=VLOOKUP($C41,$C$3:$D$15,2,FALSE)*CA$22,0,
IF(AND(BZ43&lt;VLOOKUP($C41,$C$3:$D$15,2,FALSE)*CA$22,CA42&lt;=VLOOKUP($C41,$C$3:$D$15,2,FALSE)*CA$22),IF(CA42-BZ43&lt;0,0,CA42-BZ43),
IF(AND(BZ43&lt;VLOOKUP($C41,$C$3:$D$15,2,FALSE)*CA$22,CA42&gt;VLOOKUP($C41,$C$3:$D$15,2,FALSE)*CA$22),VLOOKUP($C41,$C$3:$D$15,2,FALSE)*CA$22-BZ43)))</f>
        <v>0</v>
      </c>
      <c r="CB41" s="642">
        <f t="shared" ref="CB41" si="1361" xml:space="preserve">
IF(CA43&gt;=VLOOKUP($C41,$C$3:$D$15,2,FALSE)*CB$22,0,
IF(AND(CA43&lt;VLOOKUP($C41,$C$3:$D$15,2,FALSE)*CB$22,CB42&lt;=VLOOKUP($C41,$C$3:$D$15,2,FALSE)*CB$22),IF(CB42-CA43&lt;0,0,CB42-CA43),
IF(AND(CA43&lt;VLOOKUP($C41,$C$3:$D$15,2,FALSE)*CB$22,CB42&gt;VLOOKUP($C41,$C$3:$D$15,2,FALSE)*CB$22),VLOOKUP($C41,$C$3:$D$15,2,FALSE)*CB$22-CA43)))</f>
        <v>0</v>
      </c>
      <c r="CC41" s="642">
        <f t="shared" ref="CC41" si="1362" xml:space="preserve">
IF(CB43&gt;=VLOOKUP($C41,$C$3:$D$15,2,FALSE)*CC$22,0,
IF(AND(CB43&lt;VLOOKUP($C41,$C$3:$D$15,2,FALSE)*CC$22,CC42&lt;=VLOOKUP($C41,$C$3:$D$15,2,FALSE)*CC$22),IF(CC42-CB43&lt;0,0,CC42-CB43),
IF(AND(CB43&lt;VLOOKUP($C41,$C$3:$D$15,2,FALSE)*CC$22,CC42&gt;VLOOKUP($C41,$C$3:$D$15,2,FALSE)*CC$22),VLOOKUP($C41,$C$3:$D$15,2,FALSE)*CC$22-CB43)))</f>
        <v>0</v>
      </c>
      <c r="CD41" s="642">
        <f t="shared" ref="CD41" si="1363" xml:space="preserve">
IF(CC43&gt;=VLOOKUP($C41,$C$3:$D$15,2,FALSE)*CD$22,0,
IF(AND(CC43&lt;VLOOKUP($C41,$C$3:$D$15,2,FALSE)*CD$22,CD42&lt;=VLOOKUP($C41,$C$3:$D$15,2,FALSE)*CD$22),IF(CD42-CC43&lt;0,0,CD42-CC43),
IF(AND(CC43&lt;VLOOKUP($C41,$C$3:$D$15,2,FALSE)*CD$22,CD42&gt;VLOOKUP($C41,$C$3:$D$15,2,FALSE)*CD$22),VLOOKUP($C41,$C$3:$D$15,2,FALSE)*CD$22-CC43)))</f>
        <v>0</v>
      </c>
      <c r="CE41" s="642">
        <f t="shared" ref="CE41" si="1364" xml:space="preserve">
IF(CD43&gt;=VLOOKUP($C41,$C$3:$D$15,2,FALSE)*CE$22,0,
IF(AND(CD43&lt;VLOOKUP($C41,$C$3:$D$15,2,FALSE)*CE$22,CE42&lt;=VLOOKUP($C41,$C$3:$D$15,2,FALSE)*CE$22),IF(CE42-CD43&lt;0,0,CE42-CD43),
IF(AND(CD43&lt;VLOOKUP($C41,$C$3:$D$15,2,FALSE)*CE$22,CE42&gt;VLOOKUP($C41,$C$3:$D$15,2,FALSE)*CE$22),VLOOKUP($C41,$C$3:$D$15,2,FALSE)*CE$22-CD43)))</f>
        <v>0</v>
      </c>
      <c r="CF41" s="642">
        <f t="shared" ref="CF41" si="1365" xml:space="preserve">
IF(CE43&gt;=VLOOKUP($C41,$C$3:$D$15,2,FALSE)*CF$22,0,
IF(AND(CE43&lt;VLOOKUP($C41,$C$3:$D$15,2,FALSE)*CF$22,CF42&lt;=VLOOKUP($C41,$C$3:$D$15,2,FALSE)*CF$22),IF(CF42-CE43&lt;0,0,CF42-CE43),
IF(AND(CE43&lt;VLOOKUP($C41,$C$3:$D$15,2,FALSE)*CF$22,CF42&gt;VLOOKUP($C41,$C$3:$D$15,2,FALSE)*CF$22),VLOOKUP($C41,$C$3:$D$15,2,FALSE)*CF$22-CE43)))</f>
        <v>0</v>
      </c>
      <c r="CG41" s="642">
        <f t="shared" ref="CG41" si="1366" xml:space="preserve">
IF(CF43&gt;=VLOOKUP($C41,$C$3:$D$15,2,FALSE)*CG$22,0,
IF(AND(CF43&lt;VLOOKUP($C41,$C$3:$D$15,2,FALSE)*CG$22,CG42&lt;=VLOOKUP($C41,$C$3:$D$15,2,FALSE)*CG$22),IF(CG42-CF43&lt;0,0,CG42-CF43),
IF(AND(CF43&lt;VLOOKUP($C41,$C$3:$D$15,2,FALSE)*CG$22,CG42&gt;VLOOKUP($C41,$C$3:$D$15,2,FALSE)*CG$22),VLOOKUP($C41,$C$3:$D$15,2,FALSE)*CG$22-CF43)))</f>
        <v>0</v>
      </c>
      <c r="CH41" s="642">
        <f t="shared" ref="CH41" si="1367" xml:space="preserve">
IF(CG43&gt;=VLOOKUP($C41,$C$3:$D$15,2,FALSE)*CH$22,0,
IF(AND(CG43&lt;VLOOKUP($C41,$C$3:$D$15,2,FALSE)*CH$22,CH42&lt;=VLOOKUP($C41,$C$3:$D$15,2,FALSE)*CH$22),IF(CH42-CG43&lt;0,0,CH42-CG43),
IF(AND(CG43&lt;VLOOKUP($C41,$C$3:$D$15,2,FALSE)*CH$22,CH42&gt;VLOOKUP($C41,$C$3:$D$15,2,FALSE)*CH$22),VLOOKUP($C41,$C$3:$D$15,2,FALSE)*CH$22-CG43)))</f>
        <v>0</v>
      </c>
      <c r="CI41" s="642">
        <f t="shared" ref="CI41" si="1368" xml:space="preserve">
IF(CH43&gt;=VLOOKUP($C41,$C$3:$D$15,2,FALSE)*CI$22,0,
IF(AND(CH43&lt;VLOOKUP($C41,$C$3:$D$15,2,FALSE)*CI$22,CI42&lt;=VLOOKUP($C41,$C$3:$D$15,2,FALSE)*CI$22),IF(CI42-CH43&lt;0,0,CI42-CH43),
IF(AND(CH43&lt;VLOOKUP($C41,$C$3:$D$15,2,FALSE)*CI$22,CI42&gt;VLOOKUP($C41,$C$3:$D$15,2,FALSE)*CI$22),VLOOKUP($C41,$C$3:$D$15,2,FALSE)*CI$22-CH43)))</f>
        <v>0</v>
      </c>
      <c r="CJ41" s="642">
        <f t="shared" ref="CJ41" si="1369" xml:space="preserve">
IF(CI43&gt;=VLOOKUP($C41,$C$3:$D$15,2,FALSE)*CJ$22,0,
IF(AND(CI43&lt;VLOOKUP($C41,$C$3:$D$15,2,FALSE)*CJ$22,CJ42&lt;=VLOOKUP($C41,$C$3:$D$15,2,FALSE)*CJ$22),IF(CJ42-CI43&lt;0,0,CJ42-CI43),
IF(AND(CI43&lt;VLOOKUP($C41,$C$3:$D$15,2,FALSE)*CJ$22,CJ42&gt;VLOOKUP($C41,$C$3:$D$15,2,FALSE)*CJ$22),VLOOKUP($C41,$C$3:$D$15,2,FALSE)*CJ$22-CI43)))</f>
        <v>0</v>
      </c>
      <c r="CK41" s="642">
        <f t="shared" ref="CK41" si="1370" xml:space="preserve">
IF(CJ43&gt;=VLOOKUP($C41,$C$3:$D$15,2,FALSE)*CK$22,0,
IF(AND(CJ43&lt;VLOOKUP($C41,$C$3:$D$15,2,FALSE)*CK$22,CK42&lt;=VLOOKUP($C41,$C$3:$D$15,2,FALSE)*CK$22),IF(CK42-CJ43&lt;0,0,CK42-CJ43),
IF(AND(CJ43&lt;VLOOKUP($C41,$C$3:$D$15,2,FALSE)*CK$22,CK42&gt;VLOOKUP($C41,$C$3:$D$15,2,FALSE)*CK$22),VLOOKUP($C41,$C$3:$D$15,2,FALSE)*CK$22-CJ43)))</f>
        <v>0</v>
      </c>
      <c r="CL41" s="642">
        <f t="shared" ref="CL41" si="1371" xml:space="preserve">
IF(CK43&gt;=VLOOKUP($C41,$C$3:$D$15,2,FALSE)*CL$22,0,
IF(AND(CK43&lt;VLOOKUP($C41,$C$3:$D$15,2,FALSE)*CL$22,CL42&lt;=VLOOKUP($C41,$C$3:$D$15,2,FALSE)*CL$22),IF(CL42-CK43&lt;0,0,CL42-CK43),
IF(AND(CK43&lt;VLOOKUP($C41,$C$3:$D$15,2,FALSE)*CL$22,CL42&gt;VLOOKUP($C41,$C$3:$D$15,2,FALSE)*CL$22),VLOOKUP($C41,$C$3:$D$15,2,FALSE)*CL$22-CK43)))</f>
        <v>0</v>
      </c>
      <c r="CM41" s="642">
        <f t="shared" ref="CM41" si="1372" xml:space="preserve">
IF(CL43&gt;=VLOOKUP($C41,$C$3:$D$15,2,FALSE)*CM$22,0,
IF(AND(CL43&lt;VLOOKUP($C41,$C$3:$D$15,2,FALSE)*CM$22,CM42&lt;=VLOOKUP($C41,$C$3:$D$15,2,FALSE)*CM$22),IF(CM42-CL43&lt;0,0,CM42-CL43),
IF(AND(CL43&lt;VLOOKUP($C41,$C$3:$D$15,2,FALSE)*CM$22,CM42&gt;VLOOKUP($C41,$C$3:$D$15,2,FALSE)*CM$22),VLOOKUP($C41,$C$3:$D$15,2,FALSE)*CM$22-CL43)))</f>
        <v>0</v>
      </c>
      <c r="CN41" s="642">
        <f t="shared" ref="CN41" si="1373" xml:space="preserve">
IF(CM43&gt;=VLOOKUP($C41,$C$3:$D$15,2,FALSE)*CN$22,0,
IF(AND(CM43&lt;VLOOKUP($C41,$C$3:$D$15,2,FALSE)*CN$22,CN42&lt;=VLOOKUP($C41,$C$3:$D$15,2,FALSE)*CN$22),IF(CN42-CM43&lt;0,0,CN42-CM43),
IF(AND(CM43&lt;VLOOKUP($C41,$C$3:$D$15,2,FALSE)*CN$22,CN42&gt;VLOOKUP($C41,$C$3:$D$15,2,FALSE)*CN$22),VLOOKUP($C41,$C$3:$D$15,2,FALSE)*CN$22-CM43)))</f>
        <v>0</v>
      </c>
      <c r="CO41" s="642">
        <f t="shared" ref="CO41" si="1374" xml:space="preserve">
IF(CN43&gt;=VLOOKUP($C41,$C$3:$D$15,2,FALSE)*CO$22,0,
IF(AND(CN43&lt;VLOOKUP($C41,$C$3:$D$15,2,FALSE)*CO$22,CO42&lt;=VLOOKUP($C41,$C$3:$D$15,2,FALSE)*CO$22),IF(CO42-CN43&lt;0,0,CO42-CN43),
IF(AND(CN43&lt;VLOOKUP($C41,$C$3:$D$15,2,FALSE)*CO$22,CO42&gt;VLOOKUP($C41,$C$3:$D$15,2,FALSE)*CO$22),VLOOKUP($C41,$C$3:$D$15,2,FALSE)*CO$22-CN43)))</f>
        <v>0</v>
      </c>
      <c r="CP41" s="642">
        <f t="shared" ref="CP41" si="1375" xml:space="preserve">
IF(CO43&gt;=VLOOKUP($C41,$C$3:$D$15,2,FALSE)*CP$22,0,
IF(AND(CO43&lt;VLOOKUP($C41,$C$3:$D$15,2,FALSE)*CP$22,CP42&lt;=VLOOKUP($C41,$C$3:$D$15,2,FALSE)*CP$22),IF(CP42-CO43&lt;0,0,CP42-CO43),
IF(AND(CO43&lt;VLOOKUP($C41,$C$3:$D$15,2,FALSE)*CP$22,CP42&gt;VLOOKUP($C41,$C$3:$D$15,2,FALSE)*CP$22),VLOOKUP($C41,$C$3:$D$15,2,FALSE)*CP$22-CO43)))</f>
        <v>0</v>
      </c>
      <c r="CQ41" s="642">
        <f t="shared" ref="CQ41" si="1376" xml:space="preserve">
IF(CP43&gt;=VLOOKUP($C41,$C$3:$D$15,2,FALSE)*CQ$22,0,
IF(AND(CP43&lt;VLOOKUP($C41,$C$3:$D$15,2,FALSE)*CQ$22,CQ42&lt;=VLOOKUP($C41,$C$3:$D$15,2,FALSE)*CQ$22),IF(CQ42-CP43&lt;0,0,CQ42-CP43),
IF(AND(CP43&lt;VLOOKUP($C41,$C$3:$D$15,2,FALSE)*CQ$22,CQ42&gt;VLOOKUP($C41,$C$3:$D$15,2,FALSE)*CQ$22),VLOOKUP($C41,$C$3:$D$15,2,FALSE)*CQ$22-CP43)))</f>
        <v>0</v>
      </c>
      <c r="CR41" s="642">
        <f t="shared" ref="CR41" si="1377" xml:space="preserve">
IF(CQ43&gt;=VLOOKUP($C41,$C$3:$D$15,2,FALSE)*CR$22,0,
IF(AND(CQ43&lt;VLOOKUP($C41,$C$3:$D$15,2,FALSE)*CR$22,CR42&lt;=VLOOKUP($C41,$C$3:$D$15,2,FALSE)*CR$22),IF(CR42-CQ43&lt;0,0,CR42-CQ43),
IF(AND(CQ43&lt;VLOOKUP($C41,$C$3:$D$15,2,FALSE)*CR$22,CR42&gt;VLOOKUP($C41,$C$3:$D$15,2,FALSE)*CR$22),VLOOKUP($C41,$C$3:$D$15,2,FALSE)*CR$22-CQ43)))</f>
        <v>0</v>
      </c>
      <c r="CS41" s="642">
        <f t="shared" ref="CS41" si="1378" xml:space="preserve">
IF(CR43&gt;=VLOOKUP($C41,$C$3:$D$15,2,FALSE)*CS$22,0,
IF(AND(CR43&lt;VLOOKUP($C41,$C$3:$D$15,2,FALSE)*CS$22,CS42&lt;=VLOOKUP($C41,$C$3:$D$15,2,FALSE)*CS$22),IF(CS42-CR43&lt;0,0,CS42-CR43),
IF(AND(CR43&lt;VLOOKUP($C41,$C$3:$D$15,2,FALSE)*CS$22,CS42&gt;VLOOKUP($C41,$C$3:$D$15,2,FALSE)*CS$22),VLOOKUP($C41,$C$3:$D$15,2,FALSE)*CS$22-CR43)))</f>
        <v>0</v>
      </c>
      <c r="CT41" s="642">
        <f t="shared" ref="CT41" si="1379" xml:space="preserve">
IF(CS43&gt;=VLOOKUP($C41,$C$3:$D$15,2,FALSE)*CT$22,0,
IF(AND(CS43&lt;VLOOKUP($C41,$C$3:$D$15,2,FALSE)*CT$22,CT42&lt;=VLOOKUP($C41,$C$3:$D$15,2,FALSE)*CT$22),IF(CT42-CS43&lt;0,0,CT42-CS43),
IF(AND(CS43&lt;VLOOKUP($C41,$C$3:$D$15,2,FALSE)*CT$22,CT42&gt;VLOOKUP($C41,$C$3:$D$15,2,FALSE)*CT$22),VLOOKUP($C41,$C$3:$D$15,2,FALSE)*CT$22-CS43)))</f>
        <v>0</v>
      </c>
      <c r="CU41" s="642">
        <f t="shared" ref="CU41" si="1380" xml:space="preserve">
IF(CT43&gt;=VLOOKUP($C41,$C$3:$D$15,2,FALSE)*CU$22,0,
IF(AND(CT43&lt;VLOOKUP($C41,$C$3:$D$15,2,FALSE)*CU$22,CU42&lt;=VLOOKUP($C41,$C$3:$D$15,2,FALSE)*CU$22),IF(CU42-CT43&lt;0,0,CU42-CT43),
IF(AND(CT43&lt;VLOOKUP($C41,$C$3:$D$15,2,FALSE)*CU$22,CU42&gt;VLOOKUP($C41,$C$3:$D$15,2,FALSE)*CU$22),VLOOKUP($C41,$C$3:$D$15,2,FALSE)*CU$22-CT43)))</f>
        <v>0</v>
      </c>
      <c r="CV41" s="642">
        <f t="shared" ref="CV41" si="1381" xml:space="preserve">
IF(CU43&gt;=VLOOKUP($C41,$C$3:$D$15,2,FALSE)*CV$22,0,
IF(AND(CU43&lt;VLOOKUP($C41,$C$3:$D$15,2,FALSE)*CV$22,CV42&lt;=VLOOKUP($C41,$C$3:$D$15,2,FALSE)*CV$22),IF(CV42-CU43&lt;0,0,CV42-CU43),
IF(AND(CU43&lt;VLOOKUP($C41,$C$3:$D$15,2,FALSE)*CV$22,CV42&gt;VLOOKUP($C41,$C$3:$D$15,2,FALSE)*CV$22),VLOOKUP($C41,$C$3:$D$15,2,FALSE)*CV$22-CU43)))</f>
        <v>0</v>
      </c>
      <c r="CW41" s="642">
        <f t="shared" ref="CW41" si="1382" xml:space="preserve">
IF(CV43&gt;=VLOOKUP($C41,$C$3:$D$15,2,FALSE)*CW$22,0,
IF(AND(CV43&lt;VLOOKUP($C41,$C$3:$D$15,2,FALSE)*CW$22,CW42&lt;=VLOOKUP($C41,$C$3:$D$15,2,FALSE)*CW$22),IF(CW42-CV43&lt;0,0,CW42-CV43),
IF(AND(CV43&lt;VLOOKUP($C41,$C$3:$D$15,2,FALSE)*CW$22,CW42&gt;VLOOKUP($C41,$C$3:$D$15,2,FALSE)*CW$22),VLOOKUP($C41,$C$3:$D$15,2,FALSE)*CW$22-CV43)))</f>
        <v>0</v>
      </c>
      <c r="CX41" s="642">
        <f t="shared" ref="CX41" si="1383" xml:space="preserve">
IF(CW43&gt;=VLOOKUP($C41,$C$3:$D$15,2,FALSE)*CX$22,0,
IF(AND(CW43&lt;VLOOKUP($C41,$C$3:$D$15,2,FALSE)*CX$22,CX42&lt;=VLOOKUP($C41,$C$3:$D$15,2,FALSE)*CX$22),IF(CX42-CW43&lt;0,0,CX42-CW43),
IF(AND(CW43&lt;VLOOKUP($C41,$C$3:$D$15,2,FALSE)*CX$22,CX42&gt;VLOOKUP($C41,$C$3:$D$15,2,FALSE)*CX$22),VLOOKUP($C41,$C$3:$D$15,2,FALSE)*CX$22-CW43)))</f>
        <v>0</v>
      </c>
      <c r="CY41" s="642">
        <f t="shared" ref="CY41" si="1384" xml:space="preserve">
IF(CX43&gt;=VLOOKUP($C41,$C$3:$D$15,2,FALSE)*CY$22,0,
IF(AND(CX43&lt;VLOOKUP($C41,$C$3:$D$15,2,FALSE)*CY$22,CY42&lt;=VLOOKUP($C41,$C$3:$D$15,2,FALSE)*CY$22),IF(CY42-CX43&lt;0,0,CY42-CX43),
IF(AND(CX43&lt;VLOOKUP($C41,$C$3:$D$15,2,FALSE)*CY$22,CY42&gt;VLOOKUP($C41,$C$3:$D$15,2,FALSE)*CY$22),VLOOKUP($C41,$C$3:$D$15,2,FALSE)*CY$22-CX43)))</f>
        <v>0</v>
      </c>
      <c r="CZ41" s="642">
        <f t="shared" ref="CZ41" si="1385" xml:space="preserve">
IF(CY43&gt;=VLOOKUP($C41,$C$3:$D$15,2,FALSE)*CZ$22,0,
IF(AND(CY43&lt;VLOOKUP($C41,$C$3:$D$15,2,FALSE)*CZ$22,CZ42&lt;=VLOOKUP($C41,$C$3:$D$15,2,FALSE)*CZ$22),IF(CZ42-CY43&lt;0,0,CZ42-CY43),
IF(AND(CY43&lt;VLOOKUP($C41,$C$3:$D$15,2,FALSE)*CZ$22,CZ42&gt;VLOOKUP($C41,$C$3:$D$15,2,FALSE)*CZ$22),VLOOKUP($C41,$C$3:$D$15,2,FALSE)*CZ$22-CY43)))</f>
        <v>0</v>
      </c>
      <c r="DA41" s="642">
        <f t="shared" ref="DA41" si="1386" xml:space="preserve">
IF(CZ43&gt;=VLOOKUP($C41,$C$3:$D$15,2,FALSE)*DA$22,0,
IF(AND(CZ43&lt;VLOOKUP($C41,$C$3:$D$15,2,FALSE)*DA$22,DA42&lt;=VLOOKUP($C41,$C$3:$D$15,2,FALSE)*DA$22),IF(DA42-CZ43&lt;0,0,DA42-CZ43),
IF(AND(CZ43&lt;VLOOKUP($C41,$C$3:$D$15,2,FALSE)*DA$22,DA42&gt;VLOOKUP($C41,$C$3:$D$15,2,FALSE)*DA$22),VLOOKUP($C41,$C$3:$D$15,2,FALSE)*DA$22-CZ43)))</f>
        <v>0</v>
      </c>
      <c r="DB41" s="642">
        <f t="shared" ref="DB41" si="1387" xml:space="preserve">
IF(DA43&gt;=VLOOKUP($C41,$C$3:$D$15,2,FALSE)*DB$22,0,
IF(AND(DA43&lt;VLOOKUP($C41,$C$3:$D$15,2,FALSE)*DB$22,DB42&lt;=VLOOKUP($C41,$C$3:$D$15,2,FALSE)*DB$22),IF(DB42-DA43&lt;0,0,DB42-DA43),
IF(AND(DA43&lt;VLOOKUP($C41,$C$3:$D$15,2,FALSE)*DB$22,DB42&gt;VLOOKUP($C41,$C$3:$D$15,2,FALSE)*DB$22),VLOOKUP($C41,$C$3:$D$15,2,FALSE)*DB$22-DA43)))</f>
        <v>0</v>
      </c>
      <c r="DC41" s="642">
        <f t="shared" ref="DC41" si="1388" xml:space="preserve">
IF(DB43&gt;=VLOOKUP($C41,$C$3:$D$15,2,FALSE)*DC$22,0,
IF(AND(DB43&lt;VLOOKUP($C41,$C$3:$D$15,2,FALSE)*DC$22,DC42&lt;=VLOOKUP($C41,$C$3:$D$15,2,FALSE)*DC$22),IF(DC42-DB43&lt;0,0,DC42-DB43),
IF(AND(DB43&lt;VLOOKUP($C41,$C$3:$D$15,2,FALSE)*DC$22,DC42&gt;VLOOKUP($C41,$C$3:$D$15,2,FALSE)*DC$22),VLOOKUP($C41,$C$3:$D$15,2,FALSE)*DC$22-DB43)))</f>
        <v>0</v>
      </c>
      <c r="DD41" s="642">
        <f t="shared" ref="DD41" si="1389" xml:space="preserve">
IF(DC43&gt;=VLOOKUP($C41,$C$3:$D$15,2,FALSE)*DD$22,0,
IF(AND(DC43&lt;VLOOKUP($C41,$C$3:$D$15,2,FALSE)*DD$22,DD42&lt;=VLOOKUP($C41,$C$3:$D$15,2,FALSE)*DD$22),IF(DD42-DC43&lt;0,0,DD42-DC43),
IF(AND(DC43&lt;VLOOKUP($C41,$C$3:$D$15,2,FALSE)*DD$22,DD42&gt;VLOOKUP($C41,$C$3:$D$15,2,FALSE)*DD$22),VLOOKUP($C41,$C$3:$D$15,2,FALSE)*DD$22-DC43)))</f>
        <v>0</v>
      </c>
      <c r="DE41" s="642">
        <f t="shared" ref="DE41" si="1390" xml:space="preserve">
IF(DD43&gt;=VLOOKUP($C41,$C$3:$D$15,2,FALSE)*DE$22,0,
IF(AND(DD43&lt;VLOOKUP($C41,$C$3:$D$15,2,FALSE)*DE$22,DE42&lt;=VLOOKUP($C41,$C$3:$D$15,2,FALSE)*DE$22),IF(DE42-DD43&lt;0,0,DE42-DD43),
IF(AND(DD43&lt;VLOOKUP($C41,$C$3:$D$15,2,FALSE)*DE$22,DE42&gt;VLOOKUP($C41,$C$3:$D$15,2,FALSE)*DE$22),VLOOKUP($C41,$C$3:$D$15,2,FALSE)*DE$22-DD43)))</f>
        <v>0</v>
      </c>
      <c r="DF41" s="642">
        <f t="shared" ref="DF41" si="1391" xml:space="preserve">
IF(DE43&gt;=VLOOKUP($C41,$C$3:$D$15,2,FALSE)*DF$22,0,
IF(AND(DE43&lt;VLOOKUP($C41,$C$3:$D$15,2,FALSE)*DF$22,DF42&lt;=VLOOKUP($C41,$C$3:$D$15,2,FALSE)*DF$22),IF(DF42-DE43&lt;0,0,DF42-DE43),
IF(AND(DE43&lt;VLOOKUP($C41,$C$3:$D$15,2,FALSE)*DF$22,DF42&gt;VLOOKUP($C41,$C$3:$D$15,2,FALSE)*DF$22),VLOOKUP($C41,$C$3:$D$15,2,FALSE)*DF$22-DE43)))</f>
        <v>0</v>
      </c>
      <c r="DG41" s="642">
        <f t="shared" ref="DG41" si="1392" xml:space="preserve">
IF(DF43&gt;=VLOOKUP($C41,$C$3:$D$15,2,FALSE)*DG$22,0,
IF(AND(DF43&lt;VLOOKUP($C41,$C$3:$D$15,2,FALSE)*DG$22,DG42&lt;=VLOOKUP($C41,$C$3:$D$15,2,FALSE)*DG$22),IF(DG42-DF43&lt;0,0,DG42-DF43),
IF(AND(DF43&lt;VLOOKUP($C41,$C$3:$D$15,2,FALSE)*DG$22,DG42&gt;VLOOKUP($C41,$C$3:$D$15,2,FALSE)*DG$22),VLOOKUP($C41,$C$3:$D$15,2,FALSE)*DG$22-DF43)))</f>
        <v>0</v>
      </c>
      <c r="DH41" s="642">
        <f t="shared" ref="DH41" si="1393" xml:space="preserve">
IF(DG43&gt;=VLOOKUP($C41,$C$3:$D$15,2,FALSE)*DH$22,0,
IF(AND(DG43&lt;VLOOKUP($C41,$C$3:$D$15,2,FALSE)*DH$22,DH42&lt;=VLOOKUP($C41,$C$3:$D$15,2,FALSE)*DH$22),IF(DH42-DG43&lt;0,0,DH42-DG43),
IF(AND(DG43&lt;VLOOKUP($C41,$C$3:$D$15,2,FALSE)*DH$22,DH42&gt;VLOOKUP($C41,$C$3:$D$15,2,FALSE)*DH$22),VLOOKUP($C41,$C$3:$D$15,2,FALSE)*DH$22-DG43)))</f>
        <v>0</v>
      </c>
      <c r="DI41" s="642">
        <f t="shared" ref="DI41" si="1394" xml:space="preserve">
IF(DH43&gt;=VLOOKUP($C41,$C$3:$D$15,2,FALSE)*DI$22,0,
IF(AND(DH43&lt;VLOOKUP($C41,$C$3:$D$15,2,FALSE)*DI$22,DI42&lt;=VLOOKUP($C41,$C$3:$D$15,2,FALSE)*DI$22),IF(DI42-DH43&lt;0,0,DI42-DH43),
IF(AND(DH43&lt;VLOOKUP($C41,$C$3:$D$15,2,FALSE)*DI$22,DI42&gt;VLOOKUP($C41,$C$3:$D$15,2,FALSE)*DI$22),VLOOKUP($C41,$C$3:$D$15,2,FALSE)*DI$22-DH43)))</f>
        <v>0</v>
      </c>
      <c r="DJ41" s="642">
        <f t="shared" ref="DJ41" si="1395" xml:space="preserve">
IF(DI43&gt;=VLOOKUP($C41,$C$3:$D$15,2,FALSE)*DJ$22,0,
IF(AND(DI43&lt;VLOOKUP($C41,$C$3:$D$15,2,FALSE)*DJ$22,DJ42&lt;=VLOOKUP($C41,$C$3:$D$15,2,FALSE)*DJ$22),IF(DJ42-DI43&lt;0,0,DJ42-DI43),
IF(AND(DI43&lt;VLOOKUP($C41,$C$3:$D$15,2,FALSE)*DJ$22,DJ42&gt;VLOOKUP($C41,$C$3:$D$15,2,FALSE)*DJ$22),VLOOKUP($C41,$C$3:$D$15,2,FALSE)*DJ$22-DI43)))</f>
        <v>0</v>
      </c>
      <c r="DK41" s="642">
        <f t="shared" ref="DK41" si="1396" xml:space="preserve">
IF(DJ43&gt;=VLOOKUP($C41,$C$3:$D$15,2,FALSE)*DK$22,0,
IF(AND(DJ43&lt;VLOOKUP($C41,$C$3:$D$15,2,FALSE)*DK$22,DK42&lt;=VLOOKUP($C41,$C$3:$D$15,2,FALSE)*DK$22),IF(DK42-DJ43&lt;0,0,DK42-DJ43),
IF(AND(DJ43&lt;VLOOKUP($C41,$C$3:$D$15,2,FALSE)*DK$22,DK42&gt;VLOOKUP($C41,$C$3:$D$15,2,FALSE)*DK$22),VLOOKUP($C41,$C$3:$D$15,2,FALSE)*DK$22-DJ43)))</f>
        <v>0</v>
      </c>
      <c r="DL41" s="642">
        <f t="shared" ref="DL41" si="1397" xml:space="preserve">
IF(DK43&gt;=VLOOKUP($C41,$C$3:$D$15,2,FALSE)*DL$22,0,
IF(AND(DK43&lt;VLOOKUP($C41,$C$3:$D$15,2,FALSE)*DL$22,DL42&lt;=VLOOKUP($C41,$C$3:$D$15,2,FALSE)*DL$22),IF(DL42-DK43&lt;0,0,DL42-DK43),
IF(AND(DK43&lt;VLOOKUP($C41,$C$3:$D$15,2,FALSE)*DL$22,DL42&gt;VLOOKUP($C41,$C$3:$D$15,2,FALSE)*DL$22),VLOOKUP($C41,$C$3:$D$15,2,FALSE)*DL$22-DK43)))</f>
        <v>0</v>
      </c>
      <c r="DM41" s="642">
        <f t="shared" ref="DM41" si="1398" xml:space="preserve">
IF(DL43&gt;=VLOOKUP($C41,$C$3:$D$15,2,FALSE)*DM$22,0,
IF(AND(DL43&lt;VLOOKUP($C41,$C$3:$D$15,2,FALSE)*DM$22,DM42&lt;=VLOOKUP($C41,$C$3:$D$15,2,FALSE)*DM$22),IF(DM42-DL43&lt;0,0,DM42-DL43),
IF(AND(DL43&lt;VLOOKUP($C41,$C$3:$D$15,2,FALSE)*DM$22,DM42&gt;VLOOKUP($C41,$C$3:$D$15,2,FALSE)*DM$22),VLOOKUP($C41,$C$3:$D$15,2,FALSE)*DM$22-DL43)))</f>
        <v>0</v>
      </c>
      <c r="DN41" s="642">
        <f t="shared" ref="DN41" si="1399" xml:space="preserve">
IF(DM43&gt;=VLOOKUP($C41,$C$3:$D$15,2,FALSE)*DN$22,0,
IF(AND(DM43&lt;VLOOKUP($C41,$C$3:$D$15,2,FALSE)*DN$22,DN42&lt;=VLOOKUP($C41,$C$3:$D$15,2,FALSE)*DN$22),IF(DN42-DM43&lt;0,0,DN42-DM43),
IF(AND(DM43&lt;VLOOKUP($C41,$C$3:$D$15,2,FALSE)*DN$22,DN42&gt;VLOOKUP($C41,$C$3:$D$15,2,FALSE)*DN$22),VLOOKUP($C41,$C$3:$D$15,2,FALSE)*DN$22-DM43)))</f>
        <v>0</v>
      </c>
      <c r="DO41" s="642">
        <f t="shared" ref="DO41" si="1400" xml:space="preserve">
IF(DN43&gt;=VLOOKUP($C41,$C$3:$D$15,2,FALSE)*DO$22,0,
IF(AND(DN43&lt;VLOOKUP($C41,$C$3:$D$15,2,FALSE)*DO$22,DO42&lt;=VLOOKUP($C41,$C$3:$D$15,2,FALSE)*DO$22),IF(DO42-DN43&lt;0,0,DO42-DN43),
IF(AND(DN43&lt;VLOOKUP($C41,$C$3:$D$15,2,FALSE)*DO$22,DO42&gt;VLOOKUP($C41,$C$3:$D$15,2,FALSE)*DO$22),VLOOKUP($C41,$C$3:$D$15,2,FALSE)*DO$22-DN43)))</f>
        <v>0</v>
      </c>
      <c r="DP41" s="642">
        <f t="shared" ref="DP41" si="1401" xml:space="preserve">
IF(DO43&gt;=VLOOKUP($C41,$C$3:$D$15,2,FALSE)*DP$22,0,
IF(AND(DO43&lt;VLOOKUP($C41,$C$3:$D$15,2,FALSE)*DP$22,DP42&lt;=VLOOKUP($C41,$C$3:$D$15,2,FALSE)*DP$22),IF(DP42-DO43&lt;0,0,DP42-DO43),
IF(AND(DO43&lt;VLOOKUP($C41,$C$3:$D$15,2,FALSE)*DP$22,DP42&gt;VLOOKUP($C41,$C$3:$D$15,2,FALSE)*DP$22),VLOOKUP($C41,$C$3:$D$15,2,FALSE)*DP$22-DO43)))</f>
        <v>0</v>
      </c>
      <c r="DQ41" s="642">
        <f t="shared" ref="DQ41" si="1402" xml:space="preserve">
IF(DP43&gt;=VLOOKUP($C41,$C$3:$D$15,2,FALSE)*DQ$22,0,
IF(AND(DP43&lt;VLOOKUP($C41,$C$3:$D$15,2,FALSE)*DQ$22,DQ42&lt;=VLOOKUP($C41,$C$3:$D$15,2,FALSE)*DQ$22),IF(DQ42-DP43&lt;0,0,DQ42-DP43),
IF(AND(DP43&lt;VLOOKUP($C41,$C$3:$D$15,2,FALSE)*DQ$22,DQ42&gt;VLOOKUP($C41,$C$3:$D$15,2,FALSE)*DQ$22),VLOOKUP($C41,$C$3:$D$15,2,FALSE)*DQ$22-DP43)))</f>
        <v>0</v>
      </c>
      <c r="DR41" s="642">
        <f t="shared" ref="DR41" si="1403" xml:space="preserve">
IF(DQ43&gt;=VLOOKUP($C41,$C$3:$D$15,2,FALSE)*DR$22,0,
IF(AND(DQ43&lt;VLOOKUP($C41,$C$3:$D$15,2,FALSE)*DR$22,DR42&lt;=VLOOKUP($C41,$C$3:$D$15,2,FALSE)*DR$22),IF(DR42-DQ43&lt;0,0,DR42-DQ43),
IF(AND(DQ43&lt;VLOOKUP($C41,$C$3:$D$15,2,FALSE)*DR$22,DR42&gt;VLOOKUP($C41,$C$3:$D$15,2,FALSE)*DR$22),VLOOKUP($C41,$C$3:$D$15,2,FALSE)*DR$22-DQ43)))</f>
        <v>0</v>
      </c>
      <c r="DS41" s="642">
        <f t="shared" ref="DS41" si="1404" xml:space="preserve">
IF(DR43&gt;=VLOOKUP($C41,$C$3:$D$15,2,FALSE)*DS$22,0,
IF(AND(DR43&lt;VLOOKUP($C41,$C$3:$D$15,2,FALSE)*DS$22,DS42&lt;=VLOOKUP($C41,$C$3:$D$15,2,FALSE)*DS$22),IF(DS42-DR43&lt;0,0,DS42-DR43),
IF(AND(DR43&lt;VLOOKUP($C41,$C$3:$D$15,2,FALSE)*DS$22,DS42&gt;VLOOKUP($C41,$C$3:$D$15,2,FALSE)*DS$22),VLOOKUP($C41,$C$3:$D$15,2,FALSE)*DS$22-DR43)))</f>
        <v>0</v>
      </c>
      <c r="DT41" s="642">
        <f t="shared" ref="DT41" si="1405" xml:space="preserve">
IF(DS43&gt;=VLOOKUP($C41,$C$3:$D$15,2,FALSE)*DT$22,0,
IF(AND(DS43&lt;VLOOKUP($C41,$C$3:$D$15,2,FALSE)*DT$22,DT42&lt;=VLOOKUP($C41,$C$3:$D$15,2,FALSE)*DT$22),IF(DT42-DS43&lt;0,0,DT42-DS43),
IF(AND(DS43&lt;VLOOKUP($C41,$C$3:$D$15,2,FALSE)*DT$22,DT42&gt;VLOOKUP($C41,$C$3:$D$15,2,FALSE)*DT$22),VLOOKUP($C41,$C$3:$D$15,2,FALSE)*DT$22-DS43)))</f>
        <v>0</v>
      </c>
      <c r="DU41" s="642">
        <f t="shared" ref="DU41" si="1406" xml:space="preserve">
IF(DT43&gt;=VLOOKUP($C41,$C$3:$D$15,2,FALSE)*DU$22,0,
IF(AND(DT43&lt;VLOOKUP($C41,$C$3:$D$15,2,FALSE)*DU$22,DU42&lt;=VLOOKUP($C41,$C$3:$D$15,2,FALSE)*DU$22),IF(DU42-DT43&lt;0,0,DU42-DT43),
IF(AND(DT43&lt;VLOOKUP($C41,$C$3:$D$15,2,FALSE)*DU$22,DU42&gt;VLOOKUP($C41,$C$3:$D$15,2,FALSE)*DU$22),VLOOKUP($C41,$C$3:$D$15,2,FALSE)*DU$22-DT43)))</f>
        <v>0</v>
      </c>
      <c r="DV41" s="642">
        <f t="shared" ref="DV41" si="1407" xml:space="preserve">
IF(DU43&gt;=VLOOKUP($C41,$C$3:$D$15,2,FALSE)*DV$22,0,
IF(AND(DU43&lt;VLOOKUP($C41,$C$3:$D$15,2,FALSE)*DV$22,DV42&lt;=VLOOKUP($C41,$C$3:$D$15,2,FALSE)*DV$22),IF(DV42-DU43&lt;0,0,DV42-DU43),
IF(AND(DU43&lt;VLOOKUP($C41,$C$3:$D$15,2,FALSE)*DV$22,DV42&gt;VLOOKUP($C41,$C$3:$D$15,2,FALSE)*DV$22),VLOOKUP($C41,$C$3:$D$15,2,FALSE)*DV$22-DU43)))</f>
        <v>0</v>
      </c>
      <c r="DW41" s="642">
        <f t="shared" ref="DW41" si="1408" xml:space="preserve">
IF(DV43&gt;=VLOOKUP($C41,$C$3:$D$15,2,FALSE)*DW$22,0,
IF(AND(DV43&lt;VLOOKUP($C41,$C$3:$D$15,2,FALSE)*DW$22,DW42&lt;=VLOOKUP($C41,$C$3:$D$15,2,FALSE)*DW$22),IF(DW42-DV43&lt;0,0,DW42-DV43),
IF(AND(DV43&lt;VLOOKUP($C41,$C$3:$D$15,2,FALSE)*DW$22,DW42&gt;VLOOKUP($C41,$C$3:$D$15,2,FALSE)*DW$22),VLOOKUP($C41,$C$3:$D$15,2,FALSE)*DW$22-DV43)))</f>
        <v>0</v>
      </c>
      <c r="DX41" s="642">
        <f t="shared" ref="DX41" si="1409" xml:space="preserve">
IF(DW43&gt;=VLOOKUP($C41,$C$3:$D$15,2,FALSE)*DX$22,0,
IF(AND(DW43&lt;VLOOKUP($C41,$C$3:$D$15,2,FALSE)*DX$22,DX42&lt;=VLOOKUP($C41,$C$3:$D$15,2,FALSE)*DX$22),IF(DX42-DW43&lt;0,0,DX42-DW43),
IF(AND(DW43&lt;VLOOKUP($C41,$C$3:$D$15,2,FALSE)*DX$22,DX42&gt;VLOOKUP($C41,$C$3:$D$15,2,FALSE)*DX$22),VLOOKUP($C41,$C$3:$D$15,2,FALSE)*DX$22-DW43)))</f>
        <v>0</v>
      </c>
      <c r="DY41" s="642">
        <f t="shared" ref="DY41" si="1410" xml:space="preserve">
IF(DX43&gt;=VLOOKUP($C41,$C$3:$D$15,2,FALSE)*DY$22,0,
IF(AND(DX43&lt;VLOOKUP($C41,$C$3:$D$15,2,FALSE)*DY$22,DY42&lt;=VLOOKUP($C41,$C$3:$D$15,2,FALSE)*DY$22),IF(DY42-DX43&lt;0,0,DY42-DX43),
IF(AND(DX43&lt;VLOOKUP($C41,$C$3:$D$15,2,FALSE)*DY$22,DY42&gt;VLOOKUP($C41,$C$3:$D$15,2,FALSE)*DY$22),VLOOKUP($C41,$C$3:$D$15,2,FALSE)*DY$22-DX43)))</f>
        <v>0</v>
      </c>
      <c r="DZ41" s="642">
        <f t="shared" ref="DZ41" si="1411" xml:space="preserve">
IF(DY43&gt;=VLOOKUP($C41,$C$3:$D$15,2,FALSE)*DZ$22,0,
IF(AND(DY43&lt;VLOOKUP($C41,$C$3:$D$15,2,FALSE)*DZ$22,DZ42&lt;=VLOOKUP($C41,$C$3:$D$15,2,FALSE)*DZ$22),IF(DZ42-DY43&lt;0,0,DZ42-DY43),
IF(AND(DY43&lt;VLOOKUP($C41,$C$3:$D$15,2,FALSE)*DZ$22,DZ42&gt;VLOOKUP($C41,$C$3:$D$15,2,FALSE)*DZ$22),VLOOKUP($C41,$C$3:$D$15,2,FALSE)*DZ$22-DY43)))</f>
        <v>0</v>
      </c>
      <c r="EA41" s="642">
        <f t="shared" ref="EA41" si="1412" xml:space="preserve">
IF(DZ43&gt;=VLOOKUP($C41,$C$3:$D$15,2,FALSE)*EA$22,0,
IF(AND(DZ43&lt;VLOOKUP($C41,$C$3:$D$15,2,FALSE)*EA$22,EA42&lt;=VLOOKUP($C41,$C$3:$D$15,2,FALSE)*EA$22),IF(EA42-DZ43&lt;0,0,EA42-DZ43),
IF(AND(DZ43&lt;VLOOKUP($C41,$C$3:$D$15,2,FALSE)*EA$22,EA42&gt;VLOOKUP($C41,$C$3:$D$15,2,FALSE)*EA$22),VLOOKUP($C41,$C$3:$D$15,2,FALSE)*EA$22-DZ43)))</f>
        <v>0</v>
      </c>
      <c r="EB41" s="642">
        <f t="shared" ref="EB41" si="1413" xml:space="preserve">
IF(EA43&gt;=VLOOKUP($C41,$C$3:$D$15,2,FALSE)*EB$22,0,
IF(AND(EA43&lt;VLOOKUP($C41,$C$3:$D$15,2,FALSE)*EB$22,EB42&lt;=VLOOKUP($C41,$C$3:$D$15,2,FALSE)*EB$22),IF(EB42-EA43&lt;0,0,EB42-EA43),
IF(AND(EA43&lt;VLOOKUP($C41,$C$3:$D$15,2,FALSE)*EB$22,EB42&gt;VLOOKUP($C41,$C$3:$D$15,2,FALSE)*EB$22),VLOOKUP($C41,$C$3:$D$15,2,FALSE)*EB$22-EA43)))</f>
        <v>0</v>
      </c>
      <c r="EC41" s="642">
        <f t="shared" ref="EC41" si="1414" xml:space="preserve">
IF(EB43&gt;=VLOOKUP($C41,$C$3:$D$15,2,FALSE)*EC$22,0,
IF(AND(EB43&lt;VLOOKUP($C41,$C$3:$D$15,2,FALSE)*EC$22,EC42&lt;=VLOOKUP($C41,$C$3:$D$15,2,FALSE)*EC$22),IF(EC42-EB43&lt;0,0,EC42-EB43),
IF(AND(EB43&lt;VLOOKUP($C41,$C$3:$D$15,2,FALSE)*EC$22,EC42&gt;VLOOKUP($C41,$C$3:$D$15,2,FALSE)*EC$22),VLOOKUP($C41,$C$3:$D$15,2,FALSE)*EC$22-EB43)))</f>
        <v>0</v>
      </c>
      <c r="ED41" s="642">
        <f t="shared" ref="ED41" si="1415" xml:space="preserve">
IF(EC43&gt;=VLOOKUP($C41,$C$3:$D$15,2,FALSE)*ED$22,0,
IF(AND(EC43&lt;VLOOKUP($C41,$C$3:$D$15,2,FALSE)*ED$22,ED42&lt;=VLOOKUP($C41,$C$3:$D$15,2,FALSE)*ED$22),IF(ED42-EC43&lt;0,0,ED42-EC43),
IF(AND(EC43&lt;VLOOKUP($C41,$C$3:$D$15,2,FALSE)*ED$22,ED42&gt;VLOOKUP($C41,$C$3:$D$15,2,FALSE)*ED$22),VLOOKUP($C41,$C$3:$D$15,2,FALSE)*ED$22-EC43)))</f>
        <v>0</v>
      </c>
      <c r="EE41" s="642">
        <f t="shared" ref="EE41" si="1416" xml:space="preserve">
IF(ED43&gt;=VLOOKUP($C41,$C$3:$D$15,2,FALSE)*EE$22,0,
IF(AND(ED43&lt;VLOOKUP($C41,$C$3:$D$15,2,FALSE)*EE$22,EE42&lt;=VLOOKUP($C41,$C$3:$D$15,2,FALSE)*EE$22),IF(EE42-ED43&lt;0,0,EE42-ED43),
IF(AND(ED43&lt;VLOOKUP($C41,$C$3:$D$15,2,FALSE)*EE$22,EE42&gt;VLOOKUP($C41,$C$3:$D$15,2,FALSE)*EE$22),VLOOKUP($C41,$C$3:$D$15,2,FALSE)*EE$22-ED43)))</f>
        <v>0</v>
      </c>
      <c r="EF41" s="642">
        <f t="shared" ref="EF41" si="1417" xml:space="preserve">
IF(EE43&gt;=VLOOKUP($C41,$C$3:$D$15,2,FALSE)*EF$22,0,
IF(AND(EE43&lt;VLOOKUP($C41,$C$3:$D$15,2,FALSE)*EF$22,EF42&lt;=VLOOKUP($C41,$C$3:$D$15,2,FALSE)*EF$22),IF(EF42-EE43&lt;0,0,EF42-EE43),
IF(AND(EE43&lt;VLOOKUP($C41,$C$3:$D$15,2,FALSE)*EF$22,EF42&gt;VLOOKUP($C41,$C$3:$D$15,2,FALSE)*EF$22),VLOOKUP($C41,$C$3:$D$15,2,FALSE)*EF$22-EE43)))</f>
        <v>0</v>
      </c>
      <c r="EG41" s="642">
        <f t="shared" ref="EG41" si="1418" xml:space="preserve">
IF(EF43&gt;=VLOOKUP($C41,$C$3:$D$15,2,FALSE)*EG$22,0,
IF(AND(EF43&lt;VLOOKUP($C41,$C$3:$D$15,2,FALSE)*EG$22,EG42&lt;=VLOOKUP($C41,$C$3:$D$15,2,FALSE)*EG$22),IF(EG42-EF43&lt;0,0,EG42-EF43),
IF(AND(EF43&lt;VLOOKUP($C41,$C$3:$D$15,2,FALSE)*EG$22,EG42&gt;VLOOKUP($C41,$C$3:$D$15,2,FALSE)*EG$22),VLOOKUP($C41,$C$3:$D$15,2,FALSE)*EG$22-EF43)))</f>
        <v>0</v>
      </c>
      <c r="EH41" s="642">
        <f t="shared" ref="EH41" si="1419" xml:space="preserve">
IF(EG43&gt;=VLOOKUP($C41,$C$3:$D$15,2,FALSE)*EH$22,0,
IF(AND(EG43&lt;VLOOKUP($C41,$C$3:$D$15,2,FALSE)*EH$22,EH42&lt;=VLOOKUP($C41,$C$3:$D$15,2,FALSE)*EH$22),IF(EH42-EG43&lt;0,0,EH42-EG43),
IF(AND(EG43&lt;VLOOKUP($C41,$C$3:$D$15,2,FALSE)*EH$22,EH42&gt;VLOOKUP($C41,$C$3:$D$15,2,FALSE)*EH$22),VLOOKUP($C41,$C$3:$D$15,2,FALSE)*EH$22-EG43)))</f>
        <v>0</v>
      </c>
      <c r="EI41" s="642">
        <f t="shared" ref="EI41" si="1420" xml:space="preserve">
IF(EH43&gt;=VLOOKUP($C41,$C$3:$D$15,2,FALSE)*EI$22,0,
IF(AND(EH43&lt;VLOOKUP($C41,$C$3:$D$15,2,FALSE)*EI$22,EI42&lt;=VLOOKUP($C41,$C$3:$D$15,2,FALSE)*EI$22),IF(EI42-EH43&lt;0,0,EI42-EH43),
IF(AND(EH43&lt;VLOOKUP($C41,$C$3:$D$15,2,FALSE)*EI$22,EI42&gt;VLOOKUP($C41,$C$3:$D$15,2,FALSE)*EI$22),VLOOKUP($C41,$C$3:$D$15,2,FALSE)*EI$22-EH43)))</f>
        <v>0</v>
      </c>
      <c r="EJ41" s="642">
        <f t="shared" ref="EJ41" si="1421" xml:space="preserve">
IF(EI43&gt;=VLOOKUP($C41,$C$3:$D$15,2,FALSE)*EJ$22,0,
IF(AND(EI43&lt;VLOOKUP($C41,$C$3:$D$15,2,FALSE)*EJ$22,EJ42&lt;=VLOOKUP($C41,$C$3:$D$15,2,FALSE)*EJ$22),IF(EJ42-EI43&lt;0,0,EJ42-EI43),
IF(AND(EI43&lt;VLOOKUP($C41,$C$3:$D$15,2,FALSE)*EJ$22,EJ42&gt;VLOOKUP($C41,$C$3:$D$15,2,FALSE)*EJ$22),VLOOKUP($C41,$C$3:$D$15,2,FALSE)*EJ$22-EI43)))</f>
        <v>0</v>
      </c>
      <c r="EK41" s="642">
        <f t="shared" ref="EK41" si="1422" xml:space="preserve">
IF(EJ43&gt;=VLOOKUP($C41,$C$3:$D$15,2,FALSE)*EK$22,0,
IF(AND(EJ43&lt;VLOOKUP($C41,$C$3:$D$15,2,FALSE)*EK$22,EK42&lt;=VLOOKUP($C41,$C$3:$D$15,2,FALSE)*EK$22),IF(EK42-EJ43&lt;0,0,EK42-EJ43),
IF(AND(EJ43&lt;VLOOKUP($C41,$C$3:$D$15,2,FALSE)*EK$22,EK42&gt;VLOOKUP($C41,$C$3:$D$15,2,FALSE)*EK$22),VLOOKUP($C41,$C$3:$D$15,2,FALSE)*EK$22-EJ43)))</f>
        <v>0</v>
      </c>
      <c r="EL41" s="642">
        <f t="shared" ref="EL41" si="1423" xml:space="preserve">
IF(EK43&gt;=VLOOKUP($C41,$C$3:$D$15,2,FALSE)*EL$22,0,
IF(AND(EK43&lt;VLOOKUP($C41,$C$3:$D$15,2,FALSE)*EL$22,EL42&lt;=VLOOKUP($C41,$C$3:$D$15,2,FALSE)*EL$22),IF(EL42-EK43&lt;0,0,EL42-EK43),
IF(AND(EK43&lt;VLOOKUP($C41,$C$3:$D$15,2,FALSE)*EL$22,EL42&gt;VLOOKUP($C41,$C$3:$D$15,2,FALSE)*EL$22),VLOOKUP($C41,$C$3:$D$15,2,FALSE)*EL$22-EK43)))</f>
        <v>0</v>
      </c>
      <c r="EM41" s="642">
        <f t="shared" ref="EM41" si="1424" xml:space="preserve">
IF(EL43&gt;=VLOOKUP($C41,$C$3:$D$15,2,FALSE)*EM$22,0,
IF(AND(EL43&lt;VLOOKUP($C41,$C$3:$D$15,2,FALSE)*EM$22,EM42&lt;=VLOOKUP($C41,$C$3:$D$15,2,FALSE)*EM$22),IF(EM42-EL43&lt;0,0,EM42-EL43),
IF(AND(EL43&lt;VLOOKUP($C41,$C$3:$D$15,2,FALSE)*EM$22,EM42&gt;VLOOKUP($C41,$C$3:$D$15,2,FALSE)*EM$22),VLOOKUP($C41,$C$3:$D$15,2,FALSE)*EM$22-EL43)))</f>
        <v>0</v>
      </c>
      <c r="EN41" s="642">
        <f t="shared" ref="EN41" si="1425" xml:space="preserve">
IF(EM43&gt;=VLOOKUP($C41,$C$3:$D$15,2,FALSE)*EN$22,0,
IF(AND(EM43&lt;VLOOKUP($C41,$C$3:$D$15,2,FALSE)*EN$22,EN42&lt;=VLOOKUP($C41,$C$3:$D$15,2,FALSE)*EN$22),IF(EN42-EM43&lt;0,0,EN42-EM43),
IF(AND(EM43&lt;VLOOKUP($C41,$C$3:$D$15,2,FALSE)*EN$22,EN42&gt;VLOOKUP($C41,$C$3:$D$15,2,FALSE)*EN$22),VLOOKUP($C41,$C$3:$D$15,2,FALSE)*EN$22-EM43)))</f>
        <v>0</v>
      </c>
      <c r="EO41" s="642">
        <f t="shared" ref="EO41" si="1426" xml:space="preserve">
IF(EN43&gt;=VLOOKUP($C41,$C$3:$D$15,2,FALSE)*EO$22,0,
IF(AND(EN43&lt;VLOOKUP($C41,$C$3:$D$15,2,FALSE)*EO$22,EO42&lt;=VLOOKUP($C41,$C$3:$D$15,2,FALSE)*EO$22),IF(EO42-EN43&lt;0,0,EO42-EN43),
IF(AND(EN43&lt;VLOOKUP($C41,$C$3:$D$15,2,FALSE)*EO$22,EO42&gt;VLOOKUP($C41,$C$3:$D$15,2,FALSE)*EO$22),VLOOKUP($C41,$C$3:$D$15,2,FALSE)*EO$22-EN43)))</f>
        <v>0</v>
      </c>
      <c r="EP41" s="642">
        <f t="shared" ref="EP41" si="1427" xml:space="preserve">
IF(EO43&gt;=VLOOKUP($C41,$C$3:$D$15,2,FALSE)*EP$22,0,
IF(AND(EO43&lt;VLOOKUP($C41,$C$3:$D$15,2,FALSE)*EP$22,EP42&lt;=VLOOKUP($C41,$C$3:$D$15,2,FALSE)*EP$22),IF(EP42-EO43&lt;0,0,EP42-EO43),
IF(AND(EO43&lt;VLOOKUP($C41,$C$3:$D$15,2,FALSE)*EP$22,EP42&gt;VLOOKUP($C41,$C$3:$D$15,2,FALSE)*EP$22),VLOOKUP($C41,$C$3:$D$15,2,FALSE)*EP$22-EO43)))</f>
        <v>0</v>
      </c>
      <c r="EQ41" s="642">
        <f t="shared" ref="EQ41" si="1428" xml:space="preserve">
IF(EP43&gt;=VLOOKUP($C41,$C$3:$D$15,2,FALSE)*EQ$22,0,
IF(AND(EP43&lt;VLOOKUP($C41,$C$3:$D$15,2,FALSE)*EQ$22,EQ42&lt;=VLOOKUP($C41,$C$3:$D$15,2,FALSE)*EQ$22),IF(EQ42-EP43&lt;0,0,EQ42-EP43),
IF(AND(EP43&lt;VLOOKUP($C41,$C$3:$D$15,2,FALSE)*EQ$22,EQ42&gt;VLOOKUP($C41,$C$3:$D$15,2,FALSE)*EQ$22),VLOOKUP($C41,$C$3:$D$15,2,FALSE)*EQ$22-EP43)))</f>
        <v>0</v>
      </c>
      <c r="ER41" s="642">
        <f t="shared" ref="ER41" si="1429" xml:space="preserve">
IF(EQ43&gt;=VLOOKUP($C41,$C$3:$D$15,2,FALSE)*ER$22,0,
IF(AND(EQ43&lt;VLOOKUP($C41,$C$3:$D$15,2,FALSE)*ER$22,ER42&lt;=VLOOKUP($C41,$C$3:$D$15,2,FALSE)*ER$22),IF(ER42-EQ43&lt;0,0,ER42-EQ43),
IF(AND(EQ43&lt;VLOOKUP($C41,$C$3:$D$15,2,FALSE)*ER$22,ER42&gt;VLOOKUP($C41,$C$3:$D$15,2,FALSE)*ER$22),VLOOKUP($C41,$C$3:$D$15,2,FALSE)*ER$22-EQ43)))</f>
        <v>0</v>
      </c>
      <c r="ES41" s="642">
        <f t="shared" ref="ES41" si="1430" xml:space="preserve">
IF(ER43&gt;=VLOOKUP($C41,$C$3:$D$15,2,FALSE)*ES$22,0,
IF(AND(ER43&lt;VLOOKUP($C41,$C$3:$D$15,2,FALSE)*ES$22,ES42&lt;=VLOOKUP($C41,$C$3:$D$15,2,FALSE)*ES$22),IF(ES42-ER43&lt;0,0,ES42-ER43),
IF(AND(ER43&lt;VLOOKUP($C41,$C$3:$D$15,2,FALSE)*ES$22,ES42&gt;VLOOKUP($C41,$C$3:$D$15,2,FALSE)*ES$22),VLOOKUP($C41,$C$3:$D$15,2,FALSE)*ES$22-ER43)))</f>
        <v>0</v>
      </c>
      <c r="ET41" s="642">
        <f t="shared" ref="ET41" si="1431" xml:space="preserve">
IF(ES43&gt;=VLOOKUP($C41,$C$3:$D$15,2,FALSE)*ET$22,0,
IF(AND(ES43&lt;VLOOKUP($C41,$C$3:$D$15,2,FALSE)*ET$22,ET42&lt;=VLOOKUP($C41,$C$3:$D$15,2,FALSE)*ET$22),IF(ET42-ES43&lt;0,0,ET42-ES43),
IF(AND(ES43&lt;VLOOKUP($C41,$C$3:$D$15,2,FALSE)*ET$22,ET42&gt;VLOOKUP($C41,$C$3:$D$15,2,FALSE)*ET$22),VLOOKUP($C41,$C$3:$D$15,2,FALSE)*ET$22-ES43)))</f>
        <v>0</v>
      </c>
      <c r="EU41" s="642">
        <f t="shared" ref="EU41" si="1432" xml:space="preserve">
IF(ET43&gt;=VLOOKUP($C41,$C$3:$D$15,2,FALSE)*EU$22,0,
IF(AND(ET43&lt;VLOOKUP($C41,$C$3:$D$15,2,FALSE)*EU$22,EU42&lt;=VLOOKUP($C41,$C$3:$D$15,2,FALSE)*EU$22),IF(EU42-ET43&lt;0,0,EU42-ET43),
IF(AND(ET43&lt;VLOOKUP($C41,$C$3:$D$15,2,FALSE)*EU$22,EU42&gt;VLOOKUP($C41,$C$3:$D$15,2,FALSE)*EU$22),VLOOKUP($C41,$C$3:$D$15,2,FALSE)*EU$22-ET43)))</f>
        <v>0</v>
      </c>
      <c r="EV41" s="642">
        <f t="shared" ref="EV41" si="1433" xml:space="preserve">
IF(EU43&gt;=VLOOKUP($C41,$C$3:$D$15,2,FALSE)*EV$22,0,
IF(AND(EU43&lt;VLOOKUP($C41,$C$3:$D$15,2,FALSE)*EV$22,EV42&lt;=VLOOKUP($C41,$C$3:$D$15,2,FALSE)*EV$22),IF(EV42-EU43&lt;0,0,EV42-EU43),
IF(AND(EU43&lt;VLOOKUP($C41,$C$3:$D$15,2,FALSE)*EV$22,EV42&gt;VLOOKUP($C41,$C$3:$D$15,2,FALSE)*EV$22),VLOOKUP($C41,$C$3:$D$15,2,FALSE)*EV$22-EU43)))</f>
        <v>0</v>
      </c>
      <c r="EW41" s="642">
        <f t="shared" ref="EW41" si="1434" xml:space="preserve">
IF(EV43&gt;=VLOOKUP($C41,$C$3:$D$15,2,FALSE)*EW$22,0,
IF(AND(EV43&lt;VLOOKUP($C41,$C$3:$D$15,2,FALSE)*EW$22,EW42&lt;=VLOOKUP($C41,$C$3:$D$15,2,FALSE)*EW$22),IF(EW42-EV43&lt;0,0,EW42-EV43),
IF(AND(EV43&lt;VLOOKUP($C41,$C$3:$D$15,2,FALSE)*EW$22,EW42&gt;VLOOKUP($C41,$C$3:$D$15,2,FALSE)*EW$22),VLOOKUP($C41,$C$3:$D$15,2,FALSE)*EW$22-EV43)))</f>
        <v>0</v>
      </c>
      <c r="EX41" s="642">
        <f t="shared" ref="EX41" si="1435" xml:space="preserve">
IF(EW43&gt;=VLOOKUP($C41,$C$3:$D$15,2,FALSE)*EX$22,0,
IF(AND(EW43&lt;VLOOKUP($C41,$C$3:$D$15,2,FALSE)*EX$22,EX42&lt;=VLOOKUP($C41,$C$3:$D$15,2,FALSE)*EX$22),IF(EX42-EW43&lt;0,0,EX42-EW43),
IF(AND(EW43&lt;VLOOKUP($C41,$C$3:$D$15,2,FALSE)*EX$22,EX42&gt;VLOOKUP($C41,$C$3:$D$15,2,FALSE)*EX$22),VLOOKUP($C41,$C$3:$D$15,2,FALSE)*EX$22-EW43)))</f>
        <v>0</v>
      </c>
      <c r="EY41" s="642">
        <f t="shared" ref="EY41" si="1436" xml:space="preserve">
IF(EX43&gt;=VLOOKUP($C41,$C$3:$D$15,2,FALSE)*EY$22,0,
IF(AND(EX43&lt;VLOOKUP($C41,$C$3:$D$15,2,FALSE)*EY$22,EY42&lt;=VLOOKUP($C41,$C$3:$D$15,2,FALSE)*EY$22),IF(EY42-EX43&lt;0,0,EY42-EX43),
IF(AND(EX43&lt;VLOOKUP($C41,$C$3:$D$15,2,FALSE)*EY$22,EY42&gt;VLOOKUP($C41,$C$3:$D$15,2,FALSE)*EY$22),VLOOKUP($C41,$C$3:$D$15,2,FALSE)*EY$22-EX43)))</f>
        <v>0</v>
      </c>
      <c r="EZ41" s="642">
        <f t="shared" ref="EZ41" si="1437" xml:space="preserve">
IF(EY43&gt;=VLOOKUP($C41,$C$3:$D$15,2,FALSE)*EZ$22,0,
IF(AND(EY43&lt;VLOOKUP($C41,$C$3:$D$15,2,FALSE)*EZ$22,EZ42&lt;=VLOOKUP($C41,$C$3:$D$15,2,FALSE)*EZ$22),IF(EZ42-EY43&lt;0,0,EZ42-EY43),
IF(AND(EY43&lt;VLOOKUP($C41,$C$3:$D$15,2,FALSE)*EZ$22,EZ42&gt;VLOOKUP($C41,$C$3:$D$15,2,FALSE)*EZ$22),VLOOKUP($C41,$C$3:$D$15,2,FALSE)*EZ$22-EY43)))</f>
        <v>0</v>
      </c>
      <c r="FA41" s="642">
        <f t="shared" ref="FA41" si="1438" xml:space="preserve">
IF(EZ43&gt;=VLOOKUP($C41,$C$3:$D$15,2,FALSE)*FA$22,0,
IF(AND(EZ43&lt;VLOOKUP($C41,$C$3:$D$15,2,FALSE)*FA$22,FA42&lt;=VLOOKUP($C41,$C$3:$D$15,2,FALSE)*FA$22),IF(FA42-EZ43&lt;0,0,FA42-EZ43),
IF(AND(EZ43&lt;VLOOKUP($C41,$C$3:$D$15,2,FALSE)*FA$22,FA42&gt;VLOOKUP($C41,$C$3:$D$15,2,FALSE)*FA$22),VLOOKUP($C41,$C$3:$D$15,2,FALSE)*FA$22-EZ43)))</f>
        <v>0</v>
      </c>
      <c r="FB41" s="642">
        <f t="shared" ref="FB41" si="1439" xml:space="preserve">
IF(FA43&gt;=VLOOKUP($C41,$C$3:$D$15,2,FALSE)*FB$22,0,
IF(AND(FA43&lt;VLOOKUP($C41,$C$3:$D$15,2,FALSE)*FB$22,FB42&lt;=VLOOKUP($C41,$C$3:$D$15,2,FALSE)*FB$22),IF(FB42-FA43&lt;0,0,FB42-FA43),
IF(AND(FA43&lt;VLOOKUP($C41,$C$3:$D$15,2,FALSE)*FB$22,FB42&gt;VLOOKUP($C41,$C$3:$D$15,2,FALSE)*FB$22),VLOOKUP($C41,$C$3:$D$15,2,FALSE)*FB$22-FA43)))</f>
        <v>0</v>
      </c>
      <c r="FC41" s="642">
        <f t="shared" ref="FC41" si="1440" xml:space="preserve">
IF(FB43&gt;=VLOOKUP($C41,$C$3:$D$15,2,FALSE)*FC$22,0,
IF(AND(FB43&lt;VLOOKUP($C41,$C$3:$D$15,2,FALSE)*FC$22,FC42&lt;=VLOOKUP($C41,$C$3:$D$15,2,FALSE)*FC$22),IF(FC42-FB43&lt;0,0,FC42-FB43),
IF(AND(FB43&lt;VLOOKUP($C41,$C$3:$D$15,2,FALSE)*FC$22,FC42&gt;VLOOKUP($C41,$C$3:$D$15,2,FALSE)*FC$22),VLOOKUP($C41,$C$3:$D$15,2,FALSE)*FC$22-FB43)))</f>
        <v>0</v>
      </c>
      <c r="FD41" s="642">
        <f t="shared" ref="FD41" si="1441" xml:space="preserve">
IF(FC43&gt;=VLOOKUP($C41,$C$3:$D$15,2,FALSE)*FD$22,0,
IF(AND(FC43&lt;VLOOKUP($C41,$C$3:$D$15,2,FALSE)*FD$22,FD42&lt;=VLOOKUP($C41,$C$3:$D$15,2,FALSE)*FD$22),IF(FD42-FC43&lt;0,0,FD42-FC43),
IF(AND(FC43&lt;VLOOKUP($C41,$C$3:$D$15,2,FALSE)*FD$22,FD42&gt;VLOOKUP($C41,$C$3:$D$15,2,FALSE)*FD$22),VLOOKUP($C41,$C$3:$D$15,2,FALSE)*FD$22-FC43)))</f>
        <v>0</v>
      </c>
      <c r="FE41" s="642">
        <f t="shared" ref="FE41" si="1442" xml:space="preserve">
IF(FD43&gt;=VLOOKUP($C41,$C$3:$D$15,2,FALSE)*FE$22,0,
IF(AND(FD43&lt;VLOOKUP($C41,$C$3:$D$15,2,FALSE)*FE$22,FE42&lt;=VLOOKUP($C41,$C$3:$D$15,2,FALSE)*FE$22),IF(FE42-FD43&lt;0,0,FE42-FD43),
IF(AND(FD43&lt;VLOOKUP($C41,$C$3:$D$15,2,FALSE)*FE$22,FE42&gt;VLOOKUP($C41,$C$3:$D$15,2,FALSE)*FE$22),VLOOKUP($C41,$C$3:$D$15,2,FALSE)*FE$22-FD43)))</f>
        <v>0</v>
      </c>
      <c r="FF41" s="642">
        <f t="shared" ref="FF41" si="1443" xml:space="preserve">
IF(FE43&gt;=VLOOKUP($C41,$C$3:$D$15,2,FALSE)*FF$22,0,
IF(AND(FE43&lt;VLOOKUP($C41,$C$3:$D$15,2,FALSE)*FF$22,FF42&lt;=VLOOKUP($C41,$C$3:$D$15,2,FALSE)*FF$22),IF(FF42-FE43&lt;0,0,FF42-FE43),
IF(AND(FE43&lt;VLOOKUP($C41,$C$3:$D$15,2,FALSE)*FF$22,FF42&gt;VLOOKUP($C41,$C$3:$D$15,2,FALSE)*FF$22),VLOOKUP($C41,$C$3:$D$15,2,FALSE)*FF$22-FE43)))</f>
        <v>0</v>
      </c>
      <c r="FG41" s="642">
        <f t="shared" ref="FG41" si="1444" xml:space="preserve">
IF(FF43&gt;=VLOOKUP($C41,$C$3:$D$15,2,FALSE)*FG$22,0,
IF(AND(FF43&lt;VLOOKUP($C41,$C$3:$D$15,2,FALSE)*FG$22,FG42&lt;=VLOOKUP($C41,$C$3:$D$15,2,FALSE)*FG$22),IF(FG42-FF43&lt;0,0,FG42-FF43),
IF(AND(FF43&lt;VLOOKUP($C41,$C$3:$D$15,2,FALSE)*FG$22,FG42&gt;VLOOKUP($C41,$C$3:$D$15,2,FALSE)*FG$22),VLOOKUP($C41,$C$3:$D$15,2,FALSE)*FG$22-FF43)))</f>
        <v>0</v>
      </c>
      <c r="FH41" s="642">
        <f t="shared" ref="FH41" si="1445" xml:space="preserve">
IF(FG43&gt;=VLOOKUP($C41,$C$3:$D$15,2,FALSE)*FH$22,0,
IF(AND(FG43&lt;VLOOKUP($C41,$C$3:$D$15,2,FALSE)*FH$22,FH42&lt;=VLOOKUP($C41,$C$3:$D$15,2,FALSE)*FH$22),IF(FH42-FG43&lt;0,0,FH42-FG43),
IF(AND(FG43&lt;VLOOKUP($C41,$C$3:$D$15,2,FALSE)*FH$22,FH42&gt;VLOOKUP($C41,$C$3:$D$15,2,FALSE)*FH$22),VLOOKUP($C41,$C$3:$D$15,2,FALSE)*FH$22-FG43)))</f>
        <v>0</v>
      </c>
      <c r="FI41" s="642">
        <f t="shared" ref="FI41" si="1446" xml:space="preserve">
IF(FH43&gt;=VLOOKUP($C41,$C$3:$D$15,2,FALSE)*FI$22,0,
IF(AND(FH43&lt;VLOOKUP($C41,$C$3:$D$15,2,FALSE)*FI$22,FI42&lt;=VLOOKUP($C41,$C$3:$D$15,2,FALSE)*FI$22),IF(FI42-FH43&lt;0,0,FI42-FH43),
IF(AND(FH43&lt;VLOOKUP($C41,$C$3:$D$15,2,FALSE)*FI$22,FI42&gt;VLOOKUP($C41,$C$3:$D$15,2,FALSE)*FI$22),VLOOKUP($C41,$C$3:$D$15,2,FALSE)*FI$22-FH43)))</f>
        <v>0</v>
      </c>
      <c r="FJ41" s="642">
        <f t="shared" ref="FJ41" si="1447" xml:space="preserve">
IF(FI43&gt;=VLOOKUP($C41,$C$3:$D$15,2,FALSE)*FJ$22,0,
IF(AND(FI43&lt;VLOOKUP($C41,$C$3:$D$15,2,FALSE)*FJ$22,FJ42&lt;=VLOOKUP($C41,$C$3:$D$15,2,FALSE)*FJ$22),IF(FJ42-FI43&lt;0,0,FJ42-FI43),
IF(AND(FI43&lt;VLOOKUP($C41,$C$3:$D$15,2,FALSE)*FJ$22,FJ42&gt;VLOOKUP($C41,$C$3:$D$15,2,FALSE)*FJ$22),VLOOKUP($C41,$C$3:$D$15,2,FALSE)*FJ$22-FI43)))</f>
        <v>0</v>
      </c>
      <c r="FK41" s="642">
        <f t="shared" ref="FK41" si="1448" xml:space="preserve">
IF(FJ43&gt;=VLOOKUP($C41,$C$3:$D$15,2,FALSE)*FK$22,0,
IF(AND(FJ43&lt;VLOOKUP($C41,$C$3:$D$15,2,FALSE)*FK$22,FK42&lt;=VLOOKUP($C41,$C$3:$D$15,2,FALSE)*FK$22),IF(FK42-FJ43&lt;0,0,FK42-FJ43),
IF(AND(FJ43&lt;VLOOKUP($C41,$C$3:$D$15,2,FALSE)*FK$22,FK42&gt;VLOOKUP($C41,$C$3:$D$15,2,FALSE)*FK$22),VLOOKUP($C41,$C$3:$D$15,2,FALSE)*FK$22-FJ43)))</f>
        <v>0</v>
      </c>
      <c r="FL41" s="642">
        <f t="shared" ref="FL41" si="1449" xml:space="preserve">
IF(FK43&gt;=VLOOKUP($C41,$C$3:$D$15,2,FALSE)*FL$22,0,
IF(AND(FK43&lt;VLOOKUP($C41,$C$3:$D$15,2,FALSE)*FL$22,FL42&lt;=VLOOKUP($C41,$C$3:$D$15,2,FALSE)*FL$22),IF(FL42-FK43&lt;0,0,FL42-FK43),
IF(AND(FK43&lt;VLOOKUP($C41,$C$3:$D$15,2,FALSE)*FL$22,FL42&gt;VLOOKUP($C41,$C$3:$D$15,2,FALSE)*FL$22),VLOOKUP($C41,$C$3:$D$15,2,FALSE)*FL$22-FK43)))</f>
        <v>0</v>
      </c>
      <c r="FM41" s="642">
        <f t="shared" ref="FM41" si="1450" xml:space="preserve">
IF(FL43&gt;=VLOOKUP($C41,$C$3:$D$15,2,FALSE)*FM$22,0,
IF(AND(FL43&lt;VLOOKUP($C41,$C$3:$D$15,2,FALSE)*FM$22,FM42&lt;=VLOOKUP($C41,$C$3:$D$15,2,FALSE)*FM$22),IF(FM42-FL43&lt;0,0,FM42-FL43),
IF(AND(FL43&lt;VLOOKUP($C41,$C$3:$D$15,2,FALSE)*FM$22,FM42&gt;VLOOKUP($C41,$C$3:$D$15,2,FALSE)*FM$22),VLOOKUP($C41,$C$3:$D$15,2,FALSE)*FM$22-FL43)))</f>
        <v>0</v>
      </c>
      <c r="FN41" s="642">
        <f t="shared" ref="FN41" si="1451" xml:space="preserve">
IF(FM43&gt;=VLOOKUP($C41,$C$3:$D$15,2,FALSE)*FN$22,0,
IF(AND(FM43&lt;VLOOKUP($C41,$C$3:$D$15,2,FALSE)*FN$22,FN42&lt;=VLOOKUP($C41,$C$3:$D$15,2,FALSE)*FN$22),IF(FN42-FM43&lt;0,0,FN42-FM43),
IF(AND(FM43&lt;VLOOKUP($C41,$C$3:$D$15,2,FALSE)*FN$22,FN42&gt;VLOOKUP($C41,$C$3:$D$15,2,FALSE)*FN$22),VLOOKUP($C41,$C$3:$D$15,2,FALSE)*FN$22-FM43)))</f>
        <v>0</v>
      </c>
      <c r="FO41" s="642">
        <f t="shared" ref="FO41" si="1452" xml:space="preserve">
IF(FN43&gt;=VLOOKUP($C41,$C$3:$D$15,2,FALSE)*FO$22,0,
IF(AND(FN43&lt;VLOOKUP($C41,$C$3:$D$15,2,FALSE)*FO$22,FO42&lt;=VLOOKUP($C41,$C$3:$D$15,2,FALSE)*FO$22),IF(FO42-FN43&lt;0,0,FO42-FN43),
IF(AND(FN43&lt;VLOOKUP($C41,$C$3:$D$15,2,FALSE)*FO$22,FO42&gt;VLOOKUP($C41,$C$3:$D$15,2,FALSE)*FO$22),VLOOKUP($C41,$C$3:$D$15,2,FALSE)*FO$22-FN43)))</f>
        <v>0</v>
      </c>
      <c r="FP41" s="642">
        <f t="shared" ref="FP41" si="1453" xml:space="preserve">
IF(FO43&gt;=VLOOKUP($C41,$C$3:$D$15,2,FALSE)*FP$22,0,
IF(AND(FO43&lt;VLOOKUP($C41,$C$3:$D$15,2,FALSE)*FP$22,FP42&lt;=VLOOKUP($C41,$C$3:$D$15,2,FALSE)*FP$22),IF(FP42-FO43&lt;0,0,FP42-FO43),
IF(AND(FO43&lt;VLOOKUP($C41,$C$3:$D$15,2,FALSE)*FP$22,FP42&gt;VLOOKUP($C41,$C$3:$D$15,2,FALSE)*FP$22),VLOOKUP($C41,$C$3:$D$15,2,FALSE)*FP$22-FO43)))</f>
        <v>0</v>
      </c>
      <c r="FQ41" s="642">
        <f t="shared" ref="FQ41" si="1454" xml:space="preserve">
IF(FP43&gt;=VLOOKUP($C41,$C$3:$D$15,2,FALSE)*FQ$22,0,
IF(AND(FP43&lt;VLOOKUP($C41,$C$3:$D$15,2,FALSE)*FQ$22,FQ42&lt;=VLOOKUP($C41,$C$3:$D$15,2,FALSE)*FQ$22),IF(FQ42-FP43&lt;0,0,FQ42-FP43),
IF(AND(FP43&lt;VLOOKUP($C41,$C$3:$D$15,2,FALSE)*FQ$22,FQ42&gt;VLOOKUP($C41,$C$3:$D$15,2,FALSE)*FQ$22),VLOOKUP($C41,$C$3:$D$15,2,FALSE)*FQ$22-FP43)))</f>
        <v>0</v>
      </c>
      <c r="FR41" s="642">
        <f t="shared" ref="FR41" si="1455" xml:space="preserve">
IF(FQ43&gt;=VLOOKUP($C41,$C$3:$D$15,2,FALSE)*FR$22,0,
IF(AND(FQ43&lt;VLOOKUP($C41,$C$3:$D$15,2,FALSE)*FR$22,FR42&lt;=VLOOKUP($C41,$C$3:$D$15,2,FALSE)*FR$22),IF(FR42-FQ43&lt;0,0,FR42-FQ43),
IF(AND(FQ43&lt;VLOOKUP($C41,$C$3:$D$15,2,FALSE)*FR$22,FR42&gt;VLOOKUP($C41,$C$3:$D$15,2,FALSE)*FR$22),VLOOKUP($C41,$C$3:$D$15,2,FALSE)*FR$22-FQ43)))</f>
        <v>0</v>
      </c>
      <c r="FS41" s="642">
        <f t="shared" ref="FS41" si="1456" xml:space="preserve">
IF(FR43&gt;=VLOOKUP($C41,$C$3:$D$15,2,FALSE)*FS$22,0,
IF(AND(FR43&lt;VLOOKUP($C41,$C$3:$D$15,2,FALSE)*FS$22,FS42&lt;=VLOOKUP($C41,$C$3:$D$15,2,FALSE)*FS$22),IF(FS42-FR43&lt;0,0,FS42-FR43),
IF(AND(FR43&lt;VLOOKUP($C41,$C$3:$D$15,2,FALSE)*FS$22,FS42&gt;VLOOKUP($C41,$C$3:$D$15,2,FALSE)*FS$22),VLOOKUP($C41,$C$3:$D$15,2,FALSE)*FS$22-FR43)))</f>
        <v>0</v>
      </c>
      <c r="FT41" s="642">
        <f t="shared" ref="FT41" si="1457" xml:space="preserve">
IF(FS43&gt;=VLOOKUP($C41,$C$3:$D$15,2,FALSE)*FT$22,0,
IF(AND(FS43&lt;VLOOKUP($C41,$C$3:$D$15,2,FALSE)*FT$22,FT42&lt;=VLOOKUP($C41,$C$3:$D$15,2,FALSE)*FT$22),IF(FT42-FS43&lt;0,0,FT42-FS43),
IF(AND(FS43&lt;VLOOKUP($C41,$C$3:$D$15,2,FALSE)*FT$22,FT42&gt;VLOOKUP($C41,$C$3:$D$15,2,FALSE)*FT$22),VLOOKUP($C41,$C$3:$D$15,2,FALSE)*FT$22-FS43)))</f>
        <v>0</v>
      </c>
      <c r="FU41" s="642">
        <f t="shared" ref="FU41" si="1458" xml:space="preserve">
IF(FT43&gt;=VLOOKUP($C41,$C$3:$D$15,2,FALSE)*FU$22,0,
IF(AND(FT43&lt;VLOOKUP($C41,$C$3:$D$15,2,FALSE)*FU$22,FU42&lt;=VLOOKUP($C41,$C$3:$D$15,2,FALSE)*FU$22),IF(FU42-FT43&lt;0,0,FU42-FT43),
IF(AND(FT43&lt;VLOOKUP($C41,$C$3:$D$15,2,FALSE)*FU$22,FU42&gt;VLOOKUP($C41,$C$3:$D$15,2,FALSE)*FU$22),VLOOKUP($C41,$C$3:$D$15,2,FALSE)*FU$22-FT43)))</f>
        <v>0</v>
      </c>
      <c r="FV41" s="642">
        <f t="shared" ref="FV41" si="1459" xml:space="preserve">
IF(FU43&gt;=VLOOKUP($C41,$C$3:$D$15,2,FALSE)*FV$22,0,
IF(AND(FU43&lt;VLOOKUP($C41,$C$3:$D$15,2,FALSE)*FV$22,FV42&lt;=VLOOKUP($C41,$C$3:$D$15,2,FALSE)*FV$22),IF(FV42-FU43&lt;0,0,FV42-FU43),
IF(AND(FU43&lt;VLOOKUP($C41,$C$3:$D$15,2,FALSE)*FV$22,FV42&gt;VLOOKUP($C41,$C$3:$D$15,2,FALSE)*FV$22),VLOOKUP($C41,$C$3:$D$15,2,FALSE)*FV$22-FU43)))</f>
        <v>0</v>
      </c>
      <c r="FW41" s="642">
        <f t="shared" ref="FW41" si="1460" xml:space="preserve">
IF(FV43&gt;=VLOOKUP($C41,$C$3:$D$15,2,FALSE)*FW$22,0,
IF(AND(FV43&lt;VLOOKUP($C41,$C$3:$D$15,2,FALSE)*FW$22,FW42&lt;=VLOOKUP($C41,$C$3:$D$15,2,FALSE)*FW$22),IF(FW42-FV43&lt;0,0,FW42-FV43),
IF(AND(FV43&lt;VLOOKUP($C41,$C$3:$D$15,2,FALSE)*FW$22,FW42&gt;VLOOKUP($C41,$C$3:$D$15,2,FALSE)*FW$22),VLOOKUP($C41,$C$3:$D$15,2,FALSE)*FW$22-FV43)))</f>
        <v>0</v>
      </c>
      <c r="FX41" s="642">
        <f t="shared" ref="FX41" si="1461" xml:space="preserve">
IF(FW43&gt;=VLOOKUP($C41,$C$3:$D$15,2,FALSE)*FX$22,0,
IF(AND(FW43&lt;VLOOKUP($C41,$C$3:$D$15,2,FALSE)*FX$22,FX42&lt;=VLOOKUP($C41,$C$3:$D$15,2,FALSE)*FX$22),IF(FX42-FW43&lt;0,0,FX42-FW43),
IF(AND(FW43&lt;VLOOKUP($C41,$C$3:$D$15,2,FALSE)*FX$22,FX42&gt;VLOOKUP($C41,$C$3:$D$15,2,FALSE)*FX$22),VLOOKUP($C41,$C$3:$D$15,2,FALSE)*FX$22-FW43)))</f>
        <v>0</v>
      </c>
      <c r="FY41" s="642">
        <f t="shared" ref="FY41" si="1462" xml:space="preserve">
IF(FX43&gt;=VLOOKUP($C41,$C$3:$D$15,2,FALSE)*FY$22,0,
IF(AND(FX43&lt;VLOOKUP($C41,$C$3:$D$15,2,FALSE)*FY$22,FY42&lt;=VLOOKUP($C41,$C$3:$D$15,2,FALSE)*FY$22),IF(FY42-FX43&lt;0,0,FY42-FX43),
IF(AND(FX43&lt;VLOOKUP($C41,$C$3:$D$15,2,FALSE)*FY$22,FY42&gt;VLOOKUP($C41,$C$3:$D$15,2,FALSE)*FY$22),VLOOKUP($C41,$C$3:$D$15,2,FALSE)*FY$22-FX43)))</f>
        <v>0</v>
      </c>
      <c r="FZ41" s="642">
        <f t="shared" ref="FZ41" si="1463" xml:space="preserve">
IF(FY43&gt;=VLOOKUP($C41,$C$3:$D$15,2,FALSE)*FZ$22,0,
IF(AND(FY43&lt;VLOOKUP($C41,$C$3:$D$15,2,FALSE)*FZ$22,FZ42&lt;=VLOOKUP($C41,$C$3:$D$15,2,FALSE)*FZ$22),IF(FZ42-FY43&lt;0,0,FZ42-FY43),
IF(AND(FY43&lt;VLOOKUP($C41,$C$3:$D$15,2,FALSE)*FZ$22,FZ42&gt;VLOOKUP($C41,$C$3:$D$15,2,FALSE)*FZ$22),VLOOKUP($C41,$C$3:$D$15,2,FALSE)*FZ$22-FY43)))</f>
        <v>0</v>
      </c>
      <c r="GA41" s="642">
        <f t="shared" ref="GA41" si="1464" xml:space="preserve">
IF(FZ43&gt;=VLOOKUP($C41,$C$3:$D$15,2,FALSE)*GA$22,0,
IF(AND(FZ43&lt;VLOOKUP($C41,$C$3:$D$15,2,FALSE)*GA$22,GA42&lt;=VLOOKUP($C41,$C$3:$D$15,2,FALSE)*GA$22),IF(GA42-FZ43&lt;0,0,GA42-FZ43),
IF(AND(FZ43&lt;VLOOKUP($C41,$C$3:$D$15,2,FALSE)*GA$22,GA42&gt;VLOOKUP($C41,$C$3:$D$15,2,FALSE)*GA$22),VLOOKUP($C41,$C$3:$D$15,2,FALSE)*GA$22-FZ43)))</f>
        <v>0</v>
      </c>
      <c r="GB41" s="642">
        <f t="shared" ref="GB41" si="1465" xml:space="preserve">
IF(GA43&gt;=VLOOKUP($C41,$C$3:$D$15,2,FALSE)*GB$22,0,
IF(AND(GA43&lt;VLOOKUP($C41,$C$3:$D$15,2,FALSE)*GB$22,GB42&lt;=VLOOKUP($C41,$C$3:$D$15,2,FALSE)*GB$22),IF(GB42-GA43&lt;0,0,GB42-GA43),
IF(AND(GA43&lt;VLOOKUP($C41,$C$3:$D$15,2,FALSE)*GB$22,GB42&gt;VLOOKUP($C41,$C$3:$D$15,2,FALSE)*GB$22),VLOOKUP($C41,$C$3:$D$15,2,FALSE)*GB$22-GA43)))</f>
        <v>0</v>
      </c>
      <c r="GC41" s="642">
        <f t="shared" ref="GC41" si="1466" xml:space="preserve">
IF(GB43&gt;=VLOOKUP($C41,$C$3:$D$15,2,FALSE)*GC$22,0,
IF(AND(GB43&lt;VLOOKUP($C41,$C$3:$D$15,2,FALSE)*GC$22,GC42&lt;=VLOOKUP($C41,$C$3:$D$15,2,FALSE)*GC$22),IF(GC42-GB43&lt;0,0,GC42-GB43),
IF(AND(GB43&lt;VLOOKUP($C41,$C$3:$D$15,2,FALSE)*GC$22,GC42&gt;VLOOKUP($C41,$C$3:$D$15,2,FALSE)*GC$22),VLOOKUP($C41,$C$3:$D$15,2,FALSE)*GC$22-GB43)))</f>
        <v>0</v>
      </c>
      <c r="GD41" s="642">
        <f t="shared" ref="GD41" si="1467" xml:space="preserve">
IF(GC43&gt;=VLOOKUP($C41,$C$3:$D$15,2,FALSE)*GD$22,0,
IF(AND(GC43&lt;VLOOKUP($C41,$C$3:$D$15,2,FALSE)*GD$22,GD42&lt;=VLOOKUP($C41,$C$3:$D$15,2,FALSE)*GD$22),IF(GD42-GC43&lt;0,0,GD42-GC43),
IF(AND(GC43&lt;VLOOKUP($C41,$C$3:$D$15,2,FALSE)*GD$22,GD42&gt;VLOOKUP($C41,$C$3:$D$15,2,FALSE)*GD$22),VLOOKUP($C41,$C$3:$D$15,2,FALSE)*GD$22-GC43)))</f>
        <v>0</v>
      </c>
      <c r="GE41" s="642">
        <f t="shared" ref="GE41" si="1468" xml:space="preserve">
IF(GD43&gt;=VLOOKUP($C41,$C$3:$D$15,2,FALSE)*GE$22,0,
IF(AND(GD43&lt;VLOOKUP($C41,$C$3:$D$15,2,FALSE)*GE$22,GE42&lt;=VLOOKUP($C41,$C$3:$D$15,2,FALSE)*GE$22),IF(GE42-GD43&lt;0,0,GE42-GD43),
IF(AND(GD43&lt;VLOOKUP($C41,$C$3:$D$15,2,FALSE)*GE$22,GE42&gt;VLOOKUP($C41,$C$3:$D$15,2,FALSE)*GE$22),VLOOKUP($C41,$C$3:$D$15,2,FALSE)*GE$22-GD43)))</f>
        <v>0</v>
      </c>
      <c r="GF41" s="642">
        <f t="shared" ref="GF41" si="1469" xml:space="preserve">
IF(GE43&gt;=VLOOKUP($C41,$C$3:$D$15,2,FALSE)*GF$22,0,
IF(AND(GE43&lt;VLOOKUP($C41,$C$3:$D$15,2,FALSE)*GF$22,GF42&lt;=VLOOKUP($C41,$C$3:$D$15,2,FALSE)*GF$22),IF(GF42-GE43&lt;0,0,GF42-GE43),
IF(AND(GE43&lt;VLOOKUP($C41,$C$3:$D$15,2,FALSE)*GF$22,GF42&gt;VLOOKUP($C41,$C$3:$D$15,2,FALSE)*GF$22),VLOOKUP($C41,$C$3:$D$15,2,FALSE)*GF$22-GE43)))</f>
        <v>0</v>
      </c>
      <c r="GG41" s="642">
        <f t="shared" ref="GG41" si="1470" xml:space="preserve">
IF(GF43&gt;=VLOOKUP($C41,$C$3:$D$15,2,FALSE)*GG$22,0,
IF(AND(GF43&lt;VLOOKUP($C41,$C$3:$D$15,2,FALSE)*GG$22,GG42&lt;=VLOOKUP($C41,$C$3:$D$15,2,FALSE)*GG$22),IF(GG42-GF43&lt;0,0,GG42-GF43),
IF(AND(GF43&lt;VLOOKUP($C41,$C$3:$D$15,2,FALSE)*GG$22,GG42&gt;VLOOKUP($C41,$C$3:$D$15,2,FALSE)*GG$22),VLOOKUP($C41,$C$3:$D$15,2,FALSE)*GG$22-GF43)))</f>
        <v>0</v>
      </c>
      <c r="GH41" s="642">
        <f t="shared" ref="GH41" si="1471" xml:space="preserve">
IF(GG43&gt;=VLOOKUP($C41,$C$3:$D$15,2,FALSE)*GH$22,0,
IF(AND(GG43&lt;VLOOKUP($C41,$C$3:$D$15,2,FALSE)*GH$22,GH42&lt;=VLOOKUP($C41,$C$3:$D$15,2,FALSE)*GH$22),IF(GH42-GG43&lt;0,0,GH42-GG43),
IF(AND(GG43&lt;VLOOKUP($C41,$C$3:$D$15,2,FALSE)*GH$22,GH42&gt;VLOOKUP($C41,$C$3:$D$15,2,FALSE)*GH$22),VLOOKUP($C41,$C$3:$D$15,2,FALSE)*GH$22-GG43)))</f>
        <v>0</v>
      </c>
      <c r="GI41" s="642">
        <f t="shared" ref="GI41" si="1472" xml:space="preserve">
IF(GH43&gt;=VLOOKUP($C41,$C$3:$D$15,2,FALSE)*GI$22,0,
IF(AND(GH43&lt;VLOOKUP($C41,$C$3:$D$15,2,FALSE)*GI$22,GI42&lt;=VLOOKUP($C41,$C$3:$D$15,2,FALSE)*GI$22),IF(GI42-GH43&lt;0,0,GI42-GH43),
IF(AND(GH43&lt;VLOOKUP($C41,$C$3:$D$15,2,FALSE)*GI$22,GI42&gt;VLOOKUP($C41,$C$3:$D$15,2,FALSE)*GI$22),VLOOKUP($C41,$C$3:$D$15,2,FALSE)*GI$22-GH43)))</f>
        <v>0</v>
      </c>
      <c r="GJ41" s="642">
        <f t="shared" ref="GJ41" si="1473" xml:space="preserve">
IF(GI43&gt;=VLOOKUP($C41,$C$3:$D$15,2,FALSE)*GJ$22,0,
IF(AND(GI43&lt;VLOOKUP($C41,$C$3:$D$15,2,FALSE)*GJ$22,GJ42&lt;=VLOOKUP($C41,$C$3:$D$15,2,FALSE)*GJ$22),IF(GJ42-GI43&lt;0,0,GJ42-GI43),
IF(AND(GI43&lt;VLOOKUP($C41,$C$3:$D$15,2,FALSE)*GJ$22,GJ42&gt;VLOOKUP($C41,$C$3:$D$15,2,FALSE)*GJ$22),VLOOKUP($C41,$C$3:$D$15,2,FALSE)*GJ$22-GI43)))</f>
        <v>0</v>
      </c>
    </row>
    <row r="42" spans="2:192" s="655" customFormat="1">
      <c r="B42" s="656"/>
      <c r="C42" s="641"/>
      <c r="D42" s="768" t="s">
        <v>1467</v>
      </c>
      <c r="E42" s="773"/>
      <c r="F42" s="706"/>
      <c r="G42" s="642">
        <f>SUM(
SUMIF(防護具!$Y$30:$Y$212,G$17&amp;"アイソレーションガウン",防護具!$Q$30:$Q$212),
SUMIF(防護具!$Y$30:$Y$212,G$17&amp;"プラスチックガウン",防護具!$Q$30:$Q$212),
SUMIF(防護具!$Y$30:$Y$212,G$17&amp;"エプロン",防護具!$Q$30:$Q$212))</f>
        <v>0</v>
      </c>
      <c r="H42" s="642">
        <f>IFERROR(
SUM(G42,
SUMIF(防護具!$Y$30:$Y$212,H$17&amp;"アイソレーションガウン",防護具!$Q$30:$Q$212),
SUMIF(防護具!$Y$30:$Y$212,H$17&amp;"プラスチックガウン",防護具!$Q$30:$Q$212),
SUMIF(防護具!$Y$30:$Y$212,H$17&amp;"エプロン",防護具!$Q$30:$Q$212))-G41,0)</f>
        <v>0</v>
      </c>
      <c r="I42" s="642">
        <f>IFERROR(
SUM(H42,
SUMIF(防護具!$Y$30:$Y$212,I$17&amp;"アイソレーションガウン",防護具!$Q$30:$Q$212),
SUMIF(防護具!$Y$30:$Y$212,I$17&amp;"プラスチックガウン",防護具!$Q$30:$Q$212),
SUMIF(防護具!$Y$30:$Y$212,I$17&amp;"エプロン",防護具!$Q$30:$Q$212))-H41,0)</f>
        <v>0</v>
      </c>
      <c r="J42" s="642">
        <f>IFERROR(
SUM(I42,
SUMIF(防護具!$Y$30:$Y$212,J$17&amp;"アイソレーションガウン",防護具!$Q$30:$Q$212),
SUMIF(防護具!$Y$30:$Y$212,J$17&amp;"プラスチックガウン",防護具!$Q$30:$Q$212),
SUMIF(防護具!$Y$30:$Y$212,J$17&amp;"エプロン",防護具!$Q$30:$Q$212))-I41,0)</f>
        <v>0</v>
      </c>
      <c r="K42" s="642">
        <f>IFERROR(
SUM(J42,
SUMIF(防護具!$Y$30:$Y$212,K$17&amp;"アイソレーションガウン",防護具!$Q$30:$Q$212),
SUMIF(防護具!$Y$30:$Y$212,K$17&amp;"プラスチックガウン",防護具!$Q$30:$Q$212),
SUMIF(防護具!$Y$30:$Y$212,K$17&amp;"エプロン",防護具!$Q$30:$Q$212))-J41,0)</f>
        <v>0</v>
      </c>
      <c r="L42" s="642">
        <f>IFERROR(
SUM(K42,
SUMIF(防護具!$Y$30:$Y$212,L$17&amp;"アイソレーションガウン",防護具!$Q$30:$Q$212),
SUMIF(防護具!$Y$30:$Y$212,L$17&amp;"プラスチックガウン",防護具!$Q$30:$Q$212),
SUMIF(防護具!$Y$30:$Y$212,L$17&amp;"エプロン",防護具!$Q$30:$Q$212))-K41,0)</f>
        <v>0</v>
      </c>
      <c r="M42" s="642">
        <f>IFERROR(
SUM(L42,
SUMIF(防護具!$Y$30:$Y$212,M$17&amp;"アイソレーションガウン",防護具!$Q$30:$Q$212),
SUMIF(防護具!$Y$30:$Y$212,M$17&amp;"プラスチックガウン",防護具!$Q$30:$Q$212),
SUMIF(防護具!$Y$30:$Y$212,M$17&amp;"エプロン",防護具!$Q$30:$Q$212))-L41,0)</f>
        <v>0</v>
      </c>
      <c r="N42" s="642">
        <f>IFERROR(
SUM(M42,
SUMIF(防護具!$Y$30:$Y$212,N$17&amp;"アイソレーションガウン",防護具!$Q$30:$Q$212),
SUMIF(防護具!$Y$30:$Y$212,N$17&amp;"プラスチックガウン",防護具!$Q$30:$Q$212),
SUMIF(防護具!$Y$30:$Y$212,N$17&amp;"エプロン",防護具!$Q$30:$Q$212))-M41,0)</f>
        <v>0</v>
      </c>
      <c r="O42" s="642">
        <f>IFERROR(
SUM(N42,
SUMIF(防護具!$Y$30:$Y$212,O$17&amp;"アイソレーションガウン",防護具!$Q$30:$Q$212),
SUMIF(防護具!$Y$30:$Y$212,O$17&amp;"プラスチックガウン",防護具!$Q$30:$Q$212),
SUMIF(防護具!$Y$30:$Y$212,O$17&amp;"エプロン",防護具!$Q$30:$Q$212))-N41,0)</f>
        <v>0</v>
      </c>
      <c r="P42" s="642">
        <f>IFERROR(
SUM(O42,
SUMIF(防護具!$Y$30:$Y$212,P$17&amp;"アイソレーションガウン",防護具!$Q$30:$Q$212),
SUMIF(防護具!$Y$30:$Y$212,P$17&amp;"プラスチックガウン",防護具!$Q$30:$Q$212),
SUMIF(防護具!$Y$30:$Y$212,P$17&amp;"エプロン",防護具!$Q$30:$Q$212))-O41,0)</f>
        <v>0</v>
      </c>
      <c r="Q42" s="642">
        <f>IFERROR(
SUM(P42,
SUMIF(防護具!$Y$30:$Y$212,Q$17&amp;"アイソレーションガウン",防護具!$Q$30:$Q$212),
SUMIF(防護具!$Y$30:$Y$212,Q$17&amp;"プラスチックガウン",防護具!$Q$30:$Q$212),
SUMIF(防護具!$Y$30:$Y$212,Q$17&amp;"エプロン",防護具!$Q$30:$Q$212))-P41,0)</f>
        <v>0</v>
      </c>
      <c r="R42" s="642">
        <f>IFERROR(
SUM(Q42,
SUMIF(防護具!$Y$30:$Y$212,R$17&amp;"アイソレーションガウン",防護具!$Q$30:$Q$212),
SUMIF(防護具!$Y$30:$Y$212,R$17&amp;"プラスチックガウン",防護具!$Q$30:$Q$212),
SUMIF(防護具!$Y$30:$Y$212,R$17&amp;"エプロン",防護具!$Q$30:$Q$212))-Q41,0)</f>
        <v>0</v>
      </c>
      <c r="S42" s="642">
        <f>IFERROR(
SUM(R42,
SUMIF(防護具!$Y$30:$Y$212,S$17&amp;"アイソレーションガウン",防護具!$Q$30:$Q$212),
SUMIF(防護具!$Y$30:$Y$212,S$17&amp;"プラスチックガウン",防護具!$Q$30:$Q$212),
SUMIF(防護具!$Y$30:$Y$212,S$17&amp;"エプロン",防護具!$Q$30:$Q$212))-R41,0)</f>
        <v>0</v>
      </c>
      <c r="T42" s="642">
        <f>IFERROR(
SUM(S42,
SUMIF(防護具!$Y$30:$Y$212,T$17&amp;"アイソレーションガウン",防護具!$Q$30:$Q$212),
SUMIF(防護具!$Y$30:$Y$212,T$17&amp;"プラスチックガウン",防護具!$Q$30:$Q$212),
SUMIF(防護具!$Y$30:$Y$212,T$17&amp;"エプロン",防護具!$Q$30:$Q$212))-S41,0)</f>
        <v>0</v>
      </c>
      <c r="U42" s="642">
        <f>IFERROR(
SUM(T42,
SUMIF(防護具!$Y$30:$Y$212,U$17&amp;"アイソレーションガウン",防護具!$Q$30:$Q$212),
SUMIF(防護具!$Y$30:$Y$212,U$17&amp;"プラスチックガウン",防護具!$Q$30:$Q$212),
SUMIF(防護具!$Y$30:$Y$212,U$17&amp;"エプロン",防護具!$Q$30:$Q$212))-T41,0)</f>
        <v>0</v>
      </c>
      <c r="V42" s="642">
        <f>IFERROR(
SUM(U42,
SUMIF(防護具!$Y$30:$Y$212,V$17&amp;"アイソレーションガウン",防護具!$Q$30:$Q$212),
SUMIF(防護具!$Y$30:$Y$212,V$17&amp;"プラスチックガウン",防護具!$Q$30:$Q$212),
SUMIF(防護具!$Y$30:$Y$212,V$17&amp;"エプロン",防護具!$Q$30:$Q$212))-U41,0)</f>
        <v>0</v>
      </c>
      <c r="W42" s="642">
        <f>IFERROR(
SUM(V42,
SUMIF(防護具!$Y$30:$Y$212,W$17&amp;"アイソレーションガウン",防護具!$Q$30:$Q$212),
SUMIF(防護具!$Y$30:$Y$212,W$17&amp;"プラスチックガウン",防護具!$Q$30:$Q$212),
SUMIF(防護具!$Y$30:$Y$212,W$17&amp;"エプロン",防護具!$Q$30:$Q$212))-V41,0)</f>
        <v>0</v>
      </c>
      <c r="X42" s="642">
        <f>IFERROR(
SUM(W42,
SUMIF(防護具!$Y$30:$Y$212,X$17&amp;"アイソレーションガウン",防護具!$Q$30:$Q$212),
SUMIF(防護具!$Y$30:$Y$212,X$17&amp;"プラスチックガウン",防護具!$Q$30:$Q$212),
SUMIF(防護具!$Y$30:$Y$212,X$17&amp;"エプロン",防護具!$Q$30:$Q$212))-W41,0)</f>
        <v>0</v>
      </c>
      <c r="Y42" s="642">
        <f>IFERROR(
SUM(X42,
SUMIF(防護具!$Y$30:$Y$212,Y$17&amp;"アイソレーションガウン",防護具!$Q$30:$Q$212),
SUMIF(防護具!$Y$30:$Y$212,Y$17&amp;"プラスチックガウン",防護具!$Q$30:$Q$212),
SUMIF(防護具!$Y$30:$Y$212,Y$17&amp;"エプロン",防護具!$Q$30:$Q$212))-X41,0)</f>
        <v>0</v>
      </c>
      <c r="Z42" s="642">
        <f>IFERROR(
SUM(Y42,
SUMIF(防護具!$Y$30:$Y$212,Z$17&amp;"アイソレーションガウン",防護具!$Q$30:$Q$212),
SUMIF(防護具!$Y$30:$Y$212,Z$17&amp;"プラスチックガウン",防護具!$Q$30:$Q$212),
SUMIF(防護具!$Y$30:$Y$212,Z$17&amp;"エプロン",防護具!$Q$30:$Q$212))-Y41,0)</f>
        <v>0</v>
      </c>
      <c r="AA42" s="642">
        <f>IFERROR(
SUM(Z42,
SUMIF(防護具!$Y$30:$Y$212,AA$17&amp;"アイソレーションガウン",防護具!$Q$30:$Q$212),
SUMIF(防護具!$Y$30:$Y$212,AA$17&amp;"プラスチックガウン",防護具!$Q$30:$Q$212),
SUMIF(防護具!$Y$30:$Y$212,AA$17&amp;"エプロン",防護具!$Q$30:$Q$212))-Z41,0)</f>
        <v>0</v>
      </c>
      <c r="AB42" s="642">
        <f>IFERROR(
SUM(AA42,
SUMIF(防護具!$Y$30:$Y$212,AB$17&amp;"アイソレーションガウン",防護具!$Q$30:$Q$212),
SUMIF(防護具!$Y$30:$Y$212,AB$17&amp;"プラスチックガウン",防護具!$Q$30:$Q$212),
SUMIF(防護具!$Y$30:$Y$212,AB$17&amp;"エプロン",防護具!$Q$30:$Q$212))-AA41,0)</f>
        <v>0</v>
      </c>
      <c r="AC42" s="642">
        <f>IFERROR(
SUM(AB42,
SUMIF(防護具!$Y$30:$Y$212,AC$17&amp;"アイソレーションガウン",防護具!$Q$30:$Q$212),
SUMIF(防護具!$Y$30:$Y$212,AC$17&amp;"プラスチックガウン",防護具!$Q$30:$Q$212),
SUMIF(防護具!$Y$30:$Y$212,AC$17&amp;"エプロン",防護具!$Q$30:$Q$212))-AB41,0)</f>
        <v>0</v>
      </c>
      <c r="AD42" s="642">
        <f>IFERROR(
SUM(AC42,
SUMIF(防護具!$Y$30:$Y$212,AD$17&amp;"アイソレーションガウン",防護具!$Q$30:$Q$212),
SUMIF(防護具!$Y$30:$Y$212,AD$17&amp;"プラスチックガウン",防護具!$Q$30:$Q$212),
SUMIF(防護具!$Y$30:$Y$212,AD$17&amp;"エプロン",防護具!$Q$30:$Q$212))-AC41,0)</f>
        <v>0</v>
      </c>
      <c r="AE42" s="642">
        <f>IFERROR(
SUM(AD42,
SUMIF(防護具!$Y$30:$Y$212,AE$17&amp;"アイソレーションガウン",防護具!$Q$30:$Q$212),
SUMIF(防護具!$Y$30:$Y$212,AE$17&amp;"プラスチックガウン",防護具!$Q$30:$Q$212),
SUMIF(防護具!$Y$30:$Y$212,AE$17&amp;"エプロン",防護具!$Q$30:$Q$212))-AD41,0)</f>
        <v>0</v>
      </c>
      <c r="AF42" s="642">
        <f>IFERROR(
SUM(AE42,
SUMIF(防護具!$Y$30:$Y$212,AF$17&amp;"アイソレーションガウン",防護具!$Q$30:$Q$212),
SUMIF(防護具!$Y$30:$Y$212,AF$17&amp;"プラスチックガウン",防護具!$Q$30:$Q$212),
SUMIF(防護具!$Y$30:$Y$212,AF$17&amp;"エプロン",防護具!$Q$30:$Q$212))-AE41,0)</f>
        <v>0</v>
      </c>
      <c r="AG42" s="642">
        <f>IFERROR(
SUM(AF42,
SUMIF(防護具!$Y$30:$Y$212,AG$17&amp;"アイソレーションガウン",防護具!$Q$30:$Q$212),
SUMIF(防護具!$Y$30:$Y$212,AG$17&amp;"プラスチックガウン",防護具!$Q$30:$Q$212),
SUMIF(防護具!$Y$30:$Y$212,AG$17&amp;"エプロン",防護具!$Q$30:$Q$212))-AF41,0)</f>
        <v>0</v>
      </c>
      <c r="AH42" s="642">
        <f>IFERROR(
SUM(AG42,
SUMIF(防護具!$Y$30:$Y$212,AH$17&amp;"アイソレーションガウン",防護具!$Q$30:$Q$212),
SUMIF(防護具!$Y$30:$Y$212,AH$17&amp;"プラスチックガウン",防護具!$Q$30:$Q$212),
SUMIF(防護具!$Y$30:$Y$212,AH$17&amp;"エプロン",防護具!$Q$30:$Q$212))-AG41,0)</f>
        <v>0</v>
      </c>
      <c r="AI42" s="642">
        <f>IFERROR(
SUM(AH42,
SUMIF(防護具!$Y$30:$Y$212,AI$17&amp;"アイソレーションガウン",防護具!$Q$30:$Q$212),
SUMIF(防護具!$Y$30:$Y$212,AI$17&amp;"プラスチックガウン",防護具!$Q$30:$Q$212),
SUMIF(防護具!$Y$30:$Y$212,AI$17&amp;"エプロン",防護具!$Q$30:$Q$212))-AH41,0)</f>
        <v>0</v>
      </c>
      <c r="AJ42" s="642">
        <f>IFERROR(
SUM(AI42,
SUMIF(防護具!$Y$30:$Y$212,AJ$17&amp;"アイソレーションガウン",防護具!$Q$30:$Q$212),
SUMIF(防護具!$Y$30:$Y$212,AJ$17&amp;"プラスチックガウン",防護具!$Q$30:$Q$212),
SUMIF(防護具!$Y$30:$Y$212,AJ$17&amp;"エプロン",防護具!$Q$30:$Q$212))-AI41,0)</f>
        <v>0</v>
      </c>
      <c r="AK42" s="642">
        <f>IFERROR(
SUM(AJ42,
SUMIF(防護具!$Y$30:$Y$212,AK$17&amp;"アイソレーションガウン",防護具!$Q$30:$Q$212),
SUMIF(防護具!$Y$30:$Y$212,AK$17&amp;"プラスチックガウン",防護具!$Q$30:$Q$212),
SUMIF(防護具!$Y$30:$Y$212,AK$17&amp;"エプロン",防護具!$Q$30:$Q$212))-AJ41,0)</f>
        <v>0</v>
      </c>
      <c r="AL42" s="642">
        <f>IFERROR(
SUM(AK42,
SUMIF(防護具!$Y$30:$Y$212,AL$17&amp;"アイソレーションガウン",防護具!$Q$30:$Q$212),
SUMIF(防護具!$Y$30:$Y$212,AL$17&amp;"プラスチックガウン",防護具!$Q$30:$Q$212),
SUMIF(防護具!$Y$30:$Y$212,AL$17&amp;"エプロン",防護具!$Q$30:$Q$212))-AK41,0)</f>
        <v>0</v>
      </c>
      <c r="AM42" s="642">
        <f>IFERROR(
SUM(AL42,
SUMIF(防護具!$Y$30:$Y$212,AM$17&amp;"アイソレーションガウン",防護具!$Q$30:$Q$212),
SUMIF(防護具!$Y$30:$Y$212,AM$17&amp;"プラスチックガウン",防護具!$Q$30:$Q$212),
SUMIF(防護具!$Y$30:$Y$212,AM$17&amp;"エプロン",防護具!$Q$30:$Q$212))-AL41,0)</f>
        <v>0</v>
      </c>
      <c r="AN42" s="642">
        <f>IFERROR(
SUM(AM42,
SUMIF(防護具!$Y$30:$Y$212,AN$17&amp;"アイソレーションガウン",防護具!$Q$30:$Q$212),
SUMIF(防護具!$Y$30:$Y$212,AN$17&amp;"プラスチックガウン",防護具!$Q$30:$Q$212),
SUMIF(防護具!$Y$30:$Y$212,AN$17&amp;"エプロン",防護具!$Q$30:$Q$212))-AM41,0)</f>
        <v>0</v>
      </c>
      <c r="AO42" s="642">
        <f>IFERROR(
SUM(AN42,
SUMIF(防護具!$Y$30:$Y$212,AO$17&amp;"アイソレーションガウン",防護具!$Q$30:$Q$212),
SUMIF(防護具!$Y$30:$Y$212,AO$17&amp;"プラスチックガウン",防護具!$Q$30:$Q$212),
SUMIF(防護具!$Y$30:$Y$212,AO$17&amp;"エプロン",防護具!$Q$30:$Q$212))-AN41,0)</f>
        <v>0</v>
      </c>
      <c r="AP42" s="642">
        <f>IFERROR(
SUM(AO42,
SUMIF(防護具!$Y$30:$Y$212,AP$17&amp;"アイソレーションガウン",防護具!$Q$30:$Q$212),
SUMIF(防護具!$Y$30:$Y$212,AP$17&amp;"プラスチックガウン",防護具!$Q$30:$Q$212),
SUMIF(防護具!$Y$30:$Y$212,AP$17&amp;"エプロン",防護具!$Q$30:$Q$212))-AO41,0)</f>
        <v>0</v>
      </c>
      <c r="AQ42" s="642">
        <f>IFERROR(
SUM(AP42,
SUMIF(防護具!$Y$30:$Y$212,AQ$17&amp;"アイソレーションガウン",防護具!$Q$30:$Q$212),
SUMIF(防護具!$Y$30:$Y$212,AQ$17&amp;"プラスチックガウン",防護具!$Q$30:$Q$212),
SUMIF(防護具!$Y$30:$Y$212,AQ$17&amp;"エプロン",防護具!$Q$30:$Q$212))-AP41,0)</f>
        <v>0</v>
      </c>
      <c r="AR42" s="642">
        <f>IFERROR(
SUM(AQ42,
SUMIF(防護具!$Y$30:$Y$212,AR$17&amp;"アイソレーションガウン",防護具!$Q$30:$Q$212),
SUMIF(防護具!$Y$30:$Y$212,AR$17&amp;"プラスチックガウン",防護具!$Q$30:$Q$212),
SUMIF(防護具!$Y$30:$Y$212,AR$17&amp;"エプロン",防護具!$Q$30:$Q$212))-AQ41,0)</f>
        <v>0</v>
      </c>
      <c r="AS42" s="642">
        <f>IFERROR(
SUM(AR42,
SUMIF(防護具!$Y$30:$Y$212,AS$17&amp;"アイソレーションガウン",防護具!$Q$30:$Q$212),
SUMIF(防護具!$Y$30:$Y$212,AS$17&amp;"プラスチックガウン",防護具!$Q$30:$Q$212),
SUMIF(防護具!$Y$30:$Y$212,AS$17&amp;"エプロン",防護具!$Q$30:$Q$212))-AR41,0)</f>
        <v>0</v>
      </c>
      <c r="AT42" s="642">
        <f>IFERROR(
SUM(AS42,
SUMIF(防護具!$Y$30:$Y$212,AT$17&amp;"アイソレーションガウン",防護具!$Q$30:$Q$212),
SUMIF(防護具!$Y$30:$Y$212,AT$17&amp;"プラスチックガウン",防護具!$Q$30:$Q$212),
SUMIF(防護具!$Y$30:$Y$212,AT$17&amp;"エプロン",防護具!$Q$30:$Q$212))-AS41,0)</f>
        <v>0</v>
      </c>
      <c r="AU42" s="642">
        <f>IFERROR(
SUM(AT42,
SUMIF(防護具!$Y$30:$Y$212,AU$17&amp;"アイソレーションガウン",防護具!$Q$30:$Q$212),
SUMIF(防護具!$Y$30:$Y$212,AU$17&amp;"プラスチックガウン",防護具!$Q$30:$Q$212),
SUMIF(防護具!$Y$30:$Y$212,AU$17&amp;"エプロン",防護具!$Q$30:$Q$212))-AT41,0)</f>
        <v>0</v>
      </c>
      <c r="AV42" s="642">
        <f>IFERROR(
SUM(AU42,
SUMIF(防護具!$Y$30:$Y$212,AV$17&amp;"アイソレーションガウン",防護具!$Q$30:$Q$212),
SUMIF(防護具!$Y$30:$Y$212,AV$17&amp;"プラスチックガウン",防護具!$Q$30:$Q$212),
SUMIF(防護具!$Y$30:$Y$212,AV$17&amp;"エプロン",防護具!$Q$30:$Q$212))-AU41,0)</f>
        <v>0</v>
      </c>
      <c r="AW42" s="642">
        <f>IFERROR(
SUM(AV42,
SUMIF(防護具!$Y$30:$Y$212,AW$17&amp;"アイソレーションガウン",防護具!$Q$30:$Q$212),
SUMIF(防護具!$Y$30:$Y$212,AW$17&amp;"プラスチックガウン",防護具!$Q$30:$Q$212),
SUMIF(防護具!$Y$30:$Y$212,AW$17&amp;"エプロン",防護具!$Q$30:$Q$212))-AV41,0)</f>
        <v>0</v>
      </c>
      <c r="AX42" s="642">
        <f>IFERROR(
SUM(AW42,
SUMIF(防護具!$Y$30:$Y$212,AX$17&amp;"アイソレーションガウン",防護具!$Q$30:$Q$212),
SUMIF(防護具!$Y$30:$Y$212,AX$17&amp;"プラスチックガウン",防護具!$Q$30:$Q$212),
SUMIF(防護具!$Y$30:$Y$212,AX$17&amp;"エプロン",防護具!$Q$30:$Q$212))-AW41,0)</f>
        <v>0</v>
      </c>
      <c r="AY42" s="642">
        <f>IFERROR(
SUM(AX42,
SUMIF(防護具!$Y$30:$Y$212,AY$17&amp;"アイソレーションガウン",防護具!$Q$30:$Q$212),
SUMIF(防護具!$Y$30:$Y$212,AY$17&amp;"プラスチックガウン",防護具!$Q$30:$Q$212),
SUMIF(防護具!$Y$30:$Y$212,AY$17&amp;"エプロン",防護具!$Q$30:$Q$212))-AX41,0)</f>
        <v>0</v>
      </c>
      <c r="AZ42" s="642">
        <f>IFERROR(
SUM(AY42,
SUMIF(防護具!$Y$30:$Y$212,AZ$17&amp;"アイソレーションガウン",防護具!$Q$30:$Q$212),
SUMIF(防護具!$Y$30:$Y$212,AZ$17&amp;"プラスチックガウン",防護具!$Q$30:$Q$212),
SUMIF(防護具!$Y$30:$Y$212,AZ$17&amp;"エプロン",防護具!$Q$30:$Q$212))-AY41,0)</f>
        <v>0</v>
      </c>
      <c r="BA42" s="642">
        <f>IFERROR(
SUM(AZ42,
SUMIF(防護具!$Y$30:$Y$212,BA$17&amp;"アイソレーションガウン",防護具!$Q$30:$Q$212),
SUMIF(防護具!$Y$30:$Y$212,BA$17&amp;"プラスチックガウン",防護具!$Q$30:$Q$212),
SUMIF(防護具!$Y$30:$Y$212,BA$17&amp;"エプロン",防護具!$Q$30:$Q$212))-AZ41,0)</f>
        <v>0</v>
      </c>
      <c r="BB42" s="642">
        <f>IFERROR(
SUM(BA42,
SUMIF(防護具!$Y$30:$Y$212,BB$17&amp;"アイソレーションガウン",防護具!$Q$30:$Q$212),
SUMIF(防護具!$Y$30:$Y$212,BB$17&amp;"プラスチックガウン",防護具!$Q$30:$Q$212),
SUMIF(防護具!$Y$30:$Y$212,BB$17&amp;"エプロン",防護具!$Q$30:$Q$212))-BA41,0)</f>
        <v>0</v>
      </c>
      <c r="BC42" s="642">
        <f>IFERROR(
SUM(BB42,
SUMIF(防護具!$Y$30:$Y$212,BC$17&amp;"アイソレーションガウン",防護具!$Q$30:$Q$212),
SUMIF(防護具!$Y$30:$Y$212,BC$17&amp;"プラスチックガウン",防護具!$Q$30:$Q$212),
SUMIF(防護具!$Y$30:$Y$212,BC$17&amp;"エプロン",防護具!$Q$30:$Q$212))-BB41,0)</f>
        <v>0</v>
      </c>
      <c r="BD42" s="642">
        <f>IFERROR(
SUM(BC42,
SUMIF(防護具!$Y$30:$Y$212,BD$17&amp;"アイソレーションガウン",防護具!$Q$30:$Q$212),
SUMIF(防護具!$Y$30:$Y$212,BD$17&amp;"プラスチックガウン",防護具!$Q$30:$Q$212),
SUMIF(防護具!$Y$30:$Y$212,BD$17&amp;"エプロン",防護具!$Q$30:$Q$212))-BC41,0)</f>
        <v>0</v>
      </c>
      <c r="BE42" s="642">
        <f>IFERROR(
SUM(BD42,
SUMIF(防護具!$Y$30:$Y$212,BE$17&amp;"アイソレーションガウン",防護具!$Q$30:$Q$212),
SUMIF(防護具!$Y$30:$Y$212,BE$17&amp;"プラスチックガウン",防護具!$Q$30:$Q$212),
SUMIF(防護具!$Y$30:$Y$212,BE$17&amp;"エプロン",防護具!$Q$30:$Q$212))-BD41,0)</f>
        <v>0</v>
      </c>
      <c r="BF42" s="642">
        <f>IFERROR(
SUM(BE42,
SUMIF(防護具!$Y$30:$Y$212,BF$17&amp;"アイソレーションガウン",防護具!$Q$30:$Q$212),
SUMIF(防護具!$Y$30:$Y$212,BF$17&amp;"プラスチックガウン",防護具!$Q$30:$Q$212),
SUMIF(防護具!$Y$30:$Y$212,BF$17&amp;"エプロン",防護具!$Q$30:$Q$212))-BE41,0)</f>
        <v>0</v>
      </c>
      <c r="BG42" s="642">
        <f>IFERROR(
SUM(BF42,
SUMIF(防護具!$Y$30:$Y$212,BG$17&amp;"アイソレーションガウン",防護具!$Q$30:$Q$212),
SUMIF(防護具!$Y$30:$Y$212,BG$17&amp;"プラスチックガウン",防護具!$Q$30:$Q$212),
SUMIF(防護具!$Y$30:$Y$212,BG$17&amp;"エプロン",防護具!$Q$30:$Q$212))-BF41,0)</f>
        <v>0</v>
      </c>
      <c r="BH42" s="642">
        <f>IFERROR(
SUM(BG42,
SUMIF(防護具!$Y$30:$Y$212,BH$17&amp;"アイソレーションガウン",防護具!$Q$30:$Q$212),
SUMIF(防護具!$Y$30:$Y$212,BH$17&amp;"プラスチックガウン",防護具!$Q$30:$Q$212),
SUMIF(防護具!$Y$30:$Y$212,BH$17&amp;"エプロン",防護具!$Q$30:$Q$212))-BG41,0)</f>
        <v>0</v>
      </c>
      <c r="BI42" s="642">
        <f>IFERROR(
SUM(BH42,
SUMIF(防護具!$Y$30:$Y$212,BI$17&amp;"アイソレーションガウン",防護具!$Q$30:$Q$212),
SUMIF(防護具!$Y$30:$Y$212,BI$17&amp;"プラスチックガウン",防護具!$Q$30:$Q$212),
SUMIF(防護具!$Y$30:$Y$212,BI$17&amp;"エプロン",防護具!$Q$30:$Q$212))-BH41,0)</f>
        <v>0</v>
      </c>
      <c r="BJ42" s="642">
        <f>IFERROR(
SUM(BI42,
SUMIF(防護具!$Y$30:$Y$212,BJ$17&amp;"アイソレーションガウン",防護具!$Q$30:$Q$212),
SUMIF(防護具!$Y$30:$Y$212,BJ$17&amp;"プラスチックガウン",防護具!$Q$30:$Q$212),
SUMIF(防護具!$Y$30:$Y$212,BJ$17&amp;"エプロン",防護具!$Q$30:$Q$212))-BI41,0)</f>
        <v>0</v>
      </c>
      <c r="BK42" s="642">
        <f>IFERROR(
SUM(BJ42,
SUMIF(防護具!$Y$30:$Y$212,BK$17&amp;"アイソレーションガウン",防護具!$Q$30:$Q$212),
SUMIF(防護具!$Y$30:$Y$212,BK$17&amp;"プラスチックガウン",防護具!$Q$30:$Q$212),
SUMIF(防護具!$Y$30:$Y$212,BK$17&amp;"エプロン",防護具!$Q$30:$Q$212))-BJ41,0)</f>
        <v>0</v>
      </c>
      <c r="BL42" s="642">
        <f>IFERROR(
SUM(BK42,
SUMIF(防護具!$Y$30:$Y$212,BL$17&amp;"アイソレーションガウン",防護具!$Q$30:$Q$212),
SUMIF(防護具!$Y$30:$Y$212,BL$17&amp;"プラスチックガウン",防護具!$Q$30:$Q$212),
SUMIF(防護具!$Y$30:$Y$212,BL$17&amp;"エプロン",防護具!$Q$30:$Q$212))-BK41,0)</f>
        <v>0</v>
      </c>
      <c r="BM42" s="642">
        <f>IFERROR(
SUM(BL42,
SUMIF(防護具!$Y$30:$Y$212,BM$17&amp;"アイソレーションガウン",防護具!$Q$30:$Q$212),
SUMIF(防護具!$Y$30:$Y$212,BM$17&amp;"プラスチックガウン",防護具!$Q$30:$Q$212),
SUMIF(防護具!$Y$30:$Y$212,BM$17&amp;"エプロン",防護具!$Q$30:$Q$212))-BL41,0)</f>
        <v>0</v>
      </c>
      <c r="BN42" s="642">
        <f>IFERROR(
SUM(BM42,
SUMIF(防護具!$Y$30:$Y$212,BN$17&amp;"アイソレーションガウン",防護具!$Q$30:$Q$212),
SUMIF(防護具!$Y$30:$Y$212,BN$17&amp;"プラスチックガウン",防護具!$Q$30:$Q$212),
SUMIF(防護具!$Y$30:$Y$212,BN$17&amp;"エプロン",防護具!$Q$30:$Q$212))-BM41,0)</f>
        <v>0</v>
      </c>
      <c r="BO42" s="642">
        <f>IFERROR(
SUM(BN42,
SUMIF(防護具!$Y$30:$Y$212,BO$17&amp;"アイソレーションガウン",防護具!$Q$30:$Q$212),
SUMIF(防護具!$Y$30:$Y$212,BO$17&amp;"プラスチックガウン",防護具!$Q$30:$Q$212),
SUMIF(防護具!$Y$30:$Y$212,BO$17&amp;"エプロン",防護具!$Q$30:$Q$212))-BN41,0)</f>
        <v>0</v>
      </c>
      <c r="BP42" s="642">
        <f>IFERROR(
SUM(BO42,
SUMIF(防護具!$Y$30:$Y$212,BP$17&amp;"アイソレーションガウン",防護具!$Q$30:$Q$212),
SUMIF(防護具!$Y$30:$Y$212,BP$17&amp;"プラスチックガウン",防護具!$Q$30:$Q$212),
SUMIF(防護具!$Y$30:$Y$212,BP$17&amp;"エプロン",防護具!$Q$30:$Q$212))-BO41,0)</f>
        <v>0</v>
      </c>
      <c r="BQ42" s="642">
        <f>IFERROR(
SUM(BP42,
SUMIF(防護具!$Y$30:$Y$212,BQ$17&amp;"アイソレーションガウン",防護具!$Q$30:$Q$212),
SUMIF(防護具!$Y$30:$Y$212,BQ$17&amp;"プラスチックガウン",防護具!$Q$30:$Q$212),
SUMIF(防護具!$Y$30:$Y$212,BQ$17&amp;"エプロン",防護具!$Q$30:$Q$212))-BP41,0)</f>
        <v>0</v>
      </c>
      <c r="BR42" s="642">
        <f>IFERROR(
SUM(BQ42,
SUMIF(防護具!$Y$30:$Y$212,BR$17&amp;"アイソレーションガウン",防護具!$Q$30:$Q$212),
SUMIF(防護具!$Y$30:$Y$212,BR$17&amp;"プラスチックガウン",防護具!$Q$30:$Q$212),
SUMIF(防護具!$Y$30:$Y$212,BR$17&amp;"エプロン",防護具!$Q$30:$Q$212))-BQ41,0)</f>
        <v>0</v>
      </c>
      <c r="BS42" s="642">
        <f>IFERROR(
SUM(BR42,
SUMIF(防護具!$Y$30:$Y$212,BS$17&amp;"アイソレーションガウン",防護具!$Q$30:$Q$212),
SUMIF(防護具!$Y$30:$Y$212,BS$17&amp;"プラスチックガウン",防護具!$Q$30:$Q$212),
SUMIF(防護具!$Y$30:$Y$212,BS$17&amp;"エプロン",防護具!$Q$30:$Q$212))-BR41,0)</f>
        <v>0</v>
      </c>
      <c r="BT42" s="642">
        <f>IFERROR(
SUM(BS42,
SUMIF(防護具!$Y$30:$Y$212,BT$17&amp;"アイソレーションガウン",防護具!$Q$30:$Q$212),
SUMIF(防護具!$Y$30:$Y$212,BT$17&amp;"プラスチックガウン",防護具!$Q$30:$Q$212),
SUMIF(防護具!$Y$30:$Y$212,BT$17&amp;"エプロン",防護具!$Q$30:$Q$212))-BS41,0)</f>
        <v>0</v>
      </c>
      <c r="BU42" s="642">
        <f>IFERROR(
SUM(BT42,
SUMIF(防護具!$Y$30:$Y$212,BU$17&amp;"アイソレーションガウン",防護具!$Q$30:$Q$212),
SUMIF(防護具!$Y$30:$Y$212,BU$17&amp;"プラスチックガウン",防護具!$Q$30:$Q$212),
SUMIF(防護具!$Y$30:$Y$212,BU$17&amp;"エプロン",防護具!$Q$30:$Q$212))-BT41,0)</f>
        <v>0</v>
      </c>
      <c r="BV42" s="642">
        <f>IFERROR(
SUM(BU42,
SUMIF(防護具!$Y$30:$Y$212,BV$17&amp;"アイソレーションガウン",防護具!$Q$30:$Q$212),
SUMIF(防護具!$Y$30:$Y$212,BV$17&amp;"プラスチックガウン",防護具!$Q$30:$Q$212),
SUMIF(防護具!$Y$30:$Y$212,BV$17&amp;"エプロン",防護具!$Q$30:$Q$212))-BU41,0)</f>
        <v>0</v>
      </c>
      <c r="BW42" s="642">
        <f>IFERROR(
SUM(BV42,
SUMIF(防護具!$Y$30:$Y$212,BW$17&amp;"アイソレーションガウン",防護具!$Q$30:$Q$212),
SUMIF(防護具!$Y$30:$Y$212,BW$17&amp;"プラスチックガウン",防護具!$Q$30:$Q$212),
SUMIF(防護具!$Y$30:$Y$212,BW$17&amp;"エプロン",防護具!$Q$30:$Q$212))-BV41,0)</f>
        <v>0</v>
      </c>
      <c r="BX42" s="642">
        <f>IFERROR(
SUM(BW42,
SUMIF(防護具!$Y$30:$Y$212,BX$17&amp;"アイソレーションガウン",防護具!$Q$30:$Q$212),
SUMIF(防護具!$Y$30:$Y$212,BX$17&amp;"プラスチックガウン",防護具!$Q$30:$Q$212),
SUMIF(防護具!$Y$30:$Y$212,BX$17&amp;"エプロン",防護具!$Q$30:$Q$212))-BW41,0)</f>
        <v>0</v>
      </c>
      <c r="BY42" s="642">
        <f>IFERROR(
SUM(BX42,
SUMIF(防護具!$Y$30:$Y$212,BY$17&amp;"アイソレーションガウン",防護具!$Q$30:$Q$212),
SUMIF(防護具!$Y$30:$Y$212,BY$17&amp;"プラスチックガウン",防護具!$Q$30:$Q$212),
SUMIF(防護具!$Y$30:$Y$212,BY$17&amp;"エプロン",防護具!$Q$30:$Q$212))-BX41,0)</f>
        <v>0</v>
      </c>
      <c r="BZ42" s="642">
        <f>IFERROR(
SUM(BY42,
SUMIF(防護具!$Y$30:$Y$212,BZ$17&amp;"アイソレーションガウン",防護具!$Q$30:$Q$212),
SUMIF(防護具!$Y$30:$Y$212,BZ$17&amp;"プラスチックガウン",防護具!$Q$30:$Q$212),
SUMIF(防護具!$Y$30:$Y$212,BZ$17&amp;"エプロン",防護具!$Q$30:$Q$212))-BY41,0)</f>
        <v>0</v>
      </c>
      <c r="CA42" s="642">
        <f>IFERROR(
SUM(BZ42,
SUMIF(防護具!$Y$30:$Y$212,CA$17&amp;"アイソレーションガウン",防護具!$Q$30:$Q$212),
SUMIF(防護具!$Y$30:$Y$212,CA$17&amp;"プラスチックガウン",防護具!$Q$30:$Q$212),
SUMIF(防護具!$Y$30:$Y$212,CA$17&amp;"エプロン",防護具!$Q$30:$Q$212))-BZ41,0)</f>
        <v>0</v>
      </c>
      <c r="CB42" s="642">
        <f>IFERROR(
SUM(CA42,
SUMIF(防護具!$Y$30:$Y$212,CB$17&amp;"アイソレーションガウン",防護具!$Q$30:$Q$212),
SUMIF(防護具!$Y$30:$Y$212,CB$17&amp;"プラスチックガウン",防護具!$Q$30:$Q$212),
SUMIF(防護具!$Y$30:$Y$212,CB$17&amp;"エプロン",防護具!$Q$30:$Q$212))-CA41,0)</f>
        <v>0</v>
      </c>
      <c r="CC42" s="642">
        <f>IFERROR(
SUM(CB42,
SUMIF(防護具!$Y$30:$Y$212,CC$17&amp;"アイソレーションガウン",防護具!$Q$30:$Q$212),
SUMIF(防護具!$Y$30:$Y$212,CC$17&amp;"プラスチックガウン",防護具!$Q$30:$Q$212),
SUMIF(防護具!$Y$30:$Y$212,CC$17&amp;"エプロン",防護具!$Q$30:$Q$212))-CB41,0)</f>
        <v>0</v>
      </c>
      <c r="CD42" s="642">
        <f>IFERROR(
SUM(CC42,
SUMIF(防護具!$Y$30:$Y$212,CD$17&amp;"アイソレーションガウン",防護具!$Q$30:$Q$212),
SUMIF(防護具!$Y$30:$Y$212,CD$17&amp;"プラスチックガウン",防護具!$Q$30:$Q$212),
SUMIF(防護具!$Y$30:$Y$212,CD$17&amp;"エプロン",防護具!$Q$30:$Q$212))-CC41,0)</f>
        <v>0</v>
      </c>
      <c r="CE42" s="642">
        <f>IFERROR(
SUM(CD42,
SUMIF(防護具!$Y$30:$Y$212,CE$17&amp;"アイソレーションガウン",防護具!$Q$30:$Q$212),
SUMIF(防護具!$Y$30:$Y$212,CE$17&amp;"プラスチックガウン",防護具!$Q$30:$Q$212),
SUMIF(防護具!$Y$30:$Y$212,CE$17&amp;"エプロン",防護具!$Q$30:$Q$212))-CD41,0)</f>
        <v>0</v>
      </c>
      <c r="CF42" s="642">
        <f>IFERROR(
SUM(CE42,
SUMIF(防護具!$Y$30:$Y$212,CF$17&amp;"アイソレーションガウン",防護具!$Q$30:$Q$212),
SUMIF(防護具!$Y$30:$Y$212,CF$17&amp;"プラスチックガウン",防護具!$Q$30:$Q$212),
SUMIF(防護具!$Y$30:$Y$212,CF$17&amp;"エプロン",防護具!$Q$30:$Q$212))-CE41,0)</f>
        <v>0</v>
      </c>
      <c r="CG42" s="642">
        <f>IFERROR(
SUM(CF42,
SUMIF(防護具!$Y$30:$Y$212,CG$17&amp;"アイソレーションガウン",防護具!$Q$30:$Q$212),
SUMIF(防護具!$Y$30:$Y$212,CG$17&amp;"プラスチックガウン",防護具!$Q$30:$Q$212),
SUMIF(防護具!$Y$30:$Y$212,CG$17&amp;"エプロン",防護具!$Q$30:$Q$212))-CF41,0)</f>
        <v>0</v>
      </c>
      <c r="CH42" s="642">
        <f>IFERROR(
SUM(CG42,
SUMIF(防護具!$Y$30:$Y$212,CH$17&amp;"アイソレーションガウン",防護具!$Q$30:$Q$212),
SUMIF(防護具!$Y$30:$Y$212,CH$17&amp;"プラスチックガウン",防護具!$Q$30:$Q$212),
SUMIF(防護具!$Y$30:$Y$212,CH$17&amp;"エプロン",防護具!$Q$30:$Q$212))-CG41,0)</f>
        <v>0</v>
      </c>
      <c r="CI42" s="642">
        <f>IFERROR(
SUM(CH42,
SUMIF(防護具!$Y$30:$Y$212,CI$17&amp;"アイソレーションガウン",防護具!$Q$30:$Q$212),
SUMIF(防護具!$Y$30:$Y$212,CI$17&amp;"プラスチックガウン",防護具!$Q$30:$Q$212),
SUMIF(防護具!$Y$30:$Y$212,CI$17&amp;"エプロン",防護具!$Q$30:$Q$212))-CH41,0)</f>
        <v>0</v>
      </c>
      <c r="CJ42" s="642">
        <f>IFERROR(
SUM(CI42,
SUMIF(防護具!$Y$30:$Y$212,CJ$17&amp;"アイソレーションガウン",防護具!$Q$30:$Q$212),
SUMIF(防護具!$Y$30:$Y$212,CJ$17&amp;"プラスチックガウン",防護具!$Q$30:$Q$212),
SUMIF(防護具!$Y$30:$Y$212,CJ$17&amp;"エプロン",防護具!$Q$30:$Q$212))-CI41,0)</f>
        <v>0</v>
      </c>
      <c r="CK42" s="642">
        <f>IFERROR(
SUM(CJ42,
SUMIF(防護具!$Y$30:$Y$212,CK$17&amp;"アイソレーションガウン",防護具!$Q$30:$Q$212),
SUMIF(防護具!$Y$30:$Y$212,CK$17&amp;"プラスチックガウン",防護具!$Q$30:$Q$212),
SUMIF(防護具!$Y$30:$Y$212,CK$17&amp;"エプロン",防護具!$Q$30:$Q$212))-CJ41,0)</f>
        <v>0</v>
      </c>
      <c r="CL42" s="642">
        <f>IFERROR(
SUM(CK42,
SUMIF(防護具!$Y$30:$Y$212,CL$17&amp;"アイソレーションガウン",防護具!$Q$30:$Q$212),
SUMIF(防護具!$Y$30:$Y$212,CL$17&amp;"プラスチックガウン",防護具!$Q$30:$Q$212),
SUMIF(防護具!$Y$30:$Y$212,CL$17&amp;"エプロン",防護具!$Q$30:$Q$212))-CK41,0)</f>
        <v>0</v>
      </c>
      <c r="CM42" s="642">
        <f>IFERROR(
SUM(CL42,
SUMIF(防護具!$Y$30:$Y$212,CM$17&amp;"アイソレーションガウン",防護具!$Q$30:$Q$212),
SUMIF(防護具!$Y$30:$Y$212,CM$17&amp;"プラスチックガウン",防護具!$Q$30:$Q$212),
SUMIF(防護具!$Y$30:$Y$212,CM$17&amp;"エプロン",防護具!$Q$30:$Q$212))-CL41,0)</f>
        <v>0</v>
      </c>
      <c r="CN42" s="642">
        <f>IFERROR(
SUM(CM42,
SUMIF(防護具!$Y$30:$Y$212,CN$17&amp;"アイソレーションガウン",防護具!$Q$30:$Q$212),
SUMIF(防護具!$Y$30:$Y$212,CN$17&amp;"プラスチックガウン",防護具!$Q$30:$Q$212),
SUMIF(防護具!$Y$30:$Y$212,CN$17&amp;"エプロン",防護具!$Q$30:$Q$212))-CM41,0)</f>
        <v>0</v>
      </c>
      <c r="CO42" s="642">
        <f>IFERROR(
SUM(CN42,
SUMIF(防護具!$Y$30:$Y$212,CO$17&amp;"アイソレーションガウン",防護具!$Q$30:$Q$212),
SUMIF(防護具!$Y$30:$Y$212,CO$17&amp;"プラスチックガウン",防護具!$Q$30:$Q$212),
SUMIF(防護具!$Y$30:$Y$212,CO$17&amp;"エプロン",防護具!$Q$30:$Q$212))-CN41,0)</f>
        <v>0</v>
      </c>
      <c r="CP42" s="642">
        <f>IFERROR(
SUM(CO42,
SUMIF(防護具!$Y$30:$Y$212,CP$17&amp;"アイソレーションガウン",防護具!$Q$30:$Q$212),
SUMIF(防護具!$Y$30:$Y$212,CP$17&amp;"プラスチックガウン",防護具!$Q$30:$Q$212),
SUMIF(防護具!$Y$30:$Y$212,CP$17&amp;"エプロン",防護具!$Q$30:$Q$212))-CO41,0)</f>
        <v>0</v>
      </c>
      <c r="CQ42" s="642">
        <f>IFERROR(
SUM(CP42,
SUMIF(防護具!$Y$30:$Y$212,CQ$17&amp;"アイソレーションガウン",防護具!$Q$30:$Q$212),
SUMIF(防護具!$Y$30:$Y$212,CQ$17&amp;"プラスチックガウン",防護具!$Q$30:$Q$212),
SUMIF(防護具!$Y$30:$Y$212,CQ$17&amp;"エプロン",防護具!$Q$30:$Q$212))-CP41,0)</f>
        <v>0</v>
      </c>
      <c r="CR42" s="642">
        <f>IFERROR(
SUM(CQ42,
SUMIF(防護具!$Y$30:$Y$212,CR$17&amp;"アイソレーションガウン",防護具!$Q$30:$Q$212),
SUMIF(防護具!$Y$30:$Y$212,CR$17&amp;"プラスチックガウン",防護具!$Q$30:$Q$212),
SUMIF(防護具!$Y$30:$Y$212,CR$17&amp;"エプロン",防護具!$Q$30:$Q$212))-CQ41,0)</f>
        <v>0</v>
      </c>
      <c r="CS42" s="642">
        <f>IFERROR(
SUM(CR42,
SUMIF(防護具!$Y$30:$Y$212,CS$17&amp;"アイソレーションガウン",防護具!$Q$30:$Q$212),
SUMIF(防護具!$Y$30:$Y$212,CS$17&amp;"プラスチックガウン",防護具!$Q$30:$Q$212),
SUMIF(防護具!$Y$30:$Y$212,CS$17&amp;"エプロン",防護具!$Q$30:$Q$212))-CR41,0)</f>
        <v>0</v>
      </c>
      <c r="CT42" s="642">
        <f>IFERROR(
SUM(CS42,
SUMIF(防護具!$Y$30:$Y$212,CT$17&amp;"アイソレーションガウン",防護具!$Q$30:$Q$212),
SUMIF(防護具!$Y$30:$Y$212,CT$17&amp;"プラスチックガウン",防護具!$Q$30:$Q$212),
SUMIF(防護具!$Y$30:$Y$212,CT$17&amp;"エプロン",防護具!$Q$30:$Q$212))-CS41,0)</f>
        <v>0</v>
      </c>
      <c r="CU42" s="642">
        <f>IFERROR(
SUM(CT42,
SUMIF(防護具!$Y$30:$Y$212,CU$17&amp;"アイソレーションガウン",防護具!$Q$30:$Q$212),
SUMIF(防護具!$Y$30:$Y$212,CU$17&amp;"プラスチックガウン",防護具!$Q$30:$Q$212),
SUMIF(防護具!$Y$30:$Y$212,CU$17&amp;"エプロン",防護具!$Q$30:$Q$212))-CT41,0)</f>
        <v>0</v>
      </c>
      <c r="CV42" s="642">
        <f>IFERROR(
SUM(CU42,
SUMIF(防護具!$Y$30:$Y$212,CV$17&amp;"アイソレーションガウン",防護具!$Q$30:$Q$212),
SUMIF(防護具!$Y$30:$Y$212,CV$17&amp;"プラスチックガウン",防護具!$Q$30:$Q$212),
SUMIF(防護具!$Y$30:$Y$212,CV$17&amp;"エプロン",防護具!$Q$30:$Q$212))-CU41,0)</f>
        <v>0</v>
      </c>
      <c r="CW42" s="642">
        <f>IFERROR(
SUM(CV42,
SUMIF(防護具!$Y$30:$Y$212,CW$17&amp;"アイソレーションガウン",防護具!$Q$30:$Q$212),
SUMIF(防護具!$Y$30:$Y$212,CW$17&amp;"プラスチックガウン",防護具!$Q$30:$Q$212),
SUMIF(防護具!$Y$30:$Y$212,CW$17&amp;"エプロン",防護具!$Q$30:$Q$212))-CV41,0)</f>
        <v>0</v>
      </c>
      <c r="CX42" s="642">
        <f>IFERROR(
SUM(CW42,
SUMIF(防護具!$Y$30:$Y$212,CX$17&amp;"アイソレーションガウン",防護具!$Q$30:$Q$212),
SUMIF(防護具!$Y$30:$Y$212,CX$17&amp;"プラスチックガウン",防護具!$Q$30:$Q$212),
SUMIF(防護具!$Y$30:$Y$212,CX$17&amp;"エプロン",防護具!$Q$30:$Q$212))-CW41,0)</f>
        <v>0</v>
      </c>
      <c r="CY42" s="642">
        <f>IFERROR(
SUM(CX42,
SUMIF(防護具!$Y$30:$Y$212,CY$17&amp;"アイソレーションガウン",防護具!$Q$30:$Q$212),
SUMIF(防護具!$Y$30:$Y$212,CY$17&amp;"プラスチックガウン",防護具!$Q$30:$Q$212),
SUMIF(防護具!$Y$30:$Y$212,CY$17&amp;"エプロン",防護具!$Q$30:$Q$212))-CX41,0)</f>
        <v>0</v>
      </c>
      <c r="CZ42" s="642">
        <f>IFERROR(
SUM(CY42,
SUMIF(防護具!$Y$30:$Y$212,CZ$17&amp;"アイソレーションガウン",防護具!$Q$30:$Q$212),
SUMIF(防護具!$Y$30:$Y$212,CZ$17&amp;"プラスチックガウン",防護具!$Q$30:$Q$212),
SUMIF(防護具!$Y$30:$Y$212,CZ$17&amp;"エプロン",防護具!$Q$30:$Q$212))-CY41,0)</f>
        <v>0</v>
      </c>
      <c r="DA42" s="642">
        <f>IFERROR(
SUM(CZ42,
SUMIF(防護具!$Y$30:$Y$212,DA$17&amp;"アイソレーションガウン",防護具!$Q$30:$Q$212),
SUMIF(防護具!$Y$30:$Y$212,DA$17&amp;"プラスチックガウン",防護具!$Q$30:$Q$212),
SUMIF(防護具!$Y$30:$Y$212,DA$17&amp;"エプロン",防護具!$Q$30:$Q$212))-CZ41,0)</f>
        <v>0</v>
      </c>
      <c r="DB42" s="642">
        <f>IFERROR(
SUM(DA42,
SUMIF(防護具!$Y$30:$Y$212,DB$17&amp;"アイソレーションガウン",防護具!$Q$30:$Q$212),
SUMIF(防護具!$Y$30:$Y$212,DB$17&amp;"プラスチックガウン",防護具!$Q$30:$Q$212),
SUMIF(防護具!$Y$30:$Y$212,DB$17&amp;"エプロン",防護具!$Q$30:$Q$212))-DA41,0)</f>
        <v>0</v>
      </c>
      <c r="DC42" s="642">
        <f>IFERROR(
SUM(DB42,
SUMIF(防護具!$Y$30:$Y$212,DC$17&amp;"アイソレーションガウン",防護具!$Q$30:$Q$212),
SUMIF(防護具!$Y$30:$Y$212,DC$17&amp;"プラスチックガウン",防護具!$Q$30:$Q$212),
SUMIF(防護具!$Y$30:$Y$212,DC$17&amp;"エプロン",防護具!$Q$30:$Q$212))-DB41,0)</f>
        <v>0</v>
      </c>
      <c r="DD42" s="642">
        <f>IFERROR(
SUM(DC42,
SUMIF(防護具!$Y$30:$Y$212,DD$17&amp;"アイソレーションガウン",防護具!$Q$30:$Q$212),
SUMIF(防護具!$Y$30:$Y$212,DD$17&amp;"プラスチックガウン",防護具!$Q$30:$Q$212),
SUMIF(防護具!$Y$30:$Y$212,DD$17&amp;"エプロン",防護具!$Q$30:$Q$212))-DC41,0)</f>
        <v>0</v>
      </c>
      <c r="DE42" s="642">
        <f>IFERROR(
SUM(DD42,
SUMIF(防護具!$Y$30:$Y$212,DE$17&amp;"アイソレーションガウン",防護具!$Q$30:$Q$212),
SUMIF(防護具!$Y$30:$Y$212,DE$17&amp;"プラスチックガウン",防護具!$Q$30:$Q$212),
SUMIF(防護具!$Y$30:$Y$212,DE$17&amp;"エプロン",防護具!$Q$30:$Q$212))-DD41,0)</f>
        <v>0</v>
      </c>
      <c r="DF42" s="642">
        <f>IFERROR(
SUM(DE42,
SUMIF(防護具!$Y$30:$Y$212,DF$17&amp;"アイソレーションガウン",防護具!$Q$30:$Q$212),
SUMIF(防護具!$Y$30:$Y$212,DF$17&amp;"プラスチックガウン",防護具!$Q$30:$Q$212),
SUMIF(防護具!$Y$30:$Y$212,DF$17&amp;"エプロン",防護具!$Q$30:$Q$212))-DE41,0)</f>
        <v>0</v>
      </c>
      <c r="DG42" s="642">
        <f>IFERROR(
SUM(DF42,
SUMIF(防護具!$Y$30:$Y$212,DG$17&amp;"アイソレーションガウン",防護具!$Q$30:$Q$212),
SUMIF(防護具!$Y$30:$Y$212,DG$17&amp;"プラスチックガウン",防護具!$Q$30:$Q$212),
SUMIF(防護具!$Y$30:$Y$212,DG$17&amp;"エプロン",防護具!$Q$30:$Q$212))-DF41,0)</f>
        <v>0</v>
      </c>
      <c r="DH42" s="642">
        <f>IFERROR(
SUM(DG42,
SUMIF(防護具!$Y$30:$Y$212,DH$17&amp;"アイソレーションガウン",防護具!$Q$30:$Q$212),
SUMIF(防護具!$Y$30:$Y$212,DH$17&amp;"プラスチックガウン",防護具!$Q$30:$Q$212),
SUMIF(防護具!$Y$30:$Y$212,DH$17&amp;"エプロン",防護具!$Q$30:$Q$212))-DG41,0)</f>
        <v>0</v>
      </c>
      <c r="DI42" s="642">
        <f>IFERROR(
SUM(DH42,
SUMIF(防護具!$Y$30:$Y$212,DI$17&amp;"アイソレーションガウン",防護具!$Q$30:$Q$212),
SUMIF(防護具!$Y$30:$Y$212,DI$17&amp;"プラスチックガウン",防護具!$Q$30:$Q$212),
SUMIF(防護具!$Y$30:$Y$212,DI$17&amp;"エプロン",防護具!$Q$30:$Q$212))-DH41,0)</f>
        <v>0</v>
      </c>
      <c r="DJ42" s="642">
        <f>IFERROR(
SUM(DI42,
SUMIF(防護具!$Y$30:$Y$212,DJ$17&amp;"アイソレーションガウン",防護具!$Q$30:$Q$212),
SUMIF(防護具!$Y$30:$Y$212,DJ$17&amp;"プラスチックガウン",防護具!$Q$30:$Q$212),
SUMIF(防護具!$Y$30:$Y$212,DJ$17&amp;"エプロン",防護具!$Q$30:$Q$212))-DI41,0)</f>
        <v>0</v>
      </c>
      <c r="DK42" s="642">
        <f>IFERROR(
SUM(DJ42,
SUMIF(防護具!$Y$30:$Y$212,DK$17&amp;"アイソレーションガウン",防護具!$Q$30:$Q$212),
SUMIF(防護具!$Y$30:$Y$212,DK$17&amp;"プラスチックガウン",防護具!$Q$30:$Q$212),
SUMIF(防護具!$Y$30:$Y$212,DK$17&amp;"エプロン",防護具!$Q$30:$Q$212))-DJ41,0)</f>
        <v>0</v>
      </c>
      <c r="DL42" s="642">
        <f>IFERROR(
SUM(DK42,
SUMIF(防護具!$Y$30:$Y$212,DL$17&amp;"アイソレーションガウン",防護具!$Q$30:$Q$212),
SUMIF(防護具!$Y$30:$Y$212,DL$17&amp;"プラスチックガウン",防護具!$Q$30:$Q$212),
SUMIF(防護具!$Y$30:$Y$212,DL$17&amp;"エプロン",防護具!$Q$30:$Q$212))-DK41,0)</f>
        <v>0</v>
      </c>
      <c r="DM42" s="642">
        <f>IFERROR(
SUM(DL42,
SUMIF(防護具!$Y$30:$Y$212,DM$17&amp;"アイソレーションガウン",防護具!$Q$30:$Q$212),
SUMIF(防護具!$Y$30:$Y$212,DM$17&amp;"プラスチックガウン",防護具!$Q$30:$Q$212),
SUMIF(防護具!$Y$30:$Y$212,DM$17&amp;"エプロン",防護具!$Q$30:$Q$212))-DL41,0)</f>
        <v>0</v>
      </c>
      <c r="DN42" s="642">
        <f>IFERROR(
SUM(DM42,
SUMIF(防護具!$Y$30:$Y$212,DN$17&amp;"アイソレーションガウン",防護具!$Q$30:$Q$212),
SUMIF(防護具!$Y$30:$Y$212,DN$17&amp;"プラスチックガウン",防護具!$Q$30:$Q$212),
SUMIF(防護具!$Y$30:$Y$212,DN$17&amp;"エプロン",防護具!$Q$30:$Q$212))-DM41,0)</f>
        <v>0</v>
      </c>
      <c r="DO42" s="642">
        <f>IFERROR(
SUM(DN42,
SUMIF(防護具!$Y$30:$Y$212,DO$17&amp;"アイソレーションガウン",防護具!$Q$30:$Q$212),
SUMIF(防護具!$Y$30:$Y$212,DO$17&amp;"プラスチックガウン",防護具!$Q$30:$Q$212),
SUMIF(防護具!$Y$30:$Y$212,DO$17&amp;"エプロン",防護具!$Q$30:$Q$212))-DN41,0)</f>
        <v>0</v>
      </c>
      <c r="DP42" s="642">
        <f>IFERROR(
SUM(DO42,
SUMIF(防護具!$Y$30:$Y$212,DP$17&amp;"アイソレーションガウン",防護具!$Q$30:$Q$212),
SUMIF(防護具!$Y$30:$Y$212,DP$17&amp;"プラスチックガウン",防護具!$Q$30:$Q$212),
SUMIF(防護具!$Y$30:$Y$212,DP$17&amp;"エプロン",防護具!$Q$30:$Q$212))-DO41,0)</f>
        <v>0</v>
      </c>
      <c r="DQ42" s="642">
        <f>IFERROR(
SUM(DP42,
SUMIF(防護具!$Y$30:$Y$212,DQ$17&amp;"アイソレーションガウン",防護具!$Q$30:$Q$212),
SUMIF(防護具!$Y$30:$Y$212,DQ$17&amp;"プラスチックガウン",防護具!$Q$30:$Q$212),
SUMIF(防護具!$Y$30:$Y$212,DQ$17&amp;"エプロン",防護具!$Q$30:$Q$212))-DP41,0)</f>
        <v>0</v>
      </c>
      <c r="DR42" s="642">
        <f>IFERROR(
SUM(DQ42,
SUMIF(防護具!$Y$30:$Y$212,DR$17&amp;"アイソレーションガウン",防護具!$Q$30:$Q$212),
SUMIF(防護具!$Y$30:$Y$212,DR$17&amp;"プラスチックガウン",防護具!$Q$30:$Q$212),
SUMIF(防護具!$Y$30:$Y$212,DR$17&amp;"エプロン",防護具!$Q$30:$Q$212))-DQ41,0)</f>
        <v>0</v>
      </c>
      <c r="DS42" s="642">
        <f>IFERROR(
SUM(DR42,
SUMIF(防護具!$Y$30:$Y$212,DS$17&amp;"アイソレーションガウン",防護具!$Q$30:$Q$212),
SUMIF(防護具!$Y$30:$Y$212,DS$17&amp;"プラスチックガウン",防護具!$Q$30:$Q$212),
SUMIF(防護具!$Y$30:$Y$212,DS$17&amp;"エプロン",防護具!$Q$30:$Q$212))-DR41,0)</f>
        <v>0</v>
      </c>
      <c r="DT42" s="642">
        <f>IFERROR(
SUM(DS42,
SUMIF(防護具!$Y$30:$Y$212,DT$17&amp;"アイソレーションガウン",防護具!$Q$30:$Q$212),
SUMIF(防護具!$Y$30:$Y$212,DT$17&amp;"プラスチックガウン",防護具!$Q$30:$Q$212),
SUMIF(防護具!$Y$30:$Y$212,DT$17&amp;"エプロン",防護具!$Q$30:$Q$212))-DS41,0)</f>
        <v>0</v>
      </c>
      <c r="DU42" s="642">
        <f>IFERROR(
SUM(DT42,
SUMIF(防護具!$Y$30:$Y$212,DU$17&amp;"アイソレーションガウン",防護具!$Q$30:$Q$212),
SUMIF(防護具!$Y$30:$Y$212,DU$17&amp;"プラスチックガウン",防護具!$Q$30:$Q$212),
SUMIF(防護具!$Y$30:$Y$212,DU$17&amp;"エプロン",防護具!$Q$30:$Q$212))-DT41,0)</f>
        <v>0</v>
      </c>
      <c r="DV42" s="642">
        <f>IFERROR(
SUM(DU42,
SUMIF(防護具!$Y$30:$Y$212,DV$17&amp;"アイソレーションガウン",防護具!$Q$30:$Q$212),
SUMIF(防護具!$Y$30:$Y$212,DV$17&amp;"プラスチックガウン",防護具!$Q$30:$Q$212),
SUMIF(防護具!$Y$30:$Y$212,DV$17&amp;"エプロン",防護具!$Q$30:$Q$212))-DU41,0)</f>
        <v>0</v>
      </c>
      <c r="DW42" s="642">
        <f>IFERROR(
SUM(DV42,
SUMIF(防護具!$Y$30:$Y$212,DW$17&amp;"アイソレーションガウン",防護具!$Q$30:$Q$212),
SUMIF(防護具!$Y$30:$Y$212,DW$17&amp;"プラスチックガウン",防護具!$Q$30:$Q$212),
SUMIF(防護具!$Y$30:$Y$212,DW$17&amp;"エプロン",防護具!$Q$30:$Q$212))-DV41,0)</f>
        <v>0</v>
      </c>
      <c r="DX42" s="642">
        <f>IFERROR(
SUM(DW42,
SUMIF(防護具!$Y$30:$Y$212,DX$17&amp;"アイソレーションガウン",防護具!$Q$30:$Q$212),
SUMIF(防護具!$Y$30:$Y$212,DX$17&amp;"プラスチックガウン",防護具!$Q$30:$Q$212),
SUMIF(防護具!$Y$30:$Y$212,DX$17&amp;"エプロン",防護具!$Q$30:$Q$212))-DW41,0)</f>
        <v>0</v>
      </c>
      <c r="DY42" s="642">
        <f>IFERROR(
SUM(DX42,
SUMIF(防護具!$Y$30:$Y$212,DY$17&amp;"アイソレーションガウン",防護具!$Q$30:$Q$212),
SUMIF(防護具!$Y$30:$Y$212,DY$17&amp;"プラスチックガウン",防護具!$Q$30:$Q$212),
SUMIF(防護具!$Y$30:$Y$212,DY$17&amp;"エプロン",防護具!$Q$30:$Q$212))-DX41,0)</f>
        <v>0</v>
      </c>
      <c r="DZ42" s="642">
        <f>IFERROR(
SUM(DY42,
SUMIF(防護具!$Y$30:$Y$212,DZ$17&amp;"アイソレーションガウン",防護具!$Q$30:$Q$212),
SUMIF(防護具!$Y$30:$Y$212,DZ$17&amp;"プラスチックガウン",防護具!$Q$30:$Q$212),
SUMIF(防護具!$Y$30:$Y$212,DZ$17&amp;"エプロン",防護具!$Q$30:$Q$212))-DY41,0)</f>
        <v>0</v>
      </c>
      <c r="EA42" s="642">
        <f>IFERROR(
SUM(DZ42,
SUMIF(防護具!$Y$30:$Y$212,EA$17&amp;"アイソレーションガウン",防護具!$Q$30:$Q$212),
SUMIF(防護具!$Y$30:$Y$212,EA$17&amp;"プラスチックガウン",防護具!$Q$30:$Q$212),
SUMIF(防護具!$Y$30:$Y$212,EA$17&amp;"エプロン",防護具!$Q$30:$Q$212))-DZ41,0)</f>
        <v>0</v>
      </c>
      <c r="EB42" s="642">
        <f>IFERROR(
SUM(EA42,
SUMIF(防護具!$Y$30:$Y$212,EB$17&amp;"アイソレーションガウン",防護具!$Q$30:$Q$212),
SUMIF(防護具!$Y$30:$Y$212,EB$17&amp;"プラスチックガウン",防護具!$Q$30:$Q$212),
SUMIF(防護具!$Y$30:$Y$212,EB$17&amp;"エプロン",防護具!$Q$30:$Q$212))-EA41,0)</f>
        <v>0</v>
      </c>
      <c r="EC42" s="642">
        <f>IFERROR(
SUM(EB42,
SUMIF(防護具!$Y$30:$Y$212,EC$17&amp;"アイソレーションガウン",防護具!$Q$30:$Q$212),
SUMIF(防護具!$Y$30:$Y$212,EC$17&amp;"プラスチックガウン",防護具!$Q$30:$Q$212),
SUMIF(防護具!$Y$30:$Y$212,EC$17&amp;"エプロン",防護具!$Q$30:$Q$212))-EB41,0)</f>
        <v>0</v>
      </c>
      <c r="ED42" s="642">
        <f>IFERROR(
SUM(EC42,
SUMIF(防護具!$Y$30:$Y$212,ED$17&amp;"アイソレーションガウン",防護具!$Q$30:$Q$212),
SUMIF(防護具!$Y$30:$Y$212,ED$17&amp;"プラスチックガウン",防護具!$Q$30:$Q$212),
SUMIF(防護具!$Y$30:$Y$212,ED$17&amp;"エプロン",防護具!$Q$30:$Q$212))-EC41,0)</f>
        <v>0</v>
      </c>
      <c r="EE42" s="642">
        <f>IFERROR(
SUM(ED42,
SUMIF(防護具!$Y$30:$Y$212,EE$17&amp;"アイソレーションガウン",防護具!$Q$30:$Q$212),
SUMIF(防護具!$Y$30:$Y$212,EE$17&amp;"プラスチックガウン",防護具!$Q$30:$Q$212),
SUMIF(防護具!$Y$30:$Y$212,EE$17&amp;"エプロン",防護具!$Q$30:$Q$212))-ED41,0)</f>
        <v>0</v>
      </c>
      <c r="EF42" s="642">
        <f>IFERROR(
SUM(EE42,
SUMIF(防護具!$Y$30:$Y$212,EF$17&amp;"アイソレーションガウン",防護具!$Q$30:$Q$212),
SUMIF(防護具!$Y$30:$Y$212,EF$17&amp;"プラスチックガウン",防護具!$Q$30:$Q$212),
SUMIF(防護具!$Y$30:$Y$212,EF$17&amp;"エプロン",防護具!$Q$30:$Q$212))-EE41,0)</f>
        <v>0</v>
      </c>
      <c r="EG42" s="642">
        <f>IFERROR(
SUM(EF42,
SUMIF(防護具!$Y$30:$Y$212,EG$17&amp;"アイソレーションガウン",防護具!$Q$30:$Q$212),
SUMIF(防護具!$Y$30:$Y$212,EG$17&amp;"プラスチックガウン",防護具!$Q$30:$Q$212),
SUMIF(防護具!$Y$30:$Y$212,EG$17&amp;"エプロン",防護具!$Q$30:$Q$212))-EF41,0)</f>
        <v>0</v>
      </c>
      <c r="EH42" s="642">
        <f>IFERROR(
SUM(EG42,
SUMIF(防護具!$Y$30:$Y$212,EH$17&amp;"アイソレーションガウン",防護具!$Q$30:$Q$212),
SUMIF(防護具!$Y$30:$Y$212,EH$17&amp;"プラスチックガウン",防護具!$Q$30:$Q$212),
SUMIF(防護具!$Y$30:$Y$212,EH$17&amp;"エプロン",防護具!$Q$30:$Q$212))-EG41,0)</f>
        <v>0</v>
      </c>
      <c r="EI42" s="642">
        <f>IFERROR(
SUM(EH42,
SUMIF(防護具!$Y$30:$Y$212,EI$17&amp;"アイソレーションガウン",防護具!$Q$30:$Q$212),
SUMIF(防護具!$Y$30:$Y$212,EI$17&amp;"プラスチックガウン",防護具!$Q$30:$Q$212),
SUMIF(防護具!$Y$30:$Y$212,EI$17&amp;"エプロン",防護具!$Q$30:$Q$212))-EH41,0)</f>
        <v>0</v>
      </c>
      <c r="EJ42" s="642">
        <f>IFERROR(
SUM(EI42,
SUMIF(防護具!$Y$30:$Y$212,EJ$17&amp;"アイソレーションガウン",防護具!$Q$30:$Q$212),
SUMIF(防護具!$Y$30:$Y$212,EJ$17&amp;"プラスチックガウン",防護具!$Q$30:$Q$212),
SUMIF(防護具!$Y$30:$Y$212,EJ$17&amp;"エプロン",防護具!$Q$30:$Q$212))-EI41,0)</f>
        <v>0</v>
      </c>
      <c r="EK42" s="642">
        <f>IFERROR(
SUM(EJ42,
SUMIF(防護具!$Y$30:$Y$212,EK$17&amp;"アイソレーションガウン",防護具!$Q$30:$Q$212),
SUMIF(防護具!$Y$30:$Y$212,EK$17&amp;"プラスチックガウン",防護具!$Q$30:$Q$212),
SUMIF(防護具!$Y$30:$Y$212,EK$17&amp;"エプロン",防護具!$Q$30:$Q$212))-EJ41,0)</f>
        <v>0</v>
      </c>
      <c r="EL42" s="642">
        <f>IFERROR(
SUM(EK42,
SUMIF(防護具!$Y$30:$Y$212,EL$17&amp;"アイソレーションガウン",防護具!$Q$30:$Q$212),
SUMIF(防護具!$Y$30:$Y$212,EL$17&amp;"プラスチックガウン",防護具!$Q$30:$Q$212),
SUMIF(防護具!$Y$30:$Y$212,EL$17&amp;"エプロン",防護具!$Q$30:$Q$212))-EK41,0)</f>
        <v>0</v>
      </c>
      <c r="EM42" s="642">
        <f>IFERROR(
SUM(EL42,
SUMIF(防護具!$Y$30:$Y$212,EM$17&amp;"アイソレーションガウン",防護具!$Q$30:$Q$212),
SUMIF(防護具!$Y$30:$Y$212,EM$17&amp;"プラスチックガウン",防護具!$Q$30:$Q$212),
SUMIF(防護具!$Y$30:$Y$212,EM$17&amp;"エプロン",防護具!$Q$30:$Q$212))-EL41,0)</f>
        <v>0</v>
      </c>
      <c r="EN42" s="642">
        <f>IFERROR(
SUM(EM42,
SUMIF(防護具!$Y$30:$Y$212,EN$17&amp;"アイソレーションガウン",防護具!$Q$30:$Q$212),
SUMIF(防護具!$Y$30:$Y$212,EN$17&amp;"プラスチックガウン",防護具!$Q$30:$Q$212),
SUMIF(防護具!$Y$30:$Y$212,EN$17&amp;"エプロン",防護具!$Q$30:$Q$212))-EM41,0)</f>
        <v>0</v>
      </c>
      <c r="EO42" s="642">
        <f>IFERROR(
SUM(EN42,
SUMIF(防護具!$Y$30:$Y$212,EO$17&amp;"アイソレーションガウン",防護具!$Q$30:$Q$212),
SUMIF(防護具!$Y$30:$Y$212,EO$17&amp;"プラスチックガウン",防護具!$Q$30:$Q$212),
SUMIF(防護具!$Y$30:$Y$212,EO$17&amp;"エプロン",防護具!$Q$30:$Q$212))-EN41,0)</f>
        <v>0</v>
      </c>
      <c r="EP42" s="642">
        <f>IFERROR(
SUM(EO42,
SUMIF(防護具!$Y$30:$Y$212,EP$17&amp;"アイソレーションガウン",防護具!$Q$30:$Q$212),
SUMIF(防護具!$Y$30:$Y$212,EP$17&amp;"プラスチックガウン",防護具!$Q$30:$Q$212),
SUMIF(防護具!$Y$30:$Y$212,EP$17&amp;"エプロン",防護具!$Q$30:$Q$212))-EO41,0)</f>
        <v>0</v>
      </c>
      <c r="EQ42" s="642">
        <f>IFERROR(
SUM(EP42,
SUMIF(防護具!$Y$30:$Y$212,EQ$17&amp;"アイソレーションガウン",防護具!$Q$30:$Q$212),
SUMIF(防護具!$Y$30:$Y$212,EQ$17&amp;"プラスチックガウン",防護具!$Q$30:$Q$212),
SUMIF(防護具!$Y$30:$Y$212,EQ$17&amp;"エプロン",防護具!$Q$30:$Q$212))-EP41,0)</f>
        <v>0</v>
      </c>
      <c r="ER42" s="642">
        <f>IFERROR(
SUM(EQ42,
SUMIF(防護具!$Y$30:$Y$212,ER$17&amp;"アイソレーションガウン",防護具!$Q$30:$Q$212),
SUMIF(防護具!$Y$30:$Y$212,ER$17&amp;"プラスチックガウン",防護具!$Q$30:$Q$212),
SUMIF(防護具!$Y$30:$Y$212,ER$17&amp;"エプロン",防護具!$Q$30:$Q$212))-EQ41,0)</f>
        <v>0</v>
      </c>
      <c r="ES42" s="642">
        <f>IFERROR(
SUM(ER42,
SUMIF(防護具!$Y$30:$Y$212,ES$17&amp;"アイソレーションガウン",防護具!$Q$30:$Q$212),
SUMIF(防護具!$Y$30:$Y$212,ES$17&amp;"プラスチックガウン",防護具!$Q$30:$Q$212),
SUMIF(防護具!$Y$30:$Y$212,ES$17&amp;"エプロン",防護具!$Q$30:$Q$212))-ER41,0)</f>
        <v>0</v>
      </c>
      <c r="ET42" s="642">
        <f>IFERROR(
SUM(ES42,
SUMIF(防護具!$Y$30:$Y$212,ET$17&amp;"アイソレーションガウン",防護具!$Q$30:$Q$212),
SUMIF(防護具!$Y$30:$Y$212,ET$17&amp;"プラスチックガウン",防護具!$Q$30:$Q$212),
SUMIF(防護具!$Y$30:$Y$212,ET$17&amp;"エプロン",防護具!$Q$30:$Q$212))-ES41,0)</f>
        <v>0</v>
      </c>
      <c r="EU42" s="642">
        <f>IFERROR(
SUM(ET42,
SUMIF(防護具!$Y$30:$Y$212,EU$17&amp;"アイソレーションガウン",防護具!$Q$30:$Q$212),
SUMIF(防護具!$Y$30:$Y$212,EU$17&amp;"プラスチックガウン",防護具!$Q$30:$Q$212),
SUMIF(防護具!$Y$30:$Y$212,EU$17&amp;"エプロン",防護具!$Q$30:$Q$212))-ET41,0)</f>
        <v>0</v>
      </c>
      <c r="EV42" s="642">
        <f>IFERROR(
SUM(EU42,
SUMIF(防護具!$Y$30:$Y$212,EV$17&amp;"アイソレーションガウン",防護具!$Q$30:$Q$212),
SUMIF(防護具!$Y$30:$Y$212,EV$17&amp;"プラスチックガウン",防護具!$Q$30:$Q$212),
SUMIF(防護具!$Y$30:$Y$212,EV$17&amp;"エプロン",防護具!$Q$30:$Q$212))-EU41,0)</f>
        <v>0</v>
      </c>
      <c r="EW42" s="642">
        <f>IFERROR(
SUM(EV42,
SUMIF(防護具!$Y$30:$Y$212,EW$17&amp;"アイソレーションガウン",防護具!$Q$30:$Q$212),
SUMIF(防護具!$Y$30:$Y$212,EW$17&amp;"プラスチックガウン",防護具!$Q$30:$Q$212),
SUMIF(防護具!$Y$30:$Y$212,EW$17&amp;"エプロン",防護具!$Q$30:$Q$212))-EV41,0)</f>
        <v>0</v>
      </c>
      <c r="EX42" s="642">
        <f>IFERROR(
SUM(EW42,
SUMIF(防護具!$Y$30:$Y$212,EX$17&amp;"アイソレーションガウン",防護具!$Q$30:$Q$212),
SUMIF(防護具!$Y$30:$Y$212,EX$17&amp;"プラスチックガウン",防護具!$Q$30:$Q$212),
SUMIF(防護具!$Y$30:$Y$212,EX$17&amp;"エプロン",防護具!$Q$30:$Q$212))-EW41,0)</f>
        <v>0</v>
      </c>
      <c r="EY42" s="642">
        <f>IFERROR(
SUM(EX42,
SUMIF(防護具!$Y$30:$Y$212,EY$17&amp;"アイソレーションガウン",防護具!$Q$30:$Q$212),
SUMIF(防護具!$Y$30:$Y$212,EY$17&amp;"プラスチックガウン",防護具!$Q$30:$Q$212),
SUMIF(防護具!$Y$30:$Y$212,EY$17&amp;"エプロン",防護具!$Q$30:$Q$212))-EX41,0)</f>
        <v>0</v>
      </c>
      <c r="EZ42" s="642">
        <f>IFERROR(
SUM(EY42,
SUMIF(防護具!$Y$30:$Y$212,EZ$17&amp;"アイソレーションガウン",防護具!$Q$30:$Q$212),
SUMIF(防護具!$Y$30:$Y$212,EZ$17&amp;"プラスチックガウン",防護具!$Q$30:$Q$212),
SUMIF(防護具!$Y$30:$Y$212,EZ$17&amp;"エプロン",防護具!$Q$30:$Q$212))-EY41,0)</f>
        <v>0</v>
      </c>
      <c r="FA42" s="642">
        <f>IFERROR(
SUM(EZ42,
SUMIF(防護具!$Y$30:$Y$212,FA$17&amp;"アイソレーションガウン",防護具!$Q$30:$Q$212),
SUMIF(防護具!$Y$30:$Y$212,FA$17&amp;"プラスチックガウン",防護具!$Q$30:$Q$212),
SUMIF(防護具!$Y$30:$Y$212,FA$17&amp;"エプロン",防護具!$Q$30:$Q$212))-EZ41,0)</f>
        <v>0</v>
      </c>
      <c r="FB42" s="642">
        <f>IFERROR(
SUM(FA42,
SUMIF(防護具!$Y$30:$Y$212,FB$17&amp;"アイソレーションガウン",防護具!$Q$30:$Q$212),
SUMIF(防護具!$Y$30:$Y$212,FB$17&amp;"プラスチックガウン",防護具!$Q$30:$Q$212),
SUMIF(防護具!$Y$30:$Y$212,FB$17&amp;"エプロン",防護具!$Q$30:$Q$212))-FA41,0)</f>
        <v>0</v>
      </c>
      <c r="FC42" s="642">
        <f>IFERROR(
SUM(FB42,
SUMIF(防護具!$Y$30:$Y$212,FC$17&amp;"アイソレーションガウン",防護具!$Q$30:$Q$212),
SUMIF(防護具!$Y$30:$Y$212,FC$17&amp;"プラスチックガウン",防護具!$Q$30:$Q$212),
SUMIF(防護具!$Y$30:$Y$212,FC$17&amp;"エプロン",防護具!$Q$30:$Q$212))-FB41,0)</f>
        <v>0</v>
      </c>
      <c r="FD42" s="642">
        <f>IFERROR(
SUM(FC42,
SUMIF(防護具!$Y$30:$Y$212,FD$17&amp;"アイソレーションガウン",防護具!$Q$30:$Q$212),
SUMIF(防護具!$Y$30:$Y$212,FD$17&amp;"プラスチックガウン",防護具!$Q$30:$Q$212),
SUMIF(防護具!$Y$30:$Y$212,FD$17&amp;"エプロン",防護具!$Q$30:$Q$212))-FC41,0)</f>
        <v>0</v>
      </c>
      <c r="FE42" s="642">
        <f>IFERROR(
SUM(FD42,
SUMIF(防護具!$Y$30:$Y$212,FE$17&amp;"アイソレーションガウン",防護具!$Q$30:$Q$212),
SUMIF(防護具!$Y$30:$Y$212,FE$17&amp;"プラスチックガウン",防護具!$Q$30:$Q$212),
SUMIF(防護具!$Y$30:$Y$212,FE$17&amp;"エプロン",防護具!$Q$30:$Q$212))-FD41,0)</f>
        <v>0</v>
      </c>
      <c r="FF42" s="642">
        <f>IFERROR(
SUM(FE42,
SUMIF(防護具!$Y$30:$Y$212,FF$17&amp;"アイソレーションガウン",防護具!$Q$30:$Q$212),
SUMIF(防護具!$Y$30:$Y$212,FF$17&amp;"プラスチックガウン",防護具!$Q$30:$Q$212),
SUMIF(防護具!$Y$30:$Y$212,FF$17&amp;"エプロン",防護具!$Q$30:$Q$212))-FE41,0)</f>
        <v>0</v>
      </c>
      <c r="FG42" s="642">
        <f>IFERROR(
SUM(FF42,
SUMIF(防護具!$Y$30:$Y$212,FG$17&amp;"アイソレーションガウン",防護具!$Q$30:$Q$212),
SUMIF(防護具!$Y$30:$Y$212,FG$17&amp;"プラスチックガウン",防護具!$Q$30:$Q$212),
SUMIF(防護具!$Y$30:$Y$212,FG$17&amp;"エプロン",防護具!$Q$30:$Q$212))-FF41,0)</f>
        <v>0</v>
      </c>
      <c r="FH42" s="642">
        <f>IFERROR(
SUM(FG42,
SUMIF(防護具!$Y$30:$Y$212,FH$17&amp;"アイソレーションガウン",防護具!$Q$30:$Q$212),
SUMIF(防護具!$Y$30:$Y$212,FH$17&amp;"プラスチックガウン",防護具!$Q$30:$Q$212),
SUMIF(防護具!$Y$30:$Y$212,FH$17&amp;"エプロン",防護具!$Q$30:$Q$212))-FG41,0)</f>
        <v>0</v>
      </c>
      <c r="FI42" s="642">
        <f>IFERROR(
SUM(FH42,
SUMIF(防護具!$Y$30:$Y$212,FI$17&amp;"アイソレーションガウン",防護具!$Q$30:$Q$212),
SUMIF(防護具!$Y$30:$Y$212,FI$17&amp;"プラスチックガウン",防護具!$Q$30:$Q$212),
SUMIF(防護具!$Y$30:$Y$212,FI$17&amp;"エプロン",防護具!$Q$30:$Q$212))-FH41,0)</f>
        <v>0</v>
      </c>
      <c r="FJ42" s="642">
        <f>IFERROR(
SUM(FI42,
SUMIF(防護具!$Y$30:$Y$212,FJ$17&amp;"アイソレーションガウン",防護具!$Q$30:$Q$212),
SUMIF(防護具!$Y$30:$Y$212,FJ$17&amp;"プラスチックガウン",防護具!$Q$30:$Q$212),
SUMIF(防護具!$Y$30:$Y$212,FJ$17&amp;"エプロン",防護具!$Q$30:$Q$212))-FI41,0)</f>
        <v>0</v>
      </c>
      <c r="FK42" s="642">
        <f>IFERROR(
SUM(FJ42,
SUMIF(防護具!$Y$30:$Y$212,FK$17&amp;"アイソレーションガウン",防護具!$Q$30:$Q$212),
SUMIF(防護具!$Y$30:$Y$212,FK$17&amp;"プラスチックガウン",防護具!$Q$30:$Q$212),
SUMIF(防護具!$Y$30:$Y$212,FK$17&amp;"エプロン",防護具!$Q$30:$Q$212))-FJ41,0)</f>
        <v>0</v>
      </c>
      <c r="FL42" s="642">
        <f>IFERROR(
SUM(FK42,
SUMIF(防護具!$Y$30:$Y$212,FL$17&amp;"アイソレーションガウン",防護具!$Q$30:$Q$212),
SUMIF(防護具!$Y$30:$Y$212,FL$17&amp;"プラスチックガウン",防護具!$Q$30:$Q$212),
SUMIF(防護具!$Y$30:$Y$212,FL$17&amp;"エプロン",防護具!$Q$30:$Q$212))-FK41,0)</f>
        <v>0</v>
      </c>
      <c r="FM42" s="642">
        <f>IFERROR(
SUM(FL42,
SUMIF(防護具!$Y$30:$Y$212,FM$17&amp;"アイソレーションガウン",防護具!$Q$30:$Q$212),
SUMIF(防護具!$Y$30:$Y$212,FM$17&amp;"プラスチックガウン",防護具!$Q$30:$Q$212),
SUMIF(防護具!$Y$30:$Y$212,FM$17&amp;"エプロン",防護具!$Q$30:$Q$212))-FL41,0)</f>
        <v>0</v>
      </c>
      <c r="FN42" s="642">
        <f>IFERROR(
SUM(FM42,
SUMIF(防護具!$Y$30:$Y$212,FN$17&amp;"アイソレーションガウン",防護具!$Q$30:$Q$212),
SUMIF(防護具!$Y$30:$Y$212,FN$17&amp;"プラスチックガウン",防護具!$Q$30:$Q$212),
SUMIF(防護具!$Y$30:$Y$212,FN$17&amp;"エプロン",防護具!$Q$30:$Q$212))-FM41,0)</f>
        <v>0</v>
      </c>
      <c r="FO42" s="642">
        <f>IFERROR(
SUM(FN42,
SUMIF(防護具!$Y$30:$Y$212,FO$17&amp;"アイソレーションガウン",防護具!$Q$30:$Q$212),
SUMIF(防護具!$Y$30:$Y$212,FO$17&amp;"プラスチックガウン",防護具!$Q$30:$Q$212),
SUMIF(防護具!$Y$30:$Y$212,FO$17&amp;"エプロン",防護具!$Q$30:$Q$212))-FN41,0)</f>
        <v>0</v>
      </c>
      <c r="FP42" s="642">
        <f>IFERROR(
SUM(FO42,
SUMIF(防護具!$Y$30:$Y$212,FP$17&amp;"アイソレーションガウン",防護具!$Q$30:$Q$212),
SUMIF(防護具!$Y$30:$Y$212,FP$17&amp;"プラスチックガウン",防護具!$Q$30:$Q$212),
SUMIF(防護具!$Y$30:$Y$212,FP$17&amp;"エプロン",防護具!$Q$30:$Q$212))-FO41,0)</f>
        <v>0</v>
      </c>
      <c r="FQ42" s="642">
        <f>IFERROR(
SUM(FP42,
SUMIF(防護具!$Y$30:$Y$212,FQ$17&amp;"アイソレーションガウン",防護具!$Q$30:$Q$212),
SUMIF(防護具!$Y$30:$Y$212,FQ$17&amp;"プラスチックガウン",防護具!$Q$30:$Q$212),
SUMIF(防護具!$Y$30:$Y$212,FQ$17&amp;"エプロン",防護具!$Q$30:$Q$212))-FP41,0)</f>
        <v>0</v>
      </c>
      <c r="FR42" s="642">
        <f>IFERROR(
SUM(FQ42,
SUMIF(防護具!$Y$30:$Y$212,FR$17&amp;"アイソレーションガウン",防護具!$Q$30:$Q$212),
SUMIF(防護具!$Y$30:$Y$212,FR$17&amp;"プラスチックガウン",防護具!$Q$30:$Q$212),
SUMIF(防護具!$Y$30:$Y$212,FR$17&amp;"エプロン",防護具!$Q$30:$Q$212))-FQ41,0)</f>
        <v>0</v>
      </c>
      <c r="FS42" s="642">
        <f>IFERROR(
SUM(FR42,
SUMIF(防護具!$Y$30:$Y$212,FS$17&amp;"アイソレーションガウン",防護具!$Q$30:$Q$212),
SUMIF(防護具!$Y$30:$Y$212,FS$17&amp;"プラスチックガウン",防護具!$Q$30:$Q$212),
SUMIF(防護具!$Y$30:$Y$212,FS$17&amp;"エプロン",防護具!$Q$30:$Q$212))-FR41,0)</f>
        <v>0</v>
      </c>
      <c r="FT42" s="642">
        <f>IFERROR(
SUM(FS42,
SUMIF(防護具!$Y$30:$Y$212,FT$17&amp;"アイソレーションガウン",防護具!$Q$30:$Q$212),
SUMIF(防護具!$Y$30:$Y$212,FT$17&amp;"プラスチックガウン",防護具!$Q$30:$Q$212),
SUMIF(防護具!$Y$30:$Y$212,FT$17&amp;"エプロン",防護具!$Q$30:$Q$212))-FS41,0)</f>
        <v>0</v>
      </c>
      <c r="FU42" s="642">
        <f>IFERROR(
SUM(FT42,
SUMIF(防護具!$Y$30:$Y$212,FU$17&amp;"アイソレーションガウン",防護具!$Q$30:$Q$212),
SUMIF(防護具!$Y$30:$Y$212,FU$17&amp;"プラスチックガウン",防護具!$Q$30:$Q$212),
SUMIF(防護具!$Y$30:$Y$212,FU$17&amp;"エプロン",防護具!$Q$30:$Q$212))-FT41,0)</f>
        <v>0</v>
      </c>
      <c r="FV42" s="642">
        <f>IFERROR(
SUM(FU42,
SUMIF(防護具!$Y$30:$Y$212,FV$17&amp;"アイソレーションガウン",防護具!$Q$30:$Q$212),
SUMIF(防護具!$Y$30:$Y$212,FV$17&amp;"プラスチックガウン",防護具!$Q$30:$Q$212),
SUMIF(防護具!$Y$30:$Y$212,FV$17&amp;"エプロン",防護具!$Q$30:$Q$212))-FU41,0)</f>
        <v>0</v>
      </c>
      <c r="FW42" s="642">
        <f>IFERROR(
SUM(FV42,
SUMIF(防護具!$Y$30:$Y$212,FW$17&amp;"アイソレーションガウン",防護具!$Q$30:$Q$212),
SUMIF(防護具!$Y$30:$Y$212,FW$17&amp;"プラスチックガウン",防護具!$Q$30:$Q$212),
SUMIF(防護具!$Y$30:$Y$212,FW$17&amp;"エプロン",防護具!$Q$30:$Q$212))-FV41,0)</f>
        <v>0</v>
      </c>
      <c r="FX42" s="642">
        <f>IFERROR(
SUM(FW42,
SUMIF(防護具!$Y$30:$Y$212,FX$17&amp;"アイソレーションガウン",防護具!$Q$30:$Q$212),
SUMIF(防護具!$Y$30:$Y$212,FX$17&amp;"プラスチックガウン",防護具!$Q$30:$Q$212),
SUMIF(防護具!$Y$30:$Y$212,FX$17&amp;"エプロン",防護具!$Q$30:$Q$212))-FW41,0)</f>
        <v>0</v>
      </c>
      <c r="FY42" s="642">
        <f>IFERROR(
SUM(FX42,
SUMIF(防護具!$Y$30:$Y$212,FY$17&amp;"アイソレーションガウン",防護具!$Q$30:$Q$212),
SUMIF(防護具!$Y$30:$Y$212,FY$17&amp;"プラスチックガウン",防護具!$Q$30:$Q$212),
SUMIF(防護具!$Y$30:$Y$212,FY$17&amp;"エプロン",防護具!$Q$30:$Q$212))-FX41,0)</f>
        <v>0</v>
      </c>
      <c r="FZ42" s="642">
        <f>IFERROR(
SUM(FY42,
SUMIF(防護具!$Y$30:$Y$212,FZ$17&amp;"アイソレーションガウン",防護具!$Q$30:$Q$212),
SUMIF(防護具!$Y$30:$Y$212,FZ$17&amp;"プラスチックガウン",防護具!$Q$30:$Q$212),
SUMIF(防護具!$Y$30:$Y$212,FZ$17&amp;"エプロン",防護具!$Q$30:$Q$212))-FY41,0)</f>
        <v>0</v>
      </c>
      <c r="GA42" s="642">
        <f>IFERROR(
SUM(FZ42,
SUMIF(防護具!$Y$30:$Y$212,GA$17&amp;"アイソレーションガウン",防護具!$Q$30:$Q$212),
SUMIF(防護具!$Y$30:$Y$212,GA$17&amp;"プラスチックガウン",防護具!$Q$30:$Q$212),
SUMIF(防護具!$Y$30:$Y$212,GA$17&amp;"エプロン",防護具!$Q$30:$Q$212))-FZ41,0)</f>
        <v>0</v>
      </c>
      <c r="GB42" s="642">
        <f>IFERROR(
SUM(GA42,
SUMIF(防護具!$Y$30:$Y$212,GB$17&amp;"アイソレーションガウン",防護具!$Q$30:$Q$212),
SUMIF(防護具!$Y$30:$Y$212,GB$17&amp;"プラスチックガウン",防護具!$Q$30:$Q$212),
SUMIF(防護具!$Y$30:$Y$212,GB$17&amp;"エプロン",防護具!$Q$30:$Q$212))-GA41,0)</f>
        <v>0</v>
      </c>
      <c r="GC42" s="642">
        <f>IFERROR(
SUM(GB42,
SUMIF(防護具!$Y$30:$Y$212,GC$17&amp;"アイソレーションガウン",防護具!$Q$30:$Q$212),
SUMIF(防護具!$Y$30:$Y$212,GC$17&amp;"プラスチックガウン",防護具!$Q$30:$Q$212),
SUMIF(防護具!$Y$30:$Y$212,GC$17&amp;"エプロン",防護具!$Q$30:$Q$212))-GB41,0)</f>
        <v>0</v>
      </c>
      <c r="GD42" s="642">
        <f>IFERROR(
SUM(GC42,
SUMIF(防護具!$Y$30:$Y$212,GD$17&amp;"アイソレーションガウン",防護具!$Q$30:$Q$212),
SUMIF(防護具!$Y$30:$Y$212,GD$17&amp;"プラスチックガウン",防護具!$Q$30:$Q$212),
SUMIF(防護具!$Y$30:$Y$212,GD$17&amp;"エプロン",防護具!$Q$30:$Q$212))-GC41,0)</f>
        <v>0</v>
      </c>
      <c r="GE42" s="642">
        <f>IFERROR(
SUM(GD42,
SUMIF(防護具!$Y$30:$Y$212,GE$17&amp;"アイソレーションガウン",防護具!$Q$30:$Q$212),
SUMIF(防護具!$Y$30:$Y$212,GE$17&amp;"プラスチックガウン",防護具!$Q$30:$Q$212),
SUMIF(防護具!$Y$30:$Y$212,GE$17&amp;"エプロン",防護具!$Q$30:$Q$212))-GD41,0)</f>
        <v>0</v>
      </c>
      <c r="GF42" s="642">
        <f>IFERROR(
SUM(GE42,
SUMIF(防護具!$Y$30:$Y$212,GF$17&amp;"アイソレーションガウン",防護具!$Q$30:$Q$212),
SUMIF(防護具!$Y$30:$Y$212,GF$17&amp;"プラスチックガウン",防護具!$Q$30:$Q$212),
SUMIF(防護具!$Y$30:$Y$212,GF$17&amp;"エプロン",防護具!$Q$30:$Q$212))-GE41,0)</f>
        <v>0</v>
      </c>
      <c r="GG42" s="642">
        <f>IFERROR(
SUM(GF42,
SUMIF(防護具!$Y$30:$Y$212,GG$17&amp;"アイソレーションガウン",防護具!$Q$30:$Q$212),
SUMIF(防護具!$Y$30:$Y$212,GG$17&amp;"プラスチックガウン",防護具!$Q$30:$Q$212),
SUMIF(防護具!$Y$30:$Y$212,GG$17&amp;"エプロン",防護具!$Q$30:$Q$212))-GF41,0)</f>
        <v>0</v>
      </c>
      <c r="GH42" s="642">
        <f>IFERROR(
SUM(GG42,
SUMIF(防護具!$Y$30:$Y$212,GH$17&amp;"アイソレーションガウン",防護具!$Q$30:$Q$212),
SUMIF(防護具!$Y$30:$Y$212,GH$17&amp;"プラスチックガウン",防護具!$Q$30:$Q$212),
SUMIF(防護具!$Y$30:$Y$212,GH$17&amp;"エプロン",防護具!$Q$30:$Q$212))-GG41,0)</f>
        <v>0</v>
      </c>
      <c r="GI42" s="642">
        <f>IFERROR(
SUM(GH42,
SUMIF(防護具!$Y$30:$Y$212,GI$17&amp;"アイソレーションガウン",防護具!$Q$30:$Q$212),
SUMIF(防護具!$Y$30:$Y$212,GI$17&amp;"プラスチックガウン",防護具!$Q$30:$Q$212),
SUMIF(防護具!$Y$30:$Y$212,GI$17&amp;"エプロン",防護具!$Q$30:$Q$212))-GH41,0)</f>
        <v>0</v>
      </c>
      <c r="GJ42" s="642">
        <f>IFERROR(
SUM(GI42,
SUMIF(防護具!$Y$30:$Y$212,GJ$17&amp;"アイソレーションガウン",防護具!$Q$30:$Q$212),
SUMIF(防護具!$Y$30:$Y$212,GJ$17&amp;"プラスチックガウン",防護具!$Q$30:$Q$212),
SUMIF(防護具!$Y$30:$Y$212,GJ$17&amp;"エプロン",防護具!$Q$30:$Q$212))-GI41,0)</f>
        <v>0</v>
      </c>
    </row>
    <row r="43" spans="2:192" s="655" customFormat="1">
      <c r="B43" s="656"/>
      <c r="C43" s="641"/>
      <c r="D43" s="768" t="s">
        <v>1468</v>
      </c>
      <c r="E43" s="773"/>
      <c r="F43" s="706"/>
      <c r="G43" s="642">
        <f>SUM(
SUMIF(防護具!$Y$13:$Y$29,G$17&amp;"アイソレーションガウン",防護具!$Q$13:$Q$29),
SUMIF(防護具!$Y$13:$Y$29,G$17&amp;"プラスチックガウン",防護具!$Q$13:$Q$29),
SUMIF(防護具!$Y$13:$Y$29,G$17&amp;"エプロン",防護具!$Q$13:$Q$29))</f>
        <v>25000</v>
      </c>
      <c r="H43" s="642">
        <f xml:space="preserve">
IF(G43-VLOOKUP($C41,$C$3:$D$15,2,FALSE)*H$22&lt;0,0,G43-VLOOKUP($C41,$C$3:$D$15,2,FALSE)*H$22)</f>
        <v>25000</v>
      </c>
      <c r="I43" s="642">
        <f t="shared" ref="I43:BT43" si="1474" xml:space="preserve">
IF(H43-VLOOKUP($C41,$C$3:$D$15,2,FALSE)*I$22&lt;0,0,H43-VLOOKUP($C41,$C$3:$D$15,2,FALSE)*I$22)</f>
        <v>25000</v>
      </c>
      <c r="J43" s="642">
        <f t="shared" si="1474"/>
        <v>25000</v>
      </c>
      <c r="K43" s="642">
        <f t="shared" si="1474"/>
        <v>25000</v>
      </c>
      <c r="L43" s="642">
        <f t="shared" si="1474"/>
        <v>25000</v>
      </c>
      <c r="M43" s="642">
        <f t="shared" si="1474"/>
        <v>25000</v>
      </c>
      <c r="N43" s="642">
        <f t="shared" si="1474"/>
        <v>25000</v>
      </c>
      <c r="O43" s="642">
        <f t="shared" si="1474"/>
        <v>25000</v>
      </c>
      <c r="P43" s="642">
        <f t="shared" si="1474"/>
        <v>25000</v>
      </c>
      <c r="Q43" s="642">
        <f t="shared" si="1474"/>
        <v>25000</v>
      </c>
      <c r="R43" s="642">
        <f t="shared" si="1474"/>
        <v>25000</v>
      </c>
      <c r="S43" s="642">
        <f t="shared" si="1474"/>
        <v>25000</v>
      </c>
      <c r="T43" s="642">
        <f t="shared" si="1474"/>
        <v>25000</v>
      </c>
      <c r="U43" s="642">
        <f t="shared" si="1474"/>
        <v>25000</v>
      </c>
      <c r="V43" s="642">
        <f t="shared" si="1474"/>
        <v>25000</v>
      </c>
      <c r="W43" s="642">
        <f t="shared" si="1474"/>
        <v>25000</v>
      </c>
      <c r="X43" s="642">
        <f t="shared" si="1474"/>
        <v>25000</v>
      </c>
      <c r="Y43" s="642">
        <f t="shared" si="1474"/>
        <v>25000</v>
      </c>
      <c r="Z43" s="642">
        <f t="shared" si="1474"/>
        <v>25000</v>
      </c>
      <c r="AA43" s="642">
        <f t="shared" si="1474"/>
        <v>25000</v>
      </c>
      <c r="AB43" s="642">
        <f t="shared" si="1474"/>
        <v>25000</v>
      </c>
      <c r="AC43" s="642">
        <f t="shared" si="1474"/>
        <v>25000</v>
      </c>
      <c r="AD43" s="642">
        <f t="shared" si="1474"/>
        <v>25000</v>
      </c>
      <c r="AE43" s="642">
        <f t="shared" si="1474"/>
        <v>25000</v>
      </c>
      <c r="AF43" s="642">
        <f t="shared" si="1474"/>
        <v>25000</v>
      </c>
      <c r="AG43" s="642">
        <f t="shared" si="1474"/>
        <v>25000</v>
      </c>
      <c r="AH43" s="642">
        <f t="shared" si="1474"/>
        <v>25000</v>
      </c>
      <c r="AI43" s="642">
        <f t="shared" si="1474"/>
        <v>25000</v>
      </c>
      <c r="AJ43" s="642">
        <f t="shared" si="1474"/>
        <v>25000</v>
      </c>
      <c r="AK43" s="642">
        <f t="shared" si="1474"/>
        <v>25000</v>
      </c>
      <c r="AL43" s="642">
        <f t="shared" si="1474"/>
        <v>25000</v>
      </c>
      <c r="AM43" s="642">
        <f t="shared" si="1474"/>
        <v>25000</v>
      </c>
      <c r="AN43" s="642">
        <f t="shared" si="1474"/>
        <v>25000</v>
      </c>
      <c r="AO43" s="642">
        <f t="shared" si="1474"/>
        <v>25000</v>
      </c>
      <c r="AP43" s="642">
        <f t="shared" si="1474"/>
        <v>25000</v>
      </c>
      <c r="AQ43" s="642">
        <f t="shared" si="1474"/>
        <v>25000</v>
      </c>
      <c r="AR43" s="642">
        <f t="shared" si="1474"/>
        <v>25000</v>
      </c>
      <c r="AS43" s="642">
        <f t="shared" si="1474"/>
        <v>25000</v>
      </c>
      <c r="AT43" s="642">
        <f t="shared" si="1474"/>
        <v>25000</v>
      </c>
      <c r="AU43" s="642">
        <f t="shared" si="1474"/>
        <v>25000</v>
      </c>
      <c r="AV43" s="642">
        <f t="shared" si="1474"/>
        <v>25000</v>
      </c>
      <c r="AW43" s="642">
        <f t="shared" si="1474"/>
        <v>25000</v>
      </c>
      <c r="AX43" s="642">
        <f t="shared" si="1474"/>
        <v>25000</v>
      </c>
      <c r="AY43" s="642">
        <f t="shared" si="1474"/>
        <v>25000</v>
      </c>
      <c r="AZ43" s="642">
        <f t="shared" si="1474"/>
        <v>25000</v>
      </c>
      <c r="BA43" s="642">
        <f t="shared" si="1474"/>
        <v>25000</v>
      </c>
      <c r="BB43" s="642">
        <f t="shared" si="1474"/>
        <v>25000</v>
      </c>
      <c r="BC43" s="642">
        <f t="shared" si="1474"/>
        <v>25000</v>
      </c>
      <c r="BD43" s="642">
        <f t="shared" si="1474"/>
        <v>25000</v>
      </c>
      <c r="BE43" s="642">
        <f t="shared" si="1474"/>
        <v>25000</v>
      </c>
      <c r="BF43" s="642">
        <f t="shared" si="1474"/>
        <v>25000</v>
      </c>
      <c r="BG43" s="642">
        <f t="shared" si="1474"/>
        <v>25000</v>
      </c>
      <c r="BH43" s="642">
        <f t="shared" si="1474"/>
        <v>25000</v>
      </c>
      <c r="BI43" s="642">
        <f t="shared" si="1474"/>
        <v>25000</v>
      </c>
      <c r="BJ43" s="642">
        <f t="shared" si="1474"/>
        <v>25000</v>
      </c>
      <c r="BK43" s="642">
        <f t="shared" si="1474"/>
        <v>25000</v>
      </c>
      <c r="BL43" s="642">
        <f t="shared" si="1474"/>
        <v>25000</v>
      </c>
      <c r="BM43" s="642">
        <f t="shared" si="1474"/>
        <v>25000</v>
      </c>
      <c r="BN43" s="642">
        <f t="shared" si="1474"/>
        <v>25000</v>
      </c>
      <c r="BO43" s="642">
        <f t="shared" si="1474"/>
        <v>25000</v>
      </c>
      <c r="BP43" s="642">
        <f t="shared" si="1474"/>
        <v>25000</v>
      </c>
      <c r="BQ43" s="642">
        <f t="shared" si="1474"/>
        <v>25000</v>
      </c>
      <c r="BR43" s="642">
        <f t="shared" si="1474"/>
        <v>25000</v>
      </c>
      <c r="BS43" s="642">
        <f t="shared" si="1474"/>
        <v>25000</v>
      </c>
      <c r="BT43" s="642">
        <f t="shared" si="1474"/>
        <v>25000</v>
      </c>
      <c r="BU43" s="642">
        <f t="shared" ref="BU43:EF43" si="1475" xml:space="preserve">
IF(BT43-VLOOKUP($C41,$C$3:$D$15,2,FALSE)*BU$22&lt;0,0,BT43-VLOOKUP($C41,$C$3:$D$15,2,FALSE)*BU$22)</f>
        <v>25000</v>
      </c>
      <c r="BV43" s="642">
        <f t="shared" si="1475"/>
        <v>25000</v>
      </c>
      <c r="BW43" s="642">
        <f t="shared" si="1475"/>
        <v>25000</v>
      </c>
      <c r="BX43" s="642">
        <f t="shared" si="1475"/>
        <v>25000</v>
      </c>
      <c r="BY43" s="642">
        <f t="shared" si="1475"/>
        <v>25000</v>
      </c>
      <c r="BZ43" s="642">
        <f t="shared" si="1475"/>
        <v>25000</v>
      </c>
      <c r="CA43" s="642">
        <f t="shared" si="1475"/>
        <v>25000</v>
      </c>
      <c r="CB43" s="642">
        <f t="shared" si="1475"/>
        <v>25000</v>
      </c>
      <c r="CC43" s="642">
        <f t="shared" si="1475"/>
        <v>25000</v>
      </c>
      <c r="CD43" s="642">
        <f t="shared" si="1475"/>
        <v>25000</v>
      </c>
      <c r="CE43" s="642">
        <f t="shared" si="1475"/>
        <v>25000</v>
      </c>
      <c r="CF43" s="642">
        <f t="shared" si="1475"/>
        <v>25000</v>
      </c>
      <c r="CG43" s="642">
        <f t="shared" si="1475"/>
        <v>25000</v>
      </c>
      <c r="CH43" s="642">
        <f t="shared" si="1475"/>
        <v>25000</v>
      </c>
      <c r="CI43" s="642">
        <f t="shared" si="1475"/>
        <v>25000</v>
      </c>
      <c r="CJ43" s="642">
        <f t="shared" si="1475"/>
        <v>25000</v>
      </c>
      <c r="CK43" s="642">
        <f t="shared" si="1475"/>
        <v>25000</v>
      </c>
      <c r="CL43" s="642">
        <f t="shared" si="1475"/>
        <v>25000</v>
      </c>
      <c r="CM43" s="642">
        <f t="shared" si="1475"/>
        <v>25000</v>
      </c>
      <c r="CN43" s="642">
        <f t="shared" si="1475"/>
        <v>25000</v>
      </c>
      <c r="CO43" s="642">
        <f t="shared" si="1475"/>
        <v>25000</v>
      </c>
      <c r="CP43" s="642">
        <f t="shared" si="1475"/>
        <v>25000</v>
      </c>
      <c r="CQ43" s="642">
        <f t="shared" si="1475"/>
        <v>25000</v>
      </c>
      <c r="CR43" s="642">
        <f t="shared" si="1475"/>
        <v>25000</v>
      </c>
      <c r="CS43" s="642">
        <f t="shared" si="1475"/>
        <v>25000</v>
      </c>
      <c r="CT43" s="642">
        <f t="shared" si="1475"/>
        <v>25000</v>
      </c>
      <c r="CU43" s="642">
        <f t="shared" si="1475"/>
        <v>25000</v>
      </c>
      <c r="CV43" s="642">
        <f t="shared" si="1475"/>
        <v>25000</v>
      </c>
      <c r="CW43" s="642">
        <f t="shared" si="1475"/>
        <v>25000</v>
      </c>
      <c r="CX43" s="642">
        <f t="shared" si="1475"/>
        <v>25000</v>
      </c>
      <c r="CY43" s="642">
        <f t="shared" si="1475"/>
        <v>25000</v>
      </c>
      <c r="CZ43" s="642">
        <f t="shared" si="1475"/>
        <v>25000</v>
      </c>
      <c r="DA43" s="642">
        <f t="shared" si="1475"/>
        <v>25000</v>
      </c>
      <c r="DB43" s="642">
        <f t="shared" si="1475"/>
        <v>25000</v>
      </c>
      <c r="DC43" s="642">
        <f t="shared" si="1475"/>
        <v>25000</v>
      </c>
      <c r="DD43" s="642">
        <f t="shared" si="1475"/>
        <v>25000</v>
      </c>
      <c r="DE43" s="642">
        <f t="shared" si="1475"/>
        <v>25000</v>
      </c>
      <c r="DF43" s="642">
        <f t="shared" si="1475"/>
        <v>25000</v>
      </c>
      <c r="DG43" s="642">
        <f t="shared" si="1475"/>
        <v>25000</v>
      </c>
      <c r="DH43" s="642">
        <f t="shared" si="1475"/>
        <v>25000</v>
      </c>
      <c r="DI43" s="642">
        <f t="shared" si="1475"/>
        <v>25000</v>
      </c>
      <c r="DJ43" s="642">
        <f t="shared" si="1475"/>
        <v>25000</v>
      </c>
      <c r="DK43" s="642">
        <f t="shared" si="1475"/>
        <v>25000</v>
      </c>
      <c r="DL43" s="642">
        <f t="shared" si="1475"/>
        <v>25000</v>
      </c>
      <c r="DM43" s="642">
        <f t="shared" si="1475"/>
        <v>25000</v>
      </c>
      <c r="DN43" s="642">
        <f t="shared" si="1475"/>
        <v>25000</v>
      </c>
      <c r="DO43" s="642">
        <f t="shared" si="1475"/>
        <v>25000</v>
      </c>
      <c r="DP43" s="642">
        <f t="shared" si="1475"/>
        <v>25000</v>
      </c>
      <c r="DQ43" s="642">
        <f t="shared" si="1475"/>
        <v>25000</v>
      </c>
      <c r="DR43" s="642">
        <f t="shared" si="1475"/>
        <v>25000</v>
      </c>
      <c r="DS43" s="642">
        <f t="shared" si="1475"/>
        <v>25000</v>
      </c>
      <c r="DT43" s="642">
        <f t="shared" si="1475"/>
        <v>25000</v>
      </c>
      <c r="DU43" s="642">
        <f t="shared" si="1475"/>
        <v>25000</v>
      </c>
      <c r="DV43" s="642">
        <f t="shared" si="1475"/>
        <v>25000</v>
      </c>
      <c r="DW43" s="642">
        <f t="shared" si="1475"/>
        <v>25000</v>
      </c>
      <c r="DX43" s="642">
        <f t="shared" si="1475"/>
        <v>25000</v>
      </c>
      <c r="DY43" s="642">
        <f t="shared" si="1475"/>
        <v>25000</v>
      </c>
      <c r="DZ43" s="642">
        <f t="shared" si="1475"/>
        <v>25000</v>
      </c>
      <c r="EA43" s="642">
        <f t="shared" si="1475"/>
        <v>25000</v>
      </c>
      <c r="EB43" s="642">
        <f t="shared" si="1475"/>
        <v>25000</v>
      </c>
      <c r="EC43" s="642">
        <f t="shared" si="1475"/>
        <v>25000</v>
      </c>
      <c r="ED43" s="642">
        <f t="shared" si="1475"/>
        <v>25000</v>
      </c>
      <c r="EE43" s="642">
        <f t="shared" si="1475"/>
        <v>25000</v>
      </c>
      <c r="EF43" s="642">
        <f t="shared" si="1475"/>
        <v>25000</v>
      </c>
      <c r="EG43" s="642">
        <f t="shared" ref="EG43:GJ43" si="1476" xml:space="preserve">
IF(EF43-VLOOKUP($C41,$C$3:$D$15,2,FALSE)*EG$22&lt;0,0,EF43-VLOOKUP($C41,$C$3:$D$15,2,FALSE)*EG$22)</f>
        <v>25000</v>
      </c>
      <c r="EH43" s="642">
        <f t="shared" si="1476"/>
        <v>25000</v>
      </c>
      <c r="EI43" s="642">
        <f t="shared" si="1476"/>
        <v>25000</v>
      </c>
      <c r="EJ43" s="642">
        <f t="shared" si="1476"/>
        <v>25000</v>
      </c>
      <c r="EK43" s="642">
        <f t="shared" si="1476"/>
        <v>25000</v>
      </c>
      <c r="EL43" s="642">
        <f t="shared" si="1476"/>
        <v>25000</v>
      </c>
      <c r="EM43" s="642">
        <f t="shared" si="1476"/>
        <v>25000</v>
      </c>
      <c r="EN43" s="642">
        <f t="shared" si="1476"/>
        <v>25000</v>
      </c>
      <c r="EO43" s="642">
        <f t="shared" si="1476"/>
        <v>25000</v>
      </c>
      <c r="EP43" s="642">
        <f t="shared" si="1476"/>
        <v>25000</v>
      </c>
      <c r="EQ43" s="642">
        <f t="shared" si="1476"/>
        <v>25000</v>
      </c>
      <c r="ER43" s="642">
        <f t="shared" si="1476"/>
        <v>25000</v>
      </c>
      <c r="ES43" s="642">
        <f t="shared" si="1476"/>
        <v>25000</v>
      </c>
      <c r="ET43" s="642">
        <f t="shared" si="1476"/>
        <v>25000</v>
      </c>
      <c r="EU43" s="642">
        <f t="shared" si="1476"/>
        <v>25000</v>
      </c>
      <c r="EV43" s="642">
        <f t="shared" si="1476"/>
        <v>25000</v>
      </c>
      <c r="EW43" s="642">
        <f t="shared" si="1476"/>
        <v>25000</v>
      </c>
      <c r="EX43" s="642">
        <f t="shared" si="1476"/>
        <v>25000</v>
      </c>
      <c r="EY43" s="642">
        <f t="shared" si="1476"/>
        <v>25000</v>
      </c>
      <c r="EZ43" s="642">
        <f t="shared" si="1476"/>
        <v>25000</v>
      </c>
      <c r="FA43" s="642">
        <f t="shared" si="1476"/>
        <v>25000</v>
      </c>
      <c r="FB43" s="642">
        <f t="shared" si="1476"/>
        <v>25000</v>
      </c>
      <c r="FC43" s="642">
        <f t="shared" si="1476"/>
        <v>25000</v>
      </c>
      <c r="FD43" s="642">
        <f t="shared" si="1476"/>
        <v>25000</v>
      </c>
      <c r="FE43" s="642">
        <f t="shared" si="1476"/>
        <v>25000</v>
      </c>
      <c r="FF43" s="642">
        <f t="shared" si="1476"/>
        <v>25000</v>
      </c>
      <c r="FG43" s="642">
        <f t="shared" si="1476"/>
        <v>25000</v>
      </c>
      <c r="FH43" s="642">
        <f t="shared" si="1476"/>
        <v>25000</v>
      </c>
      <c r="FI43" s="642">
        <f t="shared" si="1476"/>
        <v>25000</v>
      </c>
      <c r="FJ43" s="642">
        <f t="shared" si="1476"/>
        <v>25000</v>
      </c>
      <c r="FK43" s="642">
        <f t="shared" si="1476"/>
        <v>25000</v>
      </c>
      <c r="FL43" s="642">
        <f t="shared" si="1476"/>
        <v>25000</v>
      </c>
      <c r="FM43" s="642">
        <f t="shared" si="1476"/>
        <v>25000</v>
      </c>
      <c r="FN43" s="642">
        <f t="shared" si="1476"/>
        <v>25000</v>
      </c>
      <c r="FO43" s="642">
        <f t="shared" si="1476"/>
        <v>25000</v>
      </c>
      <c r="FP43" s="642">
        <f t="shared" si="1476"/>
        <v>25000</v>
      </c>
      <c r="FQ43" s="642">
        <f t="shared" si="1476"/>
        <v>25000</v>
      </c>
      <c r="FR43" s="642">
        <f t="shared" si="1476"/>
        <v>25000</v>
      </c>
      <c r="FS43" s="642">
        <f t="shared" si="1476"/>
        <v>25000</v>
      </c>
      <c r="FT43" s="642">
        <f t="shared" si="1476"/>
        <v>25000</v>
      </c>
      <c r="FU43" s="642">
        <f t="shared" si="1476"/>
        <v>25000</v>
      </c>
      <c r="FV43" s="642">
        <f t="shared" si="1476"/>
        <v>25000</v>
      </c>
      <c r="FW43" s="642">
        <f t="shared" si="1476"/>
        <v>25000</v>
      </c>
      <c r="FX43" s="642">
        <f t="shared" si="1476"/>
        <v>25000</v>
      </c>
      <c r="FY43" s="642">
        <f t="shared" si="1476"/>
        <v>25000</v>
      </c>
      <c r="FZ43" s="642">
        <f t="shared" si="1476"/>
        <v>25000</v>
      </c>
      <c r="GA43" s="642">
        <f t="shared" si="1476"/>
        <v>25000</v>
      </c>
      <c r="GB43" s="642">
        <f t="shared" si="1476"/>
        <v>25000</v>
      </c>
      <c r="GC43" s="642">
        <f t="shared" si="1476"/>
        <v>25000</v>
      </c>
      <c r="GD43" s="642">
        <f t="shared" si="1476"/>
        <v>25000</v>
      </c>
      <c r="GE43" s="642">
        <f t="shared" si="1476"/>
        <v>25000</v>
      </c>
      <c r="GF43" s="642">
        <f t="shared" si="1476"/>
        <v>25000</v>
      </c>
      <c r="GG43" s="642">
        <f t="shared" si="1476"/>
        <v>25000</v>
      </c>
      <c r="GH43" s="642">
        <f t="shared" si="1476"/>
        <v>25000</v>
      </c>
      <c r="GI43" s="642">
        <f t="shared" si="1476"/>
        <v>25000</v>
      </c>
      <c r="GJ43" s="642">
        <f t="shared" si="1476"/>
        <v>25000</v>
      </c>
    </row>
    <row r="44" spans="2:192" s="645" customFormat="1">
      <c r="B44" s="654"/>
      <c r="C44" s="643" t="s">
        <v>477</v>
      </c>
      <c r="D44" s="769" t="s">
        <v>1466</v>
      </c>
      <c r="E44" s="774"/>
      <c r="F44" s="707"/>
      <c r="G44" s="644">
        <f xml:space="preserve">
MIN(G45,
IF((VLOOKUP($C44,$C$3:$D$15,2,FALSE)*G$22-G46)&lt;0,0,VLOOKUP($C44,$C$3:$D$15,2,FALSE)*G$22-G46))</f>
        <v>0</v>
      </c>
      <c r="H44" s="644">
        <f t="shared" ref="H44" si="1477" xml:space="preserve">
IF(G46&gt;=VLOOKUP($C44,$C$3:$D$15,2,FALSE)*H$22,0,
IF(AND(G46&lt;VLOOKUP($C44,$C$3:$D$15,2,FALSE)*H$22,H45&lt;=VLOOKUP($C44,$C$3:$D$15,2,FALSE)*H$22),IF(H45-G46&lt;0,0,H45-G46),
IF(AND(G46&lt;VLOOKUP($C44,$C$3:$D$15,2,FALSE)*H$22,H45&gt;VLOOKUP($C44,$C$3:$D$15,2,FALSE)*H$22),VLOOKUP($C44,$C$3:$D$15,2,FALSE)*H$22-G46)))</f>
        <v>0</v>
      </c>
      <c r="I44" s="644">
        <f t="shared" ref="I44" si="1478" xml:space="preserve">
IF(H46&gt;=VLOOKUP($C44,$C$3:$D$15,2,FALSE)*I$22,0,
IF(AND(H46&lt;VLOOKUP($C44,$C$3:$D$15,2,FALSE)*I$22,I45&lt;=VLOOKUP($C44,$C$3:$D$15,2,FALSE)*I$22),IF(I45-H46&lt;0,0,I45-H46),
IF(AND(H46&lt;VLOOKUP($C44,$C$3:$D$15,2,FALSE)*I$22,I45&gt;VLOOKUP($C44,$C$3:$D$15,2,FALSE)*I$22),VLOOKUP($C44,$C$3:$D$15,2,FALSE)*I$22-H46)))</f>
        <v>0</v>
      </c>
      <c r="J44" s="644">
        <f t="shared" ref="J44" si="1479" xml:space="preserve">
IF(I46&gt;=VLOOKUP($C44,$C$3:$D$15,2,FALSE)*J$22,0,
IF(AND(I46&lt;VLOOKUP($C44,$C$3:$D$15,2,FALSE)*J$22,J45&lt;=VLOOKUP($C44,$C$3:$D$15,2,FALSE)*J$22),IF(J45-I46&lt;0,0,J45-I46),
IF(AND(I46&lt;VLOOKUP($C44,$C$3:$D$15,2,FALSE)*J$22,J45&gt;VLOOKUP($C44,$C$3:$D$15,2,FALSE)*J$22),VLOOKUP($C44,$C$3:$D$15,2,FALSE)*J$22-I46)))</f>
        <v>0</v>
      </c>
      <c r="K44" s="644">
        <f t="shared" ref="K44" si="1480" xml:space="preserve">
IF(J46&gt;=VLOOKUP($C44,$C$3:$D$15,2,FALSE)*K$22,0,
IF(AND(J46&lt;VLOOKUP($C44,$C$3:$D$15,2,FALSE)*K$22,K45&lt;=VLOOKUP($C44,$C$3:$D$15,2,FALSE)*K$22),IF(K45-J46&lt;0,0,K45-J46),
IF(AND(J46&lt;VLOOKUP($C44,$C$3:$D$15,2,FALSE)*K$22,K45&gt;VLOOKUP($C44,$C$3:$D$15,2,FALSE)*K$22),VLOOKUP($C44,$C$3:$D$15,2,FALSE)*K$22-J46)))</f>
        <v>0</v>
      </c>
      <c r="L44" s="644">
        <f t="shared" ref="L44" si="1481" xml:space="preserve">
IF(K46&gt;=VLOOKUP($C44,$C$3:$D$15,2,FALSE)*L$22,0,
IF(AND(K46&lt;VLOOKUP($C44,$C$3:$D$15,2,FALSE)*L$22,L45&lt;=VLOOKUP($C44,$C$3:$D$15,2,FALSE)*L$22),IF(L45-K46&lt;0,0,L45-K46),
IF(AND(K46&lt;VLOOKUP($C44,$C$3:$D$15,2,FALSE)*L$22,L45&gt;VLOOKUP($C44,$C$3:$D$15,2,FALSE)*L$22),VLOOKUP($C44,$C$3:$D$15,2,FALSE)*L$22-K46)))</f>
        <v>0</v>
      </c>
      <c r="M44" s="644">
        <f t="shared" ref="M44" si="1482" xml:space="preserve">
IF(L46&gt;=VLOOKUP($C44,$C$3:$D$15,2,FALSE)*M$22,0,
IF(AND(L46&lt;VLOOKUP($C44,$C$3:$D$15,2,FALSE)*M$22,M45&lt;=VLOOKUP($C44,$C$3:$D$15,2,FALSE)*M$22),IF(M45-L46&lt;0,0,M45-L46),
IF(AND(L46&lt;VLOOKUP($C44,$C$3:$D$15,2,FALSE)*M$22,M45&gt;VLOOKUP($C44,$C$3:$D$15,2,FALSE)*M$22),VLOOKUP($C44,$C$3:$D$15,2,FALSE)*M$22-L46)))</f>
        <v>0</v>
      </c>
      <c r="N44" s="644">
        <f t="shared" ref="N44" si="1483" xml:space="preserve">
IF(M46&gt;=VLOOKUP($C44,$C$3:$D$15,2,FALSE)*N$22,0,
IF(AND(M46&lt;VLOOKUP($C44,$C$3:$D$15,2,FALSE)*N$22,N45&lt;=VLOOKUP($C44,$C$3:$D$15,2,FALSE)*N$22),IF(N45-M46&lt;0,0,N45-M46),
IF(AND(M46&lt;VLOOKUP($C44,$C$3:$D$15,2,FALSE)*N$22,N45&gt;VLOOKUP($C44,$C$3:$D$15,2,FALSE)*N$22),VLOOKUP($C44,$C$3:$D$15,2,FALSE)*N$22-M46)))</f>
        <v>0</v>
      </c>
      <c r="O44" s="644">
        <f t="shared" ref="O44" si="1484" xml:space="preserve">
IF(N46&gt;=VLOOKUP($C44,$C$3:$D$15,2,FALSE)*O$22,0,
IF(AND(N46&lt;VLOOKUP($C44,$C$3:$D$15,2,FALSE)*O$22,O45&lt;=VLOOKUP($C44,$C$3:$D$15,2,FALSE)*O$22),IF(O45-N46&lt;0,0,O45-N46),
IF(AND(N46&lt;VLOOKUP($C44,$C$3:$D$15,2,FALSE)*O$22,O45&gt;VLOOKUP($C44,$C$3:$D$15,2,FALSE)*O$22),VLOOKUP($C44,$C$3:$D$15,2,FALSE)*O$22-N46)))</f>
        <v>0</v>
      </c>
      <c r="P44" s="644">
        <f t="shared" ref="P44" si="1485" xml:space="preserve">
IF(O46&gt;=VLOOKUP($C44,$C$3:$D$15,2,FALSE)*P$22,0,
IF(AND(O46&lt;VLOOKUP($C44,$C$3:$D$15,2,FALSE)*P$22,P45&lt;=VLOOKUP($C44,$C$3:$D$15,2,FALSE)*P$22),IF(P45-O46&lt;0,0,P45-O46),
IF(AND(O46&lt;VLOOKUP($C44,$C$3:$D$15,2,FALSE)*P$22,P45&gt;VLOOKUP($C44,$C$3:$D$15,2,FALSE)*P$22),VLOOKUP($C44,$C$3:$D$15,2,FALSE)*P$22-O46)))</f>
        <v>0</v>
      </c>
      <c r="Q44" s="644">
        <f t="shared" ref="Q44" si="1486" xml:space="preserve">
IF(P46&gt;=VLOOKUP($C44,$C$3:$D$15,2,FALSE)*Q$22,0,
IF(AND(P46&lt;VLOOKUP($C44,$C$3:$D$15,2,FALSE)*Q$22,Q45&lt;=VLOOKUP($C44,$C$3:$D$15,2,FALSE)*Q$22),IF(Q45-P46&lt;0,0,Q45-P46),
IF(AND(P46&lt;VLOOKUP($C44,$C$3:$D$15,2,FALSE)*Q$22,Q45&gt;VLOOKUP($C44,$C$3:$D$15,2,FALSE)*Q$22),VLOOKUP($C44,$C$3:$D$15,2,FALSE)*Q$22-P46)))</f>
        <v>0</v>
      </c>
      <c r="R44" s="644">
        <f t="shared" ref="R44" si="1487" xml:space="preserve">
IF(Q46&gt;=VLOOKUP($C44,$C$3:$D$15,2,FALSE)*R$22,0,
IF(AND(Q46&lt;VLOOKUP($C44,$C$3:$D$15,2,FALSE)*R$22,R45&lt;=VLOOKUP($C44,$C$3:$D$15,2,FALSE)*R$22),IF(R45-Q46&lt;0,0,R45-Q46),
IF(AND(Q46&lt;VLOOKUP($C44,$C$3:$D$15,2,FALSE)*R$22,R45&gt;VLOOKUP($C44,$C$3:$D$15,2,FALSE)*R$22),VLOOKUP($C44,$C$3:$D$15,2,FALSE)*R$22-Q46)))</f>
        <v>0</v>
      </c>
      <c r="S44" s="644">
        <f t="shared" ref="S44" si="1488" xml:space="preserve">
IF(R46&gt;=VLOOKUP($C44,$C$3:$D$15,2,FALSE)*S$22,0,
IF(AND(R46&lt;VLOOKUP($C44,$C$3:$D$15,2,FALSE)*S$22,S45&lt;=VLOOKUP($C44,$C$3:$D$15,2,FALSE)*S$22),IF(S45-R46&lt;0,0,S45-R46),
IF(AND(R46&lt;VLOOKUP($C44,$C$3:$D$15,2,FALSE)*S$22,S45&gt;VLOOKUP($C44,$C$3:$D$15,2,FALSE)*S$22),VLOOKUP($C44,$C$3:$D$15,2,FALSE)*S$22-R46)))</f>
        <v>0</v>
      </c>
      <c r="T44" s="644">
        <f t="shared" ref="T44" si="1489" xml:space="preserve">
IF(S46&gt;=VLOOKUP($C44,$C$3:$D$15,2,FALSE)*T$22,0,
IF(AND(S46&lt;VLOOKUP($C44,$C$3:$D$15,2,FALSE)*T$22,T45&lt;=VLOOKUP($C44,$C$3:$D$15,2,FALSE)*T$22),IF(T45-S46&lt;0,0,T45-S46),
IF(AND(S46&lt;VLOOKUP($C44,$C$3:$D$15,2,FALSE)*T$22,T45&gt;VLOOKUP($C44,$C$3:$D$15,2,FALSE)*T$22),VLOOKUP($C44,$C$3:$D$15,2,FALSE)*T$22-S46)))</f>
        <v>0</v>
      </c>
      <c r="U44" s="644">
        <f t="shared" ref="U44" si="1490" xml:space="preserve">
IF(T46&gt;=VLOOKUP($C44,$C$3:$D$15,2,FALSE)*U$22,0,
IF(AND(T46&lt;VLOOKUP($C44,$C$3:$D$15,2,FALSE)*U$22,U45&lt;=VLOOKUP($C44,$C$3:$D$15,2,FALSE)*U$22),IF(U45-T46&lt;0,0,U45-T46),
IF(AND(T46&lt;VLOOKUP($C44,$C$3:$D$15,2,FALSE)*U$22,U45&gt;VLOOKUP($C44,$C$3:$D$15,2,FALSE)*U$22),VLOOKUP($C44,$C$3:$D$15,2,FALSE)*U$22-T46)))</f>
        <v>0</v>
      </c>
      <c r="V44" s="644">
        <f t="shared" ref="V44" si="1491" xml:space="preserve">
IF(U46&gt;=VLOOKUP($C44,$C$3:$D$15,2,FALSE)*V$22,0,
IF(AND(U46&lt;VLOOKUP($C44,$C$3:$D$15,2,FALSE)*V$22,V45&lt;=VLOOKUP($C44,$C$3:$D$15,2,FALSE)*V$22),IF(V45-U46&lt;0,0,V45-U46),
IF(AND(U46&lt;VLOOKUP($C44,$C$3:$D$15,2,FALSE)*V$22,V45&gt;VLOOKUP($C44,$C$3:$D$15,2,FALSE)*V$22),VLOOKUP($C44,$C$3:$D$15,2,FALSE)*V$22-U46)))</f>
        <v>0</v>
      </c>
      <c r="W44" s="644">
        <f t="shared" ref="W44" si="1492" xml:space="preserve">
IF(V46&gt;=VLOOKUP($C44,$C$3:$D$15,2,FALSE)*W$22,0,
IF(AND(V46&lt;VLOOKUP($C44,$C$3:$D$15,2,FALSE)*W$22,W45&lt;=VLOOKUP($C44,$C$3:$D$15,2,FALSE)*W$22),IF(W45-V46&lt;0,0,W45-V46),
IF(AND(V46&lt;VLOOKUP($C44,$C$3:$D$15,2,FALSE)*W$22,W45&gt;VLOOKUP($C44,$C$3:$D$15,2,FALSE)*W$22),VLOOKUP($C44,$C$3:$D$15,2,FALSE)*W$22-V46)))</f>
        <v>0</v>
      </c>
      <c r="X44" s="644">
        <f t="shared" ref="X44" si="1493" xml:space="preserve">
IF(W46&gt;=VLOOKUP($C44,$C$3:$D$15,2,FALSE)*X$22,0,
IF(AND(W46&lt;VLOOKUP($C44,$C$3:$D$15,2,FALSE)*X$22,X45&lt;=VLOOKUP($C44,$C$3:$D$15,2,FALSE)*X$22),IF(X45-W46&lt;0,0,X45-W46),
IF(AND(W46&lt;VLOOKUP($C44,$C$3:$D$15,2,FALSE)*X$22,X45&gt;VLOOKUP($C44,$C$3:$D$15,2,FALSE)*X$22),VLOOKUP($C44,$C$3:$D$15,2,FALSE)*X$22-W46)))</f>
        <v>0</v>
      </c>
      <c r="Y44" s="644">
        <f t="shared" ref="Y44" si="1494" xml:space="preserve">
IF(X46&gt;=VLOOKUP($C44,$C$3:$D$15,2,FALSE)*Y$22,0,
IF(AND(X46&lt;VLOOKUP($C44,$C$3:$D$15,2,FALSE)*Y$22,Y45&lt;=VLOOKUP($C44,$C$3:$D$15,2,FALSE)*Y$22),IF(Y45-X46&lt;0,0,Y45-X46),
IF(AND(X46&lt;VLOOKUP($C44,$C$3:$D$15,2,FALSE)*Y$22,Y45&gt;VLOOKUP($C44,$C$3:$D$15,2,FALSE)*Y$22),VLOOKUP($C44,$C$3:$D$15,2,FALSE)*Y$22-X46)))</f>
        <v>0</v>
      </c>
      <c r="Z44" s="644">
        <f t="shared" ref="Z44" si="1495" xml:space="preserve">
IF(Y46&gt;=VLOOKUP($C44,$C$3:$D$15,2,FALSE)*Z$22,0,
IF(AND(Y46&lt;VLOOKUP($C44,$C$3:$D$15,2,FALSE)*Z$22,Z45&lt;=VLOOKUP($C44,$C$3:$D$15,2,FALSE)*Z$22),IF(Z45-Y46&lt;0,0,Z45-Y46),
IF(AND(Y46&lt;VLOOKUP($C44,$C$3:$D$15,2,FALSE)*Z$22,Z45&gt;VLOOKUP($C44,$C$3:$D$15,2,FALSE)*Z$22),VLOOKUP($C44,$C$3:$D$15,2,FALSE)*Z$22-Y46)))</f>
        <v>0</v>
      </c>
      <c r="AA44" s="644">
        <f t="shared" ref="AA44" si="1496" xml:space="preserve">
IF(Z46&gt;=VLOOKUP($C44,$C$3:$D$15,2,FALSE)*AA$22,0,
IF(AND(Z46&lt;VLOOKUP($C44,$C$3:$D$15,2,FALSE)*AA$22,AA45&lt;=VLOOKUP($C44,$C$3:$D$15,2,FALSE)*AA$22),IF(AA45-Z46&lt;0,0,AA45-Z46),
IF(AND(Z46&lt;VLOOKUP($C44,$C$3:$D$15,2,FALSE)*AA$22,AA45&gt;VLOOKUP($C44,$C$3:$D$15,2,FALSE)*AA$22),VLOOKUP($C44,$C$3:$D$15,2,FALSE)*AA$22-Z46)))</f>
        <v>0</v>
      </c>
      <c r="AB44" s="644">
        <f t="shared" ref="AB44" si="1497" xml:space="preserve">
IF(AA46&gt;=VLOOKUP($C44,$C$3:$D$15,2,FALSE)*AB$22,0,
IF(AND(AA46&lt;VLOOKUP($C44,$C$3:$D$15,2,FALSE)*AB$22,AB45&lt;=VLOOKUP($C44,$C$3:$D$15,2,FALSE)*AB$22),IF(AB45-AA46&lt;0,0,AB45-AA46),
IF(AND(AA46&lt;VLOOKUP($C44,$C$3:$D$15,2,FALSE)*AB$22,AB45&gt;VLOOKUP($C44,$C$3:$D$15,2,FALSE)*AB$22),VLOOKUP($C44,$C$3:$D$15,2,FALSE)*AB$22-AA46)))</f>
        <v>0</v>
      </c>
      <c r="AC44" s="644">
        <f t="shared" ref="AC44" si="1498" xml:space="preserve">
IF(AB46&gt;=VLOOKUP($C44,$C$3:$D$15,2,FALSE)*AC$22,0,
IF(AND(AB46&lt;VLOOKUP($C44,$C$3:$D$15,2,FALSE)*AC$22,AC45&lt;=VLOOKUP($C44,$C$3:$D$15,2,FALSE)*AC$22),IF(AC45-AB46&lt;0,0,AC45-AB46),
IF(AND(AB46&lt;VLOOKUP($C44,$C$3:$D$15,2,FALSE)*AC$22,AC45&gt;VLOOKUP($C44,$C$3:$D$15,2,FALSE)*AC$22),VLOOKUP($C44,$C$3:$D$15,2,FALSE)*AC$22-AB46)))</f>
        <v>0</v>
      </c>
      <c r="AD44" s="644">
        <f t="shared" ref="AD44" si="1499" xml:space="preserve">
IF(AC46&gt;=VLOOKUP($C44,$C$3:$D$15,2,FALSE)*AD$22,0,
IF(AND(AC46&lt;VLOOKUP($C44,$C$3:$D$15,2,FALSE)*AD$22,AD45&lt;=VLOOKUP($C44,$C$3:$D$15,2,FALSE)*AD$22),IF(AD45-AC46&lt;0,0,AD45-AC46),
IF(AND(AC46&lt;VLOOKUP($C44,$C$3:$D$15,2,FALSE)*AD$22,AD45&gt;VLOOKUP($C44,$C$3:$D$15,2,FALSE)*AD$22),VLOOKUP($C44,$C$3:$D$15,2,FALSE)*AD$22-AC46)))</f>
        <v>0</v>
      </c>
      <c r="AE44" s="644">
        <f t="shared" ref="AE44" si="1500" xml:space="preserve">
IF(AD46&gt;=VLOOKUP($C44,$C$3:$D$15,2,FALSE)*AE$22,0,
IF(AND(AD46&lt;VLOOKUP($C44,$C$3:$D$15,2,FALSE)*AE$22,AE45&lt;=VLOOKUP($C44,$C$3:$D$15,2,FALSE)*AE$22),IF(AE45-AD46&lt;0,0,AE45-AD46),
IF(AND(AD46&lt;VLOOKUP($C44,$C$3:$D$15,2,FALSE)*AE$22,AE45&gt;VLOOKUP($C44,$C$3:$D$15,2,FALSE)*AE$22),VLOOKUP($C44,$C$3:$D$15,2,FALSE)*AE$22-AD46)))</f>
        <v>0</v>
      </c>
      <c r="AF44" s="644">
        <f t="shared" ref="AF44" si="1501" xml:space="preserve">
IF(AE46&gt;=VLOOKUP($C44,$C$3:$D$15,2,FALSE)*AF$22,0,
IF(AND(AE46&lt;VLOOKUP($C44,$C$3:$D$15,2,FALSE)*AF$22,AF45&lt;=VLOOKUP($C44,$C$3:$D$15,2,FALSE)*AF$22),IF(AF45-AE46&lt;0,0,AF45-AE46),
IF(AND(AE46&lt;VLOOKUP($C44,$C$3:$D$15,2,FALSE)*AF$22,AF45&gt;VLOOKUP($C44,$C$3:$D$15,2,FALSE)*AF$22),VLOOKUP($C44,$C$3:$D$15,2,FALSE)*AF$22-AE46)))</f>
        <v>0</v>
      </c>
      <c r="AG44" s="644">
        <f t="shared" ref="AG44" si="1502" xml:space="preserve">
IF(AF46&gt;=VLOOKUP($C44,$C$3:$D$15,2,FALSE)*AG$22,0,
IF(AND(AF46&lt;VLOOKUP($C44,$C$3:$D$15,2,FALSE)*AG$22,AG45&lt;=VLOOKUP($C44,$C$3:$D$15,2,FALSE)*AG$22),IF(AG45-AF46&lt;0,0,AG45-AF46),
IF(AND(AF46&lt;VLOOKUP($C44,$C$3:$D$15,2,FALSE)*AG$22,AG45&gt;VLOOKUP($C44,$C$3:$D$15,2,FALSE)*AG$22),VLOOKUP($C44,$C$3:$D$15,2,FALSE)*AG$22-AF46)))</f>
        <v>0</v>
      </c>
      <c r="AH44" s="644">
        <f t="shared" ref="AH44" si="1503" xml:space="preserve">
IF(AG46&gt;=VLOOKUP($C44,$C$3:$D$15,2,FALSE)*AH$22,0,
IF(AND(AG46&lt;VLOOKUP($C44,$C$3:$D$15,2,FALSE)*AH$22,AH45&lt;=VLOOKUP($C44,$C$3:$D$15,2,FALSE)*AH$22),IF(AH45-AG46&lt;0,0,AH45-AG46),
IF(AND(AG46&lt;VLOOKUP($C44,$C$3:$D$15,2,FALSE)*AH$22,AH45&gt;VLOOKUP($C44,$C$3:$D$15,2,FALSE)*AH$22),VLOOKUP($C44,$C$3:$D$15,2,FALSE)*AH$22-AG46)))</f>
        <v>0</v>
      </c>
      <c r="AI44" s="644">
        <f t="shared" ref="AI44" si="1504" xml:space="preserve">
IF(AH46&gt;=VLOOKUP($C44,$C$3:$D$15,2,FALSE)*AI$22,0,
IF(AND(AH46&lt;VLOOKUP($C44,$C$3:$D$15,2,FALSE)*AI$22,AI45&lt;=VLOOKUP($C44,$C$3:$D$15,2,FALSE)*AI$22),IF(AI45-AH46&lt;0,0,AI45-AH46),
IF(AND(AH46&lt;VLOOKUP($C44,$C$3:$D$15,2,FALSE)*AI$22,AI45&gt;VLOOKUP($C44,$C$3:$D$15,2,FALSE)*AI$22),VLOOKUP($C44,$C$3:$D$15,2,FALSE)*AI$22-AH46)))</f>
        <v>0</v>
      </c>
      <c r="AJ44" s="644">
        <f t="shared" ref="AJ44" si="1505" xml:space="preserve">
IF(AI46&gt;=VLOOKUP($C44,$C$3:$D$15,2,FALSE)*AJ$22,0,
IF(AND(AI46&lt;VLOOKUP($C44,$C$3:$D$15,2,FALSE)*AJ$22,AJ45&lt;=VLOOKUP($C44,$C$3:$D$15,2,FALSE)*AJ$22),IF(AJ45-AI46&lt;0,0,AJ45-AI46),
IF(AND(AI46&lt;VLOOKUP($C44,$C$3:$D$15,2,FALSE)*AJ$22,AJ45&gt;VLOOKUP($C44,$C$3:$D$15,2,FALSE)*AJ$22),VLOOKUP($C44,$C$3:$D$15,2,FALSE)*AJ$22-AI46)))</f>
        <v>0</v>
      </c>
      <c r="AK44" s="644">
        <f t="shared" ref="AK44" si="1506" xml:space="preserve">
IF(AJ46&gt;=VLOOKUP($C44,$C$3:$D$15,2,FALSE)*AK$22,0,
IF(AND(AJ46&lt;VLOOKUP($C44,$C$3:$D$15,2,FALSE)*AK$22,AK45&lt;=VLOOKUP($C44,$C$3:$D$15,2,FALSE)*AK$22),IF(AK45-AJ46&lt;0,0,AK45-AJ46),
IF(AND(AJ46&lt;VLOOKUP($C44,$C$3:$D$15,2,FALSE)*AK$22,AK45&gt;VLOOKUP($C44,$C$3:$D$15,2,FALSE)*AK$22),VLOOKUP($C44,$C$3:$D$15,2,FALSE)*AK$22-AJ46)))</f>
        <v>0</v>
      </c>
      <c r="AL44" s="644">
        <f t="shared" ref="AL44" si="1507" xml:space="preserve">
IF(AK46&gt;=VLOOKUP($C44,$C$3:$D$15,2,FALSE)*AL$22,0,
IF(AND(AK46&lt;VLOOKUP($C44,$C$3:$D$15,2,FALSE)*AL$22,AL45&lt;=VLOOKUP($C44,$C$3:$D$15,2,FALSE)*AL$22),IF(AL45-AK46&lt;0,0,AL45-AK46),
IF(AND(AK46&lt;VLOOKUP($C44,$C$3:$D$15,2,FALSE)*AL$22,AL45&gt;VLOOKUP($C44,$C$3:$D$15,2,FALSE)*AL$22),VLOOKUP($C44,$C$3:$D$15,2,FALSE)*AL$22-AK46)))</f>
        <v>0</v>
      </c>
      <c r="AM44" s="644">
        <f t="shared" ref="AM44" si="1508" xml:space="preserve">
IF(AL46&gt;=VLOOKUP($C44,$C$3:$D$15,2,FALSE)*AM$22,0,
IF(AND(AL46&lt;VLOOKUP($C44,$C$3:$D$15,2,FALSE)*AM$22,AM45&lt;=VLOOKUP($C44,$C$3:$D$15,2,FALSE)*AM$22),IF(AM45-AL46&lt;0,0,AM45-AL46),
IF(AND(AL46&lt;VLOOKUP($C44,$C$3:$D$15,2,FALSE)*AM$22,AM45&gt;VLOOKUP($C44,$C$3:$D$15,2,FALSE)*AM$22),VLOOKUP($C44,$C$3:$D$15,2,FALSE)*AM$22-AL46)))</f>
        <v>0</v>
      </c>
      <c r="AN44" s="644">
        <f t="shared" ref="AN44" si="1509" xml:space="preserve">
IF(AM46&gt;=VLOOKUP($C44,$C$3:$D$15,2,FALSE)*AN$22,0,
IF(AND(AM46&lt;VLOOKUP($C44,$C$3:$D$15,2,FALSE)*AN$22,AN45&lt;=VLOOKUP($C44,$C$3:$D$15,2,FALSE)*AN$22),IF(AN45-AM46&lt;0,0,AN45-AM46),
IF(AND(AM46&lt;VLOOKUP($C44,$C$3:$D$15,2,FALSE)*AN$22,AN45&gt;VLOOKUP($C44,$C$3:$D$15,2,FALSE)*AN$22),VLOOKUP($C44,$C$3:$D$15,2,FALSE)*AN$22-AM46)))</f>
        <v>0</v>
      </c>
      <c r="AO44" s="644">
        <f t="shared" ref="AO44" si="1510" xml:space="preserve">
IF(AN46&gt;=VLOOKUP($C44,$C$3:$D$15,2,FALSE)*AO$22,0,
IF(AND(AN46&lt;VLOOKUP($C44,$C$3:$D$15,2,FALSE)*AO$22,AO45&lt;=VLOOKUP($C44,$C$3:$D$15,2,FALSE)*AO$22),IF(AO45-AN46&lt;0,0,AO45-AN46),
IF(AND(AN46&lt;VLOOKUP($C44,$C$3:$D$15,2,FALSE)*AO$22,AO45&gt;VLOOKUP($C44,$C$3:$D$15,2,FALSE)*AO$22),VLOOKUP($C44,$C$3:$D$15,2,FALSE)*AO$22-AN46)))</f>
        <v>0</v>
      </c>
      <c r="AP44" s="644">
        <f t="shared" ref="AP44" si="1511" xml:space="preserve">
IF(AO46&gt;=VLOOKUP($C44,$C$3:$D$15,2,FALSE)*AP$22,0,
IF(AND(AO46&lt;VLOOKUP($C44,$C$3:$D$15,2,FALSE)*AP$22,AP45&lt;=VLOOKUP($C44,$C$3:$D$15,2,FALSE)*AP$22),IF(AP45-AO46&lt;0,0,AP45-AO46),
IF(AND(AO46&lt;VLOOKUP($C44,$C$3:$D$15,2,FALSE)*AP$22,AP45&gt;VLOOKUP($C44,$C$3:$D$15,2,FALSE)*AP$22),VLOOKUP($C44,$C$3:$D$15,2,FALSE)*AP$22-AO46)))</f>
        <v>0</v>
      </c>
      <c r="AQ44" s="644">
        <f t="shared" ref="AQ44" si="1512" xml:space="preserve">
IF(AP46&gt;=VLOOKUP($C44,$C$3:$D$15,2,FALSE)*AQ$22,0,
IF(AND(AP46&lt;VLOOKUP($C44,$C$3:$D$15,2,FALSE)*AQ$22,AQ45&lt;=VLOOKUP($C44,$C$3:$D$15,2,FALSE)*AQ$22),IF(AQ45-AP46&lt;0,0,AQ45-AP46),
IF(AND(AP46&lt;VLOOKUP($C44,$C$3:$D$15,2,FALSE)*AQ$22,AQ45&gt;VLOOKUP($C44,$C$3:$D$15,2,FALSE)*AQ$22),VLOOKUP($C44,$C$3:$D$15,2,FALSE)*AQ$22-AP46)))</f>
        <v>0</v>
      </c>
      <c r="AR44" s="644">
        <f t="shared" ref="AR44" si="1513" xml:space="preserve">
IF(AQ46&gt;=VLOOKUP($C44,$C$3:$D$15,2,FALSE)*AR$22,0,
IF(AND(AQ46&lt;VLOOKUP($C44,$C$3:$D$15,2,FALSE)*AR$22,AR45&lt;=VLOOKUP($C44,$C$3:$D$15,2,FALSE)*AR$22),IF(AR45-AQ46&lt;0,0,AR45-AQ46),
IF(AND(AQ46&lt;VLOOKUP($C44,$C$3:$D$15,2,FALSE)*AR$22,AR45&gt;VLOOKUP($C44,$C$3:$D$15,2,FALSE)*AR$22),VLOOKUP($C44,$C$3:$D$15,2,FALSE)*AR$22-AQ46)))</f>
        <v>0</v>
      </c>
      <c r="AS44" s="644">
        <f t="shared" ref="AS44" si="1514" xml:space="preserve">
IF(AR46&gt;=VLOOKUP($C44,$C$3:$D$15,2,FALSE)*AS$22,0,
IF(AND(AR46&lt;VLOOKUP($C44,$C$3:$D$15,2,FALSE)*AS$22,AS45&lt;=VLOOKUP($C44,$C$3:$D$15,2,FALSE)*AS$22),IF(AS45-AR46&lt;0,0,AS45-AR46),
IF(AND(AR46&lt;VLOOKUP($C44,$C$3:$D$15,2,FALSE)*AS$22,AS45&gt;VLOOKUP($C44,$C$3:$D$15,2,FALSE)*AS$22),VLOOKUP($C44,$C$3:$D$15,2,FALSE)*AS$22-AR46)))</f>
        <v>0</v>
      </c>
      <c r="AT44" s="644">
        <f t="shared" ref="AT44" si="1515" xml:space="preserve">
IF(AS46&gt;=VLOOKUP($C44,$C$3:$D$15,2,FALSE)*AT$22,0,
IF(AND(AS46&lt;VLOOKUP($C44,$C$3:$D$15,2,FALSE)*AT$22,AT45&lt;=VLOOKUP($C44,$C$3:$D$15,2,FALSE)*AT$22),IF(AT45-AS46&lt;0,0,AT45-AS46),
IF(AND(AS46&lt;VLOOKUP($C44,$C$3:$D$15,2,FALSE)*AT$22,AT45&gt;VLOOKUP($C44,$C$3:$D$15,2,FALSE)*AT$22),VLOOKUP($C44,$C$3:$D$15,2,FALSE)*AT$22-AS46)))</f>
        <v>0</v>
      </c>
      <c r="AU44" s="644">
        <f t="shared" ref="AU44" si="1516" xml:space="preserve">
IF(AT46&gt;=VLOOKUP($C44,$C$3:$D$15,2,FALSE)*AU$22,0,
IF(AND(AT46&lt;VLOOKUP($C44,$C$3:$D$15,2,FALSE)*AU$22,AU45&lt;=VLOOKUP($C44,$C$3:$D$15,2,FALSE)*AU$22),IF(AU45-AT46&lt;0,0,AU45-AT46),
IF(AND(AT46&lt;VLOOKUP($C44,$C$3:$D$15,2,FALSE)*AU$22,AU45&gt;VLOOKUP($C44,$C$3:$D$15,2,FALSE)*AU$22),VLOOKUP($C44,$C$3:$D$15,2,FALSE)*AU$22-AT46)))</f>
        <v>0</v>
      </c>
      <c r="AV44" s="644">
        <f t="shared" ref="AV44" si="1517" xml:space="preserve">
IF(AU46&gt;=VLOOKUP($C44,$C$3:$D$15,2,FALSE)*AV$22,0,
IF(AND(AU46&lt;VLOOKUP($C44,$C$3:$D$15,2,FALSE)*AV$22,AV45&lt;=VLOOKUP($C44,$C$3:$D$15,2,FALSE)*AV$22),IF(AV45-AU46&lt;0,0,AV45-AU46),
IF(AND(AU46&lt;VLOOKUP($C44,$C$3:$D$15,2,FALSE)*AV$22,AV45&gt;VLOOKUP($C44,$C$3:$D$15,2,FALSE)*AV$22),VLOOKUP($C44,$C$3:$D$15,2,FALSE)*AV$22-AU46)))</f>
        <v>0</v>
      </c>
      <c r="AW44" s="644">
        <f t="shared" ref="AW44" si="1518" xml:space="preserve">
IF(AV46&gt;=VLOOKUP($C44,$C$3:$D$15,2,FALSE)*AW$22,0,
IF(AND(AV46&lt;VLOOKUP($C44,$C$3:$D$15,2,FALSE)*AW$22,AW45&lt;=VLOOKUP($C44,$C$3:$D$15,2,FALSE)*AW$22),IF(AW45-AV46&lt;0,0,AW45-AV46),
IF(AND(AV46&lt;VLOOKUP($C44,$C$3:$D$15,2,FALSE)*AW$22,AW45&gt;VLOOKUP($C44,$C$3:$D$15,2,FALSE)*AW$22),VLOOKUP($C44,$C$3:$D$15,2,FALSE)*AW$22-AV46)))</f>
        <v>0</v>
      </c>
      <c r="AX44" s="644">
        <f t="shared" ref="AX44" si="1519" xml:space="preserve">
IF(AW46&gt;=VLOOKUP($C44,$C$3:$D$15,2,FALSE)*AX$22,0,
IF(AND(AW46&lt;VLOOKUP($C44,$C$3:$D$15,2,FALSE)*AX$22,AX45&lt;=VLOOKUP($C44,$C$3:$D$15,2,FALSE)*AX$22),IF(AX45-AW46&lt;0,0,AX45-AW46),
IF(AND(AW46&lt;VLOOKUP($C44,$C$3:$D$15,2,FALSE)*AX$22,AX45&gt;VLOOKUP($C44,$C$3:$D$15,2,FALSE)*AX$22),VLOOKUP($C44,$C$3:$D$15,2,FALSE)*AX$22-AW46)))</f>
        <v>0</v>
      </c>
      <c r="AY44" s="644">
        <f t="shared" ref="AY44" si="1520" xml:space="preserve">
IF(AX46&gt;=VLOOKUP($C44,$C$3:$D$15,2,FALSE)*AY$22,0,
IF(AND(AX46&lt;VLOOKUP($C44,$C$3:$D$15,2,FALSE)*AY$22,AY45&lt;=VLOOKUP($C44,$C$3:$D$15,2,FALSE)*AY$22),IF(AY45-AX46&lt;0,0,AY45-AX46),
IF(AND(AX46&lt;VLOOKUP($C44,$C$3:$D$15,2,FALSE)*AY$22,AY45&gt;VLOOKUP($C44,$C$3:$D$15,2,FALSE)*AY$22),VLOOKUP($C44,$C$3:$D$15,2,FALSE)*AY$22-AX46)))</f>
        <v>0</v>
      </c>
      <c r="AZ44" s="644">
        <f t="shared" ref="AZ44" si="1521" xml:space="preserve">
IF(AY46&gt;=VLOOKUP($C44,$C$3:$D$15,2,FALSE)*AZ$22,0,
IF(AND(AY46&lt;VLOOKUP($C44,$C$3:$D$15,2,FALSE)*AZ$22,AZ45&lt;=VLOOKUP($C44,$C$3:$D$15,2,FALSE)*AZ$22),IF(AZ45-AY46&lt;0,0,AZ45-AY46),
IF(AND(AY46&lt;VLOOKUP($C44,$C$3:$D$15,2,FALSE)*AZ$22,AZ45&gt;VLOOKUP($C44,$C$3:$D$15,2,FALSE)*AZ$22),VLOOKUP($C44,$C$3:$D$15,2,FALSE)*AZ$22-AY46)))</f>
        <v>0</v>
      </c>
      <c r="BA44" s="644">
        <f t="shared" ref="BA44" si="1522" xml:space="preserve">
IF(AZ46&gt;=VLOOKUP($C44,$C$3:$D$15,2,FALSE)*BA$22,0,
IF(AND(AZ46&lt;VLOOKUP($C44,$C$3:$D$15,2,FALSE)*BA$22,BA45&lt;=VLOOKUP($C44,$C$3:$D$15,2,FALSE)*BA$22),IF(BA45-AZ46&lt;0,0,BA45-AZ46),
IF(AND(AZ46&lt;VLOOKUP($C44,$C$3:$D$15,2,FALSE)*BA$22,BA45&gt;VLOOKUP($C44,$C$3:$D$15,2,FALSE)*BA$22),VLOOKUP($C44,$C$3:$D$15,2,FALSE)*BA$22-AZ46)))</f>
        <v>0</v>
      </c>
      <c r="BB44" s="644">
        <f t="shared" ref="BB44" si="1523" xml:space="preserve">
IF(BA46&gt;=VLOOKUP($C44,$C$3:$D$15,2,FALSE)*BB$22,0,
IF(AND(BA46&lt;VLOOKUP($C44,$C$3:$D$15,2,FALSE)*BB$22,BB45&lt;=VLOOKUP($C44,$C$3:$D$15,2,FALSE)*BB$22),IF(BB45-BA46&lt;0,0,BB45-BA46),
IF(AND(BA46&lt;VLOOKUP($C44,$C$3:$D$15,2,FALSE)*BB$22,BB45&gt;VLOOKUP($C44,$C$3:$D$15,2,FALSE)*BB$22),VLOOKUP($C44,$C$3:$D$15,2,FALSE)*BB$22-BA46)))</f>
        <v>0</v>
      </c>
      <c r="BC44" s="644">
        <f t="shared" ref="BC44" si="1524" xml:space="preserve">
IF(BB46&gt;=VLOOKUP($C44,$C$3:$D$15,2,FALSE)*BC$22,0,
IF(AND(BB46&lt;VLOOKUP($C44,$C$3:$D$15,2,FALSE)*BC$22,BC45&lt;=VLOOKUP($C44,$C$3:$D$15,2,FALSE)*BC$22),IF(BC45-BB46&lt;0,0,BC45-BB46),
IF(AND(BB46&lt;VLOOKUP($C44,$C$3:$D$15,2,FALSE)*BC$22,BC45&gt;VLOOKUP($C44,$C$3:$D$15,2,FALSE)*BC$22),VLOOKUP($C44,$C$3:$D$15,2,FALSE)*BC$22-BB46)))</f>
        <v>0</v>
      </c>
      <c r="BD44" s="644">
        <f t="shared" ref="BD44" si="1525" xml:space="preserve">
IF(BC46&gt;=VLOOKUP($C44,$C$3:$D$15,2,FALSE)*BD$22,0,
IF(AND(BC46&lt;VLOOKUP($C44,$C$3:$D$15,2,FALSE)*BD$22,BD45&lt;=VLOOKUP($C44,$C$3:$D$15,2,FALSE)*BD$22),IF(BD45-BC46&lt;0,0,BD45-BC46),
IF(AND(BC46&lt;VLOOKUP($C44,$C$3:$D$15,2,FALSE)*BD$22,BD45&gt;VLOOKUP($C44,$C$3:$D$15,2,FALSE)*BD$22),VLOOKUP($C44,$C$3:$D$15,2,FALSE)*BD$22-BC46)))</f>
        <v>0</v>
      </c>
      <c r="BE44" s="644">
        <f t="shared" ref="BE44" si="1526" xml:space="preserve">
IF(BD46&gt;=VLOOKUP($C44,$C$3:$D$15,2,FALSE)*BE$22,0,
IF(AND(BD46&lt;VLOOKUP($C44,$C$3:$D$15,2,FALSE)*BE$22,BE45&lt;=VLOOKUP($C44,$C$3:$D$15,2,FALSE)*BE$22),IF(BE45-BD46&lt;0,0,BE45-BD46),
IF(AND(BD46&lt;VLOOKUP($C44,$C$3:$D$15,2,FALSE)*BE$22,BE45&gt;VLOOKUP($C44,$C$3:$D$15,2,FALSE)*BE$22),VLOOKUP($C44,$C$3:$D$15,2,FALSE)*BE$22-BD46)))</f>
        <v>0</v>
      </c>
      <c r="BF44" s="644">
        <f t="shared" ref="BF44" si="1527" xml:space="preserve">
IF(BE46&gt;=VLOOKUP($C44,$C$3:$D$15,2,FALSE)*BF$22,0,
IF(AND(BE46&lt;VLOOKUP($C44,$C$3:$D$15,2,FALSE)*BF$22,BF45&lt;=VLOOKUP($C44,$C$3:$D$15,2,FALSE)*BF$22),IF(BF45-BE46&lt;0,0,BF45-BE46),
IF(AND(BE46&lt;VLOOKUP($C44,$C$3:$D$15,2,FALSE)*BF$22,BF45&gt;VLOOKUP($C44,$C$3:$D$15,2,FALSE)*BF$22),VLOOKUP($C44,$C$3:$D$15,2,FALSE)*BF$22-BE46)))</f>
        <v>0</v>
      </c>
      <c r="BG44" s="644">
        <f t="shared" ref="BG44" si="1528" xml:space="preserve">
IF(BF46&gt;=VLOOKUP($C44,$C$3:$D$15,2,FALSE)*BG$22,0,
IF(AND(BF46&lt;VLOOKUP($C44,$C$3:$D$15,2,FALSE)*BG$22,BG45&lt;=VLOOKUP($C44,$C$3:$D$15,2,FALSE)*BG$22),IF(BG45-BF46&lt;0,0,BG45-BF46),
IF(AND(BF46&lt;VLOOKUP($C44,$C$3:$D$15,2,FALSE)*BG$22,BG45&gt;VLOOKUP($C44,$C$3:$D$15,2,FALSE)*BG$22),VLOOKUP($C44,$C$3:$D$15,2,FALSE)*BG$22-BF46)))</f>
        <v>0</v>
      </c>
      <c r="BH44" s="644">
        <f t="shared" ref="BH44" si="1529" xml:space="preserve">
IF(BG46&gt;=VLOOKUP($C44,$C$3:$D$15,2,FALSE)*BH$22,0,
IF(AND(BG46&lt;VLOOKUP($C44,$C$3:$D$15,2,FALSE)*BH$22,BH45&lt;=VLOOKUP($C44,$C$3:$D$15,2,FALSE)*BH$22),IF(BH45-BG46&lt;0,0,BH45-BG46),
IF(AND(BG46&lt;VLOOKUP($C44,$C$3:$D$15,2,FALSE)*BH$22,BH45&gt;VLOOKUP($C44,$C$3:$D$15,2,FALSE)*BH$22),VLOOKUP($C44,$C$3:$D$15,2,FALSE)*BH$22-BG46)))</f>
        <v>0</v>
      </c>
      <c r="BI44" s="644">
        <f t="shared" ref="BI44" si="1530" xml:space="preserve">
IF(BH46&gt;=VLOOKUP($C44,$C$3:$D$15,2,FALSE)*BI$22,0,
IF(AND(BH46&lt;VLOOKUP($C44,$C$3:$D$15,2,FALSE)*BI$22,BI45&lt;=VLOOKUP($C44,$C$3:$D$15,2,FALSE)*BI$22),IF(BI45-BH46&lt;0,0,BI45-BH46),
IF(AND(BH46&lt;VLOOKUP($C44,$C$3:$D$15,2,FALSE)*BI$22,BI45&gt;VLOOKUP($C44,$C$3:$D$15,2,FALSE)*BI$22),VLOOKUP($C44,$C$3:$D$15,2,FALSE)*BI$22-BH46)))</f>
        <v>0</v>
      </c>
      <c r="BJ44" s="644">
        <f t="shared" ref="BJ44" si="1531" xml:space="preserve">
IF(BI46&gt;=VLOOKUP($C44,$C$3:$D$15,2,FALSE)*BJ$22,0,
IF(AND(BI46&lt;VLOOKUP($C44,$C$3:$D$15,2,FALSE)*BJ$22,BJ45&lt;=VLOOKUP($C44,$C$3:$D$15,2,FALSE)*BJ$22),IF(BJ45-BI46&lt;0,0,BJ45-BI46),
IF(AND(BI46&lt;VLOOKUP($C44,$C$3:$D$15,2,FALSE)*BJ$22,BJ45&gt;VLOOKUP($C44,$C$3:$D$15,2,FALSE)*BJ$22),VLOOKUP($C44,$C$3:$D$15,2,FALSE)*BJ$22-BI46)))</f>
        <v>0</v>
      </c>
      <c r="BK44" s="644">
        <f t="shared" ref="BK44" si="1532" xml:space="preserve">
IF(BJ46&gt;=VLOOKUP($C44,$C$3:$D$15,2,FALSE)*BK$22,0,
IF(AND(BJ46&lt;VLOOKUP($C44,$C$3:$D$15,2,FALSE)*BK$22,BK45&lt;=VLOOKUP($C44,$C$3:$D$15,2,FALSE)*BK$22),IF(BK45-BJ46&lt;0,0,BK45-BJ46),
IF(AND(BJ46&lt;VLOOKUP($C44,$C$3:$D$15,2,FALSE)*BK$22,BK45&gt;VLOOKUP($C44,$C$3:$D$15,2,FALSE)*BK$22),VLOOKUP($C44,$C$3:$D$15,2,FALSE)*BK$22-BJ46)))</f>
        <v>0</v>
      </c>
      <c r="BL44" s="644">
        <f t="shared" ref="BL44" si="1533" xml:space="preserve">
IF(BK46&gt;=VLOOKUP($C44,$C$3:$D$15,2,FALSE)*BL$22,0,
IF(AND(BK46&lt;VLOOKUP($C44,$C$3:$D$15,2,FALSE)*BL$22,BL45&lt;=VLOOKUP($C44,$C$3:$D$15,2,FALSE)*BL$22),IF(BL45-BK46&lt;0,0,BL45-BK46),
IF(AND(BK46&lt;VLOOKUP($C44,$C$3:$D$15,2,FALSE)*BL$22,BL45&gt;VLOOKUP($C44,$C$3:$D$15,2,FALSE)*BL$22),VLOOKUP($C44,$C$3:$D$15,2,FALSE)*BL$22-BK46)))</f>
        <v>0</v>
      </c>
      <c r="BM44" s="644">
        <f t="shared" ref="BM44" si="1534" xml:space="preserve">
IF(BL46&gt;=VLOOKUP($C44,$C$3:$D$15,2,FALSE)*BM$22,0,
IF(AND(BL46&lt;VLOOKUP($C44,$C$3:$D$15,2,FALSE)*BM$22,BM45&lt;=VLOOKUP($C44,$C$3:$D$15,2,FALSE)*BM$22),IF(BM45-BL46&lt;0,0,BM45-BL46),
IF(AND(BL46&lt;VLOOKUP($C44,$C$3:$D$15,2,FALSE)*BM$22,BM45&gt;VLOOKUP($C44,$C$3:$D$15,2,FALSE)*BM$22),VLOOKUP($C44,$C$3:$D$15,2,FALSE)*BM$22-BL46)))</f>
        <v>0</v>
      </c>
      <c r="BN44" s="644">
        <f t="shared" ref="BN44" si="1535" xml:space="preserve">
IF(BM46&gt;=VLOOKUP($C44,$C$3:$D$15,2,FALSE)*BN$22,0,
IF(AND(BM46&lt;VLOOKUP($C44,$C$3:$D$15,2,FALSE)*BN$22,BN45&lt;=VLOOKUP($C44,$C$3:$D$15,2,FALSE)*BN$22),IF(BN45-BM46&lt;0,0,BN45-BM46),
IF(AND(BM46&lt;VLOOKUP($C44,$C$3:$D$15,2,FALSE)*BN$22,BN45&gt;VLOOKUP($C44,$C$3:$D$15,2,FALSE)*BN$22),VLOOKUP($C44,$C$3:$D$15,2,FALSE)*BN$22-BM46)))</f>
        <v>0</v>
      </c>
      <c r="BO44" s="644">
        <f t="shared" ref="BO44" si="1536" xml:space="preserve">
IF(BN46&gt;=VLOOKUP($C44,$C$3:$D$15,2,FALSE)*BO$22,0,
IF(AND(BN46&lt;VLOOKUP($C44,$C$3:$D$15,2,FALSE)*BO$22,BO45&lt;=VLOOKUP($C44,$C$3:$D$15,2,FALSE)*BO$22),IF(BO45-BN46&lt;0,0,BO45-BN46),
IF(AND(BN46&lt;VLOOKUP($C44,$C$3:$D$15,2,FALSE)*BO$22,BO45&gt;VLOOKUP($C44,$C$3:$D$15,2,FALSE)*BO$22),VLOOKUP($C44,$C$3:$D$15,2,FALSE)*BO$22-BN46)))</f>
        <v>0</v>
      </c>
      <c r="BP44" s="644">
        <f t="shared" ref="BP44" si="1537" xml:space="preserve">
IF(BO46&gt;=VLOOKUP($C44,$C$3:$D$15,2,FALSE)*BP$22,0,
IF(AND(BO46&lt;VLOOKUP($C44,$C$3:$D$15,2,FALSE)*BP$22,BP45&lt;=VLOOKUP($C44,$C$3:$D$15,2,FALSE)*BP$22),IF(BP45-BO46&lt;0,0,BP45-BO46),
IF(AND(BO46&lt;VLOOKUP($C44,$C$3:$D$15,2,FALSE)*BP$22,BP45&gt;VLOOKUP($C44,$C$3:$D$15,2,FALSE)*BP$22),VLOOKUP($C44,$C$3:$D$15,2,FALSE)*BP$22-BO46)))</f>
        <v>0</v>
      </c>
      <c r="BQ44" s="644">
        <f t="shared" ref="BQ44" si="1538" xml:space="preserve">
IF(BP46&gt;=VLOOKUP($C44,$C$3:$D$15,2,FALSE)*BQ$22,0,
IF(AND(BP46&lt;VLOOKUP($C44,$C$3:$D$15,2,FALSE)*BQ$22,BQ45&lt;=VLOOKUP($C44,$C$3:$D$15,2,FALSE)*BQ$22),IF(BQ45-BP46&lt;0,0,BQ45-BP46),
IF(AND(BP46&lt;VLOOKUP($C44,$C$3:$D$15,2,FALSE)*BQ$22,BQ45&gt;VLOOKUP($C44,$C$3:$D$15,2,FALSE)*BQ$22),VLOOKUP($C44,$C$3:$D$15,2,FALSE)*BQ$22-BP46)))</f>
        <v>0</v>
      </c>
      <c r="BR44" s="644">
        <f t="shared" ref="BR44" si="1539" xml:space="preserve">
IF(BQ46&gt;=VLOOKUP($C44,$C$3:$D$15,2,FALSE)*BR$22,0,
IF(AND(BQ46&lt;VLOOKUP($C44,$C$3:$D$15,2,FALSE)*BR$22,BR45&lt;=VLOOKUP($C44,$C$3:$D$15,2,FALSE)*BR$22),IF(BR45-BQ46&lt;0,0,BR45-BQ46),
IF(AND(BQ46&lt;VLOOKUP($C44,$C$3:$D$15,2,FALSE)*BR$22,BR45&gt;VLOOKUP($C44,$C$3:$D$15,2,FALSE)*BR$22),VLOOKUP($C44,$C$3:$D$15,2,FALSE)*BR$22-BQ46)))</f>
        <v>0</v>
      </c>
      <c r="BS44" s="644">
        <f t="shared" ref="BS44" si="1540" xml:space="preserve">
IF(BR46&gt;=VLOOKUP($C44,$C$3:$D$15,2,FALSE)*BS$22,0,
IF(AND(BR46&lt;VLOOKUP($C44,$C$3:$D$15,2,FALSE)*BS$22,BS45&lt;=VLOOKUP($C44,$C$3:$D$15,2,FALSE)*BS$22),IF(BS45-BR46&lt;0,0,BS45-BR46),
IF(AND(BR46&lt;VLOOKUP($C44,$C$3:$D$15,2,FALSE)*BS$22,BS45&gt;VLOOKUP($C44,$C$3:$D$15,2,FALSE)*BS$22),VLOOKUP($C44,$C$3:$D$15,2,FALSE)*BS$22-BR46)))</f>
        <v>0</v>
      </c>
      <c r="BT44" s="644">
        <f t="shared" ref="BT44" si="1541" xml:space="preserve">
IF(BS46&gt;=VLOOKUP($C44,$C$3:$D$15,2,FALSE)*BT$22,0,
IF(AND(BS46&lt;VLOOKUP($C44,$C$3:$D$15,2,FALSE)*BT$22,BT45&lt;=VLOOKUP($C44,$C$3:$D$15,2,FALSE)*BT$22),IF(BT45-BS46&lt;0,0,BT45-BS46),
IF(AND(BS46&lt;VLOOKUP($C44,$C$3:$D$15,2,FALSE)*BT$22,BT45&gt;VLOOKUP($C44,$C$3:$D$15,2,FALSE)*BT$22),VLOOKUP($C44,$C$3:$D$15,2,FALSE)*BT$22-BS46)))</f>
        <v>0</v>
      </c>
      <c r="BU44" s="644">
        <f t="shared" ref="BU44" si="1542" xml:space="preserve">
IF(BT46&gt;=VLOOKUP($C44,$C$3:$D$15,2,FALSE)*BU$22,0,
IF(AND(BT46&lt;VLOOKUP($C44,$C$3:$D$15,2,FALSE)*BU$22,BU45&lt;=VLOOKUP($C44,$C$3:$D$15,2,FALSE)*BU$22),IF(BU45-BT46&lt;0,0,BU45-BT46),
IF(AND(BT46&lt;VLOOKUP($C44,$C$3:$D$15,2,FALSE)*BU$22,BU45&gt;VLOOKUP($C44,$C$3:$D$15,2,FALSE)*BU$22),VLOOKUP($C44,$C$3:$D$15,2,FALSE)*BU$22-BT46)))</f>
        <v>0</v>
      </c>
      <c r="BV44" s="644">
        <f t="shared" ref="BV44" si="1543" xml:space="preserve">
IF(BU46&gt;=VLOOKUP($C44,$C$3:$D$15,2,FALSE)*BV$22,0,
IF(AND(BU46&lt;VLOOKUP($C44,$C$3:$D$15,2,FALSE)*BV$22,BV45&lt;=VLOOKUP($C44,$C$3:$D$15,2,FALSE)*BV$22),IF(BV45-BU46&lt;0,0,BV45-BU46),
IF(AND(BU46&lt;VLOOKUP($C44,$C$3:$D$15,2,FALSE)*BV$22,BV45&gt;VLOOKUP($C44,$C$3:$D$15,2,FALSE)*BV$22),VLOOKUP($C44,$C$3:$D$15,2,FALSE)*BV$22-BU46)))</f>
        <v>0</v>
      </c>
      <c r="BW44" s="644">
        <f t="shared" ref="BW44" si="1544" xml:space="preserve">
IF(BV46&gt;=VLOOKUP($C44,$C$3:$D$15,2,FALSE)*BW$22,0,
IF(AND(BV46&lt;VLOOKUP($C44,$C$3:$D$15,2,FALSE)*BW$22,BW45&lt;=VLOOKUP($C44,$C$3:$D$15,2,FALSE)*BW$22),IF(BW45-BV46&lt;0,0,BW45-BV46),
IF(AND(BV46&lt;VLOOKUP($C44,$C$3:$D$15,2,FALSE)*BW$22,BW45&gt;VLOOKUP($C44,$C$3:$D$15,2,FALSE)*BW$22),VLOOKUP($C44,$C$3:$D$15,2,FALSE)*BW$22-BV46)))</f>
        <v>0</v>
      </c>
      <c r="BX44" s="644">
        <f t="shared" ref="BX44" si="1545" xml:space="preserve">
IF(BW46&gt;=VLOOKUP($C44,$C$3:$D$15,2,FALSE)*BX$22,0,
IF(AND(BW46&lt;VLOOKUP($C44,$C$3:$D$15,2,FALSE)*BX$22,BX45&lt;=VLOOKUP($C44,$C$3:$D$15,2,FALSE)*BX$22),IF(BX45-BW46&lt;0,0,BX45-BW46),
IF(AND(BW46&lt;VLOOKUP($C44,$C$3:$D$15,2,FALSE)*BX$22,BX45&gt;VLOOKUP($C44,$C$3:$D$15,2,FALSE)*BX$22),VLOOKUP($C44,$C$3:$D$15,2,FALSE)*BX$22-BW46)))</f>
        <v>0</v>
      </c>
      <c r="BY44" s="644">
        <f t="shared" ref="BY44" si="1546" xml:space="preserve">
IF(BX46&gt;=VLOOKUP($C44,$C$3:$D$15,2,FALSE)*BY$22,0,
IF(AND(BX46&lt;VLOOKUP($C44,$C$3:$D$15,2,FALSE)*BY$22,BY45&lt;=VLOOKUP($C44,$C$3:$D$15,2,FALSE)*BY$22),IF(BY45-BX46&lt;0,0,BY45-BX46),
IF(AND(BX46&lt;VLOOKUP($C44,$C$3:$D$15,2,FALSE)*BY$22,BY45&gt;VLOOKUP($C44,$C$3:$D$15,2,FALSE)*BY$22),VLOOKUP($C44,$C$3:$D$15,2,FALSE)*BY$22-BX46)))</f>
        <v>0</v>
      </c>
      <c r="BZ44" s="644">
        <f t="shared" ref="BZ44" si="1547" xml:space="preserve">
IF(BY46&gt;=VLOOKUP($C44,$C$3:$D$15,2,FALSE)*BZ$22,0,
IF(AND(BY46&lt;VLOOKUP($C44,$C$3:$D$15,2,FALSE)*BZ$22,BZ45&lt;=VLOOKUP($C44,$C$3:$D$15,2,FALSE)*BZ$22),IF(BZ45-BY46&lt;0,0,BZ45-BY46),
IF(AND(BY46&lt;VLOOKUP($C44,$C$3:$D$15,2,FALSE)*BZ$22,BZ45&gt;VLOOKUP($C44,$C$3:$D$15,2,FALSE)*BZ$22),VLOOKUP($C44,$C$3:$D$15,2,FALSE)*BZ$22-BY46)))</f>
        <v>0</v>
      </c>
      <c r="CA44" s="644">
        <f t="shared" ref="CA44" si="1548" xml:space="preserve">
IF(BZ46&gt;=VLOOKUP($C44,$C$3:$D$15,2,FALSE)*CA$22,0,
IF(AND(BZ46&lt;VLOOKUP($C44,$C$3:$D$15,2,FALSE)*CA$22,CA45&lt;=VLOOKUP($C44,$C$3:$D$15,2,FALSE)*CA$22),IF(CA45-BZ46&lt;0,0,CA45-BZ46),
IF(AND(BZ46&lt;VLOOKUP($C44,$C$3:$D$15,2,FALSE)*CA$22,CA45&gt;VLOOKUP($C44,$C$3:$D$15,2,FALSE)*CA$22),VLOOKUP($C44,$C$3:$D$15,2,FALSE)*CA$22-BZ46)))</f>
        <v>0</v>
      </c>
      <c r="CB44" s="644">
        <f t="shared" ref="CB44" si="1549" xml:space="preserve">
IF(CA46&gt;=VLOOKUP($C44,$C$3:$D$15,2,FALSE)*CB$22,0,
IF(AND(CA46&lt;VLOOKUP($C44,$C$3:$D$15,2,FALSE)*CB$22,CB45&lt;=VLOOKUP($C44,$C$3:$D$15,2,FALSE)*CB$22),IF(CB45-CA46&lt;0,0,CB45-CA46),
IF(AND(CA46&lt;VLOOKUP($C44,$C$3:$D$15,2,FALSE)*CB$22,CB45&gt;VLOOKUP($C44,$C$3:$D$15,2,FALSE)*CB$22),VLOOKUP($C44,$C$3:$D$15,2,FALSE)*CB$22-CA46)))</f>
        <v>0</v>
      </c>
      <c r="CC44" s="644">
        <f t="shared" ref="CC44" si="1550" xml:space="preserve">
IF(CB46&gt;=VLOOKUP($C44,$C$3:$D$15,2,FALSE)*CC$22,0,
IF(AND(CB46&lt;VLOOKUP($C44,$C$3:$D$15,2,FALSE)*CC$22,CC45&lt;=VLOOKUP($C44,$C$3:$D$15,2,FALSE)*CC$22),IF(CC45-CB46&lt;0,0,CC45-CB46),
IF(AND(CB46&lt;VLOOKUP($C44,$C$3:$D$15,2,FALSE)*CC$22,CC45&gt;VLOOKUP($C44,$C$3:$D$15,2,FALSE)*CC$22),VLOOKUP($C44,$C$3:$D$15,2,FALSE)*CC$22-CB46)))</f>
        <v>0</v>
      </c>
      <c r="CD44" s="644">
        <f t="shared" ref="CD44" si="1551" xml:space="preserve">
IF(CC46&gt;=VLOOKUP($C44,$C$3:$D$15,2,FALSE)*CD$22,0,
IF(AND(CC46&lt;VLOOKUP($C44,$C$3:$D$15,2,FALSE)*CD$22,CD45&lt;=VLOOKUP($C44,$C$3:$D$15,2,FALSE)*CD$22),IF(CD45-CC46&lt;0,0,CD45-CC46),
IF(AND(CC46&lt;VLOOKUP($C44,$C$3:$D$15,2,FALSE)*CD$22,CD45&gt;VLOOKUP($C44,$C$3:$D$15,2,FALSE)*CD$22),VLOOKUP($C44,$C$3:$D$15,2,FALSE)*CD$22-CC46)))</f>
        <v>0</v>
      </c>
      <c r="CE44" s="644">
        <f t="shared" ref="CE44" si="1552" xml:space="preserve">
IF(CD46&gt;=VLOOKUP($C44,$C$3:$D$15,2,FALSE)*CE$22,0,
IF(AND(CD46&lt;VLOOKUP($C44,$C$3:$D$15,2,FALSE)*CE$22,CE45&lt;=VLOOKUP($C44,$C$3:$D$15,2,FALSE)*CE$22),IF(CE45-CD46&lt;0,0,CE45-CD46),
IF(AND(CD46&lt;VLOOKUP($C44,$C$3:$D$15,2,FALSE)*CE$22,CE45&gt;VLOOKUP($C44,$C$3:$D$15,2,FALSE)*CE$22),VLOOKUP($C44,$C$3:$D$15,2,FALSE)*CE$22-CD46)))</f>
        <v>0</v>
      </c>
      <c r="CF44" s="644">
        <f t="shared" ref="CF44" si="1553" xml:space="preserve">
IF(CE46&gt;=VLOOKUP($C44,$C$3:$D$15,2,FALSE)*CF$22,0,
IF(AND(CE46&lt;VLOOKUP($C44,$C$3:$D$15,2,FALSE)*CF$22,CF45&lt;=VLOOKUP($C44,$C$3:$D$15,2,FALSE)*CF$22),IF(CF45-CE46&lt;0,0,CF45-CE46),
IF(AND(CE46&lt;VLOOKUP($C44,$C$3:$D$15,2,FALSE)*CF$22,CF45&gt;VLOOKUP($C44,$C$3:$D$15,2,FALSE)*CF$22),VLOOKUP($C44,$C$3:$D$15,2,FALSE)*CF$22-CE46)))</f>
        <v>0</v>
      </c>
      <c r="CG44" s="644">
        <f t="shared" ref="CG44" si="1554" xml:space="preserve">
IF(CF46&gt;=VLOOKUP($C44,$C$3:$D$15,2,FALSE)*CG$22,0,
IF(AND(CF46&lt;VLOOKUP($C44,$C$3:$D$15,2,FALSE)*CG$22,CG45&lt;=VLOOKUP($C44,$C$3:$D$15,2,FALSE)*CG$22),IF(CG45-CF46&lt;0,0,CG45-CF46),
IF(AND(CF46&lt;VLOOKUP($C44,$C$3:$D$15,2,FALSE)*CG$22,CG45&gt;VLOOKUP($C44,$C$3:$D$15,2,FALSE)*CG$22),VLOOKUP($C44,$C$3:$D$15,2,FALSE)*CG$22-CF46)))</f>
        <v>0</v>
      </c>
      <c r="CH44" s="644">
        <f t="shared" ref="CH44" si="1555" xml:space="preserve">
IF(CG46&gt;=VLOOKUP($C44,$C$3:$D$15,2,FALSE)*CH$22,0,
IF(AND(CG46&lt;VLOOKUP($C44,$C$3:$D$15,2,FALSE)*CH$22,CH45&lt;=VLOOKUP($C44,$C$3:$D$15,2,FALSE)*CH$22),IF(CH45-CG46&lt;0,0,CH45-CG46),
IF(AND(CG46&lt;VLOOKUP($C44,$C$3:$D$15,2,FALSE)*CH$22,CH45&gt;VLOOKUP($C44,$C$3:$D$15,2,FALSE)*CH$22),VLOOKUP($C44,$C$3:$D$15,2,FALSE)*CH$22-CG46)))</f>
        <v>0</v>
      </c>
      <c r="CI44" s="644">
        <f t="shared" ref="CI44" si="1556" xml:space="preserve">
IF(CH46&gt;=VLOOKUP($C44,$C$3:$D$15,2,FALSE)*CI$22,0,
IF(AND(CH46&lt;VLOOKUP($C44,$C$3:$D$15,2,FALSE)*CI$22,CI45&lt;=VLOOKUP($C44,$C$3:$D$15,2,FALSE)*CI$22),IF(CI45-CH46&lt;0,0,CI45-CH46),
IF(AND(CH46&lt;VLOOKUP($C44,$C$3:$D$15,2,FALSE)*CI$22,CI45&gt;VLOOKUP($C44,$C$3:$D$15,2,FALSE)*CI$22),VLOOKUP($C44,$C$3:$D$15,2,FALSE)*CI$22-CH46)))</f>
        <v>0</v>
      </c>
      <c r="CJ44" s="644">
        <f t="shared" ref="CJ44" si="1557" xml:space="preserve">
IF(CI46&gt;=VLOOKUP($C44,$C$3:$D$15,2,FALSE)*CJ$22,0,
IF(AND(CI46&lt;VLOOKUP($C44,$C$3:$D$15,2,FALSE)*CJ$22,CJ45&lt;=VLOOKUP($C44,$C$3:$D$15,2,FALSE)*CJ$22),IF(CJ45-CI46&lt;0,0,CJ45-CI46),
IF(AND(CI46&lt;VLOOKUP($C44,$C$3:$D$15,2,FALSE)*CJ$22,CJ45&gt;VLOOKUP($C44,$C$3:$D$15,2,FALSE)*CJ$22),VLOOKUP($C44,$C$3:$D$15,2,FALSE)*CJ$22-CI46)))</f>
        <v>0</v>
      </c>
      <c r="CK44" s="644">
        <f t="shared" ref="CK44" si="1558" xml:space="preserve">
IF(CJ46&gt;=VLOOKUP($C44,$C$3:$D$15,2,FALSE)*CK$22,0,
IF(AND(CJ46&lt;VLOOKUP($C44,$C$3:$D$15,2,FALSE)*CK$22,CK45&lt;=VLOOKUP($C44,$C$3:$D$15,2,FALSE)*CK$22),IF(CK45-CJ46&lt;0,0,CK45-CJ46),
IF(AND(CJ46&lt;VLOOKUP($C44,$C$3:$D$15,2,FALSE)*CK$22,CK45&gt;VLOOKUP($C44,$C$3:$D$15,2,FALSE)*CK$22),VLOOKUP($C44,$C$3:$D$15,2,FALSE)*CK$22-CJ46)))</f>
        <v>0</v>
      </c>
      <c r="CL44" s="644">
        <f t="shared" ref="CL44" si="1559" xml:space="preserve">
IF(CK46&gt;=VLOOKUP($C44,$C$3:$D$15,2,FALSE)*CL$22,0,
IF(AND(CK46&lt;VLOOKUP($C44,$C$3:$D$15,2,FALSE)*CL$22,CL45&lt;=VLOOKUP($C44,$C$3:$D$15,2,FALSE)*CL$22),IF(CL45-CK46&lt;0,0,CL45-CK46),
IF(AND(CK46&lt;VLOOKUP($C44,$C$3:$D$15,2,FALSE)*CL$22,CL45&gt;VLOOKUP($C44,$C$3:$D$15,2,FALSE)*CL$22),VLOOKUP($C44,$C$3:$D$15,2,FALSE)*CL$22-CK46)))</f>
        <v>0</v>
      </c>
      <c r="CM44" s="644">
        <f t="shared" ref="CM44" si="1560" xml:space="preserve">
IF(CL46&gt;=VLOOKUP($C44,$C$3:$D$15,2,FALSE)*CM$22,0,
IF(AND(CL46&lt;VLOOKUP($C44,$C$3:$D$15,2,FALSE)*CM$22,CM45&lt;=VLOOKUP($C44,$C$3:$D$15,2,FALSE)*CM$22),IF(CM45-CL46&lt;0,0,CM45-CL46),
IF(AND(CL46&lt;VLOOKUP($C44,$C$3:$D$15,2,FALSE)*CM$22,CM45&gt;VLOOKUP($C44,$C$3:$D$15,2,FALSE)*CM$22),VLOOKUP($C44,$C$3:$D$15,2,FALSE)*CM$22-CL46)))</f>
        <v>0</v>
      </c>
      <c r="CN44" s="644">
        <f t="shared" ref="CN44" si="1561" xml:space="preserve">
IF(CM46&gt;=VLOOKUP($C44,$C$3:$D$15,2,FALSE)*CN$22,0,
IF(AND(CM46&lt;VLOOKUP($C44,$C$3:$D$15,2,FALSE)*CN$22,CN45&lt;=VLOOKUP($C44,$C$3:$D$15,2,FALSE)*CN$22),IF(CN45-CM46&lt;0,0,CN45-CM46),
IF(AND(CM46&lt;VLOOKUP($C44,$C$3:$D$15,2,FALSE)*CN$22,CN45&gt;VLOOKUP($C44,$C$3:$D$15,2,FALSE)*CN$22),VLOOKUP($C44,$C$3:$D$15,2,FALSE)*CN$22-CM46)))</f>
        <v>0</v>
      </c>
      <c r="CO44" s="644">
        <f t="shared" ref="CO44" si="1562" xml:space="preserve">
IF(CN46&gt;=VLOOKUP($C44,$C$3:$D$15,2,FALSE)*CO$22,0,
IF(AND(CN46&lt;VLOOKUP($C44,$C$3:$D$15,2,FALSE)*CO$22,CO45&lt;=VLOOKUP($C44,$C$3:$D$15,2,FALSE)*CO$22),IF(CO45-CN46&lt;0,0,CO45-CN46),
IF(AND(CN46&lt;VLOOKUP($C44,$C$3:$D$15,2,FALSE)*CO$22,CO45&gt;VLOOKUP($C44,$C$3:$D$15,2,FALSE)*CO$22),VLOOKUP($C44,$C$3:$D$15,2,FALSE)*CO$22-CN46)))</f>
        <v>0</v>
      </c>
      <c r="CP44" s="644">
        <f t="shared" ref="CP44" si="1563" xml:space="preserve">
IF(CO46&gt;=VLOOKUP($C44,$C$3:$D$15,2,FALSE)*CP$22,0,
IF(AND(CO46&lt;VLOOKUP($C44,$C$3:$D$15,2,FALSE)*CP$22,CP45&lt;=VLOOKUP($C44,$C$3:$D$15,2,FALSE)*CP$22),IF(CP45-CO46&lt;0,0,CP45-CO46),
IF(AND(CO46&lt;VLOOKUP($C44,$C$3:$D$15,2,FALSE)*CP$22,CP45&gt;VLOOKUP($C44,$C$3:$D$15,2,FALSE)*CP$22),VLOOKUP($C44,$C$3:$D$15,2,FALSE)*CP$22-CO46)))</f>
        <v>0</v>
      </c>
      <c r="CQ44" s="644">
        <f t="shared" ref="CQ44" si="1564" xml:space="preserve">
IF(CP46&gt;=VLOOKUP($C44,$C$3:$D$15,2,FALSE)*CQ$22,0,
IF(AND(CP46&lt;VLOOKUP($C44,$C$3:$D$15,2,FALSE)*CQ$22,CQ45&lt;=VLOOKUP($C44,$C$3:$D$15,2,FALSE)*CQ$22),IF(CQ45-CP46&lt;0,0,CQ45-CP46),
IF(AND(CP46&lt;VLOOKUP($C44,$C$3:$D$15,2,FALSE)*CQ$22,CQ45&gt;VLOOKUP($C44,$C$3:$D$15,2,FALSE)*CQ$22),VLOOKUP($C44,$C$3:$D$15,2,FALSE)*CQ$22-CP46)))</f>
        <v>0</v>
      </c>
      <c r="CR44" s="644">
        <f t="shared" ref="CR44" si="1565" xml:space="preserve">
IF(CQ46&gt;=VLOOKUP($C44,$C$3:$D$15,2,FALSE)*CR$22,0,
IF(AND(CQ46&lt;VLOOKUP($C44,$C$3:$D$15,2,FALSE)*CR$22,CR45&lt;=VLOOKUP($C44,$C$3:$D$15,2,FALSE)*CR$22),IF(CR45-CQ46&lt;0,0,CR45-CQ46),
IF(AND(CQ46&lt;VLOOKUP($C44,$C$3:$D$15,2,FALSE)*CR$22,CR45&gt;VLOOKUP($C44,$C$3:$D$15,2,FALSE)*CR$22),VLOOKUP($C44,$C$3:$D$15,2,FALSE)*CR$22-CQ46)))</f>
        <v>0</v>
      </c>
      <c r="CS44" s="644">
        <f t="shared" ref="CS44" si="1566" xml:space="preserve">
IF(CR46&gt;=VLOOKUP($C44,$C$3:$D$15,2,FALSE)*CS$22,0,
IF(AND(CR46&lt;VLOOKUP($C44,$C$3:$D$15,2,FALSE)*CS$22,CS45&lt;=VLOOKUP($C44,$C$3:$D$15,2,FALSE)*CS$22),IF(CS45-CR46&lt;0,0,CS45-CR46),
IF(AND(CR46&lt;VLOOKUP($C44,$C$3:$D$15,2,FALSE)*CS$22,CS45&gt;VLOOKUP($C44,$C$3:$D$15,2,FALSE)*CS$22),VLOOKUP($C44,$C$3:$D$15,2,FALSE)*CS$22-CR46)))</f>
        <v>0</v>
      </c>
      <c r="CT44" s="644">
        <f t="shared" ref="CT44" si="1567" xml:space="preserve">
IF(CS46&gt;=VLOOKUP($C44,$C$3:$D$15,2,FALSE)*CT$22,0,
IF(AND(CS46&lt;VLOOKUP($C44,$C$3:$D$15,2,FALSE)*CT$22,CT45&lt;=VLOOKUP($C44,$C$3:$D$15,2,FALSE)*CT$22),IF(CT45-CS46&lt;0,0,CT45-CS46),
IF(AND(CS46&lt;VLOOKUP($C44,$C$3:$D$15,2,FALSE)*CT$22,CT45&gt;VLOOKUP($C44,$C$3:$D$15,2,FALSE)*CT$22),VLOOKUP($C44,$C$3:$D$15,2,FALSE)*CT$22-CS46)))</f>
        <v>0</v>
      </c>
      <c r="CU44" s="644">
        <f t="shared" ref="CU44" si="1568" xml:space="preserve">
IF(CT46&gt;=VLOOKUP($C44,$C$3:$D$15,2,FALSE)*CU$22,0,
IF(AND(CT46&lt;VLOOKUP($C44,$C$3:$D$15,2,FALSE)*CU$22,CU45&lt;=VLOOKUP($C44,$C$3:$D$15,2,FALSE)*CU$22),IF(CU45-CT46&lt;0,0,CU45-CT46),
IF(AND(CT46&lt;VLOOKUP($C44,$C$3:$D$15,2,FALSE)*CU$22,CU45&gt;VLOOKUP($C44,$C$3:$D$15,2,FALSE)*CU$22),VLOOKUP($C44,$C$3:$D$15,2,FALSE)*CU$22-CT46)))</f>
        <v>0</v>
      </c>
      <c r="CV44" s="644">
        <f t="shared" ref="CV44" si="1569" xml:space="preserve">
IF(CU46&gt;=VLOOKUP($C44,$C$3:$D$15,2,FALSE)*CV$22,0,
IF(AND(CU46&lt;VLOOKUP($C44,$C$3:$D$15,2,FALSE)*CV$22,CV45&lt;=VLOOKUP($C44,$C$3:$D$15,2,FALSE)*CV$22),IF(CV45-CU46&lt;0,0,CV45-CU46),
IF(AND(CU46&lt;VLOOKUP($C44,$C$3:$D$15,2,FALSE)*CV$22,CV45&gt;VLOOKUP($C44,$C$3:$D$15,2,FALSE)*CV$22),VLOOKUP($C44,$C$3:$D$15,2,FALSE)*CV$22-CU46)))</f>
        <v>0</v>
      </c>
      <c r="CW44" s="644">
        <f t="shared" ref="CW44" si="1570" xml:space="preserve">
IF(CV46&gt;=VLOOKUP($C44,$C$3:$D$15,2,FALSE)*CW$22,0,
IF(AND(CV46&lt;VLOOKUP($C44,$C$3:$D$15,2,FALSE)*CW$22,CW45&lt;=VLOOKUP($C44,$C$3:$D$15,2,FALSE)*CW$22),IF(CW45-CV46&lt;0,0,CW45-CV46),
IF(AND(CV46&lt;VLOOKUP($C44,$C$3:$D$15,2,FALSE)*CW$22,CW45&gt;VLOOKUP($C44,$C$3:$D$15,2,FALSE)*CW$22),VLOOKUP($C44,$C$3:$D$15,2,FALSE)*CW$22-CV46)))</f>
        <v>0</v>
      </c>
      <c r="CX44" s="644">
        <f t="shared" ref="CX44" si="1571" xml:space="preserve">
IF(CW46&gt;=VLOOKUP($C44,$C$3:$D$15,2,FALSE)*CX$22,0,
IF(AND(CW46&lt;VLOOKUP($C44,$C$3:$D$15,2,FALSE)*CX$22,CX45&lt;=VLOOKUP($C44,$C$3:$D$15,2,FALSE)*CX$22),IF(CX45-CW46&lt;0,0,CX45-CW46),
IF(AND(CW46&lt;VLOOKUP($C44,$C$3:$D$15,2,FALSE)*CX$22,CX45&gt;VLOOKUP($C44,$C$3:$D$15,2,FALSE)*CX$22),VLOOKUP($C44,$C$3:$D$15,2,FALSE)*CX$22-CW46)))</f>
        <v>0</v>
      </c>
      <c r="CY44" s="644">
        <f t="shared" ref="CY44" si="1572" xml:space="preserve">
IF(CX46&gt;=VLOOKUP($C44,$C$3:$D$15,2,FALSE)*CY$22,0,
IF(AND(CX46&lt;VLOOKUP($C44,$C$3:$D$15,2,FALSE)*CY$22,CY45&lt;=VLOOKUP($C44,$C$3:$D$15,2,FALSE)*CY$22),IF(CY45-CX46&lt;0,0,CY45-CX46),
IF(AND(CX46&lt;VLOOKUP($C44,$C$3:$D$15,2,FALSE)*CY$22,CY45&gt;VLOOKUP($C44,$C$3:$D$15,2,FALSE)*CY$22),VLOOKUP($C44,$C$3:$D$15,2,FALSE)*CY$22-CX46)))</f>
        <v>0</v>
      </c>
      <c r="CZ44" s="644">
        <f t="shared" ref="CZ44" si="1573" xml:space="preserve">
IF(CY46&gt;=VLOOKUP($C44,$C$3:$D$15,2,FALSE)*CZ$22,0,
IF(AND(CY46&lt;VLOOKUP($C44,$C$3:$D$15,2,FALSE)*CZ$22,CZ45&lt;=VLOOKUP($C44,$C$3:$D$15,2,FALSE)*CZ$22),IF(CZ45-CY46&lt;0,0,CZ45-CY46),
IF(AND(CY46&lt;VLOOKUP($C44,$C$3:$D$15,2,FALSE)*CZ$22,CZ45&gt;VLOOKUP($C44,$C$3:$D$15,2,FALSE)*CZ$22),VLOOKUP($C44,$C$3:$D$15,2,FALSE)*CZ$22-CY46)))</f>
        <v>0</v>
      </c>
      <c r="DA44" s="644">
        <f t="shared" ref="DA44" si="1574" xml:space="preserve">
IF(CZ46&gt;=VLOOKUP($C44,$C$3:$D$15,2,FALSE)*DA$22,0,
IF(AND(CZ46&lt;VLOOKUP($C44,$C$3:$D$15,2,FALSE)*DA$22,DA45&lt;=VLOOKUP($C44,$C$3:$D$15,2,FALSE)*DA$22),IF(DA45-CZ46&lt;0,0,DA45-CZ46),
IF(AND(CZ46&lt;VLOOKUP($C44,$C$3:$D$15,2,FALSE)*DA$22,DA45&gt;VLOOKUP($C44,$C$3:$D$15,2,FALSE)*DA$22),VLOOKUP($C44,$C$3:$D$15,2,FALSE)*DA$22-CZ46)))</f>
        <v>0</v>
      </c>
      <c r="DB44" s="644">
        <f t="shared" ref="DB44" si="1575" xml:space="preserve">
IF(DA46&gt;=VLOOKUP($C44,$C$3:$D$15,2,FALSE)*DB$22,0,
IF(AND(DA46&lt;VLOOKUP($C44,$C$3:$D$15,2,FALSE)*DB$22,DB45&lt;=VLOOKUP($C44,$C$3:$D$15,2,FALSE)*DB$22),IF(DB45-DA46&lt;0,0,DB45-DA46),
IF(AND(DA46&lt;VLOOKUP($C44,$C$3:$D$15,2,FALSE)*DB$22,DB45&gt;VLOOKUP($C44,$C$3:$D$15,2,FALSE)*DB$22),VLOOKUP($C44,$C$3:$D$15,2,FALSE)*DB$22-DA46)))</f>
        <v>0</v>
      </c>
      <c r="DC44" s="644">
        <f t="shared" ref="DC44" si="1576" xml:space="preserve">
IF(DB46&gt;=VLOOKUP($C44,$C$3:$D$15,2,FALSE)*DC$22,0,
IF(AND(DB46&lt;VLOOKUP($C44,$C$3:$D$15,2,FALSE)*DC$22,DC45&lt;=VLOOKUP($C44,$C$3:$D$15,2,FALSE)*DC$22),IF(DC45-DB46&lt;0,0,DC45-DB46),
IF(AND(DB46&lt;VLOOKUP($C44,$C$3:$D$15,2,FALSE)*DC$22,DC45&gt;VLOOKUP($C44,$C$3:$D$15,2,FALSE)*DC$22),VLOOKUP($C44,$C$3:$D$15,2,FALSE)*DC$22-DB46)))</f>
        <v>0</v>
      </c>
      <c r="DD44" s="644">
        <f t="shared" ref="DD44" si="1577" xml:space="preserve">
IF(DC46&gt;=VLOOKUP($C44,$C$3:$D$15,2,FALSE)*DD$22,0,
IF(AND(DC46&lt;VLOOKUP($C44,$C$3:$D$15,2,FALSE)*DD$22,DD45&lt;=VLOOKUP($C44,$C$3:$D$15,2,FALSE)*DD$22),IF(DD45-DC46&lt;0,0,DD45-DC46),
IF(AND(DC46&lt;VLOOKUP($C44,$C$3:$D$15,2,FALSE)*DD$22,DD45&gt;VLOOKUP($C44,$C$3:$D$15,2,FALSE)*DD$22),VLOOKUP($C44,$C$3:$D$15,2,FALSE)*DD$22-DC46)))</f>
        <v>0</v>
      </c>
      <c r="DE44" s="644">
        <f t="shared" ref="DE44" si="1578" xml:space="preserve">
IF(DD46&gt;=VLOOKUP($C44,$C$3:$D$15,2,FALSE)*DE$22,0,
IF(AND(DD46&lt;VLOOKUP($C44,$C$3:$D$15,2,FALSE)*DE$22,DE45&lt;=VLOOKUP($C44,$C$3:$D$15,2,FALSE)*DE$22),IF(DE45-DD46&lt;0,0,DE45-DD46),
IF(AND(DD46&lt;VLOOKUP($C44,$C$3:$D$15,2,FALSE)*DE$22,DE45&gt;VLOOKUP($C44,$C$3:$D$15,2,FALSE)*DE$22),VLOOKUP($C44,$C$3:$D$15,2,FALSE)*DE$22-DD46)))</f>
        <v>0</v>
      </c>
      <c r="DF44" s="644">
        <f t="shared" ref="DF44" si="1579" xml:space="preserve">
IF(DE46&gt;=VLOOKUP($C44,$C$3:$D$15,2,FALSE)*DF$22,0,
IF(AND(DE46&lt;VLOOKUP($C44,$C$3:$D$15,2,FALSE)*DF$22,DF45&lt;=VLOOKUP($C44,$C$3:$D$15,2,FALSE)*DF$22),IF(DF45-DE46&lt;0,0,DF45-DE46),
IF(AND(DE46&lt;VLOOKUP($C44,$C$3:$D$15,2,FALSE)*DF$22,DF45&gt;VLOOKUP($C44,$C$3:$D$15,2,FALSE)*DF$22),VLOOKUP($C44,$C$3:$D$15,2,FALSE)*DF$22-DE46)))</f>
        <v>0</v>
      </c>
      <c r="DG44" s="644">
        <f t="shared" ref="DG44" si="1580" xml:space="preserve">
IF(DF46&gt;=VLOOKUP($C44,$C$3:$D$15,2,FALSE)*DG$22,0,
IF(AND(DF46&lt;VLOOKUP($C44,$C$3:$D$15,2,FALSE)*DG$22,DG45&lt;=VLOOKUP($C44,$C$3:$D$15,2,FALSE)*DG$22),IF(DG45-DF46&lt;0,0,DG45-DF46),
IF(AND(DF46&lt;VLOOKUP($C44,$C$3:$D$15,2,FALSE)*DG$22,DG45&gt;VLOOKUP($C44,$C$3:$D$15,2,FALSE)*DG$22),VLOOKUP($C44,$C$3:$D$15,2,FALSE)*DG$22-DF46)))</f>
        <v>0</v>
      </c>
      <c r="DH44" s="644">
        <f t="shared" ref="DH44" si="1581" xml:space="preserve">
IF(DG46&gt;=VLOOKUP($C44,$C$3:$D$15,2,FALSE)*DH$22,0,
IF(AND(DG46&lt;VLOOKUP($C44,$C$3:$D$15,2,FALSE)*DH$22,DH45&lt;=VLOOKUP($C44,$C$3:$D$15,2,FALSE)*DH$22),IF(DH45-DG46&lt;0,0,DH45-DG46),
IF(AND(DG46&lt;VLOOKUP($C44,$C$3:$D$15,2,FALSE)*DH$22,DH45&gt;VLOOKUP($C44,$C$3:$D$15,2,FALSE)*DH$22),VLOOKUP($C44,$C$3:$D$15,2,FALSE)*DH$22-DG46)))</f>
        <v>0</v>
      </c>
      <c r="DI44" s="644">
        <f t="shared" ref="DI44" si="1582" xml:space="preserve">
IF(DH46&gt;=VLOOKUP($C44,$C$3:$D$15,2,FALSE)*DI$22,0,
IF(AND(DH46&lt;VLOOKUP($C44,$C$3:$D$15,2,FALSE)*DI$22,DI45&lt;=VLOOKUP($C44,$C$3:$D$15,2,FALSE)*DI$22),IF(DI45-DH46&lt;0,0,DI45-DH46),
IF(AND(DH46&lt;VLOOKUP($C44,$C$3:$D$15,2,FALSE)*DI$22,DI45&gt;VLOOKUP($C44,$C$3:$D$15,2,FALSE)*DI$22),VLOOKUP($C44,$C$3:$D$15,2,FALSE)*DI$22-DH46)))</f>
        <v>0</v>
      </c>
      <c r="DJ44" s="644">
        <f t="shared" ref="DJ44" si="1583" xml:space="preserve">
IF(DI46&gt;=VLOOKUP($C44,$C$3:$D$15,2,FALSE)*DJ$22,0,
IF(AND(DI46&lt;VLOOKUP($C44,$C$3:$D$15,2,FALSE)*DJ$22,DJ45&lt;=VLOOKUP($C44,$C$3:$D$15,2,FALSE)*DJ$22),IF(DJ45-DI46&lt;0,0,DJ45-DI46),
IF(AND(DI46&lt;VLOOKUP($C44,$C$3:$D$15,2,FALSE)*DJ$22,DJ45&gt;VLOOKUP($C44,$C$3:$D$15,2,FALSE)*DJ$22),VLOOKUP($C44,$C$3:$D$15,2,FALSE)*DJ$22-DI46)))</f>
        <v>0</v>
      </c>
      <c r="DK44" s="644">
        <f t="shared" ref="DK44" si="1584" xml:space="preserve">
IF(DJ46&gt;=VLOOKUP($C44,$C$3:$D$15,2,FALSE)*DK$22,0,
IF(AND(DJ46&lt;VLOOKUP($C44,$C$3:$D$15,2,FALSE)*DK$22,DK45&lt;=VLOOKUP($C44,$C$3:$D$15,2,FALSE)*DK$22),IF(DK45-DJ46&lt;0,0,DK45-DJ46),
IF(AND(DJ46&lt;VLOOKUP($C44,$C$3:$D$15,2,FALSE)*DK$22,DK45&gt;VLOOKUP($C44,$C$3:$D$15,2,FALSE)*DK$22),VLOOKUP($C44,$C$3:$D$15,2,FALSE)*DK$22-DJ46)))</f>
        <v>0</v>
      </c>
      <c r="DL44" s="644">
        <f t="shared" ref="DL44" si="1585" xml:space="preserve">
IF(DK46&gt;=VLOOKUP($C44,$C$3:$D$15,2,FALSE)*DL$22,0,
IF(AND(DK46&lt;VLOOKUP($C44,$C$3:$D$15,2,FALSE)*DL$22,DL45&lt;=VLOOKUP($C44,$C$3:$D$15,2,FALSE)*DL$22),IF(DL45-DK46&lt;0,0,DL45-DK46),
IF(AND(DK46&lt;VLOOKUP($C44,$C$3:$D$15,2,FALSE)*DL$22,DL45&gt;VLOOKUP($C44,$C$3:$D$15,2,FALSE)*DL$22),VLOOKUP($C44,$C$3:$D$15,2,FALSE)*DL$22-DK46)))</f>
        <v>0</v>
      </c>
      <c r="DM44" s="644">
        <f t="shared" ref="DM44" si="1586" xml:space="preserve">
IF(DL46&gt;=VLOOKUP($C44,$C$3:$D$15,2,FALSE)*DM$22,0,
IF(AND(DL46&lt;VLOOKUP($C44,$C$3:$D$15,2,FALSE)*DM$22,DM45&lt;=VLOOKUP($C44,$C$3:$D$15,2,FALSE)*DM$22),IF(DM45-DL46&lt;0,0,DM45-DL46),
IF(AND(DL46&lt;VLOOKUP($C44,$C$3:$D$15,2,FALSE)*DM$22,DM45&gt;VLOOKUP($C44,$C$3:$D$15,2,FALSE)*DM$22),VLOOKUP($C44,$C$3:$D$15,2,FALSE)*DM$22-DL46)))</f>
        <v>0</v>
      </c>
      <c r="DN44" s="644">
        <f t="shared" ref="DN44" si="1587" xml:space="preserve">
IF(DM46&gt;=VLOOKUP($C44,$C$3:$D$15,2,FALSE)*DN$22,0,
IF(AND(DM46&lt;VLOOKUP($C44,$C$3:$D$15,2,FALSE)*DN$22,DN45&lt;=VLOOKUP($C44,$C$3:$D$15,2,FALSE)*DN$22),IF(DN45-DM46&lt;0,0,DN45-DM46),
IF(AND(DM46&lt;VLOOKUP($C44,$C$3:$D$15,2,FALSE)*DN$22,DN45&gt;VLOOKUP($C44,$C$3:$D$15,2,FALSE)*DN$22),VLOOKUP($C44,$C$3:$D$15,2,FALSE)*DN$22-DM46)))</f>
        <v>0</v>
      </c>
      <c r="DO44" s="644">
        <f t="shared" ref="DO44" si="1588" xml:space="preserve">
IF(DN46&gt;=VLOOKUP($C44,$C$3:$D$15,2,FALSE)*DO$22,0,
IF(AND(DN46&lt;VLOOKUP($C44,$C$3:$D$15,2,FALSE)*DO$22,DO45&lt;=VLOOKUP($C44,$C$3:$D$15,2,FALSE)*DO$22),IF(DO45-DN46&lt;0,0,DO45-DN46),
IF(AND(DN46&lt;VLOOKUP($C44,$C$3:$D$15,2,FALSE)*DO$22,DO45&gt;VLOOKUP($C44,$C$3:$D$15,2,FALSE)*DO$22),VLOOKUP($C44,$C$3:$D$15,2,FALSE)*DO$22-DN46)))</f>
        <v>0</v>
      </c>
      <c r="DP44" s="644">
        <f t="shared" ref="DP44" si="1589" xml:space="preserve">
IF(DO46&gt;=VLOOKUP($C44,$C$3:$D$15,2,FALSE)*DP$22,0,
IF(AND(DO46&lt;VLOOKUP($C44,$C$3:$D$15,2,FALSE)*DP$22,DP45&lt;=VLOOKUP($C44,$C$3:$D$15,2,FALSE)*DP$22),IF(DP45-DO46&lt;0,0,DP45-DO46),
IF(AND(DO46&lt;VLOOKUP($C44,$C$3:$D$15,2,FALSE)*DP$22,DP45&gt;VLOOKUP($C44,$C$3:$D$15,2,FALSE)*DP$22),VLOOKUP($C44,$C$3:$D$15,2,FALSE)*DP$22-DO46)))</f>
        <v>0</v>
      </c>
      <c r="DQ44" s="644">
        <f t="shared" ref="DQ44" si="1590" xml:space="preserve">
IF(DP46&gt;=VLOOKUP($C44,$C$3:$D$15,2,FALSE)*DQ$22,0,
IF(AND(DP46&lt;VLOOKUP($C44,$C$3:$D$15,2,FALSE)*DQ$22,DQ45&lt;=VLOOKUP($C44,$C$3:$D$15,2,FALSE)*DQ$22),IF(DQ45-DP46&lt;0,0,DQ45-DP46),
IF(AND(DP46&lt;VLOOKUP($C44,$C$3:$D$15,2,FALSE)*DQ$22,DQ45&gt;VLOOKUP($C44,$C$3:$D$15,2,FALSE)*DQ$22),VLOOKUP($C44,$C$3:$D$15,2,FALSE)*DQ$22-DP46)))</f>
        <v>0</v>
      </c>
      <c r="DR44" s="644">
        <f t="shared" ref="DR44" si="1591" xml:space="preserve">
IF(DQ46&gt;=VLOOKUP($C44,$C$3:$D$15,2,FALSE)*DR$22,0,
IF(AND(DQ46&lt;VLOOKUP($C44,$C$3:$D$15,2,FALSE)*DR$22,DR45&lt;=VLOOKUP($C44,$C$3:$D$15,2,FALSE)*DR$22),IF(DR45-DQ46&lt;0,0,DR45-DQ46),
IF(AND(DQ46&lt;VLOOKUP($C44,$C$3:$D$15,2,FALSE)*DR$22,DR45&gt;VLOOKUP($C44,$C$3:$D$15,2,FALSE)*DR$22),VLOOKUP($C44,$C$3:$D$15,2,FALSE)*DR$22-DQ46)))</f>
        <v>0</v>
      </c>
      <c r="DS44" s="644">
        <f t="shared" ref="DS44" si="1592" xml:space="preserve">
IF(DR46&gt;=VLOOKUP($C44,$C$3:$D$15,2,FALSE)*DS$22,0,
IF(AND(DR46&lt;VLOOKUP($C44,$C$3:$D$15,2,FALSE)*DS$22,DS45&lt;=VLOOKUP($C44,$C$3:$D$15,2,FALSE)*DS$22),IF(DS45-DR46&lt;0,0,DS45-DR46),
IF(AND(DR46&lt;VLOOKUP($C44,$C$3:$D$15,2,FALSE)*DS$22,DS45&gt;VLOOKUP($C44,$C$3:$D$15,2,FALSE)*DS$22),VLOOKUP($C44,$C$3:$D$15,2,FALSE)*DS$22-DR46)))</f>
        <v>0</v>
      </c>
      <c r="DT44" s="644">
        <f t="shared" ref="DT44" si="1593" xml:space="preserve">
IF(DS46&gt;=VLOOKUP($C44,$C$3:$D$15,2,FALSE)*DT$22,0,
IF(AND(DS46&lt;VLOOKUP($C44,$C$3:$D$15,2,FALSE)*DT$22,DT45&lt;=VLOOKUP($C44,$C$3:$D$15,2,FALSE)*DT$22),IF(DT45-DS46&lt;0,0,DT45-DS46),
IF(AND(DS46&lt;VLOOKUP($C44,$C$3:$D$15,2,FALSE)*DT$22,DT45&gt;VLOOKUP($C44,$C$3:$D$15,2,FALSE)*DT$22),VLOOKUP($C44,$C$3:$D$15,2,FALSE)*DT$22-DS46)))</f>
        <v>0</v>
      </c>
      <c r="DU44" s="644">
        <f t="shared" ref="DU44" si="1594" xml:space="preserve">
IF(DT46&gt;=VLOOKUP($C44,$C$3:$D$15,2,FALSE)*DU$22,0,
IF(AND(DT46&lt;VLOOKUP($C44,$C$3:$D$15,2,FALSE)*DU$22,DU45&lt;=VLOOKUP($C44,$C$3:$D$15,2,FALSE)*DU$22),IF(DU45-DT46&lt;0,0,DU45-DT46),
IF(AND(DT46&lt;VLOOKUP($C44,$C$3:$D$15,2,FALSE)*DU$22,DU45&gt;VLOOKUP($C44,$C$3:$D$15,2,FALSE)*DU$22),VLOOKUP($C44,$C$3:$D$15,2,FALSE)*DU$22-DT46)))</f>
        <v>0</v>
      </c>
      <c r="DV44" s="644">
        <f t="shared" ref="DV44" si="1595" xml:space="preserve">
IF(DU46&gt;=VLOOKUP($C44,$C$3:$D$15,2,FALSE)*DV$22,0,
IF(AND(DU46&lt;VLOOKUP($C44,$C$3:$D$15,2,FALSE)*DV$22,DV45&lt;=VLOOKUP($C44,$C$3:$D$15,2,FALSE)*DV$22),IF(DV45-DU46&lt;0,0,DV45-DU46),
IF(AND(DU46&lt;VLOOKUP($C44,$C$3:$D$15,2,FALSE)*DV$22,DV45&gt;VLOOKUP($C44,$C$3:$D$15,2,FALSE)*DV$22),VLOOKUP($C44,$C$3:$D$15,2,FALSE)*DV$22-DU46)))</f>
        <v>0</v>
      </c>
      <c r="DW44" s="644">
        <f t="shared" ref="DW44" si="1596" xml:space="preserve">
IF(DV46&gt;=VLOOKUP($C44,$C$3:$D$15,2,FALSE)*DW$22,0,
IF(AND(DV46&lt;VLOOKUP($C44,$C$3:$D$15,2,FALSE)*DW$22,DW45&lt;=VLOOKUP($C44,$C$3:$D$15,2,FALSE)*DW$22),IF(DW45-DV46&lt;0,0,DW45-DV46),
IF(AND(DV46&lt;VLOOKUP($C44,$C$3:$D$15,2,FALSE)*DW$22,DW45&gt;VLOOKUP($C44,$C$3:$D$15,2,FALSE)*DW$22),VLOOKUP($C44,$C$3:$D$15,2,FALSE)*DW$22-DV46)))</f>
        <v>0</v>
      </c>
      <c r="DX44" s="644">
        <f t="shared" ref="DX44" si="1597" xml:space="preserve">
IF(DW46&gt;=VLOOKUP($C44,$C$3:$D$15,2,FALSE)*DX$22,0,
IF(AND(DW46&lt;VLOOKUP($C44,$C$3:$D$15,2,FALSE)*DX$22,DX45&lt;=VLOOKUP($C44,$C$3:$D$15,2,FALSE)*DX$22),IF(DX45-DW46&lt;0,0,DX45-DW46),
IF(AND(DW46&lt;VLOOKUP($C44,$C$3:$D$15,2,FALSE)*DX$22,DX45&gt;VLOOKUP($C44,$C$3:$D$15,2,FALSE)*DX$22),VLOOKUP($C44,$C$3:$D$15,2,FALSE)*DX$22-DW46)))</f>
        <v>0</v>
      </c>
      <c r="DY44" s="644">
        <f t="shared" ref="DY44" si="1598" xml:space="preserve">
IF(DX46&gt;=VLOOKUP($C44,$C$3:$D$15,2,FALSE)*DY$22,0,
IF(AND(DX46&lt;VLOOKUP($C44,$C$3:$D$15,2,FALSE)*DY$22,DY45&lt;=VLOOKUP($C44,$C$3:$D$15,2,FALSE)*DY$22),IF(DY45-DX46&lt;0,0,DY45-DX46),
IF(AND(DX46&lt;VLOOKUP($C44,$C$3:$D$15,2,FALSE)*DY$22,DY45&gt;VLOOKUP($C44,$C$3:$D$15,2,FALSE)*DY$22),VLOOKUP($C44,$C$3:$D$15,2,FALSE)*DY$22-DX46)))</f>
        <v>0</v>
      </c>
      <c r="DZ44" s="644">
        <f t="shared" ref="DZ44" si="1599" xml:space="preserve">
IF(DY46&gt;=VLOOKUP($C44,$C$3:$D$15,2,FALSE)*DZ$22,0,
IF(AND(DY46&lt;VLOOKUP($C44,$C$3:$D$15,2,FALSE)*DZ$22,DZ45&lt;=VLOOKUP($C44,$C$3:$D$15,2,FALSE)*DZ$22),IF(DZ45-DY46&lt;0,0,DZ45-DY46),
IF(AND(DY46&lt;VLOOKUP($C44,$C$3:$D$15,2,FALSE)*DZ$22,DZ45&gt;VLOOKUP($C44,$C$3:$D$15,2,FALSE)*DZ$22),VLOOKUP($C44,$C$3:$D$15,2,FALSE)*DZ$22-DY46)))</f>
        <v>0</v>
      </c>
      <c r="EA44" s="644">
        <f t="shared" ref="EA44" si="1600" xml:space="preserve">
IF(DZ46&gt;=VLOOKUP($C44,$C$3:$D$15,2,FALSE)*EA$22,0,
IF(AND(DZ46&lt;VLOOKUP($C44,$C$3:$D$15,2,FALSE)*EA$22,EA45&lt;=VLOOKUP($C44,$C$3:$D$15,2,FALSE)*EA$22),IF(EA45-DZ46&lt;0,0,EA45-DZ46),
IF(AND(DZ46&lt;VLOOKUP($C44,$C$3:$D$15,2,FALSE)*EA$22,EA45&gt;VLOOKUP($C44,$C$3:$D$15,2,FALSE)*EA$22),VLOOKUP($C44,$C$3:$D$15,2,FALSE)*EA$22-DZ46)))</f>
        <v>0</v>
      </c>
      <c r="EB44" s="644">
        <f t="shared" ref="EB44" si="1601" xml:space="preserve">
IF(EA46&gt;=VLOOKUP($C44,$C$3:$D$15,2,FALSE)*EB$22,0,
IF(AND(EA46&lt;VLOOKUP($C44,$C$3:$D$15,2,FALSE)*EB$22,EB45&lt;=VLOOKUP($C44,$C$3:$D$15,2,FALSE)*EB$22),IF(EB45-EA46&lt;0,0,EB45-EA46),
IF(AND(EA46&lt;VLOOKUP($C44,$C$3:$D$15,2,FALSE)*EB$22,EB45&gt;VLOOKUP($C44,$C$3:$D$15,2,FALSE)*EB$22),VLOOKUP($C44,$C$3:$D$15,2,FALSE)*EB$22-EA46)))</f>
        <v>0</v>
      </c>
      <c r="EC44" s="644">
        <f t="shared" ref="EC44" si="1602" xml:space="preserve">
IF(EB46&gt;=VLOOKUP($C44,$C$3:$D$15,2,FALSE)*EC$22,0,
IF(AND(EB46&lt;VLOOKUP($C44,$C$3:$D$15,2,FALSE)*EC$22,EC45&lt;=VLOOKUP($C44,$C$3:$D$15,2,FALSE)*EC$22),IF(EC45-EB46&lt;0,0,EC45-EB46),
IF(AND(EB46&lt;VLOOKUP($C44,$C$3:$D$15,2,FALSE)*EC$22,EC45&gt;VLOOKUP($C44,$C$3:$D$15,2,FALSE)*EC$22),VLOOKUP($C44,$C$3:$D$15,2,FALSE)*EC$22-EB46)))</f>
        <v>0</v>
      </c>
      <c r="ED44" s="644">
        <f t="shared" ref="ED44" si="1603" xml:space="preserve">
IF(EC46&gt;=VLOOKUP($C44,$C$3:$D$15,2,FALSE)*ED$22,0,
IF(AND(EC46&lt;VLOOKUP($C44,$C$3:$D$15,2,FALSE)*ED$22,ED45&lt;=VLOOKUP($C44,$C$3:$D$15,2,FALSE)*ED$22),IF(ED45-EC46&lt;0,0,ED45-EC46),
IF(AND(EC46&lt;VLOOKUP($C44,$C$3:$D$15,2,FALSE)*ED$22,ED45&gt;VLOOKUP($C44,$C$3:$D$15,2,FALSE)*ED$22),VLOOKUP($C44,$C$3:$D$15,2,FALSE)*ED$22-EC46)))</f>
        <v>0</v>
      </c>
      <c r="EE44" s="644">
        <f t="shared" ref="EE44" si="1604" xml:space="preserve">
IF(ED46&gt;=VLOOKUP($C44,$C$3:$D$15,2,FALSE)*EE$22,0,
IF(AND(ED46&lt;VLOOKUP($C44,$C$3:$D$15,2,FALSE)*EE$22,EE45&lt;=VLOOKUP($C44,$C$3:$D$15,2,FALSE)*EE$22),IF(EE45-ED46&lt;0,0,EE45-ED46),
IF(AND(ED46&lt;VLOOKUP($C44,$C$3:$D$15,2,FALSE)*EE$22,EE45&gt;VLOOKUP($C44,$C$3:$D$15,2,FALSE)*EE$22),VLOOKUP($C44,$C$3:$D$15,2,FALSE)*EE$22-ED46)))</f>
        <v>0</v>
      </c>
      <c r="EF44" s="644">
        <f t="shared" ref="EF44" si="1605" xml:space="preserve">
IF(EE46&gt;=VLOOKUP($C44,$C$3:$D$15,2,FALSE)*EF$22,0,
IF(AND(EE46&lt;VLOOKUP($C44,$C$3:$D$15,2,FALSE)*EF$22,EF45&lt;=VLOOKUP($C44,$C$3:$D$15,2,FALSE)*EF$22),IF(EF45-EE46&lt;0,0,EF45-EE46),
IF(AND(EE46&lt;VLOOKUP($C44,$C$3:$D$15,2,FALSE)*EF$22,EF45&gt;VLOOKUP($C44,$C$3:$D$15,2,FALSE)*EF$22),VLOOKUP($C44,$C$3:$D$15,2,FALSE)*EF$22-EE46)))</f>
        <v>0</v>
      </c>
      <c r="EG44" s="644">
        <f t="shared" ref="EG44" si="1606" xml:space="preserve">
IF(EF46&gt;=VLOOKUP($C44,$C$3:$D$15,2,FALSE)*EG$22,0,
IF(AND(EF46&lt;VLOOKUP($C44,$C$3:$D$15,2,FALSE)*EG$22,EG45&lt;=VLOOKUP($C44,$C$3:$D$15,2,FALSE)*EG$22),IF(EG45-EF46&lt;0,0,EG45-EF46),
IF(AND(EF46&lt;VLOOKUP($C44,$C$3:$D$15,2,FALSE)*EG$22,EG45&gt;VLOOKUP($C44,$C$3:$D$15,2,FALSE)*EG$22),VLOOKUP($C44,$C$3:$D$15,2,FALSE)*EG$22-EF46)))</f>
        <v>0</v>
      </c>
      <c r="EH44" s="644">
        <f t="shared" ref="EH44" si="1607" xml:space="preserve">
IF(EG46&gt;=VLOOKUP($C44,$C$3:$D$15,2,FALSE)*EH$22,0,
IF(AND(EG46&lt;VLOOKUP($C44,$C$3:$D$15,2,FALSE)*EH$22,EH45&lt;=VLOOKUP($C44,$C$3:$D$15,2,FALSE)*EH$22),IF(EH45-EG46&lt;0,0,EH45-EG46),
IF(AND(EG46&lt;VLOOKUP($C44,$C$3:$D$15,2,FALSE)*EH$22,EH45&gt;VLOOKUP($C44,$C$3:$D$15,2,FALSE)*EH$22),VLOOKUP($C44,$C$3:$D$15,2,FALSE)*EH$22-EG46)))</f>
        <v>0</v>
      </c>
      <c r="EI44" s="644">
        <f t="shared" ref="EI44" si="1608" xml:space="preserve">
IF(EH46&gt;=VLOOKUP($C44,$C$3:$D$15,2,FALSE)*EI$22,0,
IF(AND(EH46&lt;VLOOKUP($C44,$C$3:$D$15,2,FALSE)*EI$22,EI45&lt;=VLOOKUP($C44,$C$3:$D$15,2,FALSE)*EI$22),IF(EI45-EH46&lt;0,0,EI45-EH46),
IF(AND(EH46&lt;VLOOKUP($C44,$C$3:$D$15,2,FALSE)*EI$22,EI45&gt;VLOOKUP($C44,$C$3:$D$15,2,FALSE)*EI$22),VLOOKUP($C44,$C$3:$D$15,2,FALSE)*EI$22-EH46)))</f>
        <v>0</v>
      </c>
      <c r="EJ44" s="644">
        <f t="shared" ref="EJ44" si="1609" xml:space="preserve">
IF(EI46&gt;=VLOOKUP($C44,$C$3:$D$15,2,FALSE)*EJ$22,0,
IF(AND(EI46&lt;VLOOKUP($C44,$C$3:$D$15,2,FALSE)*EJ$22,EJ45&lt;=VLOOKUP($C44,$C$3:$D$15,2,FALSE)*EJ$22),IF(EJ45-EI46&lt;0,0,EJ45-EI46),
IF(AND(EI46&lt;VLOOKUP($C44,$C$3:$D$15,2,FALSE)*EJ$22,EJ45&gt;VLOOKUP($C44,$C$3:$D$15,2,FALSE)*EJ$22),VLOOKUP($C44,$C$3:$D$15,2,FALSE)*EJ$22-EI46)))</f>
        <v>0</v>
      </c>
      <c r="EK44" s="644">
        <f t="shared" ref="EK44" si="1610" xml:space="preserve">
IF(EJ46&gt;=VLOOKUP($C44,$C$3:$D$15,2,FALSE)*EK$22,0,
IF(AND(EJ46&lt;VLOOKUP($C44,$C$3:$D$15,2,FALSE)*EK$22,EK45&lt;=VLOOKUP($C44,$C$3:$D$15,2,FALSE)*EK$22),IF(EK45-EJ46&lt;0,0,EK45-EJ46),
IF(AND(EJ46&lt;VLOOKUP($C44,$C$3:$D$15,2,FALSE)*EK$22,EK45&gt;VLOOKUP($C44,$C$3:$D$15,2,FALSE)*EK$22),VLOOKUP($C44,$C$3:$D$15,2,FALSE)*EK$22-EJ46)))</f>
        <v>0</v>
      </c>
      <c r="EL44" s="644">
        <f t="shared" ref="EL44" si="1611" xml:space="preserve">
IF(EK46&gt;=VLOOKUP($C44,$C$3:$D$15,2,FALSE)*EL$22,0,
IF(AND(EK46&lt;VLOOKUP($C44,$C$3:$D$15,2,FALSE)*EL$22,EL45&lt;=VLOOKUP($C44,$C$3:$D$15,2,FALSE)*EL$22),IF(EL45-EK46&lt;0,0,EL45-EK46),
IF(AND(EK46&lt;VLOOKUP($C44,$C$3:$D$15,2,FALSE)*EL$22,EL45&gt;VLOOKUP($C44,$C$3:$D$15,2,FALSE)*EL$22),VLOOKUP($C44,$C$3:$D$15,2,FALSE)*EL$22-EK46)))</f>
        <v>0</v>
      </c>
      <c r="EM44" s="644">
        <f t="shared" ref="EM44" si="1612" xml:space="preserve">
IF(EL46&gt;=VLOOKUP($C44,$C$3:$D$15,2,FALSE)*EM$22,0,
IF(AND(EL46&lt;VLOOKUP($C44,$C$3:$D$15,2,FALSE)*EM$22,EM45&lt;=VLOOKUP($C44,$C$3:$D$15,2,FALSE)*EM$22),IF(EM45-EL46&lt;0,0,EM45-EL46),
IF(AND(EL46&lt;VLOOKUP($C44,$C$3:$D$15,2,FALSE)*EM$22,EM45&gt;VLOOKUP($C44,$C$3:$D$15,2,FALSE)*EM$22),VLOOKUP($C44,$C$3:$D$15,2,FALSE)*EM$22-EL46)))</f>
        <v>0</v>
      </c>
      <c r="EN44" s="644">
        <f t="shared" ref="EN44" si="1613" xml:space="preserve">
IF(EM46&gt;=VLOOKUP($C44,$C$3:$D$15,2,FALSE)*EN$22,0,
IF(AND(EM46&lt;VLOOKUP($C44,$C$3:$D$15,2,FALSE)*EN$22,EN45&lt;=VLOOKUP($C44,$C$3:$D$15,2,FALSE)*EN$22),IF(EN45-EM46&lt;0,0,EN45-EM46),
IF(AND(EM46&lt;VLOOKUP($C44,$C$3:$D$15,2,FALSE)*EN$22,EN45&gt;VLOOKUP($C44,$C$3:$D$15,2,FALSE)*EN$22),VLOOKUP($C44,$C$3:$D$15,2,FALSE)*EN$22-EM46)))</f>
        <v>0</v>
      </c>
      <c r="EO44" s="644">
        <f t="shared" ref="EO44" si="1614" xml:space="preserve">
IF(EN46&gt;=VLOOKUP($C44,$C$3:$D$15,2,FALSE)*EO$22,0,
IF(AND(EN46&lt;VLOOKUP($C44,$C$3:$D$15,2,FALSE)*EO$22,EO45&lt;=VLOOKUP($C44,$C$3:$D$15,2,FALSE)*EO$22),IF(EO45-EN46&lt;0,0,EO45-EN46),
IF(AND(EN46&lt;VLOOKUP($C44,$C$3:$D$15,2,FALSE)*EO$22,EO45&gt;VLOOKUP($C44,$C$3:$D$15,2,FALSE)*EO$22),VLOOKUP($C44,$C$3:$D$15,2,FALSE)*EO$22-EN46)))</f>
        <v>0</v>
      </c>
      <c r="EP44" s="644">
        <f t="shared" ref="EP44" si="1615" xml:space="preserve">
IF(EO46&gt;=VLOOKUP($C44,$C$3:$D$15,2,FALSE)*EP$22,0,
IF(AND(EO46&lt;VLOOKUP($C44,$C$3:$D$15,2,FALSE)*EP$22,EP45&lt;=VLOOKUP($C44,$C$3:$D$15,2,FALSE)*EP$22),IF(EP45-EO46&lt;0,0,EP45-EO46),
IF(AND(EO46&lt;VLOOKUP($C44,$C$3:$D$15,2,FALSE)*EP$22,EP45&gt;VLOOKUP($C44,$C$3:$D$15,2,FALSE)*EP$22),VLOOKUP($C44,$C$3:$D$15,2,FALSE)*EP$22-EO46)))</f>
        <v>0</v>
      </c>
      <c r="EQ44" s="644">
        <f t="shared" ref="EQ44" si="1616" xml:space="preserve">
IF(EP46&gt;=VLOOKUP($C44,$C$3:$D$15,2,FALSE)*EQ$22,0,
IF(AND(EP46&lt;VLOOKUP($C44,$C$3:$D$15,2,FALSE)*EQ$22,EQ45&lt;=VLOOKUP($C44,$C$3:$D$15,2,FALSE)*EQ$22),IF(EQ45-EP46&lt;0,0,EQ45-EP46),
IF(AND(EP46&lt;VLOOKUP($C44,$C$3:$D$15,2,FALSE)*EQ$22,EQ45&gt;VLOOKUP($C44,$C$3:$D$15,2,FALSE)*EQ$22),VLOOKUP($C44,$C$3:$D$15,2,FALSE)*EQ$22-EP46)))</f>
        <v>0</v>
      </c>
      <c r="ER44" s="644">
        <f t="shared" ref="ER44" si="1617" xml:space="preserve">
IF(EQ46&gt;=VLOOKUP($C44,$C$3:$D$15,2,FALSE)*ER$22,0,
IF(AND(EQ46&lt;VLOOKUP($C44,$C$3:$D$15,2,FALSE)*ER$22,ER45&lt;=VLOOKUP($C44,$C$3:$D$15,2,FALSE)*ER$22),IF(ER45-EQ46&lt;0,0,ER45-EQ46),
IF(AND(EQ46&lt;VLOOKUP($C44,$C$3:$D$15,2,FALSE)*ER$22,ER45&gt;VLOOKUP($C44,$C$3:$D$15,2,FALSE)*ER$22),VLOOKUP($C44,$C$3:$D$15,2,FALSE)*ER$22-EQ46)))</f>
        <v>0</v>
      </c>
      <c r="ES44" s="644">
        <f t="shared" ref="ES44" si="1618" xml:space="preserve">
IF(ER46&gt;=VLOOKUP($C44,$C$3:$D$15,2,FALSE)*ES$22,0,
IF(AND(ER46&lt;VLOOKUP($C44,$C$3:$D$15,2,FALSE)*ES$22,ES45&lt;=VLOOKUP($C44,$C$3:$D$15,2,FALSE)*ES$22),IF(ES45-ER46&lt;0,0,ES45-ER46),
IF(AND(ER46&lt;VLOOKUP($C44,$C$3:$D$15,2,FALSE)*ES$22,ES45&gt;VLOOKUP($C44,$C$3:$D$15,2,FALSE)*ES$22),VLOOKUP($C44,$C$3:$D$15,2,FALSE)*ES$22-ER46)))</f>
        <v>0</v>
      </c>
      <c r="ET44" s="644">
        <f t="shared" ref="ET44" si="1619" xml:space="preserve">
IF(ES46&gt;=VLOOKUP($C44,$C$3:$D$15,2,FALSE)*ET$22,0,
IF(AND(ES46&lt;VLOOKUP($C44,$C$3:$D$15,2,FALSE)*ET$22,ET45&lt;=VLOOKUP($C44,$C$3:$D$15,2,FALSE)*ET$22),IF(ET45-ES46&lt;0,0,ET45-ES46),
IF(AND(ES46&lt;VLOOKUP($C44,$C$3:$D$15,2,FALSE)*ET$22,ET45&gt;VLOOKUP($C44,$C$3:$D$15,2,FALSE)*ET$22),VLOOKUP($C44,$C$3:$D$15,2,FALSE)*ET$22-ES46)))</f>
        <v>0</v>
      </c>
      <c r="EU44" s="644">
        <f t="shared" ref="EU44" si="1620" xml:space="preserve">
IF(ET46&gt;=VLOOKUP($C44,$C$3:$D$15,2,FALSE)*EU$22,0,
IF(AND(ET46&lt;VLOOKUP($C44,$C$3:$D$15,2,FALSE)*EU$22,EU45&lt;=VLOOKUP($C44,$C$3:$D$15,2,FALSE)*EU$22),IF(EU45-ET46&lt;0,0,EU45-ET46),
IF(AND(ET46&lt;VLOOKUP($C44,$C$3:$D$15,2,FALSE)*EU$22,EU45&gt;VLOOKUP($C44,$C$3:$D$15,2,FALSE)*EU$22),VLOOKUP($C44,$C$3:$D$15,2,FALSE)*EU$22-ET46)))</f>
        <v>0</v>
      </c>
      <c r="EV44" s="644">
        <f t="shared" ref="EV44" si="1621" xml:space="preserve">
IF(EU46&gt;=VLOOKUP($C44,$C$3:$D$15,2,FALSE)*EV$22,0,
IF(AND(EU46&lt;VLOOKUP($C44,$C$3:$D$15,2,FALSE)*EV$22,EV45&lt;=VLOOKUP($C44,$C$3:$D$15,2,FALSE)*EV$22),IF(EV45-EU46&lt;0,0,EV45-EU46),
IF(AND(EU46&lt;VLOOKUP($C44,$C$3:$D$15,2,FALSE)*EV$22,EV45&gt;VLOOKUP($C44,$C$3:$D$15,2,FALSE)*EV$22),VLOOKUP($C44,$C$3:$D$15,2,FALSE)*EV$22-EU46)))</f>
        <v>0</v>
      </c>
      <c r="EW44" s="644">
        <f t="shared" ref="EW44" si="1622" xml:space="preserve">
IF(EV46&gt;=VLOOKUP($C44,$C$3:$D$15,2,FALSE)*EW$22,0,
IF(AND(EV46&lt;VLOOKUP($C44,$C$3:$D$15,2,FALSE)*EW$22,EW45&lt;=VLOOKUP($C44,$C$3:$D$15,2,FALSE)*EW$22),IF(EW45-EV46&lt;0,0,EW45-EV46),
IF(AND(EV46&lt;VLOOKUP($C44,$C$3:$D$15,2,FALSE)*EW$22,EW45&gt;VLOOKUP($C44,$C$3:$D$15,2,FALSE)*EW$22),VLOOKUP($C44,$C$3:$D$15,2,FALSE)*EW$22-EV46)))</f>
        <v>0</v>
      </c>
      <c r="EX44" s="644">
        <f t="shared" ref="EX44" si="1623" xml:space="preserve">
IF(EW46&gt;=VLOOKUP($C44,$C$3:$D$15,2,FALSE)*EX$22,0,
IF(AND(EW46&lt;VLOOKUP($C44,$C$3:$D$15,2,FALSE)*EX$22,EX45&lt;=VLOOKUP($C44,$C$3:$D$15,2,FALSE)*EX$22),IF(EX45-EW46&lt;0,0,EX45-EW46),
IF(AND(EW46&lt;VLOOKUP($C44,$C$3:$D$15,2,FALSE)*EX$22,EX45&gt;VLOOKUP($C44,$C$3:$D$15,2,FALSE)*EX$22),VLOOKUP($C44,$C$3:$D$15,2,FALSE)*EX$22-EW46)))</f>
        <v>0</v>
      </c>
      <c r="EY44" s="644">
        <f t="shared" ref="EY44" si="1624" xml:space="preserve">
IF(EX46&gt;=VLOOKUP($C44,$C$3:$D$15,2,FALSE)*EY$22,0,
IF(AND(EX46&lt;VLOOKUP($C44,$C$3:$D$15,2,FALSE)*EY$22,EY45&lt;=VLOOKUP($C44,$C$3:$D$15,2,FALSE)*EY$22),IF(EY45-EX46&lt;0,0,EY45-EX46),
IF(AND(EX46&lt;VLOOKUP($C44,$C$3:$D$15,2,FALSE)*EY$22,EY45&gt;VLOOKUP($C44,$C$3:$D$15,2,FALSE)*EY$22),VLOOKUP($C44,$C$3:$D$15,2,FALSE)*EY$22-EX46)))</f>
        <v>0</v>
      </c>
      <c r="EZ44" s="644">
        <f t="shared" ref="EZ44" si="1625" xml:space="preserve">
IF(EY46&gt;=VLOOKUP($C44,$C$3:$D$15,2,FALSE)*EZ$22,0,
IF(AND(EY46&lt;VLOOKUP($C44,$C$3:$D$15,2,FALSE)*EZ$22,EZ45&lt;=VLOOKUP($C44,$C$3:$D$15,2,FALSE)*EZ$22),IF(EZ45-EY46&lt;0,0,EZ45-EY46),
IF(AND(EY46&lt;VLOOKUP($C44,$C$3:$D$15,2,FALSE)*EZ$22,EZ45&gt;VLOOKUP($C44,$C$3:$D$15,2,FALSE)*EZ$22),VLOOKUP($C44,$C$3:$D$15,2,FALSE)*EZ$22-EY46)))</f>
        <v>0</v>
      </c>
      <c r="FA44" s="644">
        <f t="shared" ref="FA44" si="1626" xml:space="preserve">
IF(EZ46&gt;=VLOOKUP($C44,$C$3:$D$15,2,FALSE)*FA$22,0,
IF(AND(EZ46&lt;VLOOKUP($C44,$C$3:$D$15,2,FALSE)*FA$22,FA45&lt;=VLOOKUP($C44,$C$3:$D$15,2,FALSE)*FA$22),IF(FA45-EZ46&lt;0,0,FA45-EZ46),
IF(AND(EZ46&lt;VLOOKUP($C44,$C$3:$D$15,2,FALSE)*FA$22,FA45&gt;VLOOKUP($C44,$C$3:$D$15,2,FALSE)*FA$22),VLOOKUP($C44,$C$3:$D$15,2,FALSE)*FA$22-EZ46)))</f>
        <v>0</v>
      </c>
      <c r="FB44" s="644">
        <f t="shared" ref="FB44" si="1627" xml:space="preserve">
IF(FA46&gt;=VLOOKUP($C44,$C$3:$D$15,2,FALSE)*FB$22,0,
IF(AND(FA46&lt;VLOOKUP($C44,$C$3:$D$15,2,FALSE)*FB$22,FB45&lt;=VLOOKUP($C44,$C$3:$D$15,2,FALSE)*FB$22),IF(FB45-FA46&lt;0,0,FB45-FA46),
IF(AND(FA46&lt;VLOOKUP($C44,$C$3:$D$15,2,FALSE)*FB$22,FB45&gt;VLOOKUP($C44,$C$3:$D$15,2,FALSE)*FB$22),VLOOKUP($C44,$C$3:$D$15,2,FALSE)*FB$22-FA46)))</f>
        <v>0</v>
      </c>
      <c r="FC44" s="644">
        <f t="shared" ref="FC44" si="1628" xml:space="preserve">
IF(FB46&gt;=VLOOKUP($C44,$C$3:$D$15,2,FALSE)*FC$22,0,
IF(AND(FB46&lt;VLOOKUP($C44,$C$3:$D$15,2,FALSE)*FC$22,FC45&lt;=VLOOKUP($C44,$C$3:$D$15,2,FALSE)*FC$22),IF(FC45-FB46&lt;0,0,FC45-FB46),
IF(AND(FB46&lt;VLOOKUP($C44,$C$3:$D$15,2,FALSE)*FC$22,FC45&gt;VLOOKUP($C44,$C$3:$D$15,2,FALSE)*FC$22),VLOOKUP($C44,$C$3:$D$15,2,FALSE)*FC$22-FB46)))</f>
        <v>0</v>
      </c>
      <c r="FD44" s="644">
        <f t="shared" ref="FD44" si="1629" xml:space="preserve">
IF(FC46&gt;=VLOOKUP($C44,$C$3:$D$15,2,FALSE)*FD$22,0,
IF(AND(FC46&lt;VLOOKUP($C44,$C$3:$D$15,2,FALSE)*FD$22,FD45&lt;=VLOOKUP($C44,$C$3:$D$15,2,FALSE)*FD$22),IF(FD45-FC46&lt;0,0,FD45-FC46),
IF(AND(FC46&lt;VLOOKUP($C44,$C$3:$D$15,2,FALSE)*FD$22,FD45&gt;VLOOKUP($C44,$C$3:$D$15,2,FALSE)*FD$22),VLOOKUP($C44,$C$3:$D$15,2,FALSE)*FD$22-FC46)))</f>
        <v>0</v>
      </c>
      <c r="FE44" s="644">
        <f t="shared" ref="FE44" si="1630" xml:space="preserve">
IF(FD46&gt;=VLOOKUP($C44,$C$3:$D$15,2,FALSE)*FE$22,0,
IF(AND(FD46&lt;VLOOKUP($C44,$C$3:$D$15,2,FALSE)*FE$22,FE45&lt;=VLOOKUP($C44,$C$3:$D$15,2,FALSE)*FE$22),IF(FE45-FD46&lt;0,0,FE45-FD46),
IF(AND(FD46&lt;VLOOKUP($C44,$C$3:$D$15,2,FALSE)*FE$22,FE45&gt;VLOOKUP($C44,$C$3:$D$15,2,FALSE)*FE$22),VLOOKUP($C44,$C$3:$D$15,2,FALSE)*FE$22-FD46)))</f>
        <v>0</v>
      </c>
      <c r="FF44" s="644">
        <f t="shared" ref="FF44" si="1631" xml:space="preserve">
IF(FE46&gt;=VLOOKUP($C44,$C$3:$D$15,2,FALSE)*FF$22,0,
IF(AND(FE46&lt;VLOOKUP($C44,$C$3:$D$15,2,FALSE)*FF$22,FF45&lt;=VLOOKUP($C44,$C$3:$D$15,2,FALSE)*FF$22),IF(FF45-FE46&lt;0,0,FF45-FE46),
IF(AND(FE46&lt;VLOOKUP($C44,$C$3:$D$15,2,FALSE)*FF$22,FF45&gt;VLOOKUP($C44,$C$3:$D$15,2,FALSE)*FF$22),VLOOKUP($C44,$C$3:$D$15,2,FALSE)*FF$22-FE46)))</f>
        <v>0</v>
      </c>
      <c r="FG44" s="644">
        <f t="shared" ref="FG44" si="1632" xml:space="preserve">
IF(FF46&gt;=VLOOKUP($C44,$C$3:$D$15,2,FALSE)*FG$22,0,
IF(AND(FF46&lt;VLOOKUP($C44,$C$3:$D$15,2,FALSE)*FG$22,FG45&lt;=VLOOKUP($C44,$C$3:$D$15,2,FALSE)*FG$22),IF(FG45-FF46&lt;0,0,FG45-FF46),
IF(AND(FF46&lt;VLOOKUP($C44,$C$3:$D$15,2,FALSE)*FG$22,FG45&gt;VLOOKUP($C44,$C$3:$D$15,2,FALSE)*FG$22),VLOOKUP($C44,$C$3:$D$15,2,FALSE)*FG$22-FF46)))</f>
        <v>0</v>
      </c>
      <c r="FH44" s="644">
        <f t="shared" ref="FH44" si="1633" xml:space="preserve">
IF(FG46&gt;=VLOOKUP($C44,$C$3:$D$15,2,FALSE)*FH$22,0,
IF(AND(FG46&lt;VLOOKUP($C44,$C$3:$D$15,2,FALSE)*FH$22,FH45&lt;=VLOOKUP($C44,$C$3:$D$15,2,FALSE)*FH$22),IF(FH45-FG46&lt;0,0,FH45-FG46),
IF(AND(FG46&lt;VLOOKUP($C44,$C$3:$D$15,2,FALSE)*FH$22,FH45&gt;VLOOKUP($C44,$C$3:$D$15,2,FALSE)*FH$22),VLOOKUP($C44,$C$3:$D$15,2,FALSE)*FH$22-FG46)))</f>
        <v>0</v>
      </c>
      <c r="FI44" s="644">
        <f t="shared" ref="FI44" si="1634" xml:space="preserve">
IF(FH46&gt;=VLOOKUP($C44,$C$3:$D$15,2,FALSE)*FI$22,0,
IF(AND(FH46&lt;VLOOKUP($C44,$C$3:$D$15,2,FALSE)*FI$22,FI45&lt;=VLOOKUP($C44,$C$3:$D$15,2,FALSE)*FI$22),IF(FI45-FH46&lt;0,0,FI45-FH46),
IF(AND(FH46&lt;VLOOKUP($C44,$C$3:$D$15,2,FALSE)*FI$22,FI45&gt;VLOOKUP($C44,$C$3:$D$15,2,FALSE)*FI$22),VLOOKUP($C44,$C$3:$D$15,2,FALSE)*FI$22-FH46)))</f>
        <v>0</v>
      </c>
      <c r="FJ44" s="644">
        <f t="shared" ref="FJ44" si="1635" xml:space="preserve">
IF(FI46&gt;=VLOOKUP($C44,$C$3:$D$15,2,FALSE)*FJ$22,0,
IF(AND(FI46&lt;VLOOKUP($C44,$C$3:$D$15,2,FALSE)*FJ$22,FJ45&lt;=VLOOKUP($C44,$C$3:$D$15,2,FALSE)*FJ$22),IF(FJ45-FI46&lt;0,0,FJ45-FI46),
IF(AND(FI46&lt;VLOOKUP($C44,$C$3:$D$15,2,FALSE)*FJ$22,FJ45&gt;VLOOKUP($C44,$C$3:$D$15,2,FALSE)*FJ$22),VLOOKUP($C44,$C$3:$D$15,2,FALSE)*FJ$22-FI46)))</f>
        <v>0</v>
      </c>
      <c r="FK44" s="644">
        <f t="shared" ref="FK44" si="1636" xml:space="preserve">
IF(FJ46&gt;=VLOOKUP($C44,$C$3:$D$15,2,FALSE)*FK$22,0,
IF(AND(FJ46&lt;VLOOKUP($C44,$C$3:$D$15,2,FALSE)*FK$22,FK45&lt;=VLOOKUP($C44,$C$3:$D$15,2,FALSE)*FK$22),IF(FK45-FJ46&lt;0,0,FK45-FJ46),
IF(AND(FJ46&lt;VLOOKUP($C44,$C$3:$D$15,2,FALSE)*FK$22,FK45&gt;VLOOKUP($C44,$C$3:$D$15,2,FALSE)*FK$22),VLOOKUP($C44,$C$3:$D$15,2,FALSE)*FK$22-FJ46)))</f>
        <v>0</v>
      </c>
      <c r="FL44" s="644">
        <f t="shared" ref="FL44" si="1637" xml:space="preserve">
IF(FK46&gt;=VLOOKUP($C44,$C$3:$D$15,2,FALSE)*FL$22,0,
IF(AND(FK46&lt;VLOOKUP($C44,$C$3:$D$15,2,FALSE)*FL$22,FL45&lt;=VLOOKUP($C44,$C$3:$D$15,2,FALSE)*FL$22),IF(FL45-FK46&lt;0,0,FL45-FK46),
IF(AND(FK46&lt;VLOOKUP($C44,$C$3:$D$15,2,FALSE)*FL$22,FL45&gt;VLOOKUP($C44,$C$3:$D$15,2,FALSE)*FL$22),VLOOKUP($C44,$C$3:$D$15,2,FALSE)*FL$22-FK46)))</f>
        <v>0</v>
      </c>
      <c r="FM44" s="644">
        <f t="shared" ref="FM44" si="1638" xml:space="preserve">
IF(FL46&gt;=VLOOKUP($C44,$C$3:$D$15,2,FALSE)*FM$22,0,
IF(AND(FL46&lt;VLOOKUP($C44,$C$3:$D$15,2,FALSE)*FM$22,FM45&lt;=VLOOKUP($C44,$C$3:$D$15,2,FALSE)*FM$22),IF(FM45-FL46&lt;0,0,FM45-FL46),
IF(AND(FL46&lt;VLOOKUP($C44,$C$3:$D$15,2,FALSE)*FM$22,FM45&gt;VLOOKUP($C44,$C$3:$D$15,2,FALSE)*FM$22),VLOOKUP($C44,$C$3:$D$15,2,FALSE)*FM$22-FL46)))</f>
        <v>0</v>
      </c>
      <c r="FN44" s="644">
        <f t="shared" ref="FN44" si="1639" xml:space="preserve">
IF(FM46&gt;=VLOOKUP($C44,$C$3:$D$15,2,FALSE)*FN$22,0,
IF(AND(FM46&lt;VLOOKUP($C44,$C$3:$D$15,2,FALSE)*FN$22,FN45&lt;=VLOOKUP($C44,$C$3:$D$15,2,FALSE)*FN$22),IF(FN45-FM46&lt;0,0,FN45-FM46),
IF(AND(FM46&lt;VLOOKUP($C44,$C$3:$D$15,2,FALSE)*FN$22,FN45&gt;VLOOKUP($C44,$C$3:$D$15,2,FALSE)*FN$22),VLOOKUP($C44,$C$3:$D$15,2,FALSE)*FN$22-FM46)))</f>
        <v>0</v>
      </c>
      <c r="FO44" s="644">
        <f t="shared" ref="FO44" si="1640" xml:space="preserve">
IF(FN46&gt;=VLOOKUP($C44,$C$3:$D$15,2,FALSE)*FO$22,0,
IF(AND(FN46&lt;VLOOKUP($C44,$C$3:$D$15,2,FALSE)*FO$22,FO45&lt;=VLOOKUP($C44,$C$3:$D$15,2,FALSE)*FO$22),IF(FO45-FN46&lt;0,0,FO45-FN46),
IF(AND(FN46&lt;VLOOKUP($C44,$C$3:$D$15,2,FALSE)*FO$22,FO45&gt;VLOOKUP($C44,$C$3:$D$15,2,FALSE)*FO$22),VLOOKUP($C44,$C$3:$D$15,2,FALSE)*FO$22-FN46)))</f>
        <v>0</v>
      </c>
      <c r="FP44" s="644">
        <f t="shared" ref="FP44" si="1641" xml:space="preserve">
IF(FO46&gt;=VLOOKUP($C44,$C$3:$D$15,2,FALSE)*FP$22,0,
IF(AND(FO46&lt;VLOOKUP($C44,$C$3:$D$15,2,FALSE)*FP$22,FP45&lt;=VLOOKUP($C44,$C$3:$D$15,2,FALSE)*FP$22),IF(FP45-FO46&lt;0,0,FP45-FO46),
IF(AND(FO46&lt;VLOOKUP($C44,$C$3:$D$15,2,FALSE)*FP$22,FP45&gt;VLOOKUP($C44,$C$3:$D$15,2,FALSE)*FP$22),VLOOKUP($C44,$C$3:$D$15,2,FALSE)*FP$22-FO46)))</f>
        <v>0</v>
      </c>
      <c r="FQ44" s="644">
        <f t="shared" ref="FQ44" si="1642" xml:space="preserve">
IF(FP46&gt;=VLOOKUP($C44,$C$3:$D$15,2,FALSE)*FQ$22,0,
IF(AND(FP46&lt;VLOOKUP($C44,$C$3:$D$15,2,FALSE)*FQ$22,FQ45&lt;=VLOOKUP($C44,$C$3:$D$15,2,FALSE)*FQ$22),IF(FQ45-FP46&lt;0,0,FQ45-FP46),
IF(AND(FP46&lt;VLOOKUP($C44,$C$3:$D$15,2,FALSE)*FQ$22,FQ45&gt;VLOOKUP($C44,$C$3:$D$15,2,FALSE)*FQ$22),VLOOKUP($C44,$C$3:$D$15,2,FALSE)*FQ$22-FP46)))</f>
        <v>0</v>
      </c>
      <c r="FR44" s="644">
        <f t="shared" ref="FR44" si="1643" xml:space="preserve">
IF(FQ46&gt;=VLOOKUP($C44,$C$3:$D$15,2,FALSE)*FR$22,0,
IF(AND(FQ46&lt;VLOOKUP($C44,$C$3:$D$15,2,FALSE)*FR$22,FR45&lt;=VLOOKUP($C44,$C$3:$D$15,2,FALSE)*FR$22),IF(FR45-FQ46&lt;0,0,FR45-FQ46),
IF(AND(FQ46&lt;VLOOKUP($C44,$C$3:$D$15,2,FALSE)*FR$22,FR45&gt;VLOOKUP($C44,$C$3:$D$15,2,FALSE)*FR$22),VLOOKUP($C44,$C$3:$D$15,2,FALSE)*FR$22-FQ46)))</f>
        <v>0</v>
      </c>
      <c r="FS44" s="644">
        <f t="shared" ref="FS44" si="1644" xml:space="preserve">
IF(FR46&gt;=VLOOKUP($C44,$C$3:$D$15,2,FALSE)*FS$22,0,
IF(AND(FR46&lt;VLOOKUP($C44,$C$3:$D$15,2,FALSE)*FS$22,FS45&lt;=VLOOKUP($C44,$C$3:$D$15,2,FALSE)*FS$22),IF(FS45-FR46&lt;0,0,FS45-FR46),
IF(AND(FR46&lt;VLOOKUP($C44,$C$3:$D$15,2,FALSE)*FS$22,FS45&gt;VLOOKUP($C44,$C$3:$D$15,2,FALSE)*FS$22),VLOOKUP($C44,$C$3:$D$15,2,FALSE)*FS$22-FR46)))</f>
        <v>0</v>
      </c>
      <c r="FT44" s="644">
        <f t="shared" ref="FT44" si="1645" xml:space="preserve">
IF(FS46&gt;=VLOOKUP($C44,$C$3:$D$15,2,FALSE)*FT$22,0,
IF(AND(FS46&lt;VLOOKUP($C44,$C$3:$D$15,2,FALSE)*FT$22,FT45&lt;=VLOOKUP($C44,$C$3:$D$15,2,FALSE)*FT$22),IF(FT45-FS46&lt;0,0,FT45-FS46),
IF(AND(FS46&lt;VLOOKUP($C44,$C$3:$D$15,2,FALSE)*FT$22,FT45&gt;VLOOKUP($C44,$C$3:$D$15,2,FALSE)*FT$22),VLOOKUP($C44,$C$3:$D$15,2,FALSE)*FT$22-FS46)))</f>
        <v>0</v>
      </c>
      <c r="FU44" s="644">
        <f t="shared" ref="FU44" si="1646" xml:space="preserve">
IF(FT46&gt;=VLOOKUP($C44,$C$3:$D$15,2,FALSE)*FU$22,0,
IF(AND(FT46&lt;VLOOKUP($C44,$C$3:$D$15,2,FALSE)*FU$22,FU45&lt;=VLOOKUP($C44,$C$3:$D$15,2,FALSE)*FU$22),IF(FU45-FT46&lt;0,0,FU45-FT46),
IF(AND(FT46&lt;VLOOKUP($C44,$C$3:$D$15,2,FALSE)*FU$22,FU45&gt;VLOOKUP($C44,$C$3:$D$15,2,FALSE)*FU$22),VLOOKUP($C44,$C$3:$D$15,2,FALSE)*FU$22-FT46)))</f>
        <v>0</v>
      </c>
      <c r="FV44" s="644">
        <f t="shared" ref="FV44" si="1647" xml:space="preserve">
IF(FU46&gt;=VLOOKUP($C44,$C$3:$D$15,2,FALSE)*FV$22,0,
IF(AND(FU46&lt;VLOOKUP($C44,$C$3:$D$15,2,FALSE)*FV$22,FV45&lt;=VLOOKUP($C44,$C$3:$D$15,2,FALSE)*FV$22),IF(FV45-FU46&lt;0,0,FV45-FU46),
IF(AND(FU46&lt;VLOOKUP($C44,$C$3:$D$15,2,FALSE)*FV$22,FV45&gt;VLOOKUP($C44,$C$3:$D$15,2,FALSE)*FV$22),VLOOKUP($C44,$C$3:$D$15,2,FALSE)*FV$22-FU46)))</f>
        <v>0</v>
      </c>
      <c r="FW44" s="644">
        <f t="shared" ref="FW44" si="1648" xml:space="preserve">
IF(FV46&gt;=VLOOKUP($C44,$C$3:$D$15,2,FALSE)*FW$22,0,
IF(AND(FV46&lt;VLOOKUP($C44,$C$3:$D$15,2,FALSE)*FW$22,FW45&lt;=VLOOKUP($C44,$C$3:$D$15,2,FALSE)*FW$22),IF(FW45-FV46&lt;0,0,FW45-FV46),
IF(AND(FV46&lt;VLOOKUP($C44,$C$3:$D$15,2,FALSE)*FW$22,FW45&gt;VLOOKUP($C44,$C$3:$D$15,2,FALSE)*FW$22),VLOOKUP($C44,$C$3:$D$15,2,FALSE)*FW$22-FV46)))</f>
        <v>0</v>
      </c>
      <c r="FX44" s="644">
        <f t="shared" ref="FX44" si="1649" xml:space="preserve">
IF(FW46&gt;=VLOOKUP($C44,$C$3:$D$15,2,FALSE)*FX$22,0,
IF(AND(FW46&lt;VLOOKUP($C44,$C$3:$D$15,2,FALSE)*FX$22,FX45&lt;=VLOOKUP($C44,$C$3:$D$15,2,FALSE)*FX$22),IF(FX45-FW46&lt;0,0,FX45-FW46),
IF(AND(FW46&lt;VLOOKUP($C44,$C$3:$D$15,2,FALSE)*FX$22,FX45&gt;VLOOKUP($C44,$C$3:$D$15,2,FALSE)*FX$22),VLOOKUP($C44,$C$3:$D$15,2,FALSE)*FX$22-FW46)))</f>
        <v>0</v>
      </c>
      <c r="FY44" s="644">
        <f t="shared" ref="FY44" si="1650" xml:space="preserve">
IF(FX46&gt;=VLOOKUP($C44,$C$3:$D$15,2,FALSE)*FY$22,0,
IF(AND(FX46&lt;VLOOKUP($C44,$C$3:$D$15,2,FALSE)*FY$22,FY45&lt;=VLOOKUP($C44,$C$3:$D$15,2,FALSE)*FY$22),IF(FY45-FX46&lt;0,0,FY45-FX46),
IF(AND(FX46&lt;VLOOKUP($C44,$C$3:$D$15,2,FALSE)*FY$22,FY45&gt;VLOOKUP($C44,$C$3:$D$15,2,FALSE)*FY$22),VLOOKUP($C44,$C$3:$D$15,2,FALSE)*FY$22-FX46)))</f>
        <v>0</v>
      </c>
      <c r="FZ44" s="644">
        <f t="shared" ref="FZ44" si="1651" xml:space="preserve">
IF(FY46&gt;=VLOOKUP($C44,$C$3:$D$15,2,FALSE)*FZ$22,0,
IF(AND(FY46&lt;VLOOKUP($C44,$C$3:$D$15,2,FALSE)*FZ$22,FZ45&lt;=VLOOKUP($C44,$C$3:$D$15,2,FALSE)*FZ$22),IF(FZ45-FY46&lt;0,0,FZ45-FY46),
IF(AND(FY46&lt;VLOOKUP($C44,$C$3:$D$15,2,FALSE)*FZ$22,FZ45&gt;VLOOKUP($C44,$C$3:$D$15,2,FALSE)*FZ$22),VLOOKUP($C44,$C$3:$D$15,2,FALSE)*FZ$22-FY46)))</f>
        <v>0</v>
      </c>
      <c r="GA44" s="644">
        <f t="shared" ref="GA44" si="1652" xml:space="preserve">
IF(FZ46&gt;=VLOOKUP($C44,$C$3:$D$15,2,FALSE)*GA$22,0,
IF(AND(FZ46&lt;VLOOKUP($C44,$C$3:$D$15,2,FALSE)*GA$22,GA45&lt;=VLOOKUP($C44,$C$3:$D$15,2,FALSE)*GA$22),IF(GA45-FZ46&lt;0,0,GA45-FZ46),
IF(AND(FZ46&lt;VLOOKUP($C44,$C$3:$D$15,2,FALSE)*GA$22,GA45&gt;VLOOKUP($C44,$C$3:$D$15,2,FALSE)*GA$22),VLOOKUP($C44,$C$3:$D$15,2,FALSE)*GA$22-FZ46)))</f>
        <v>0</v>
      </c>
      <c r="GB44" s="644">
        <f t="shared" ref="GB44" si="1653" xml:space="preserve">
IF(GA46&gt;=VLOOKUP($C44,$C$3:$D$15,2,FALSE)*GB$22,0,
IF(AND(GA46&lt;VLOOKUP($C44,$C$3:$D$15,2,FALSE)*GB$22,GB45&lt;=VLOOKUP($C44,$C$3:$D$15,2,FALSE)*GB$22),IF(GB45-GA46&lt;0,0,GB45-GA46),
IF(AND(GA46&lt;VLOOKUP($C44,$C$3:$D$15,2,FALSE)*GB$22,GB45&gt;VLOOKUP($C44,$C$3:$D$15,2,FALSE)*GB$22),VLOOKUP($C44,$C$3:$D$15,2,FALSE)*GB$22-GA46)))</f>
        <v>0</v>
      </c>
      <c r="GC44" s="644">
        <f t="shared" ref="GC44" si="1654" xml:space="preserve">
IF(GB46&gt;=VLOOKUP($C44,$C$3:$D$15,2,FALSE)*GC$22,0,
IF(AND(GB46&lt;VLOOKUP($C44,$C$3:$D$15,2,FALSE)*GC$22,GC45&lt;=VLOOKUP($C44,$C$3:$D$15,2,FALSE)*GC$22),IF(GC45-GB46&lt;0,0,GC45-GB46),
IF(AND(GB46&lt;VLOOKUP($C44,$C$3:$D$15,2,FALSE)*GC$22,GC45&gt;VLOOKUP($C44,$C$3:$D$15,2,FALSE)*GC$22),VLOOKUP($C44,$C$3:$D$15,2,FALSE)*GC$22-GB46)))</f>
        <v>0</v>
      </c>
      <c r="GD44" s="644">
        <f t="shared" ref="GD44" si="1655" xml:space="preserve">
IF(GC46&gt;=VLOOKUP($C44,$C$3:$D$15,2,FALSE)*GD$22,0,
IF(AND(GC46&lt;VLOOKUP($C44,$C$3:$D$15,2,FALSE)*GD$22,GD45&lt;=VLOOKUP($C44,$C$3:$D$15,2,FALSE)*GD$22),IF(GD45-GC46&lt;0,0,GD45-GC46),
IF(AND(GC46&lt;VLOOKUP($C44,$C$3:$D$15,2,FALSE)*GD$22,GD45&gt;VLOOKUP($C44,$C$3:$D$15,2,FALSE)*GD$22),VLOOKUP($C44,$C$3:$D$15,2,FALSE)*GD$22-GC46)))</f>
        <v>0</v>
      </c>
      <c r="GE44" s="644">
        <f t="shared" ref="GE44" si="1656" xml:space="preserve">
IF(GD46&gt;=VLOOKUP($C44,$C$3:$D$15,2,FALSE)*GE$22,0,
IF(AND(GD46&lt;VLOOKUP($C44,$C$3:$D$15,2,FALSE)*GE$22,GE45&lt;=VLOOKUP($C44,$C$3:$D$15,2,FALSE)*GE$22),IF(GE45-GD46&lt;0,0,GE45-GD46),
IF(AND(GD46&lt;VLOOKUP($C44,$C$3:$D$15,2,FALSE)*GE$22,GE45&gt;VLOOKUP($C44,$C$3:$D$15,2,FALSE)*GE$22),VLOOKUP($C44,$C$3:$D$15,2,FALSE)*GE$22-GD46)))</f>
        <v>0</v>
      </c>
      <c r="GF44" s="644">
        <f t="shared" ref="GF44" si="1657" xml:space="preserve">
IF(GE46&gt;=VLOOKUP($C44,$C$3:$D$15,2,FALSE)*GF$22,0,
IF(AND(GE46&lt;VLOOKUP($C44,$C$3:$D$15,2,FALSE)*GF$22,GF45&lt;=VLOOKUP($C44,$C$3:$D$15,2,FALSE)*GF$22),IF(GF45-GE46&lt;0,0,GF45-GE46),
IF(AND(GE46&lt;VLOOKUP($C44,$C$3:$D$15,2,FALSE)*GF$22,GF45&gt;VLOOKUP($C44,$C$3:$D$15,2,FALSE)*GF$22),VLOOKUP($C44,$C$3:$D$15,2,FALSE)*GF$22-GE46)))</f>
        <v>0</v>
      </c>
      <c r="GG44" s="644">
        <f t="shared" ref="GG44" si="1658" xml:space="preserve">
IF(GF46&gt;=VLOOKUP($C44,$C$3:$D$15,2,FALSE)*GG$22,0,
IF(AND(GF46&lt;VLOOKUP($C44,$C$3:$D$15,2,FALSE)*GG$22,GG45&lt;=VLOOKUP($C44,$C$3:$D$15,2,FALSE)*GG$22),IF(GG45-GF46&lt;0,0,GG45-GF46),
IF(AND(GF46&lt;VLOOKUP($C44,$C$3:$D$15,2,FALSE)*GG$22,GG45&gt;VLOOKUP($C44,$C$3:$D$15,2,FALSE)*GG$22),VLOOKUP($C44,$C$3:$D$15,2,FALSE)*GG$22-GF46)))</f>
        <v>0</v>
      </c>
      <c r="GH44" s="644">
        <f t="shared" ref="GH44" si="1659" xml:space="preserve">
IF(GG46&gt;=VLOOKUP($C44,$C$3:$D$15,2,FALSE)*GH$22,0,
IF(AND(GG46&lt;VLOOKUP($C44,$C$3:$D$15,2,FALSE)*GH$22,GH45&lt;=VLOOKUP($C44,$C$3:$D$15,2,FALSE)*GH$22),IF(GH45-GG46&lt;0,0,GH45-GG46),
IF(AND(GG46&lt;VLOOKUP($C44,$C$3:$D$15,2,FALSE)*GH$22,GH45&gt;VLOOKUP($C44,$C$3:$D$15,2,FALSE)*GH$22),VLOOKUP($C44,$C$3:$D$15,2,FALSE)*GH$22-GG46)))</f>
        <v>0</v>
      </c>
      <c r="GI44" s="644">
        <f t="shared" ref="GI44" si="1660" xml:space="preserve">
IF(GH46&gt;=VLOOKUP($C44,$C$3:$D$15,2,FALSE)*GI$22,0,
IF(AND(GH46&lt;VLOOKUP($C44,$C$3:$D$15,2,FALSE)*GI$22,GI45&lt;=VLOOKUP($C44,$C$3:$D$15,2,FALSE)*GI$22),IF(GI45-GH46&lt;0,0,GI45-GH46),
IF(AND(GH46&lt;VLOOKUP($C44,$C$3:$D$15,2,FALSE)*GI$22,GI45&gt;VLOOKUP($C44,$C$3:$D$15,2,FALSE)*GI$22),VLOOKUP($C44,$C$3:$D$15,2,FALSE)*GI$22-GH46)))</f>
        <v>0</v>
      </c>
      <c r="GJ44" s="644">
        <f t="shared" ref="GJ44" si="1661" xml:space="preserve">
IF(GI46&gt;=VLOOKUP($C44,$C$3:$D$15,2,FALSE)*GJ$22,0,
IF(AND(GI46&lt;VLOOKUP($C44,$C$3:$D$15,2,FALSE)*GJ$22,GJ45&lt;=VLOOKUP($C44,$C$3:$D$15,2,FALSE)*GJ$22),IF(GJ45-GI46&lt;0,0,GJ45-GI46),
IF(AND(GI46&lt;VLOOKUP($C44,$C$3:$D$15,2,FALSE)*GJ$22,GJ45&gt;VLOOKUP($C44,$C$3:$D$15,2,FALSE)*GJ$22),VLOOKUP($C44,$C$3:$D$15,2,FALSE)*GJ$22-GI46)))</f>
        <v>0</v>
      </c>
    </row>
    <row r="45" spans="2:192" s="645" customFormat="1">
      <c r="B45" s="654"/>
      <c r="C45" s="643"/>
      <c r="D45" s="769" t="s">
        <v>1467</v>
      </c>
      <c r="E45" s="774"/>
      <c r="F45" s="707"/>
      <c r="G45" s="644">
        <f>SUM(
SUMIF(防護具!$Y$30:$Y$212,G$17&amp;"ニトリルグローブ",防護具!$Q$30:$Q$212),
SUMIF(防護具!$Y$30:$Y$212,G$17&amp;"プラスチックグローブ等",防護具!$Q$30:$Q$212))</f>
        <v>0</v>
      </c>
      <c r="H45" s="644">
        <f>IFERROR(
SUM(G45,
SUMIF(防護具!$Y$30:$Y$212,H$17&amp;"ニトリルグローブ",防護具!$Q$30:$Q$212),
SUMIF(防護具!$Y$30:$Y$212,H$17&amp;"プラスチックグローブ等",防護具!$Q$30:$Q$212))-G44,0)</f>
        <v>0</v>
      </c>
      <c r="I45" s="644">
        <f>IFERROR(
SUM(H45,
SUMIF(防護具!$Y$30:$Y$212,I$17&amp;"ニトリルグローブ",防護具!$Q$30:$Q$212),
SUMIF(防護具!$Y$30:$Y$212,I$17&amp;"プラスチックグローブ等",防護具!$Q$30:$Q$212))-H44,0)</f>
        <v>0</v>
      </c>
      <c r="J45" s="644">
        <f>IFERROR(
SUM(I45,
SUMIF(防護具!$Y$30:$Y$212,J$17&amp;"ニトリルグローブ",防護具!$Q$30:$Q$212),
SUMIF(防護具!$Y$30:$Y$212,J$17&amp;"プラスチックグローブ等",防護具!$Q$30:$Q$212))-I44,0)</f>
        <v>0</v>
      </c>
      <c r="K45" s="644">
        <f>IFERROR(
SUM(J45,
SUMIF(防護具!$Y$30:$Y$212,K$17&amp;"ニトリルグローブ",防護具!$Q$30:$Q$212),
SUMIF(防護具!$Y$30:$Y$212,K$17&amp;"プラスチックグローブ等",防護具!$Q$30:$Q$212))-J44,0)</f>
        <v>0</v>
      </c>
      <c r="L45" s="644">
        <f>IFERROR(
SUM(K45,
SUMIF(防護具!$Y$30:$Y$212,L$17&amp;"ニトリルグローブ",防護具!$Q$30:$Q$212),
SUMIF(防護具!$Y$30:$Y$212,L$17&amp;"プラスチックグローブ等",防護具!$Q$30:$Q$212))-K44,0)</f>
        <v>0</v>
      </c>
      <c r="M45" s="644">
        <f>IFERROR(
SUM(L45,
SUMIF(防護具!$Y$30:$Y$212,M$17&amp;"ニトリルグローブ",防護具!$Q$30:$Q$212),
SUMIF(防護具!$Y$30:$Y$212,M$17&amp;"プラスチックグローブ等",防護具!$Q$30:$Q$212))-L44,0)</f>
        <v>0</v>
      </c>
      <c r="N45" s="644">
        <f>IFERROR(
SUM(M45,
SUMIF(防護具!$Y$30:$Y$212,N$17&amp;"ニトリルグローブ",防護具!$Q$30:$Q$212),
SUMIF(防護具!$Y$30:$Y$212,N$17&amp;"プラスチックグローブ等",防護具!$Q$30:$Q$212))-M44,0)</f>
        <v>0</v>
      </c>
      <c r="O45" s="644">
        <f>IFERROR(
SUM(N45,
SUMIF(防護具!$Y$30:$Y$212,O$17&amp;"ニトリルグローブ",防護具!$Q$30:$Q$212),
SUMIF(防護具!$Y$30:$Y$212,O$17&amp;"プラスチックグローブ等",防護具!$Q$30:$Q$212))-N44,0)</f>
        <v>0</v>
      </c>
      <c r="P45" s="644">
        <f>IFERROR(
SUM(O45,
SUMIF(防護具!$Y$30:$Y$212,P$17&amp;"ニトリルグローブ",防護具!$Q$30:$Q$212),
SUMIF(防護具!$Y$30:$Y$212,P$17&amp;"プラスチックグローブ等",防護具!$Q$30:$Q$212))-O44,0)</f>
        <v>0</v>
      </c>
      <c r="Q45" s="644">
        <f>IFERROR(
SUM(P45,
SUMIF(防護具!$Y$30:$Y$212,Q$17&amp;"ニトリルグローブ",防護具!$Q$30:$Q$212),
SUMIF(防護具!$Y$30:$Y$212,Q$17&amp;"プラスチックグローブ等",防護具!$Q$30:$Q$212))-P44,0)</f>
        <v>0</v>
      </c>
      <c r="R45" s="644">
        <f>IFERROR(
SUM(Q45,
SUMIF(防護具!$Y$30:$Y$212,R$17&amp;"ニトリルグローブ",防護具!$Q$30:$Q$212),
SUMIF(防護具!$Y$30:$Y$212,R$17&amp;"プラスチックグローブ等",防護具!$Q$30:$Q$212))-Q44,0)</f>
        <v>0</v>
      </c>
      <c r="S45" s="644">
        <f>IFERROR(
SUM(R45,
SUMIF(防護具!$Y$30:$Y$212,S$17&amp;"ニトリルグローブ",防護具!$Q$30:$Q$212),
SUMIF(防護具!$Y$30:$Y$212,S$17&amp;"プラスチックグローブ等",防護具!$Q$30:$Q$212))-R44,0)</f>
        <v>0</v>
      </c>
      <c r="T45" s="644">
        <f>IFERROR(
SUM(S45,
SUMIF(防護具!$Y$30:$Y$212,T$17&amp;"ニトリルグローブ",防護具!$Q$30:$Q$212),
SUMIF(防護具!$Y$30:$Y$212,T$17&amp;"プラスチックグローブ等",防護具!$Q$30:$Q$212))-S44,0)</f>
        <v>0</v>
      </c>
      <c r="U45" s="644">
        <f>IFERROR(
SUM(T45,
SUMIF(防護具!$Y$30:$Y$212,U$17&amp;"ニトリルグローブ",防護具!$Q$30:$Q$212),
SUMIF(防護具!$Y$30:$Y$212,U$17&amp;"プラスチックグローブ等",防護具!$Q$30:$Q$212))-T44,0)</f>
        <v>0</v>
      </c>
      <c r="V45" s="644">
        <f>IFERROR(
SUM(U45,
SUMIF(防護具!$Y$30:$Y$212,V$17&amp;"ニトリルグローブ",防護具!$Q$30:$Q$212),
SUMIF(防護具!$Y$30:$Y$212,V$17&amp;"プラスチックグローブ等",防護具!$Q$30:$Q$212))-U44,0)</f>
        <v>0</v>
      </c>
      <c r="W45" s="644">
        <f>IFERROR(
SUM(V45,
SUMIF(防護具!$Y$30:$Y$212,W$17&amp;"ニトリルグローブ",防護具!$Q$30:$Q$212),
SUMIF(防護具!$Y$30:$Y$212,W$17&amp;"プラスチックグローブ等",防護具!$Q$30:$Q$212))-V44,0)</f>
        <v>0</v>
      </c>
      <c r="X45" s="644">
        <f>IFERROR(
SUM(W45,
SUMIF(防護具!$Y$30:$Y$212,X$17&amp;"ニトリルグローブ",防護具!$Q$30:$Q$212),
SUMIF(防護具!$Y$30:$Y$212,X$17&amp;"プラスチックグローブ等",防護具!$Q$30:$Q$212))-W44,0)</f>
        <v>0</v>
      </c>
      <c r="Y45" s="644">
        <f>IFERROR(
SUM(X45,
SUMIF(防護具!$Y$30:$Y$212,Y$17&amp;"ニトリルグローブ",防護具!$Q$30:$Q$212),
SUMIF(防護具!$Y$30:$Y$212,Y$17&amp;"プラスチックグローブ等",防護具!$Q$30:$Q$212))-X44,0)</f>
        <v>0</v>
      </c>
      <c r="Z45" s="644">
        <f>IFERROR(
SUM(Y45,
SUMIF(防護具!$Y$30:$Y$212,Z$17&amp;"ニトリルグローブ",防護具!$Q$30:$Q$212),
SUMIF(防護具!$Y$30:$Y$212,Z$17&amp;"プラスチックグローブ等",防護具!$Q$30:$Q$212))-Y44,0)</f>
        <v>0</v>
      </c>
      <c r="AA45" s="644">
        <f>IFERROR(
SUM(Z45,
SUMIF(防護具!$Y$30:$Y$212,AA$17&amp;"ニトリルグローブ",防護具!$Q$30:$Q$212),
SUMIF(防護具!$Y$30:$Y$212,AA$17&amp;"プラスチックグローブ等",防護具!$Q$30:$Q$212))-Z44,0)</f>
        <v>0</v>
      </c>
      <c r="AB45" s="644">
        <f>IFERROR(
SUM(AA45,
SUMIF(防護具!$Y$30:$Y$212,AB$17&amp;"ニトリルグローブ",防護具!$Q$30:$Q$212),
SUMIF(防護具!$Y$30:$Y$212,AB$17&amp;"プラスチックグローブ等",防護具!$Q$30:$Q$212))-AA44,0)</f>
        <v>0</v>
      </c>
      <c r="AC45" s="644">
        <f>IFERROR(
SUM(AB45,
SUMIF(防護具!$Y$30:$Y$212,AC$17&amp;"ニトリルグローブ",防護具!$Q$30:$Q$212),
SUMIF(防護具!$Y$30:$Y$212,AC$17&amp;"プラスチックグローブ等",防護具!$Q$30:$Q$212))-AB44,0)</f>
        <v>0</v>
      </c>
      <c r="AD45" s="644">
        <f>IFERROR(
SUM(AC45,
SUMIF(防護具!$Y$30:$Y$212,AD$17&amp;"ニトリルグローブ",防護具!$Q$30:$Q$212),
SUMIF(防護具!$Y$30:$Y$212,AD$17&amp;"プラスチックグローブ等",防護具!$Q$30:$Q$212))-AC44,0)</f>
        <v>0</v>
      </c>
      <c r="AE45" s="644">
        <f>IFERROR(
SUM(AD45,
SUMIF(防護具!$Y$30:$Y$212,AE$17&amp;"ニトリルグローブ",防護具!$Q$30:$Q$212),
SUMIF(防護具!$Y$30:$Y$212,AE$17&amp;"プラスチックグローブ等",防護具!$Q$30:$Q$212))-AD44,0)</f>
        <v>0</v>
      </c>
      <c r="AF45" s="644">
        <f>IFERROR(
SUM(AE45,
SUMIF(防護具!$Y$30:$Y$212,AF$17&amp;"ニトリルグローブ",防護具!$Q$30:$Q$212),
SUMIF(防護具!$Y$30:$Y$212,AF$17&amp;"プラスチックグローブ等",防護具!$Q$30:$Q$212))-AE44,0)</f>
        <v>0</v>
      </c>
      <c r="AG45" s="644">
        <f>IFERROR(
SUM(AF45,
SUMIF(防護具!$Y$30:$Y$212,AG$17&amp;"ニトリルグローブ",防護具!$Q$30:$Q$212),
SUMIF(防護具!$Y$30:$Y$212,AG$17&amp;"プラスチックグローブ等",防護具!$Q$30:$Q$212))-AF44,0)</f>
        <v>0</v>
      </c>
      <c r="AH45" s="644">
        <f>IFERROR(
SUM(AG45,
SUMIF(防護具!$Y$30:$Y$212,AH$17&amp;"ニトリルグローブ",防護具!$Q$30:$Q$212),
SUMIF(防護具!$Y$30:$Y$212,AH$17&amp;"プラスチックグローブ等",防護具!$Q$30:$Q$212))-AG44,0)</f>
        <v>0</v>
      </c>
      <c r="AI45" s="644">
        <f>IFERROR(
SUM(AH45,
SUMIF(防護具!$Y$30:$Y$212,AI$17&amp;"ニトリルグローブ",防護具!$Q$30:$Q$212),
SUMIF(防護具!$Y$30:$Y$212,AI$17&amp;"プラスチックグローブ等",防護具!$Q$30:$Q$212))-AH44,0)</f>
        <v>0</v>
      </c>
      <c r="AJ45" s="644">
        <f>IFERROR(
SUM(AI45,
SUMIF(防護具!$Y$30:$Y$212,AJ$17&amp;"ニトリルグローブ",防護具!$Q$30:$Q$212),
SUMIF(防護具!$Y$30:$Y$212,AJ$17&amp;"プラスチックグローブ等",防護具!$Q$30:$Q$212))-AI44,0)</f>
        <v>0</v>
      </c>
      <c r="AK45" s="644">
        <f>IFERROR(
SUM(AJ45,
SUMIF(防護具!$Y$30:$Y$212,AK$17&amp;"ニトリルグローブ",防護具!$Q$30:$Q$212),
SUMIF(防護具!$Y$30:$Y$212,AK$17&amp;"プラスチックグローブ等",防護具!$Q$30:$Q$212))-AJ44,0)</f>
        <v>0</v>
      </c>
      <c r="AL45" s="644">
        <f>IFERROR(
SUM(AK45,
SUMIF(防護具!$Y$30:$Y$212,AL$17&amp;"ニトリルグローブ",防護具!$Q$30:$Q$212),
SUMIF(防護具!$Y$30:$Y$212,AL$17&amp;"プラスチックグローブ等",防護具!$Q$30:$Q$212))-AK44,0)</f>
        <v>0</v>
      </c>
      <c r="AM45" s="644">
        <f>IFERROR(
SUM(AL45,
SUMIF(防護具!$Y$30:$Y$212,AM$17&amp;"ニトリルグローブ",防護具!$Q$30:$Q$212),
SUMIF(防護具!$Y$30:$Y$212,AM$17&amp;"プラスチックグローブ等",防護具!$Q$30:$Q$212))-AL44,0)</f>
        <v>0</v>
      </c>
      <c r="AN45" s="644">
        <f>IFERROR(
SUM(AM45,
SUMIF(防護具!$Y$30:$Y$212,AN$17&amp;"ニトリルグローブ",防護具!$Q$30:$Q$212),
SUMIF(防護具!$Y$30:$Y$212,AN$17&amp;"プラスチックグローブ等",防護具!$Q$30:$Q$212))-AM44,0)</f>
        <v>0</v>
      </c>
      <c r="AO45" s="644">
        <f>IFERROR(
SUM(AN45,
SUMIF(防護具!$Y$30:$Y$212,AO$17&amp;"ニトリルグローブ",防護具!$Q$30:$Q$212),
SUMIF(防護具!$Y$30:$Y$212,AO$17&amp;"プラスチックグローブ等",防護具!$Q$30:$Q$212))-AN44,0)</f>
        <v>0</v>
      </c>
      <c r="AP45" s="644">
        <f>IFERROR(
SUM(AO45,
SUMIF(防護具!$Y$30:$Y$212,AP$17&amp;"ニトリルグローブ",防護具!$Q$30:$Q$212),
SUMIF(防護具!$Y$30:$Y$212,AP$17&amp;"プラスチックグローブ等",防護具!$Q$30:$Q$212))-AO44,0)</f>
        <v>0</v>
      </c>
      <c r="AQ45" s="644">
        <f>IFERROR(
SUM(AP45,
SUMIF(防護具!$Y$30:$Y$212,AQ$17&amp;"ニトリルグローブ",防護具!$Q$30:$Q$212),
SUMIF(防護具!$Y$30:$Y$212,AQ$17&amp;"プラスチックグローブ等",防護具!$Q$30:$Q$212))-AP44,0)</f>
        <v>0</v>
      </c>
      <c r="AR45" s="644">
        <f>IFERROR(
SUM(AQ45,
SUMIF(防護具!$Y$30:$Y$212,AR$17&amp;"ニトリルグローブ",防護具!$Q$30:$Q$212),
SUMIF(防護具!$Y$30:$Y$212,AR$17&amp;"プラスチックグローブ等",防護具!$Q$30:$Q$212))-AQ44,0)</f>
        <v>0</v>
      </c>
      <c r="AS45" s="644">
        <f>IFERROR(
SUM(AR45,
SUMIF(防護具!$Y$30:$Y$212,AS$17&amp;"ニトリルグローブ",防護具!$Q$30:$Q$212),
SUMIF(防護具!$Y$30:$Y$212,AS$17&amp;"プラスチックグローブ等",防護具!$Q$30:$Q$212))-AR44,0)</f>
        <v>0</v>
      </c>
      <c r="AT45" s="644">
        <f>IFERROR(
SUM(AS45,
SUMIF(防護具!$Y$30:$Y$212,AT$17&amp;"ニトリルグローブ",防護具!$Q$30:$Q$212),
SUMIF(防護具!$Y$30:$Y$212,AT$17&amp;"プラスチックグローブ等",防護具!$Q$30:$Q$212))-AS44,0)</f>
        <v>0</v>
      </c>
      <c r="AU45" s="644">
        <f>IFERROR(
SUM(AT45,
SUMIF(防護具!$Y$30:$Y$212,AU$17&amp;"ニトリルグローブ",防護具!$Q$30:$Q$212),
SUMIF(防護具!$Y$30:$Y$212,AU$17&amp;"プラスチックグローブ等",防護具!$Q$30:$Q$212))-AT44,0)</f>
        <v>0</v>
      </c>
      <c r="AV45" s="644">
        <f>IFERROR(
SUM(AU45,
SUMIF(防護具!$Y$30:$Y$212,AV$17&amp;"ニトリルグローブ",防護具!$Q$30:$Q$212),
SUMIF(防護具!$Y$30:$Y$212,AV$17&amp;"プラスチックグローブ等",防護具!$Q$30:$Q$212))-AU44,0)</f>
        <v>0</v>
      </c>
      <c r="AW45" s="644">
        <f>IFERROR(
SUM(AV45,
SUMIF(防護具!$Y$30:$Y$212,AW$17&amp;"ニトリルグローブ",防護具!$Q$30:$Q$212),
SUMIF(防護具!$Y$30:$Y$212,AW$17&amp;"プラスチックグローブ等",防護具!$Q$30:$Q$212))-AV44,0)</f>
        <v>0</v>
      </c>
      <c r="AX45" s="644">
        <f>IFERROR(
SUM(AW45,
SUMIF(防護具!$Y$30:$Y$212,AX$17&amp;"ニトリルグローブ",防護具!$Q$30:$Q$212),
SUMIF(防護具!$Y$30:$Y$212,AX$17&amp;"プラスチックグローブ等",防護具!$Q$30:$Q$212))-AW44,0)</f>
        <v>0</v>
      </c>
      <c r="AY45" s="644">
        <f>IFERROR(
SUM(AX45,
SUMIF(防護具!$Y$30:$Y$212,AY$17&amp;"ニトリルグローブ",防護具!$Q$30:$Q$212),
SUMIF(防護具!$Y$30:$Y$212,AY$17&amp;"プラスチックグローブ等",防護具!$Q$30:$Q$212))-AX44,0)</f>
        <v>0</v>
      </c>
      <c r="AZ45" s="644">
        <f>IFERROR(
SUM(AY45,
SUMIF(防護具!$Y$30:$Y$212,AZ$17&amp;"ニトリルグローブ",防護具!$Q$30:$Q$212),
SUMIF(防護具!$Y$30:$Y$212,AZ$17&amp;"プラスチックグローブ等",防護具!$Q$30:$Q$212))-AY44,0)</f>
        <v>0</v>
      </c>
      <c r="BA45" s="644">
        <f>IFERROR(
SUM(AZ45,
SUMIF(防護具!$Y$30:$Y$212,BA$17&amp;"ニトリルグローブ",防護具!$Q$30:$Q$212),
SUMIF(防護具!$Y$30:$Y$212,BA$17&amp;"プラスチックグローブ等",防護具!$Q$30:$Q$212))-AZ44,0)</f>
        <v>0</v>
      </c>
      <c r="BB45" s="644">
        <f>IFERROR(
SUM(BA45,
SUMIF(防護具!$Y$30:$Y$212,BB$17&amp;"ニトリルグローブ",防護具!$Q$30:$Q$212),
SUMIF(防護具!$Y$30:$Y$212,BB$17&amp;"プラスチックグローブ等",防護具!$Q$30:$Q$212))-BA44,0)</f>
        <v>0</v>
      </c>
      <c r="BC45" s="644">
        <f>IFERROR(
SUM(BB45,
SUMIF(防護具!$Y$30:$Y$212,BC$17&amp;"ニトリルグローブ",防護具!$Q$30:$Q$212),
SUMIF(防護具!$Y$30:$Y$212,BC$17&amp;"プラスチックグローブ等",防護具!$Q$30:$Q$212))-BB44,0)</f>
        <v>0</v>
      </c>
      <c r="BD45" s="644">
        <f>IFERROR(
SUM(BC45,
SUMIF(防護具!$Y$30:$Y$212,BD$17&amp;"ニトリルグローブ",防護具!$Q$30:$Q$212),
SUMIF(防護具!$Y$30:$Y$212,BD$17&amp;"プラスチックグローブ等",防護具!$Q$30:$Q$212))-BC44,0)</f>
        <v>0</v>
      </c>
      <c r="BE45" s="644">
        <f>IFERROR(
SUM(BD45,
SUMIF(防護具!$Y$30:$Y$212,BE$17&amp;"ニトリルグローブ",防護具!$Q$30:$Q$212),
SUMIF(防護具!$Y$30:$Y$212,BE$17&amp;"プラスチックグローブ等",防護具!$Q$30:$Q$212))-BD44,0)</f>
        <v>0</v>
      </c>
      <c r="BF45" s="644">
        <f>IFERROR(
SUM(BE45,
SUMIF(防護具!$Y$30:$Y$212,BF$17&amp;"ニトリルグローブ",防護具!$Q$30:$Q$212),
SUMIF(防護具!$Y$30:$Y$212,BF$17&amp;"プラスチックグローブ等",防護具!$Q$30:$Q$212))-BE44,0)</f>
        <v>0</v>
      </c>
      <c r="BG45" s="644">
        <f>IFERROR(
SUM(BF45,
SUMIF(防護具!$Y$30:$Y$212,BG$17&amp;"ニトリルグローブ",防護具!$Q$30:$Q$212),
SUMIF(防護具!$Y$30:$Y$212,BG$17&amp;"プラスチックグローブ等",防護具!$Q$30:$Q$212))-BF44,0)</f>
        <v>0</v>
      </c>
      <c r="BH45" s="644">
        <f>IFERROR(
SUM(BG45,
SUMIF(防護具!$Y$30:$Y$212,BH$17&amp;"ニトリルグローブ",防護具!$Q$30:$Q$212),
SUMIF(防護具!$Y$30:$Y$212,BH$17&amp;"プラスチックグローブ等",防護具!$Q$30:$Q$212))-BG44,0)</f>
        <v>0</v>
      </c>
      <c r="BI45" s="644">
        <f>IFERROR(
SUM(BH45,
SUMIF(防護具!$Y$30:$Y$212,BI$17&amp;"ニトリルグローブ",防護具!$Q$30:$Q$212),
SUMIF(防護具!$Y$30:$Y$212,BI$17&amp;"プラスチックグローブ等",防護具!$Q$30:$Q$212))-BH44,0)</f>
        <v>0</v>
      </c>
      <c r="BJ45" s="644">
        <f>IFERROR(
SUM(BI45,
SUMIF(防護具!$Y$30:$Y$212,BJ$17&amp;"ニトリルグローブ",防護具!$Q$30:$Q$212),
SUMIF(防護具!$Y$30:$Y$212,BJ$17&amp;"プラスチックグローブ等",防護具!$Q$30:$Q$212))-BI44,0)</f>
        <v>0</v>
      </c>
      <c r="BK45" s="644">
        <f>IFERROR(
SUM(BJ45,
SUMIF(防護具!$Y$30:$Y$212,BK$17&amp;"ニトリルグローブ",防護具!$Q$30:$Q$212),
SUMIF(防護具!$Y$30:$Y$212,BK$17&amp;"プラスチックグローブ等",防護具!$Q$30:$Q$212))-BJ44,0)</f>
        <v>0</v>
      </c>
      <c r="BL45" s="644">
        <f>IFERROR(
SUM(BK45,
SUMIF(防護具!$Y$30:$Y$212,BL$17&amp;"ニトリルグローブ",防護具!$Q$30:$Q$212),
SUMIF(防護具!$Y$30:$Y$212,BL$17&amp;"プラスチックグローブ等",防護具!$Q$30:$Q$212))-BK44,0)</f>
        <v>0</v>
      </c>
      <c r="BM45" s="644">
        <f>IFERROR(
SUM(BL45,
SUMIF(防護具!$Y$30:$Y$212,BM$17&amp;"ニトリルグローブ",防護具!$Q$30:$Q$212),
SUMIF(防護具!$Y$30:$Y$212,BM$17&amp;"プラスチックグローブ等",防護具!$Q$30:$Q$212))-BL44,0)</f>
        <v>0</v>
      </c>
      <c r="BN45" s="644">
        <f>IFERROR(
SUM(BM45,
SUMIF(防護具!$Y$30:$Y$212,BN$17&amp;"ニトリルグローブ",防護具!$Q$30:$Q$212),
SUMIF(防護具!$Y$30:$Y$212,BN$17&amp;"プラスチックグローブ等",防護具!$Q$30:$Q$212))-BM44,0)</f>
        <v>0</v>
      </c>
      <c r="BO45" s="644">
        <f>IFERROR(
SUM(BN45,
SUMIF(防護具!$Y$30:$Y$212,BO$17&amp;"ニトリルグローブ",防護具!$Q$30:$Q$212),
SUMIF(防護具!$Y$30:$Y$212,BO$17&amp;"プラスチックグローブ等",防護具!$Q$30:$Q$212))-BN44,0)</f>
        <v>0</v>
      </c>
      <c r="BP45" s="644">
        <f>IFERROR(
SUM(BO45,
SUMIF(防護具!$Y$30:$Y$212,BP$17&amp;"ニトリルグローブ",防護具!$Q$30:$Q$212),
SUMIF(防護具!$Y$30:$Y$212,BP$17&amp;"プラスチックグローブ等",防護具!$Q$30:$Q$212))-BO44,0)</f>
        <v>0</v>
      </c>
      <c r="BQ45" s="644">
        <f>IFERROR(
SUM(BP45,
SUMIF(防護具!$Y$30:$Y$212,BQ$17&amp;"ニトリルグローブ",防護具!$Q$30:$Q$212),
SUMIF(防護具!$Y$30:$Y$212,BQ$17&amp;"プラスチックグローブ等",防護具!$Q$30:$Q$212))-BP44,0)</f>
        <v>0</v>
      </c>
      <c r="BR45" s="644">
        <f>IFERROR(
SUM(BQ45,
SUMIF(防護具!$Y$30:$Y$212,BR$17&amp;"ニトリルグローブ",防護具!$Q$30:$Q$212),
SUMIF(防護具!$Y$30:$Y$212,BR$17&amp;"プラスチックグローブ等",防護具!$Q$30:$Q$212))-BQ44,0)</f>
        <v>0</v>
      </c>
      <c r="BS45" s="644">
        <f>IFERROR(
SUM(BR45,
SUMIF(防護具!$Y$30:$Y$212,BS$17&amp;"ニトリルグローブ",防護具!$Q$30:$Q$212),
SUMIF(防護具!$Y$30:$Y$212,BS$17&amp;"プラスチックグローブ等",防護具!$Q$30:$Q$212))-BR44,0)</f>
        <v>0</v>
      </c>
      <c r="BT45" s="644">
        <f>IFERROR(
SUM(BS45,
SUMIF(防護具!$Y$30:$Y$212,BT$17&amp;"ニトリルグローブ",防護具!$Q$30:$Q$212),
SUMIF(防護具!$Y$30:$Y$212,BT$17&amp;"プラスチックグローブ等",防護具!$Q$30:$Q$212))-BS44,0)</f>
        <v>0</v>
      </c>
      <c r="BU45" s="644">
        <f>IFERROR(
SUM(BT45,
SUMIF(防護具!$Y$30:$Y$212,BU$17&amp;"ニトリルグローブ",防護具!$Q$30:$Q$212),
SUMIF(防護具!$Y$30:$Y$212,BU$17&amp;"プラスチックグローブ等",防護具!$Q$30:$Q$212))-BT44,0)</f>
        <v>0</v>
      </c>
      <c r="BV45" s="644">
        <f>IFERROR(
SUM(BU45,
SUMIF(防護具!$Y$30:$Y$212,BV$17&amp;"ニトリルグローブ",防護具!$Q$30:$Q$212),
SUMIF(防護具!$Y$30:$Y$212,BV$17&amp;"プラスチックグローブ等",防護具!$Q$30:$Q$212))-BU44,0)</f>
        <v>0</v>
      </c>
      <c r="BW45" s="644">
        <f>IFERROR(
SUM(BV45,
SUMIF(防護具!$Y$30:$Y$212,BW$17&amp;"ニトリルグローブ",防護具!$Q$30:$Q$212),
SUMIF(防護具!$Y$30:$Y$212,BW$17&amp;"プラスチックグローブ等",防護具!$Q$30:$Q$212))-BV44,0)</f>
        <v>0</v>
      </c>
      <c r="BX45" s="644">
        <f>IFERROR(
SUM(BW45,
SUMIF(防護具!$Y$30:$Y$212,BX$17&amp;"ニトリルグローブ",防護具!$Q$30:$Q$212),
SUMIF(防護具!$Y$30:$Y$212,BX$17&amp;"プラスチックグローブ等",防護具!$Q$30:$Q$212))-BW44,0)</f>
        <v>0</v>
      </c>
      <c r="BY45" s="644">
        <f>IFERROR(
SUM(BX45,
SUMIF(防護具!$Y$30:$Y$212,BY$17&amp;"ニトリルグローブ",防護具!$Q$30:$Q$212),
SUMIF(防護具!$Y$30:$Y$212,BY$17&amp;"プラスチックグローブ等",防護具!$Q$30:$Q$212))-BX44,0)</f>
        <v>0</v>
      </c>
      <c r="BZ45" s="644">
        <f>IFERROR(
SUM(BY45,
SUMIF(防護具!$Y$30:$Y$212,BZ$17&amp;"ニトリルグローブ",防護具!$Q$30:$Q$212),
SUMIF(防護具!$Y$30:$Y$212,BZ$17&amp;"プラスチックグローブ等",防護具!$Q$30:$Q$212))-BY44,0)</f>
        <v>0</v>
      </c>
      <c r="CA45" s="644">
        <f>IFERROR(
SUM(BZ45,
SUMIF(防護具!$Y$30:$Y$212,CA$17&amp;"ニトリルグローブ",防護具!$Q$30:$Q$212),
SUMIF(防護具!$Y$30:$Y$212,CA$17&amp;"プラスチックグローブ等",防護具!$Q$30:$Q$212))-BZ44,0)</f>
        <v>0</v>
      </c>
      <c r="CB45" s="644">
        <f>IFERROR(
SUM(CA45,
SUMIF(防護具!$Y$30:$Y$212,CB$17&amp;"ニトリルグローブ",防護具!$Q$30:$Q$212),
SUMIF(防護具!$Y$30:$Y$212,CB$17&amp;"プラスチックグローブ等",防護具!$Q$30:$Q$212))-CA44,0)</f>
        <v>0</v>
      </c>
      <c r="CC45" s="644">
        <f>IFERROR(
SUM(CB45,
SUMIF(防護具!$Y$30:$Y$212,CC$17&amp;"ニトリルグローブ",防護具!$Q$30:$Q$212),
SUMIF(防護具!$Y$30:$Y$212,CC$17&amp;"プラスチックグローブ等",防護具!$Q$30:$Q$212))-CB44,0)</f>
        <v>0</v>
      </c>
      <c r="CD45" s="644">
        <f>IFERROR(
SUM(CC45,
SUMIF(防護具!$Y$30:$Y$212,CD$17&amp;"ニトリルグローブ",防護具!$Q$30:$Q$212),
SUMIF(防護具!$Y$30:$Y$212,CD$17&amp;"プラスチックグローブ等",防護具!$Q$30:$Q$212))-CC44,0)</f>
        <v>0</v>
      </c>
      <c r="CE45" s="644">
        <f>IFERROR(
SUM(CD45,
SUMIF(防護具!$Y$30:$Y$212,CE$17&amp;"ニトリルグローブ",防護具!$Q$30:$Q$212),
SUMIF(防護具!$Y$30:$Y$212,CE$17&amp;"プラスチックグローブ等",防護具!$Q$30:$Q$212))-CD44,0)</f>
        <v>0</v>
      </c>
      <c r="CF45" s="644">
        <f>IFERROR(
SUM(CE45,
SUMIF(防護具!$Y$30:$Y$212,CF$17&amp;"ニトリルグローブ",防護具!$Q$30:$Q$212),
SUMIF(防護具!$Y$30:$Y$212,CF$17&amp;"プラスチックグローブ等",防護具!$Q$30:$Q$212))-CE44,0)</f>
        <v>0</v>
      </c>
      <c r="CG45" s="644">
        <f>IFERROR(
SUM(CF45,
SUMIF(防護具!$Y$30:$Y$212,CG$17&amp;"ニトリルグローブ",防護具!$Q$30:$Q$212),
SUMIF(防護具!$Y$30:$Y$212,CG$17&amp;"プラスチックグローブ等",防護具!$Q$30:$Q$212))-CF44,0)</f>
        <v>0</v>
      </c>
      <c r="CH45" s="644">
        <f>IFERROR(
SUM(CG45,
SUMIF(防護具!$Y$30:$Y$212,CH$17&amp;"ニトリルグローブ",防護具!$Q$30:$Q$212),
SUMIF(防護具!$Y$30:$Y$212,CH$17&amp;"プラスチックグローブ等",防護具!$Q$30:$Q$212))-CG44,0)</f>
        <v>0</v>
      </c>
      <c r="CI45" s="644">
        <f>IFERROR(
SUM(CH45,
SUMIF(防護具!$Y$30:$Y$212,CI$17&amp;"ニトリルグローブ",防護具!$Q$30:$Q$212),
SUMIF(防護具!$Y$30:$Y$212,CI$17&amp;"プラスチックグローブ等",防護具!$Q$30:$Q$212))-CH44,0)</f>
        <v>0</v>
      </c>
      <c r="CJ45" s="644">
        <f>IFERROR(
SUM(CI45,
SUMIF(防護具!$Y$30:$Y$212,CJ$17&amp;"ニトリルグローブ",防護具!$Q$30:$Q$212),
SUMIF(防護具!$Y$30:$Y$212,CJ$17&amp;"プラスチックグローブ等",防護具!$Q$30:$Q$212))-CI44,0)</f>
        <v>0</v>
      </c>
      <c r="CK45" s="644">
        <f>IFERROR(
SUM(CJ45,
SUMIF(防護具!$Y$30:$Y$212,CK$17&amp;"ニトリルグローブ",防護具!$Q$30:$Q$212),
SUMIF(防護具!$Y$30:$Y$212,CK$17&amp;"プラスチックグローブ等",防護具!$Q$30:$Q$212))-CJ44,0)</f>
        <v>0</v>
      </c>
      <c r="CL45" s="644">
        <f>IFERROR(
SUM(CK45,
SUMIF(防護具!$Y$30:$Y$212,CL$17&amp;"ニトリルグローブ",防護具!$Q$30:$Q$212),
SUMIF(防護具!$Y$30:$Y$212,CL$17&amp;"プラスチックグローブ等",防護具!$Q$30:$Q$212))-CK44,0)</f>
        <v>0</v>
      </c>
      <c r="CM45" s="644">
        <f>IFERROR(
SUM(CL45,
SUMIF(防護具!$Y$30:$Y$212,CM$17&amp;"ニトリルグローブ",防護具!$Q$30:$Q$212),
SUMIF(防護具!$Y$30:$Y$212,CM$17&amp;"プラスチックグローブ等",防護具!$Q$30:$Q$212))-CL44,0)</f>
        <v>0</v>
      </c>
      <c r="CN45" s="644">
        <f>IFERROR(
SUM(CM45,
SUMIF(防護具!$Y$30:$Y$212,CN$17&amp;"ニトリルグローブ",防護具!$Q$30:$Q$212),
SUMIF(防護具!$Y$30:$Y$212,CN$17&amp;"プラスチックグローブ等",防護具!$Q$30:$Q$212))-CM44,0)</f>
        <v>0</v>
      </c>
      <c r="CO45" s="644">
        <f>IFERROR(
SUM(CN45,
SUMIF(防護具!$Y$30:$Y$212,CO$17&amp;"ニトリルグローブ",防護具!$Q$30:$Q$212),
SUMIF(防護具!$Y$30:$Y$212,CO$17&amp;"プラスチックグローブ等",防護具!$Q$30:$Q$212))-CN44,0)</f>
        <v>0</v>
      </c>
      <c r="CP45" s="644">
        <f>IFERROR(
SUM(CO45,
SUMIF(防護具!$Y$30:$Y$212,CP$17&amp;"ニトリルグローブ",防護具!$Q$30:$Q$212),
SUMIF(防護具!$Y$30:$Y$212,CP$17&amp;"プラスチックグローブ等",防護具!$Q$30:$Q$212))-CO44,0)</f>
        <v>0</v>
      </c>
      <c r="CQ45" s="644">
        <f>IFERROR(
SUM(CP45,
SUMIF(防護具!$Y$30:$Y$212,CQ$17&amp;"ニトリルグローブ",防護具!$Q$30:$Q$212),
SUMIF(防護具!$Y$30:$Y$212,CQ$17&amp;"プラスチックグローブ等",防護具!$Q$30:$Q$212))-CP44,0)</f>
        <v>0</v>
      </c>
      <c r="CR45" s="644">
        <f>IFERROR(
SUM(CQ45,
SUMIF(防護具!$Y$30:$Y$212,CR$17&amp;"ニトリルグローブ",防護具!$Q$30:$Q$212),
SUMIF(防護具!$Y$30:$Y$212,CR$17&amp;"プラスチックグローブ等",防護具!$Q$30:$Q$212))-CQ44,0)</f>
        <v>0</v>
      </c>
      <c r="CS45" s="644">
        <f>IFERROR(
SUM(CR45,
SUMIF(防護具!$Y$30:$Y$212,CS$17&amp;"ニトリルグローブ",防護具!$Q$30:$Q$212),
SUMIF(防護具!$Y$30:$Y$212,CS$17&amp;"プラスチックグローブ等",防護具!$Q$30:$Q$212))-CR44,0)</f>
        <v>0</v>
      </c>
      <c r="CT45" s="644">
        <f>IFERROR(
SUM(CS45,
SUMIF(防護具!$Y$30:$Y$212,CT$17&amp;"ニトリルグローブ",防護具!$Q$30:$Q$212),
SUMIF(防護具!$Y$30:$Y$212,CT$17&amp;"プラスチックグローブ等",防護具!$Q$30:$Q$212))-CS44,0)</f>
        <v>0</v>
      </c>
      <c r="CU45" s="644">
        <f>IFERROR(
SUM(CT45,
SUMIF(防護具!$Y$30:$Y$212,CU$17&amp;"ニトリルグローブ",防護具!$Q$30:$Q$212),
SUMIF(防護具!$Y$30:$Y$212,CU$17&amp;"プラスチックグローブ等",防護具!$Q$30:$Q$212))-CT44,0)</f>
        <v>0</v>
      </c>
      <c r="CV45" s="644">
        <f>IFERROR(
SUM(CU45,
SUMIF(防護具!$Y$30:$Y$212,CV$17&amp;"ニトリルグローブ",防護具!$Q$30:$Q$212),
SUMIF(防護具!$Y$30:$Y$212,CV$17&amp;"プラスチックグローブ等",防護具!$Q$30:$Q$212))-CU44,0)</f>
        <v>0</v>
      </c>
      <c r="CW45" s="644">
        <f>IFERROR(
SUM(CV45,
SUMIF(防護具!$Y$30:$Y$212,CW$17&amp;"ニトリルグローブ",防護具!$Q$30:$Q$212),
SUMIF(防護具!$Y$30:$Y$212,CW$17&amp;"プラスチックグローブ等",防護具!$Q$30:$Q$212))-CV44,0)</f>
        <v>0</v>
      </c>
      <c r="CX45" s="644">
        <f>IFERROR(
SUM(CW45,
SUMIF(防護具!$Y$30:$Y$212,CX$17&amp;"ニトリルグローブ",防護具!$Q$30:$Q$212),
SUMIF(防護具!$Y$30:$Y$212,CX$17&amp;"プラスチックグローブ等",防護具!$Q$30:$Q$212))-CW44,0)</f>
        <v>0</v>
      </c>
      <c r="CY45" s="644">
        <f>IFERROR(
SUM(CX45,
SUMIF(防護具!$Y$30:$Y$212,CY$17&amp;"ニトリルグローブ",防護具!$Q$30:$Q$212),
SUMIF(防護具!$Y$30:$Y$212,CY$17&amp;"プラスチックグローブ等",防護具!$Q$30:$Q$212))-CX44,0)</f>
        <v>0</v>
      </c>
      <c r="CZ45" s="644">
        <f>IFERROR(
SUM(CY45,
SUMIF(防護具!$Y$30:$Y$212,CZ$17&amp;"ニトリルグローブ",防護具!$Q$30:$Q$212),
SUMIF(防護具!$Y$30:$Y$212,CZ$17&amp;"プラスチックグローブ等",防護具!$Q$30:$Q$212))-CY44,0)</f>
        <v>0</v>
      </c>
      <c r="DA45" s="644">
        <f>IFERROR(
SUM(CZ45,
SUMIF(防護具!$Y$30:$Y$212,DA$17&amp;"ニトリルグローブ",防護具!$Q$30:$Q$212),
SUMIF(防護具!$Y$30:$Y$212,DA$17&amp;"プラスチックグローブ等",防護具!$Q$30:$Q$212))-CZ44,0)</f>
        <v>0</v>
      </c>
      <c r="DB45" s="644">
        <f>IFERROR(
SUM(DA45,
SUMIF(防護具!$Y$30:$Y$212,DB$17&amp;"ニトリルグローブ",防護具!$Q$30:$Q$212),
SUMIF(防護具!$Y$30:$Y$212,DB$17&amp;"プラスチックグローブ等",防護具!$Q$30:$Q$212))-DA44,0)</f>
        <v>0</v>
      </c>
      <c r="DC45" s="644">
        <f>IFERROR(
SUM(DB45,
SUMIF(防護具!$Y$30:$Y$212,DC$17&amp;"ニトリルグローブ",防護具!$Q$30:$Q$212),
SUMIF(防護具!$Y$30:$Y$212,DC$17&amp;"プラスチックグローブ等",防護具!$Q$30:$Q$212))-DB44,0)</f>
        <v>0</v>
      </c>
      <c r="DD45" s="644">
        <f>IFERROR(
SUM(DC45,
SUMIF(防護具!$Y$30:$Y$212,DD$17&amp;"ニトリルグローブ",防護具!$Q$30:$Q$212),
SUMIF(防護具!$Y$30:$Y$212,DD$17&amp;"プラスチックグローブ等",防護具!$Q$30:$Q$212))-DC44,0)</f>
        <v>0</v>
      </c>
      <c r="DE45" s="644">
        <f>IFERROR(
SUM(DD45,
SUMIF(防護具!$Y$30:$Y$212,DE$17&amp;"ニトリルグローブ",防護具!$Q$30:$Q$212),
SUMIF(防護具!$Y$30:$Y$212,DE$17&amp;"プラスチックグローブ等",防護具!$Q$30:$Q$212))-DD44,0)</f>
        <v>0</v>
      </c>
      <c r="DF45" s="644">
        <f>IFERROR(
SUM(DE45,
SUMIF(防護具!$Y$30:$Y$212,DF$17&amp;"ニトリルグローブ",防護具!$Q$30:$Q$212),
SUMIF(防護具!$Y$30:$Y$212,DF$17&amp;"プラスチックグローブ等",防護具!$Q$30:$Q$212))-DE44,0)</f>
        <v>0</v>
      </c>
      <c r="DG45" s="644">
        <f>IFERROR(
SUM(DF45,
SUMIF(防護具!$Y$30:$Y$212,DG$17&amp;"ニトリルグローブ",防護具!$Q$30:$Q$212),
SUMIF(防護具!$Y$30:$Y$212,DG$17&amp;"プラスチックグローブ等",防護具!$Q$30:$Q$212))-DF44,0)</f>
        <v>0</v>
      </c>
      <c r="DH45" s="644">
        <f>IFERROR(
SUM(DG45,
SUMIF(防護具!$Y$30:$Y$212,DH$17&amp;"ニトリルグローブ",防護具!$Q$30:$Q$212),
SUMIF(防護具!$Y$30:$Y$212,DH$17&amp;"プラスチックグローブ等",防護具!$Q$30:$Q$212))-DG44,0)</f>
        <v>0</v>
      </c>
      <c r="DI45" s="644">
        <f>IFERROR(
SUM(DH45,
SUMIF(防護具!$Y$30:$Y$212,DI$17&amp;"ニトリルグローブ",防護具!$Q$30:$Q$212),
SUMIF(防護具!$Y$30:$Y$212,DI$17&amp;"プラスチックグローブ等",防護具!$Q$30:$Q$212))-DH44,0)</f>
        <v>0</v>
      </c>
      <c r="DJ45" s="644">
        <f>IFERROR(
SUM(DI45,
SUMIF(防護具!$Y$30:$Y$212,DJ$17&amp;"ニトリルグローブ",防護具!$Q$30:$Q$212),
SUMIF(防護具!$Y$30:$Y$212,DJ$17&amp;"プラスチックグローブ等",防護具!$Q$30:$Q$212))-DI44,0)</f>
        <v>0</v>
      </c>
      <c r="DK45" s="644">
        <f>IFERROR(
SUM(DJ45,
SUMIF(防護具!$Y$30:$Y$212,DK$17&amp;"ニトリルグローブ",防護具!$Q$30:$Q$212),
SUMIF(防護具!$Y$30:$Y$212,DK$17&amp;"プラスチックグローブ等",防護具!$Q$30:$Q$212))-DJ44,0)</f>
        <v>0</v>
      </c>
      <c r="DL45" s="644">
        <f>IFERROR(
SUM(DK45,
SUMIF(防護具!$Y$30:$Y$212,DL$17&amp;"ニトリルグローブ",防護具!$Q$30:$Q$212),
SUMIF(防護具!$Y$30:$Y$212,DL$17&amp;"プラスチックグローブ等",防護具!$Q$30:$Q$212))-DK44,0)</f>
        <v>0</v>
      </c>
      <c r="DM45" s="644">
        <f>IFERROR(
SUM(DL45,
SUMIF(防護具!$Y$30:$Y$212,DM$17&amp;"ニトリルグローブ",防護具!$Q$30:$Q$212),
SUMIF(防護具!$Y$30:$Y$212,DM$17&amp;"プラスチックグローブ等",防護具!$Q$30:$Q$212))-DL44,0)</f>
        <v>0</v>
      </c>
      <c r="DN45" s="644">
        <f>IFERROR(
SUM(DM45,
SUMIF(防護具!$Y$30:$Y$212,DN$17&amp;"ニトリルグローブ",防護具!$Q$30:$Q$212),
SUMIF(防護具!$Y$30:$Y$212,DN$17&amp;"プラスチックグローブ等",防護具!$Q$30:$Q$212))-DM44,0)</f>
        <v>0</v>
      </c>
      <c r="DO45" s="644">
        <f>IFERROR(
SUM(DN45,
SUMIF(防護具!$Y$30:$Y$212,DO$17&amp;"ニトリルグローブ",防護具!$Q$30:$Q$212),
SUMIF(防護具!$Y$30:$Y$212,DO$17&amp;"プラスチックグローブ等",防護具!$Q$30:$Q$212))-DN44,0)</f>
        <v>0</v>
      </c>
      <c r="DP45" s="644">
        <f>IFERROR(
SUM(DO45,
SUMIF(防護具!$Y$30:$Y$212,DP$17&amp;"ニトリルグローブ",防護具!$Q$30:$Q$212),
SUMIF(防護具!$Y$30:$Y$212,DP$17&amp;"プラスチックグローブ等",防護具!$Q$30:$Q$212))-DO44,0)</f>
        <v>0</v>
      </c>
      <c r="DQ45" s="644">
        <f>IFERROR(
SUM(DP45,
SUMIF(防護具!$Y$30:$Y$212,DQ$17&amp;"ニトリルグローブ",防護具!$Q$30:$Q$212),
SUMIF(防護具!$Y$30:$Y$212,DQ$17&amp;"プラスチックグローブ等",防護具!$Q$30:$Q$212))-DP44,0)</f>
        <v>0</v>
      </c>
      <c r="DR45" s="644">
        <f>IFERROR(
SUM(DQ45,
SUMIF(防護具!$Y$30:$Y$212,DR$17&amp;"ニトリルグローブ",防護具!$Q$30:$Q$212),
SUMIF(防護具!$Y$30:$Y$212,DR$17&amp;"プラスチックグローブ等",防護具!$Q$30:$Q$212))-DQ44,0)</f>
        <v>0</v>
      </c>
      <c r="DS45" s="644">
        <f>IFERROR(
SUM(DR45,
SUMIF(防護具!$Y$30:$Y$212,DS$17&amp;"ニトリルグローブ",防護具!$Q$30:$Q$212),
SUMIF(防護具!$Y$30:$Y$212,DS$17&amp;"プラスチックグローブ等",防護具!$Q$30:$Q$212))-DR44,0)</f>
        <v>0</v>
      </c>
      <c r="DT45" s="644">
        <f>IFERROR(
SUM(DS45,
SUMIF(防護具!$Y$30:$Y$212,DT$17&amp;"ニトリルグローブ",防護具!$Q$30:$Q$212),
SUMIF(防護具!$Y$30:$Y$212,DT$17&amp;"プラスチックグローブ等",防護具!$Q$30:$Q$212))-DS44,0)</f>
        <v>0</v>
      </c>
      <c r="DU45" s="644">
        <f>IFERROR(
SUM(DT45,
SUMIF(防護具!$Y$30:$Y$212,DU$17&amp;"ニトリルグローブ",防護具!$Q$30:$Q$212),
SUMIF(防護具!$Y$30:$Y$212,DU$17&amp;"プラスチックグローブ等",防護具!$Q$30:$Q$212))-DT44,0)</f>
        <v>0</v>
      </c>
      <c r="DV45" s="644">
        <f>IFERROR(
SUM(DU45,
SUMIF(防護具!$Y$30:$Y$212,DV$17&amp;"ニトリルグローブ",防護具!$Q$30:$Q$212),
SUMIF(防護具!$Y$30:$Y$212,DV$17&amp;"プラスチックグローブ等",防護具!$Q$30:$Q$212))-DU44,0)</f>
        <v>0</v>
      </c>
      <c r="DW45" s="644">
        <f>IFERROR(
SUM(DV45,
SUMIF(防護具!$Y$30:$Y$212,DW$17&amp;"ニトリルグローブ",防護具!$Q$30:$Q$212),
SUMIF(防護具!$Y$30:$Y$212,DW$17&amp;"プラスチックグローブ等",防護具!$Q$30:$Q$212))-DV44,0)</f>
        <v>0</v>
      </c>
      <c r="DX45" s="644">
        <f>IFERROR(
SUM(DW45,
SUMIF(防護具!$Y$30:$Y$212,DX$17&amp;"ニトリルグローブ",防護具!$Q$30:$Q$212),
SUMIF(防護具!$Y$30:$Y$212,DX$17&amp;"プラスチックグローブ等",防護具!$Q$30:$Q$212))-DW44,0)</f>
        <v>0</v>
      </c>
      <c r="DY45" s="644">
        <f>IFERROR(
SUM(DX45,
SUMIF(防護具!$Y$30:$Y$212,DY$17&amp;"ニトリルグローブ",防護具!$Q$30:$Q$212),
SUMIF(防護具!$Y$30:$Y$212,DY$17&amp;"プラスチックグローブ等",防護具!$Q$30:$Q$212))-DX44,0)</f>
        <v>0</v>
      </c>
      <c r="DZ45" s="644">
        <f>IFERROR(
SUM(DY45,
SUMIF(防護具!$Y$30:$Y$212,DZ$17&amp;"ニトリルグローブ",防護具!$Q$30:$Q$212),
SUMIF(防護具!$Y$30:$Y$212,DZ$17&amp;"プラスチックグローブ等",防護具!$Q$30:$Q$212))-DY44,0)</f>
        <v>0</v>
      </c>
      <c r="EA45" s="644">
        <f>IFERROR(
SUM(DZ45,
SUMIF(防護具!$Y$30:$Y$212,EA$17&amp;"ニトリルグローブ",防護具!$Q$30:$Q$212),
SUMIF(防護具!$Y$30:$Y$212,EA$17&amp;"プラスチックグローブ等",防護具!$Q$30:$Q$212))-DZ44,0)</f>
        <v>0</v>
      </c>
      <c r="EB45" s="644">
        <f>IFERROR(
SUM(EA45,
SUMIF(防護具!$Y$30:$Y$212,EB$17&amp;"ニトリルグローブ",防護具!$Q$30:$Q$212),
SUMIF(防護具!$Y$30:$Y$212,EB$17&amp;"プラスチックグローブ等",防護具!$Q$30:$Q$212))-EA44,0)</f>
        <v>0</v>
      </c>
      <c r="EC45" s="644">
        <f>IFERROR(
SUM(EB45,
SUMIF(防護具!$Y$30:$Y$212,EC$17&amp;"ニトリルグローブ",防護具!$Q$30:$Q$212),
SUMIF(防護具!$Y$30:$Y$212,EC$17&amp;"プラスチックグローブ等",防護具!$Q$30:$Q$212))-EB44,0)</f>
        <v>0</v>
      </c>
      <c r="ED45" s="644">
        <f>IFERROR(
SUM(EC45,
SUMIF(防護具!$Y$30:$Y$212,ED$17&amp;"ニトリルグローブ",防護具!$Q$30:$Q$212),
SUMIF(防護具!$Y$30:$Y$212,ED$17&amp;"プラスチックグローブ等",防護具!$Q$30:$Q$212))-EC44,0)</f>
        <v>0</v>
      </c>
      <c r="EE45" s="644">
        <f>IFERROR(
SUM(ED45,
SUMIF(防護具!$Y$30:$Y$212,EE$17&amp;"ニトリルグローブ",防護具!$Q$30:$Q$212),
SUMIF(防護具!$Y$30:$Y$212,EE$17&amp;"プラスチックグローブ等",防護具!$Q$30:$Q$212))-ED44,0)</f>
        <v>0</v>
      </c>
      <c r="EF45" s="644">
        <f>IFERROR(
SUM(EE45,
SUMIF(防護具!$Y$30:$Y$212,EF$17&amp;"ニトリルグローブ",防護具!$Q$30:$Q$212),
SUMIF(防護具!$Y$30:$Y$212,EF$17&amp;"プラスチックグローブ等",防護具!$Q$30:$Q$212))-EE44,0)</f>
        <v>0</v>
      </c>
      <c r="EG45" s="644">
        <f>IFERROR(
SUM(EF45,
SUMIF(防護具!$Y$30:$Y$212,EG$17&amp;"ニトリルグローブ",防護具!$Q$30:$Q$212),
SUMIF(防護具!$Y$30:$Y$212,EG$17&amp;"プラスチックグローブ等",防護具!$Q$30:$Q$212))-EF44,0)</f>
        <v>0</v>
      </c>
      <c r="EH45" s="644">
        <f>IFERROR(
SUM(EG45,
SUMIF(防護具!$Y$30:$Y$212,EH$17&amp;"ニトリルグローブ",防護具!$Q$30:$Q$212),
SUMIF(防護具!$Y$30:$Y$212,EH$17&amp;"プラスチックグローブ等",防護具!$Q$30:$Q$212))-EG44,0)</f>
        <v>0</v>
      </c>
      <c r="EI45" s="644">
        <f>IFERROR(
SUM(EH45,
SUMIF(防護具!$Y$30:$Y$212,EI$17&amp;"ニトリルグローブ",防護具!$Q$30:$Q$212),
SUMIF(防護具!$Y$30:$Y$212,EI$17&amp;"プラスチックグローブ等",防護具!$Q$30:$Q$212))-EH44,0)</f>
        <v>0</v>
      </c>
      <c r="EJ45" s="644">
        <f>IFERROR(
SUM(EI45,
SUMIF(防護具!$Y$30:$Y$212,EJ$17&amp;"ニトリルグローブ",防護具!$Q$30:$Q$212),
SUMIF(防護具!$Y$30:$Y$212,EJ$17&amp;"プラスチックグローブ等",防護具!$Q$30:$Q$212))-EI44,0)</f>
        <v>0</v>
      </c>
      <c r="EK45" s="644">
        <f>IFERROR(
SUM(EJ45,
SUMIF(防護具!$Y$30:$Y$212,EK$17&amp;"ニトリルグローブ",防護具!$Q$30:$Q$212),
SUMIF(防護具!$Y$30:$Y$212,EK$17&amp;"プラスチックグローブ等",防護具!$Q$30:$Q$212))-EJ44,0)</f>
        <v>0</v>
      </c>
      <c r="EL45" s="644">
        <f>IFERROR(
SUM(EK45,
SUMIF(防護具!$Y$30:$Y$212,EL$17&amp;"ニトリルグローブ",防護具!$Q$30:$Q$212),
SUMIF(防護具!$Y$30:$Y$212,EL$17&amp;"プラスチックグローブ等",防護具!$Q$30:$Q$212))-EK44,0)</f>
        <v>0</v>
      </c>
      <c r="EM45" s="644">
        <f>IFERROR(
SUM(EL45,
SUMIF(防護具!$Y$30:$Y$212,EM$17&amp;"ニトリルグローブ",防護具!$Q$30:$Q$212),
SUMIF(防護具!$Y$30:$Y$212,EM$17&amp;"プラスチックグローブ等",防護具!$Q$30:$Q$212))-EL44,0)</f>
        <v>0</v>
      </c>
      <c r="EN45" s="644">
        <f>IFERROR(
SUM(EM45,
SUMIF(防護具!$Y$30:$Y$212,EN$17&amp;"ニトリルグローブ",防護具!$Q$30:$Q$212),
SUMIF(防護具!$Y$30:$Y$212,EN$17&amp;"プラスチックグローブ等",防護具!$Q$30:$Q$212))-EM44,0)</f>
        <v>0</v>
      </c>
      <c r="EO45" s="644">
        <f>IFERROR(
SUM(EN45,
SUMIF(防護具!$Y$30:$Y$212,EO$17&amp;"ニトリルグローブ",防護具!$Q$30:$Q$212),
SUMIF(防護具!$Y$30:$Y$212,EO$17&amp;"プラスチックグローブ等",防護具!$Q$30:$Q$212))-EN44,0)</f>
        <v>0</v>
      </c>
      <c r="EP45" s="644">
        <f>IFERROR(
SUM(EO45,
SUMIF(防護具!$Y$30:$Y$212,EP$17&amp;"ニトリルグローブ",防護具!$Q$30:$Q$212),
SUMIF(防護具!$Y$30:$Y$212,EP$17&amp;"プラスチックグローブ等",防護具!$Q$30:$Q$212))-EO44,0)</f>
        <v>0</v>
      </c>
      <c r="EQ45" s="644">
        <f>IFERROR(
SUM(EP45,
SUMIF(防護具!$Y$30:$Y$212,EQ$17&amp;"ニトリルグローブ",防護具!$Q$30:$Q$212),
SUMIF(防護具!$Y$30:$Y$212,EQ$17&amp;"プラスチックグローブ等",防護具!$Q$30:$Q$212))-EP44,0)</f>
        <v>0</v>
      </c>
      <c r="ER45" s="644">
        <f>IFERROR(
SUM(EQ45,
SUMIF(防護具!$Y$30:$Y$212,ER$17&amp;"ニトリルグローブ",防護具!$Q$30:$Q$212),
SUMIF(防護具!$Y$30:$Y$212,ER$17&amp;"プラスチックグローブ等",防護具!$Q$30:$Q$212))-EQ44,0)</f>
        <v>0</v>
      </c>
      <c r="ES45" s="644">
        <f>IFERROR(
SUM(ER45,
SUMIF(防護具!$Y$30:$Y$212,ES$17&amp;"ニトリルグローブ",防護具!$Q$30:$Q$212),
SUMIF(防護具!$Y$30:$Y$212,ES$17&amp;"プラスチックグローブ等",防護具!$Q$30:$Q$212))-ER44,0)</f>
        <v>0</v>
      </c>
      <c r="ET45" s="644">
        <f>IFERROR(
SUM(ES45,
SUMIF(防護具!$Y$30:$Y$212,ET$17&amp;"ニトリルグローブ",防護具!$Q$30:$Q$212),
SUMIF(防護具!$Y$30:$Y$212,ET$17&amp;"プラスチックグローブ等",防護具!$Q$30:$Q$212))-ES44,0)</f>
        <v>0</v>
      </c>
      <c r="EU45" s="644">
        <f>IFERROR(
SUM(ET45,
SUMIF(防護具!$Y$30:$Y$212,EU$17&amp;"ニトリルグローブ",防護具!$Q$30:$Q$212),
SUMIF(防護具!$Y$30:$Y$212,EU$17&amp;"プラスチックグローブ等",防護具!$Q$30:$Q$212))-ET44,0)</f>
        <v>0</v>
      </c>
      <c r="EV45" s="644">
        <f>IFERROR(
SUM(EU45,
SUMIF(防護具!$Y$30:$Y$212,EV$17&amp;"ニトリルグローブ",防護具!$Q$30:$Q$212),
SUMIF(防護具!$Y$30:$Y$212,EV$17&amp;"プラスチックグローブ等",防護具!$Q$30:$Q$212))-EU44,0)</f>
        <v>0</v>
      </c>
      <c r="EW45" s="644">
        <f>IFERROR(
SUM(EV45,
SUMIF(防護具!$Y$30:$Y$212,EW$17&amp;"ニトリルグローブ",防護具!$Q$30:$Q$212),
SUMIF(防護具!$Y$30:$Y$212,EW$17&amp;"プラスチックグローブ等",防護具!$Q$30:$Q$212))-EV44,0)</f>
        <v>0</v>
      </c>
      <c r="EX45" s="644">
        <f>IFERROR(
SUM(EW45,
SUMIF(防護具!$Y$30:$Y$212,EX$17&amp;"ニトリルグローブ",防護具!$Q$30:$Q$212),
SUMIF(防護具!$Y$30:$Y$212,EX$17&amp;"プラスチックグローブ等",防護具!$Q$30:$Q$212))-EW44,0)</f>
        <v>0</v>
      </c>
      <c r="EY45" s="644">
        <f>IFERROR(
SUM(EX45,
SUMIF(防護具!$Y$30:$Y$212,EY$17&amp;"ニトリルグローブ",防護具!$Q$30:$Q$212),
SUMIF(防護具!$Y$30:$Y$212,EY$17&amp;"プラスチックグローブ等",防護具!$Q$30:$Q$212))-EX44,0)</f>
        <v>0</v>
      </c>
      <c r="EZ45" s="644">
        <f>IFERROR(
SUM(EY45,
SUMIF(防護具!$Y$30:$Y$212,EZ$17&amp;"ニトリルグローブ",防護具!$Q$30:$Q$212),
SUMIF(防護具!$Y$30:$Y$212,EZ$17&amp;"プラスチックグローブ等",防護具!$Q$30:$Q$212))-EY44,0)</f>
        <v>0</v>
      </c>
      <c r="FA45" s="644">
        <f>IFERROR(
SUM(EZ45,
SUMIF(防護具!$Y$30:$Y$212,FA$17&amp;"ニトリルグローブ",防護具!$Q$30:$Q$212),
SUMIF(防護具!$Y$30:$Y$212,FA$17&amp;"プラスチックグローブ等",防護具!$Q$30:$Q$212))-EZ44,0)</f>
        <v>0</v>
      </c>
      <c r="FB45" s="644">
        <f>IFERROR(
SUM(FA45,
SUMIF(防護具!$Y$30:$Y$212,FB$17&amp;"ニトリルグローブ",防護具!$Q$30:$Q$212),
SUMIF(防護具!$Y$30:$Y$212,FB$17&amp;"プラスチックグローブ等",防護具!$Q$30:$Q$212))-FA44,0)</f>
        <v>0</v>
      </c>
      <c r="FC45" s="644">
        <f>IFERROR(
SUM(FB45,
SUMIF(防護具!$Y$30:$Y$212,FC$17&amp;"ニトリルグローブ",防護具!$Q$30:$Q$212),
SUMIF(防護具!$Y$30:$Y$212,FC$17&amp;"プラスチックグローブ等",防護具!$Q$30:$Q$212))-FB44,0)</f>
        <v>0</v>
      </c>
      <c r="FD45" s="644">
        <f>IFERROR(
SUM(FC45,
SUMIF(防護具!$Y$30:$Y$212,FD$17&amp;"ニトリルグローブ",防護具!$Q$30:$Q$212),
SUMIF(防護具!$Y$30:$Y$212,FD$17&amp;"プラスチックグローブ等",防護具!$Q$30:$Q$212))-FC44,0)</f>
        <v>0</v>
      </c>
      <c r="FE45" s="644">
        <f>IFERROR(
SUM(FD45,
SUMIF(防護具!$Y$30:$Y$212,FE$17&amp;"ニトリルグローブ",防護具!$Q$30:$Q$212),
SUMIF(防護具!$Y$30:$Y$212,FE$17&amp;"プラスチックグローブ等",防護具!$Q$30:$Q$212))-FD44,0)</f>
        <v>0</v>
      </c>
      <c r="FF45" s="644">
        <f>IFERROR(
SUM(FE45,
SUMIF(防護具!$Y$30:$Y$212,FF$17&amp;"ニトリルグローブ",防護具!$Q$30:$Q$212),
SUMIF(防護具!$Y$30:$Y$212,FF$17&amp;"プラスチックグローブ等",防護具!$Q$30:$Q$212))-FE44,0)</f>
        <v>0</v>
      </c>
      <c r="FG45" s="644">
        <f>IFERROR(
SUM(FF45,
SUMIF(防護具!$Y$30:$Y$212,FG$17&amp;"ニトリルグローブ",防護具!$Q$30:$Q$212),
SUMIF(防護具!$Y$30:$Y$212,FG$17&amp;"プラスチックグローブ等",防護具!$Q$30:$Q$212))-FF44,0)</f>
        <v>0</v>
      </c>
      <c r="FH45" s="644">
        <f>IFERROR(
SUM(FG45,
SUMIF(防護具!$Y$30:$Y$212,FH$17&amp;"ニトリルグローブ",防護具!$Q$30:$Q$212),
SUMIF(防護具!$Y$30:$Y$212,FH$17&amp;"プラスチックグローブ等",防護具!$Q$30:$Q$212))-FG44,0)</f>
        <v>0</v>
      </c>
      <c r="FI45" s="644">
        <f>IFERROR(
SUM(FH45,
SUMIF(防護具!$Y$30:$Y$212,FI$17&amp;"ニトリルグローブ",防護具!$Q$30:$Q$212),
SUMIF(防護具!$Y$30:$Y$212,FI$17&amp;"プラスチックグローブ等",防護具!$Q$30:$Q$212))-FH44,0)</f>
        <v>0</v>
      </c>
      <c r="FJ45" s="644">
        <f>IFERROR(
SUM(FI45,
SUMIF(防護具!$Y$30:$Y$212,FJ$17&amp;"ニトリルグローブ",防護具!$Q$30:$Q$212),
SUMIF(防護具!$Y$30:$Y$212,FJ$17&amp;"プラスチックグローブ等",防護具!$Q$30:$Q$212))-FI44,0)</f>
        <v>0</v>
      </c>
      <c r="FK45" s="644">
        <f>IFERROR(
SUM(FJ45,
SUMIF(防護具!$Y$30:$Y$212,FK$17&amp;"ニトリルグローブ",防護具!$Q$30:$Q$212),
SUMIF(防護具!$Y$30:$Y$212,FK$17&amp;"プラスチックグローブ等",防護具!$Q$30:$Q$212))-FJ44,0)</f>
        <v>0</v>
      </c>
      <c r="FL45" s="644">
        <f>IFERROR(
SUM(FK45,
SUMIF(防護具!$Y$30:$Y$212,FL$17&amp;"ニトリルグローブ",防護具!$Q$30:$Q$212),
SUMIF(防護具!$Y$30:$Y$212,FL$17&amp;"プラスチックグローブ等",防護具!$Q$30:$Q$212))-FK44,0)</f>
        <v>0</v>
      </c>
      <c r="FM45" s="644">
        <f>IFERROR(
SUM(FL45,
SUMIF(防護具!$Y$30:$Y$212,FM$17&amp;"ニトリルグローブ",防護具!$Q$30:$Q$212),
SUMIF(防護具!$Y$30:$Y$212,FM$17&amp;"プラスチックグローブ等",防護具!$Q$30:$Q$212))-FL44,0)</f>
        <v>0</v>
      </c>
      <c r="FN45" s="644">
        <f>IFERROR(
SUM(FM45,
SUMIF(防護具!$Y$30:$Y$212,FN$17&amp;"ニトリルグローブ",防護具!$Q$30:$Q$212),
SUMIF(防護具!$Y$30:$Y$212,FN$17&amp;"プラスチックグローブ等",防護具!$Q$30:$Q$212))-FM44,0)</f>
        <v>0</v>
      </c>
      <c r="FO45" s="644">
        <f>IFERROR(
SUM(FN45,
SUMIF(防護具!$Y$30:$Y$212,FO$17&amp;"ニトリルグローブ",防護具!$Q$30:$Q$212),
SUMIF(防護具!$Y$30:$Y$212,FO$17&amp;"プラスチックグローブ等",防護具!$Q$30:$Q$212))-FN44,0)</f>
        <v>0</v>
      </c>
      <c r="FP45" s="644">
        <f>IFERROR(
SUM(FO45,
SUMIF(防護具!$Y$30:$Y$212,FP$17&amp;"ニトリルグローブ",防護具!$Q$30:$Q$212),
SUMIF(防護具!$Y$30:$Y$212,FP$17&amp;"プラスチックグローブ等",防護具!$Q$30:$Q$212))-FO44,0)</f>
        <v>0</v>
      </c>
      <c r="FQ45" s="644">
        <f>IFERROR(
SUM(FP45,
SUMIF(防護具!$Y$30:$Y$212,FQ$17&amp;"ニトリルグローブ",防護具!$Q$30:$Q$212),
SUMIF(防護具!$Y$30:$Y$212,FQ$17&amp;"プラスチックグローブ等",防護具!$Q$30:$Q$212))-FP44,0)</f>
        <v>0</v>
      </c>
      <c r="FR45" s="644">
        <f>IFERROR(
SUM(FQ45,
SUMIF(防護具!$Y$30:$Y$212,FR$17&amp;"ニトリルグローブ",防護具!$Q$30:$Q$212),
SUMIF(防護具!$Y$30:$Y$212,FR$17&amp;"プラスチックグローブ等",防護具!$Q$30:$Q$212))-FQ44,0)</f>
        <v>0</v>
      </c>
      <c r="FS45" s="644">
        <f>IFERROR(
SUM(FR45,
SUMIF(防護具!$Y$30:$Y$212,FS$17&amp;"ニトリルグローブ",防護具!$Q$30:$Q$212),
SUMIF(防護具!$Y$30:$Y$212,FS$17&amp;"プラスチックグローブ等",防護具!$Q$30:$Q$212))-FR44,0)</f>
        <v>0</v>
      </c>
      <c r="FT45" s="644">
        <f>IFERROR(
SUM(FS45,
SUMIF(防護具!$Y$30:$Y$212,FT$17&amp;"ニトリルグローブ",防護具!$Q$30:$Q$212),
SUMIF(防護具!$Y$30:$Y$212,FT$17&amp;"プラスチックグローブ等",防護具!$Q$30:$Q$212))-FS44,0)</f>
        <v>0</v>
      </c>
      <c r="FU45" s="644">
        <f>IFERROR(
SUM(FT45,
SUMIF(防護具!$Y$30:$Y$212,FU$17&amp;"ニトリルグローブ",防護具!$Q$30:$Q$212),
SUMIF(防護具!$Y$30:$Y$212,FU$17&amp;"プラスチックグローブ等",防護具!$Q$30:$Q$212))-FT44,0)</f>
        <v>0</v>
      </c>
      <c r="FV45" s="644">
        <f>IFERROR(
SUM(FU45,
SUMIF(防護具!$Y$30:$Y$212,FV$17&amp;"ニトリルグローブ",防護具!$Q$30:$Q$212),
SUMIF(防護具!$Y$30:$Y$212,FV$17&amp;"プラスチックグローブ等",防護具!$Q$30:$Q$212))-FU44,0)</f>
        <v>0</v>
      </c>
      <c r="FW45" s="644">
        <f>IFERROR(
SUM(FV45,
SUMIF(防護具!$Y$30:$Y$212,FW$17&amp;"ニトリルグローブ",防護具!$Q$30:$Q$212),
SUMIF(防護具!$Y$30:$Y$212,FW$17&amp;"プラスチックグローブ等",防護具!$Q$30:$Q$212))-FV44,0)</f>
        <v>0</v>
      </c>
      <c r="FX45" s="644">
        <f>IFERROR(
SUM(FW45,
SUMIF(防護具!$Y$30:$Y$212,FX$17&amp;"ニトリルグローブ",防護具!$Q$30:$Q$212),
SUMIF(防護具!$Y$30:$Y$212,FX$17&amp;"プラスチックグローブ等",防護具!$Q$30:$Q$212))-FW44,0)</f>
        <v>0</v>
      </c>
      <c r="FY45" s="644">
        <f>IFERROR(
SUM(FX45,
SUMIF(防護具!$Y$30:$Y$212,FY$17&amp;"ニトリルグローブ",防護具!$Q$30:$Q$212),
SUMIF(防護具!$Y$30:$Y$212,FY$17&amp;"プラスチックグローブ等",防護具!$Q$30:$Q$212))-FX44,0)</f>
        <v>0</v>
      </c>
      <c r="FZ45" s="644">
        <f>IFERROR(
SUM(FY45,
SUMIF(防護具!$Y$30:$Y$212,FZ$17&amp;"ニトリルグローブ",防護具!$Q$30:$Q$212),
SUMIF(防護具!$Y$30:$Y$212,FZ$17&amp;"プラスチックグローブ等",防護具!$Q$30:$Q$212))-FY44,0)</f>
        <v>0</v>
      </c>
      <c r="GA45" s="644">
        <f>IFERROR(
SUM(FZ45,
SUMIF(防護具!$Y$30:$Y$212,GA$17&amp;"ニトリルグローブ",防護具!$Q$30:$Q$212),
SUMIF(防護具!$Y$30:$Y$212,GA$17&amp;"プラスチックグローブ等",防護具!$Q$30:$Q$212))-FZ44,0)</f>
        <v>0</v>
      </c>
      <c r="GB45" s="644">
        <f>IFERROR(
SUM(GA45,
SUMIF(防護具!$Y$30:$Y$212,GB$17&amp;"ニトリルグローブ",防護具!$Q$30:$Q$212),
SUMIF(防護具!$Y$30:$Y$212,GB$17&amp;"プラスチックグローブ等",防護具!$Q$30:$Q$212))-GA44,0)</f>
        <v>0</v>
      </c>
      <c r="GC45" s="644">
        <f>IFERROR(
SUM(GB45,
SUMIF(防護具!$Y$30:$Y$212,GC$17&amp;"ニトリルグローブ",防護具!$Q$30:$Q$212),
SUMIF(防護具!$Y$30:$Y$212,GC$17&amp;"プラスチックグローブ等",防護具!$Q$30:$Q$212))-GB44,0)</f>
        <v>0</v>
      </c>
      <c r="GD45" s="644">
        <f>IFERROR(
SUM(GC45,
SUMIF(防護具!$Y$30:$Y$212,GD$17&amp;"ニトリルグローブ",防護具!$Q$30:$Q$212),
SUMIF(防護具!$Y$30:$Y$212,GD$17&amp;"プラスチックグローブ等",防護具!$Q$30:$Q$212))-GC44,0)</f>
        <v>0</v>
      </c>
      <c r="GE45" s="644">
        <f>IFERROR(
SUM(GD45,
SUMIF(防護具!$Y$30:$Y$212,GE$17&amp;"ニトリルグローブ",防護具!$Q$30:$Q$212),
SUMIF(防護具!$Y$30:$Y$212,GE$17&amp;"プラスチックグローブ等",防護具!$Q$30:$Q$212))-GD44,0)</f>
        <v>0</v>
      </c>
      <c r="GF45" s="644">
        <f>IFERROR(
SUM(GE45,
SUMIF(防護具!$Y$30:$Y$212,GF$17&amp;"ニトリルグローブ",防護具!$Q$30:$Q$212),
SUMIF(防護具!$Y$30:$Y$212,GF$17&amp;"プラスチックグローブ等",防護具!$Q$30:$Q$212))-GE44,0)</f>
        <v>0</v>
      </c>
      <c r="GG45" s="644">
        <f>IFERROR(
SUM(GF45,
SUMIF(防護具!$Y$30:$Y$212,GG$17&amp;"ニトリルグローブ",防護具!$Q$30:$Q$212),
SUMIF(防護具!$Y$30:$Y$212,GG$17&amp;"プラスチックグローブ等",防護具!$Q$30:$Q$212))-GF44,0)</f>
        <v>0</v>
      </c>
      <c r="GH45" s="644">
        <f>IFERROR(
SUM(GG45,
SUMIF(防護具!$Y$30:$Y$212,GH$17&amp;"ニトリルグローブ",防護具!$Q$30:$Q$212),
SUMIF(防護具!$Y$30:$Y$212,GH$17&amp;"プラスチックグローブ等",防護具!$Q$30:$Q$212))-GG44,0)</f>
        <v>0</v>
      </c>
      <c r="GI45" s="644">
        <f>IFERROR(
SUM(GH45,
SUMIF(防護具!$Y$30:$Y$212,GI$17&amp;"ニトリルグローブ",防護具!$Q$30:$Q$212),
SUMIF(防護具!$Y$30:$Y$212,GI$17&amp;"プラスチックグローブ等",防護具!$Q$30:$Q$212))-GH44,0)</f>
        <v>0</v>
      </c>
      <c r="GJ45" s="644">
        <f>IFERROR(
SUM(GI45,
SUMIF(防護具!$Y$30:$Y$212,GJ$17&amp;"ニトリルグローブ",防護具!$Q$30:$Q$212),
SUMIF(防護具!$Y$30:$Y$212,GJ$17&amp;"プラスチックグローブ等",防護具!$Q$30:$Q$212))-GI44,0)</f>
        <v>0</v>
      </c>
    </row>
    <row r="46" spans="2:192" s="645" customFormat="1">
      <c r="B46" s="654"/>
      <c r="C46" s="643"/>
      <c r="D46" s="769" t="s">
        <v>1468</v>
      </c>
      <c r="E46" s="774"/>
      <c r="F46" s="707"/>
      <c r="G46" s="644">
        <f>SUM(
SUMIF(防護具!$Y$13:$Y$29,G$17&amp;"ニトリルグローブ",防護具!$Q$13:$Q$29),
SUMIF(防護具!$Y$13:$Y$29,G$17&amp;"プラスチックグローブ等",防護具!$Q$13:$Q$29))</f>
        <v>13000</v>
      </c>
      <c r="H46" s="644">
        <f xml:space="preserve">
IF(G46-VLOOKUP($C44,$C$3:$D$15,2,FALSE)*H$22&lt;0,0,G46-VLOOKUP($C44,$C$3:$D$15,2,FALSE)*H$22)</f>
        <v>13000</v>
      </c>
      <c r="I46" s="644">
        <f t="shared" ref="I46:BT46" si="1662" xml:space="preserve">
IF(H46-VLOOKUP($C44,$C$3:$D$15,2,FALSE)*I$22&lt;0,0,H46-VLOOKUP($C44,$C$3:$D$15,2,FALSE)*I$22)</f>
        <v>13000</v>
      </c>
      <c r="J46" s="644">
        <f t="shared" si="1662"/>
        <v>13000</v>
      </c>
      <c r="K46" s="644">
        <f t="shared" si="1662"/>
        <v>13000</v>
      </c>
      <c r="L46" s="644">
        <f t="shared" si="1662"/>
        <v>13000</v>
      </c>
      <c r="M46" s="644">
        <f t="shared" si="1662"/>
        <v>13000</v>
      </c>
      <c r="N46" s="644">
        <f t="shared" si="1662"/>
        <v>13000</v>
      </c>
      <c r="O46" s="644">
        <f t="shared" si="1662"/>
        <v>13000</v>
      </c>
      <c r="P46" s="644">
        <f t="shared" si="1662"/>
        <v>13000</v>
      </c>
      <c r="Q46" s="644">
        <f t="shared" si="1662"/>
        <v>13000</v>
      </c>
      <c r="R46" s="644">
        <f t="shared" si="1662"/>
        <v>13000</v>
      </c>
      <c r="S46" s="644">
        <f t="shared" si="1662"/>
        <v>13000</v>
      </c>
      <c r="T46" s="644">
        <f t="shared" si="1662"/>
        <v>13000</v>
      </c>
      <c r="U46" s="644">
        <f t="shared" si="1662"/>
        <v>13000</v>
      </c>
      <c r="V46" s="644">
        <f t="shared" si="1662"/>
        <v>13000</v>
      </c>
      <c r="W46" s="644">
        <f t="shared" si="1662"/>
        <v>13000</v>
      </c>
      <c r="X46" s="644">
        <f t="shared" si="1662"/>
        <v>13000</v>
      </c>
      <c r="Y46" s="644">
        <f t="shared" si="1662"/>
        <v>13000</v>
      </c>
      <c r="Z46" s="644">
        <f t="shared" si="1662"/>
        <v>13000</v>
      </c>
      <c r="AA46" s="644">
        <f t="shared" si="1662"/>
        <v>13000</v>
      </c>
      <c r="AB46" s="644">
        <f t="shared" si="1662"/>
        <v>13000</v>
      </c>
      <c r="AC46" s="644">
        <f t="shared" si="1662"/>
        <v>13000</v>
      </c>
      <c r="AD46" s="644">
        <f t="shared" si="1662"/>
        <v>13000</v>
      </c>
      <c r="AE46" s="644">
        <f t="shared" si="1662"/>
        <v>13000</v>
      </c>
      <c r="AF46" s="644">
        <f t="shared" si="1662"/>
        <v>13000</v>
      </c>
      <c r="AG46" s="644">
        <f t="shared" si="1662"/>
        <v>13000</v>
      </c>
      <c r="AH46" s="644">
        <f t="shared" si="1662"/>
        <v>13000</v>
      </c>
      <c r="AI46" s="644">
        <f t="shared" si="1662"/>
        <v>13000</v>
      </c>
      <c r="AJ46" s="644">
        <f t="shared" si="1662"/>
        <v>13000</v>
      </c>
      <c r="AK46" s="644">
        <f t="shared" si="1662"/>
        <v>13000</v>
      </c>
      <c r="AL46" s="644">
        <f t="shared" si="1662"/>
        <v>13000</v>
      </c>
      <c r="AM46" s="644">
        <f t="shared" si="1662"/>
        <v>13000</v>
      </c>
      <c r="AN46" s="644">
        <f t="shared" si="1662"/>
        <v>13000</v>
      </c>
      <c r="AO46" s="644">
        <f t="shared" si="1662"/>
        <v>13000</v>
      </c>
      <c r="AP46" s="644">
        <f t="shared" si="1662"/>
        <v>13000</v>
      </c>
      <c r="AQ46" s="644">
        <f t="shared" si="1662"/>
        <v>13000</v>
      </c>
      <c r="AR46" s="644">
        <f t="shared" si="1662"/>
        <v>13000</v>
      </c>
      <c r="AS46" s="644">
        <f t="shared" si="1662"/>
        <v>13000</v>
      </c>
      <c r="AT46" s="644">
        <f t="shared" si="1662"/>
        <v>13000</v>
      </c>
      <c r="AU46" s="644">
        <f t="shared" si="1662"/>
        <v>13000</v>
      </c>
      <c r="AV46" s="644">
        <f t="shared" si="1662"/>
        <v>13000</v>
      </c>
      <c r="AW46" s="644">
        <f t="shared" si="1662"/>
        <v>13000</v>
      </c>
      <c r="AX46" s="644">
        <f t="shared" si="1662"/>
        <v>13000</v>
      </c>
      <c r="AY46" s="644">
        <f t="shared" si="1662"/>
        <v>13000</v>
      </c>
      <c r="AZ46" s="644">
        <f t="shared" si="1662"/>
        <v>13000</v>
      </c>
      <c r="BA46" s="644">
        <f t="shared" si="1662"/>
        <v>13000</v>
      </c>
      <c r="BB46" s="644">
        <f t="shared" si="1662"/>
        <v>13000</v>
      </c>
      <c r="BC46" s="644">
        <f t="shared" si="1662"/>
        <v>13000</v>
      </c>
      <c r="BD46" s="644">
        <f t="shared" si="1662"/>
        <v>13000</v>
      </c>
      <c r="BE46" s="644">
        <f t="shared" si="1662"/>
        <v>13000</v>
      </c>
      <c r="BF46" s="644">
        <f t="shared" si="1662"/>
        <v>13000</v>
      </c>
      <c r="BG46" s="644">
        <f t="shared" si="1662"/>
        <v>13000</v>
      </c>
      <c r="BH46" s="644">
        <f t="shared" si="1662"/>
        <v>13000</v>
      </c>
      <c r="BI46" s="644">
        <f t="shared" si="1662"/>
        <v>13000</v>
      </c>
      <c r="BJ46" s="644">
        <f t="shared" si="1662"/>
        <v>13000</v>
      </c>
      <c r="BK46" s="644">
        <f t="shared" si="1662"/>
        <v>13000</v>
      </c>
      <c r="BL46" s="644">
        <f t="shared" si="1662"/>
        <v>13000</v>
      </c>
      <c r="BM46" s="644">
        <f t="shared" si="1662"/>
        <v>13000</v>
      </c>
      <c r="BN46" s="644">
        <f t="shared" si="1662"/>
        <v>13000</v>
      </c>
      <c r="BO46" s="644">
        <f t="shared" si="1662"/>
        <v>13000</v>
      </c>
      <c r="BP46" s="644">
        <f t="shared" si="1662"/>
        <v>13000</v>
      </c>
      <c r="BQ46" s="644">
        <f t="shared" si="1662"/>
        <v>13000</v>
      </c>
      <c r="BR46" s="644">
        <f t="shared" si="1662"/>
        <v>13000</v>
      </c>
      <c r="BS46" s="644">
        <f t="shared" si="1662"/>
        <v>13000</v>
      </c>
      <c r="BT46" s="644">
        <f t="shared" si="1662"/>
        <v>13000</v>
      </c>
      <c r="BU46" s="644">
        <f t="shared" ref="BU46:EF46" si="1663" xml:space="preserve">
IF(BT46-VLOOKUP($C44,$C$3:$D$15,2,FALSE)*BU$22&lt;0,0,BT46-VLOOKUP($C44,$C$3:$D$15,2,FALSE)*BU$22)</f>
        <v>13000</v>
      </c>
      <c r="BV46" s="644">
        <f t="shared" si="1663"/>
        <v>13000</v>
      </c>
      <c r="BW46" s="644">
        <f t="shared" si="1663"/>
        <v>13000</v>
      </c>
      <c r="BX46" s="644">
        <f t="shared" si="1663"/>
        <v>13000</v>
      </c>
      <c r="BY46" s="644">
        <f t="shared" si="1663"/>
        <v>13000</v>
      </c>
      <c r="BZ46" s="644">
        <f t="shared" si="1663"/>
        <v>13000</v>
      </c>
      <c r="CA46" s="644">
        <f t="shared" si="1663"/>
        <v>13000</v>
      </c>
      <c r="CB46" s="644">
        <f t="shared" si="1663"/>
        <v>13000</v>
      </c>
      <c r="CC46" s="644">
        <f t="shared" si="1663"/>
        <v>13000</v>
      </c>
      <c r="CD46" s="644">
        <f t="shared" si="1663"/>
        <v>13000</v>
      </c>
      <c r="CE46" s="644">
        <f t="shared" si="1663"/>
        <v>13000</v>
      </c>
      <c r="CF46" s="644">
        <f t="shared" si="1663"/>
        <v>13000</v>
      </c>
      <c r="CG46" s="644">
        <f t="shared" si="1663"/>
        <v>13000</v>
      </c>
      <c r="CH46" s="644">
        <f t="shared" si="1663"/>
        <v>13000</v>
      </c>
      <c r="CI46" s="644">
        <f t="shared" si="1663"/>
        <v>13000</v>
      </c>
      <c r="CJ46" s="644">
        <f t="shared" si="1663"/>
        <v>13000</v>
      </c>
      <c r="CK46" s="644">
        <f t="shared" si="1663"/>
        <v>13000</v>
      </c>
      <c r="CL46" s="644">
        <f t="shared" si="1663"/>
        <v>13000</v>
      </c>
      <c r="CM46" s="644">
        <f t="shared" si="1663"/>
        <v>13000</v>
      </c>
      <c r="CN46" s="644">
        <f t="shared" si="1663"/>
        <v>13000</v>
      </c>
      <c r="CO46" s="644">
        <f t="shared" si="1663"/>
        <v>13000</v>
      </c>
      <c r="CP46" s="644">
        <f t="shared" si="1663"/>
        <v>13000</v>
      </c>
      <c r="CQ46" s="644">
        <f t="shared" si="1663"/>
        <v>13000</v>
      </c>
      <c r="CR46" s="644">
        <f t="shared" si="1663"/>
        <v>13000</v>
      </c>
      <c r="CS46" s="644">
        <f t="shared" si="1663"/>
        <v>13000</v>
      </c>
      <c r="CT46" s="644">
        <f t="shared" si="1663"/>
        <v>13000</v>
      </c>
      <c r="CU46" s="644">
        <f t="shared" si="1663"/>
        <v>13000</v>
      </c>
      <c r="CV46" s="644">
        <f t="shared" si="1663"/>
        <v>13000</v>
      </c>
      <c r="CW46" s="644">
        <f t="shared" si="1663"/>
        <v>13000</v>
      </c>
      <c r="CX46" s="644">
        <f t="shared" si="1663"/>
        <v>13000</v>
      </c>
      <c r="CY46" s="644">
        <f t="shared" si="1663"/>
        <v>13000</v>
      </c>
      <c r="CZ46" s="644">
        <f t="shared" si="1663"/>
        <v>13000</v>
      </c>
      <c r="DA46" s="644">
        <f t="shared" si="1663"/>
        <v>13000</v>
      </c>
      <c r="DB46" s="644">
        <f t="shared" si="1663"/>
        <v>13000</v>
      </c>
      <c r="DC46" s="644">
        <f t="shared" si="1663"/>
        <v>13000</v>
      </c>
      <c r="DD46" s="644">
        <f t="shared" si="1663"/>
        <v>13000</v>
      </c>
      <c r="DE46" s="644">
        <f t="shared" si="1663"/>
        <v>13000</v>
      </c>
      <c r="DF46" s="644">
        <f t="shared" si="1663"/>
        <v>13000</v>
      </c>
      <c r="DG46" s="644">
        <f t="shared" si="1663"/>
        <v>13000</v>
      </c>
      <c r="DH46" s="644">
        <f t="shared" si="1663"/>
        <v>13000</v>
      </c>
      <c r="DI46" s="644">
        <f t="shared" si="1663"/>
        <v>13000</v>
      </c>
      <c r="DJ46" s="644">
        <f t="shared" si="1663"/>
        <v>13000</v>
      </c>
      <c r="DK46" s="644">
        <f t="shared" si="1663"/>
        <v>13000</v>
      </c>
      <c r="DL46" s="644">
        <f t="shared" si="1663"/>
        <v>13000</v>
      </c>
      <c r="DM46" s="644">
        <f t="shared" si="1663"/>
        <v>13000</v>
      </c>
      <c r="DN46" s="644">
        <f t="shared" si="1663"/>
        <v>13000</v>
      </c>
      <c r="DO46" s="644">
        <f t="shared" si="1663"/>
        <v>13000</v>
      </c>
      <c r="DP46" s="644">
        <f t="shared" si="1663"/>
        <v>13000</v>
      </c>
      <c r="DQ46" s="644">
        <f t="shared" si="1663"/>
        <v>13000</v>
      </c>
      <c r="DR46" s="644">
        <f t="shared" si="1663"/>
        <v>13000</v>
      </c>
      <c r="DS46" s="644">
        <f t="shared" si="1663"/>
        <v>13000</v>
      </c>
      <c r="DT46" s="644">
        <f t="shared" si="1663"/>
        <v>13000</v>
      </c>
      <c r="DU46" s="644">
        <f t="shared" si="1663"/>
        <v>13000</v>
      </c>
      <c r="DV46" s="644">
        <f t="shared" si="1663"/>
        <v>13000</v>
      </c>
      <c r="DW46" s="644">
        <f t="shared" si="1663"/>
        <v>13000</v>
      </c>
      <c r="DX46" s="644">
        <f t="shared" si="1663"/>
        <v>13000</v>
      </c>
      <c r="DY46" s="644">
        <f t="shared" si="1663"/>
        <v>13000</v>
      </c>
      <c r="DZ46" s="644">
        <f t="shared" si="1663"/>
        <v>13000</v>
      </c>
      <c r="EA46" s="644">
        <f t="shared" si="1663"/>
        <v>13000</v>
      </c>
      <c r="EB46" s="644">
        <f t="shared" si="1663"/>
        <v>13000</v>
      </c>
      <c r="EC46" s="644">
        <f t="shared" si="1663"/>
        <v>13000</v>
      </c>
      <c r="ED46" s="644">
        <f t="shared" si="1663"/>
        <v>13000</v>
      </c>
      <c r="EE46" s="644">
        <f t="shared" si="1663"/>
        <v>13000</v>
      </c>
      <c r="EF46" s="644">
        <f t="shared" si="1663"/>
        <v>13000</v>
      </c>
      <c r="EG46" s="644">
        <f t="shared" ref="EG46:GJ46" si="1664" xml:space="preserve">
IF(EF46-VLOOKUP($C44,$C$3:$D$15,2,FALSE)*EG$22&lt;0,0,EF46-VLOOKUP($C44,$C$3:$D$15,2,FALSE)*EG$22)</f>
        <v>13000</v>
      </c>
      <c r="EH46" s="644">
        <f t="shared" si="1664"/>
        <v>13000</v>
      </c>
      <c r="EI46" s="644">
        <f t="shared" si="1664"/>
        <v>13000</v>
      </c>
      <c r="EJ46" s="644">
        <f t="shared" si="1664"/>
        <v>13000</v>
      </c>
      <c r="EK46" s="644">
        <f t="shared" si="1664"/>
        <v>13000</v>
      </c>
      <c r="EL46" s="644">
        <f t="shared" si="1664"/>
        <v>13000</v>
      </c>
      <c r="EM46" s="644">
        <f t="shared" si="1664"/>
        <v>13000</v>
      </c>
      <c r="EN46" s="644">
        <f t="shared" si="1664"/>
        <v>13000</v>
      </c>
      <c r="EO46" s="644">
        <f t="shared" si="1664"/>
        <v>13000</v>
      </c>
      <c r="EP46" s="644">
        <f t="shared" si="1664"/>
        <v>13000</v>
      </c>
      <c r="EQ46" s="644">
        <f t="shared" si="1664"/>
        <v>13000</v>
      </c>
      <c r="ER46" s="644">
        <f t="shared" si="1664"/>
        <v>13000</v>
      </c>
      <c r="ES46" s="644">
        <f t="shared" si="1664"/>
        <v>13000</v>
      </c>
      <c r="ET46" s="644">
        <f t="shared" si="1664"/>
        <v>13000</v>
      </c>
      <c r="EU46" s="644">
        <f t="shared" si="1664"/>
        <v>13000</v>
      </c>
      <c r="EV46" s="644">
        <f t="shared" si="1664"/>
        <v>13000</v>
      </c>
      <c r="EW46" s="644">
        <f t="shared" si="1664"/>
        <v>13000</v>
      </c>
      <c r="EX46" s="644">
        <f t="shared" si="1664"/>
        <v>13000</v>
      </c>
      <c r="EY46" s="644">
        <f t="shared" si="1664"/>
        <v>13000</v>
      </c>
      <c r="EZ46" s="644">
        <f t="shared" si="1664"/>
        <v>13000</v>
      </c>
      <c r="FA46" s="644">
        <f t="shared" si="1664"/>
        <v>13000</v>
      </c>
      <c r="FB46" s="644">
        <f t="shared" si="1664"/>
        <v>13000</v>
      </c>
      <c r="FC46" s="644">
        <f t="shared" si="1664"/>
        <v>13000</v>
      </c>
      <c r="FD46" s="644">
        <f t="shared" si="1664"/>
        <v>13000</v>
      </c>
      <c r="FE46" s="644">
        <f t="shared" si="1664"/>
        <v>13000</v>
      </c>
      <c r="FF46" s="644">
        <f t="shared" si="1664"/>
        <v>13000</v>
      </c>
      <c r="FG46" s="644">
        <f t="shared" si="1664"/>
        <v>13000</v>
      </c>
      <c r="FH46" s="644">
        <f t="shared" si="1664"/>
        <v>13000</v>
      </c>
      <c r="FI46" s="644">
        <f t="shared" si="1664"/>
        <v>13000</v>
      </c>
      <c r="FJ46" s="644">
        <f t="shared" si="1664"/>
        <v>13000</v>
      </c>
      <c r="FK46" s="644">
        <f t="shared" si="1664"/>
        <v>13000</v>
      </c>
      <c r="FL46" s="644">
        <f t="shared" si="1664"/>
        <v>13000</v>
      </c>
      <c r="FM46" s="644">
        <f t="shared" si="1664"/>
        <v>13000</v>
      </c>
      <c r="FN46" s="644">
        <f t="shared" si="1664"/>
        <v>13000</v>
      </c>
      <c r="FO46" s="644">
        <f t="shared" si="1664"/>
        <v>13000</v>
      </c>
      <c r="FP46" s="644">
        <f t="shared" si="1664"/>
        <v>13000</v>
      </c>
      <c r="FQ46" s="644">
        <f t="shared" si="1664"/>
        <v>13000</v>
      </c>
      <c r="FR46" s="644">
        <f t="shared" si="1664"/>
        <v>13000</v>
      </c>
      <c r="FS46" s="644">
        <f t="shared" si="1664"/>
        <v>13000</v>
      </c>
      <c r="FT46" s="644">
        <f t="shared" si="1664"/>
        <v>13000</v>
      </c>
      <c r="FU46" s="644">
        <f t="shared" si="1664"/>
        <v>13000</v>
      </c>
      <c r="FV46" s="644">
        <f t="shared" si="1664"/>
        <v>13000</v>
      </c>
      <c r="FW46" s="644">
        <f t="shared" si="1664"/>
        <v>13000</v>
      </c>
      <c r="FX46" s="644">
        <f t="shared" si="1664"/>
        <v>13000</v>
      </c>
      <c r="FY46" s="644">
        <f t="shared" si="1664"/>
        <v>13000</v>
      </c>
      <c r="FZ46" s="644">
        <f t="shared" si="1664"/>
        <v>13000</v>
      </c>
      <c r="GA46" s="644">
        <f t="shared" si="1664"/>
        <v>13000</v>
      </c>
      <c r="GB46" s="644">
        <f t="shared" si="1664"/>
        <v>13000</v>
      </c>
      <c r="GC46" s="644">
        <f t="shared" si="1664"/>
        <v>13000</v>
      </c>
      <c r="GD46" s="644">
        <f t="shared" si="1664"/>
        <v>13000</v>
      </c>
      <c r="GE46" s="644">
        <f t="shared" si="1664"/>
        <v>13000</v>
      </c>
      <c r="GF46" s="644">
        <f t="shared" si="1664"/>
        <v>13000</v>
      </c>
      <c r="GG46" s="644">
        <f t="shared" si="1664"/>
        <v>13000</v>
      </c>
      <c r="GH46" s="644">
        <f t="shared" si="1664"/>
        <v>13000</v>
      </c>
      <c r="GI46" s="644">
        <f t="shared" si="1664"/>
        <v>13000</v>
      </c>
      <c r="GJ46" s="644">
        <f t="shared" si="1664"/>
        <v>13000</v>
      </c>
    </row>
    <row r="47" spans="2:192" s="655" customFormat="1">
      <c r="B47" s="656"/>
      <c r="C47" s="641" t="s">
        <v>1332</v>
      </c>
      <c r="D47" s="768" t="s">
        <v>1466</v>
      </c>
      <c r="E47" s="773"/>
      <c r="F47" s="706"/>
      <c r="G47" s="642">
        <f xml:space="preserve">
MIN(G48,
IF((VLOOKUP($C47,$C$3:$D$15,2,FALSE)*G$21-G49)&lt;0,0,VLOOKUP($C47,$C$3:$D$15,2,FALSE)*G$21-G49))</f>
        <v>0</v>
      </c>
      <c r="H47" s="642">
        <f t="shared" ref="H47" si="1665" xml:space="preserve">
IF(G49&gt;=VLOOKUP($C47,$C$3:$D$15,2,FALSE)*H$21,0,
IF(AND(G49&lt;VLOOKUP($C47,$C$3:$D$15,2,FALSE)*H$21,H48&lt;=VLOOKUP($C47,$C$3:$D$15,2,FALSE)*H$21),IF(H48-G49&lt;0,0,H48-G49),
IF(AND(G49&lt;VLOOKUP($C47,$C$3:$D$15,2,FALSE)*H$21,H48&gt;VLOOKUP($C47,$C$3:$D$15,2,FALSE)*H$21),VLOOKUP($C47,$C$3:$D$15,2,FALSE)*H$21-G49)))</f>
        <v>0</v>
      </c>
      <c r="I47" s="642">
        <f t="shared" ref="I47" si="1666" xml:space="preserve">
IF(H49&gt;=VLOOKUP($C47,$C$3:$D$15,2,FALSE)*I$21,0,
IF(AND(H49&lt;VLOOKUP($C47,$C$3:$D$15,2,FALSE)*I$21,I48&lt;=VLOOKUP($C47,$C$3:$D$15,2,FALSE)*I$21),IF(I48-H49&lt;0,0,I48-H49),
IF(AND(H49&lt;VLOOKUP($C47,$C$3:$D$15,2,FALSE)*I$21,I48&gt;VLOOKUP($C47,$C$3:$D$15,2,FALSE)*I$21),VLOOKUP($C47,$C$3:$D$15,2,FALSE)*I$21-H49)))</f>
        <v>0</v>
      </c>
      <c r="J47" s="642">
        <f t="shared" ref="J47" si="1667" xml:space="preserve">
IF(I49&gt;=VLOOKUP($C47,$C$3:$D$15,2,FALSE)*J$21,0,
IF(AND(I49&lt;VLOOKUP($C47,$C$3:$D$15,2,FALSE)*J$21,J48&lt;=VLOOKUP($C47,$C$3:$D$15,2,FALSE)*J$21),IF(J48-I49&lt;0,0,J48-I49),
IF(AND(I49&lt;VLOOKUP($C47,$C$3:$D$15,2,FALSE)*J$21,J48&gt;VLOOKUP($C47,$C$3:$D$15,2,FALSE)*J$21),VLOOKUP($C47,$C$3:$D$15,2,FALSE)*J$21-I49)))</f>
        <v>0</v>
      </c>
      <c r="K47" s="642">
        <f t="shared" ref="K47" si="1668" xml:space="preserve">
IF(J49&gt;=VLOOKUP($C47,$C$3:$D$15,2,FALSE)*K$21,0,
IF(AND(J49&lt;VLOOKUP($C47,$C$3:$D$15,2,FALSE)*K$21,K48&lt;=VLOOKUP($C47,$C$3:$D$15,2,FALSE)*K$21),IF(K48-J49&lt;0,0,K48-J49),
IF(AND(J49&lt;VLOOKUP($C47,$C$3:$D$15,2,FALSE)*K$21,K48&gt;VLOOKUP($C47,$C$3:$D$15,2,FALSE)*K$21),VLOOKUP($C47,$C$3:$D$15,2,FALSE)*K$21-J49)))</f>
        <v>0</v>
      </c>
      <c r="L47" s="642">
        <f t="shared" ref="L47" si="1669" xml:space="preserve">
IF(K49&gt;=VLOOKUP($C47,$C$3:$D$15,2,FALSE)*L$21,0,
IF(AND(K49&lt;VLOOKUP($C47,$C$3:$D$15,2,FALSE)*L$21,L48&lt;=VLOOKUP($C47,$C$3:$D$15,2,FALSE)*L$21),IF(L48-K49&lt;0,0,L48-K49),
IF(AND(K49&lt;VLOOKUP($C47,$C$3:$D$15,2,FALSE)*L$21,L48&gt;VLOOKUP($C47,$C$3:$D$15,2,FALSE)*L$21),VLOOKUP($C47,$C$3:$D$15,2,FALSE)*L$21-K49)))</f>
        <v>0</v>
      </c>
      <c r="M47" s="642">
        <f t="shared" ref="M47" si="1670" xml:space="preserve">
IF(L49&gt;=VLOOKUP($C47,$C$3:$D$15,2,FALSE)*M$21,0,
IF(AND(L49&lt;VLOOKUP($C47,$C$3:$D$15,2,FALSE)*M$21,M48&lt;=VLOOKUP($C47,$C$3:$D$15,2,FALSE)*M$21),IF(M48-L49&lt;0,0,M48-L49),
IF(AND(L49&lt;VLOOKUP($C47,$C$3:$D$15,2,FALSE)*M$21,M48&gt;VLOOKUP($C47,$C$3:$D$15,2,FALSE)*M$21),VLOOKUP($C47,$C$3:$D$15,2,FALSE)*M$21-L49)))</f>
        <v>0</v>
      </c>
      <c r="N47" s="642">
        <f t="shared" ref="N47" si="1671" xml:space="preserve">
IF(M49&gt;=VLOOKUP($C47,$C$3:$D$15,2,FALSE)*N$21,0,
IF(AND(M49&lt;VLOOKUP($C47,$C$3:$D$15,2,FALSE)*N$21,N48&lt;=VLOOKUP($C47,$C$3:$D$15,2,FALSE)*N$21),IF(N48-M49&lt;0,0,N48-M49),
IF(AND(M49&lt;VLOOKUP($C47,$C$3:$D$15,2,FALSE)*N$21,N48&gt;VLOOKUP($C47,$C$3:$D$15,2,FALSE)*N$21),VLOOKUP($C47,$C$3:$D$15,2,FALSE)*N$21-M49)))</f>
        <v>0</v>
      </c>
      <c r="O47" s="642">
        <f t="shared" ref="O47" si="1672" xml:space="preserve">
IF(N49&gt;=VLOOKUP($C47,$C$3:$D$15,2,FALSE)*O$21,0,
IF(AND(N49&lt;VLOOKUP($C47,$C$3:$D$15,2,FALSE)*O$21,O48&lt;=VLOOKUP($C47,$C$3:$D$15,2,FALSE)*O$21),IF(O48-N49&lt;0,0,O48-N49),
IF(AND(N49&lt;VLOOKUP($C47,$C$3:$D$15,2,FALSE)*O$21,O48&gt;VLOOKUP($C47,$C$3:$D$15,2,FALSE)*O$21),VLOOKUP($C47,$C$3:$D$15,2,FALSE)*O$21-N49)))</f>
        <v>0</v>
      </c>
      <c r="P47" s="642">
        <f t="shared" ref="P47" si="1673" xml:space="preserve">
IF(O49&gt;=VLOOKUP($C47,$C$3:$D$15,2,FALSE)*P$21,0,
IF(AND(O49&lt;VLOOKUP($C47,$C$3:$D$15,2,FALSE)*P$21,P48&lt;=VLOOKUP($C47,$C$3:$D$15,2,FALSE)*P$21),IF(P48-O49&lt;0,0,P48-O49),
IF(AND(O49&lt;VLOOKUP($C47,$C$3:$D$15,2,FALSE)*P$21,P48&gt;VLOOKUP($C47,$C$3:$D$15,2,FALSE)*P$21),VLOOKUP($C47,$C$3:$D$15,2,FALSE)*P$21-O49)))</f>
        <v>0</v>
      </c>
      <c r="Q47" s="642">
        <f t="shared" ref="Q47" si="1674" xml:space="preserve">
IF(P49&gt;=VLOOKUP($C47,$C$3:$D$15,2,FALSE)*Q$21,0,
IF(AND(P49&lt;VLOOKUP($C47,$C$3:$D$15,2,FALSE)*Q$21,Q48&lt;=VLOOKUP($C47,$C$3:$D$15,2,FALSE)*Q$21),IF(Q48-P49&lt;0,0,Q48-P49),
IF(AND(P49&lt;VLOOKUP($C47,$C$3:$D$15,2,FALSE)*Q$21,Q48&gt;VLOOKUP($C47,$C$3:$D$15,2,FALSE)*Q$21),VLOOKUP($C47,$C$3:$D$15,2,FALSE)*Q$21-P49)))</f>
        <v>0</v>
      </c>
      <c r="R47" s="642">
        <f t="shared" ref="R47" si="1675" xml:space="preserve">
IF(Q49&gt;=VLOOKUP($C47,$C$3:$D$15,2,FALSE)*R$21,0,
IF(AND(Q49&lt;VLOOKUP($C47,$C$3:$D$15,2,FALSE)*R$21,R48&lt;=VLOOKUP($C47,$C$3:$D$15,2,FALSE)*R$21),IF(R48-Q49&lt;0,0,R48-Q49),
IF(AND(Q49&lt;VLOOKUP($C47,$C$3:$D$15,2,FALSE)*R$21,R48&gt;VLOOKUP($C47,$C$3:$D$15,2,FALSE)*R$21),VLOOKUP($C47,$C$3:$D$15,2,FALSE)*R$21-Q49)))</f>
        <v>0</v>
      </c>
      <c r="S47" s="642">
        <f t="shared" ref="S47" si="1676" xml:space="preserve">
IF(R49&gt;=VLOOKUP($C47,$C$3:$D$15,2,FALSE)*S$21,0,
IF(AND(R49&lt;VLOOKUP($C47,$C$3:$D$15,2,FALSE)*S$21,S48&lt;=VLOOKUP($C47,$C$3:$D$15,2,FALSE)*S$21),IF(S48-R49&lt;0,0,S48-R49),
IF(AND(R49&lt;VLOOKUP($C47,$C$3:$D$15,2,FALSE)*S$21,S48&gt;VLOOKUP($C47,$C$3:$D$15,2,FALSE)*S$21),VLOOKUP($C47,$C$3:$D$15,2,FALSE)*S$21-R49)))</f>
        <v>0</v>
      </c>
      <c r="T47" s="642">
        <f t="shared" ref="T47" si="1677" xml:space="preserve">
IF(S49&gt;=VLOOKUP($C47,$C$3:$D$15,2,FALSE)*T$21,0,
IF(AND(S49&lt;VLOOKUP($C47,$C$3:$D$15,2,FALSE)*T$21,T48&lt;=VLOOKUP($C47,$C$3:$D$15,2,FALSE)*T$21),IF(T48-S49&lt;0,0,T48-S49),
IF(AND(S49&lt;VLOOKUP($C47,$C$3:$D$15,2,FALSE)*T$21,T48&gt;VLOOKUP($C47,$C$3:$D$15,2,FALSE)*T$21),VLOOKUP($C47,$C$3:$D$15,2,FALSE)*T$21-S49)))</f>
        <v>0</v>
      </c>
      <c r="U47" s="642">
        <f t="shared" ref="U47" si="1678" xml:space="preserve">
IF(T49&gt;=VLOOKUP($C47,$C$3:$D$15,2,FALSE)*U$21,0,
IF(AND(T49&lt;VLOOKUP($C47,$C$3:$D$15,2,FALSE)*U$21,U48&lt;=VLOOKUP($C47,$C$3:$D$15,2,FALSE)*U$21),IF(U48-T49&lt;0,0,U48-T49),
IF(AND(T49&lt;VLOOKUP($C47,$C$3:$D$15,2,FALSE)*U$21,U48&gt;VLOOKUP($C47,$C$3:$D$15,2,FALSE)*U$21),VLOOKUP($C47,$C$3:$D$15,2,FALSE)*U$21-T49)))</f>
        <v>0</v>
      </c>
      <c r="V47" s="642">
        <f t="shared" ref="V47" si="1679" xml:space="preserve">
IF(U49&gt;=VLOOKUP($C47,$C$3:$D$15,2,FALSE)*V$21,0,
IF(AND(U49&lt;VLOOKUP($C47,$C$3:$D$15,2,FALSE)*V$21,V48&lt;=VLOOKUP($C47,$C$3:$D$15,2,FALSE)*V$21),IF(V48-U49&lt;0,0,V48-U49),
IF(AND(U49&lt;VLOOKUP($C47,$C$3:$D$15,2,FALSE)*V$21,V48&gt;VLOOKUP($C47,$C$3:$D$15,2,FALSE)*V$21),VLOOKUP($C47,$C$3:$D$15,2,FALSE)*V$21-U49)))</f>
        <v>0</v>
      </c>
      <c r="W47" s="642">
        <f t="shared" ref="W47" si="1680" xml:space="preserve">
IF(V49&gt;=VLOOKUP($C47,$C$3:$D$15,2,FALSE)*W$21,0,
IF(AND(V49&lt;VLOOKUP($C47,$C$3:$D$15,2,FALSE)*W$21,W48&lt;=VLOOKUP($C47,$C$3:$D$15,2,FALSE)*W$21),IF(W48-V49&lt;0,0,W48-V49),
IF(AND(V49&lt;VLOOKUP($C47,$C$3:$D$15,2,FALSE)*W$21,W48&gt;VLOOKUP($C47,$C$3:$D$15,2,FALSE)*W$21),VLOOKUP($C47,$C$3:$D$15,2,FALSE)*W$21-V49)))</f>
        <v>0</v>
      </c>
      <c r="X47" s="642">
        <f t="shared" ref="X47" si="1681" xml:space="preserve">
IF(W49&gt;=VLOOKUP($C47,$C$3:$D$15,2,FALSE)*X$21,0,
IF(AND(W49&lt;VLOOKUP($C47,$C$3:$D$15,2,FALSE)*X$21,X48&lt;=VLOOKUP($C47,$C$3:$D$15,2,FALSE)*X$21),IF(X48-W49&lt;0,0,X48-W49),
IF(AND(W49&lt;VLOOKUP($C47,$C$3:$D$15,2,FALSE)*X$21,X48&gt;VLOOKUP($C47,$C$3:$D$15,2,FALSE)*X$21),VLOOKUP($C47,$C$3:$D$15,2,FALSE)*X$21-W49)))</f>
        <v>0</v>
      </c>
      <c r="Y47" s="642">
        <f t="shared" ref="Y47" si="1682" xml:space="preserve">
IF(X49&gt;=VLOOKUP($C47,$C$3:$D$15,2,FALSE)*Y$21,0,
IF(AND(X49&lt;VLOOKUP($C47,$C$3:$D$15,2,FALSE)*Y$21,Y48&lt;=VLOOKUP($C47,$C$3:$D$15,2,FALSE)*Y$21),IF(Y48-X49&lt;0,0,Y48-X49),
IF(AND(X49&lt;VLOOKUP($C47,$C$3:$D$15,2,FALSE)*Y$21,Y48&gt;VLOOKUP($C47,$C$3:$D$15,2,FALSE)*Y$21),VLOOKUP($C47,$C$3:$D$15,2,FALSE)*Y$21-X49)))</f>
        <v>0</v>
      </c>
      <c r="Z47" s="642">
        <f t="shared" ref="Z47" si="1683" xml:space="preserve">
IF(Y49&gt;=VLOOKUP($C47,$C$3:$D$15,2,FALSE)*Z$21,0,
IF(AND(Y49&lt;VLOOKUP($C47,$C$3:$D$15,2,FALSE)*Z$21,Z48&lt;=VLOOKUP($C47,$C$3:$D$15,2,FALSE)*Z$21),IF(Z48-Y49&lt;0,0,Z48-Y49),
IF(AND(Y49&lt;VLOOKUP($C47,$C$3:$D$15,2,FALSE)*Z$21,Z48&gt;VLOOKUP($C47,$C$3:$D$15,2,FALSE)*Z$21),VLOOKUP($C47,$C$3:$D$15,2,FALSE)*Z$21-Y49)))</f>
        <v>0</v>
      </c>
      <c r="AA47" s="642">
        <f t="shared" ref="AA47" si="1684" xml:space="preserve">
IF(Z49&gt;=VLOOKUP($C47,$C$3:$D$15,2,FALSE)*AA$21,0,
IF(AND(Z49&lt;VLOOKUP($C47,$C$3:$D$15,2,FALSE)*AA$21,AA48&lt;=VLOOKUP($C47,$C$3:$D$15,2,FALSE)*AA$21),IF(AA48-Z49&lt;0,0,AA48-Z49),
IF(AND(Z49&lt;VLOOKUP($C47,$C$3:$D$15,2,FALSE)*AA$21,AA48&gt;VLOOKUP($C47,$C$3:$D$15,2,FALSE)*AA$21),VLOOKUP($C47,$C$3:$D$15,2,FALSE)*AA$21-Z49)))</f>
        <v>0</v>
      </c>
      <c r="AB47" s="642">
        <f t="shared" ref="AB47" si="1685" xml:space="preserve">
IF(AA49&gt;=VLOOKUP($C47,$C$3:$D$15,2,FALSE)*AB$21,0,
IF(AND(AA49&lt;VLOOKUP($C47,$C$3:$D$15,2,FALSE)*AB$21,AB48&lt;=VLOOKUP($C47,$C$3:$D$15,2,FALSE)*AB$21),IF(AB48-AA49&lt;0,0,AB48-AA49),
IF(AND(AA49&lt;VLOOKUP($C47,$C$3:$D$15,2,FALSE)*AB$21,AB48&gt;VLOOKUP($C47,$C$3:$D$15,2,FALSE)*AB$21),VLOOKUP($C47,$C$3:$D$15,2,FALSE)*AB$21-AA49)))</f>
        <v>0</v>
      </c>
      <c r="AC47" s="642">
        <f t="shared" ref="AC47" si="1686" xml:space="preserve">
IF(AB49&gt;=VLOOKUP($C47,$C$3:$D$15,2,FALSE)*AC$21,0,
IF(AND(AB49&lt;VLOOKUP($C47,$C$3:$D$15,2,FALSE)*AC$21,AC48&lt;=VLOOKUP($C47,$C$3:$D$15,2,FALSE)*AC$21),IF(AC48-AB49&lt;0,0,AC48-AB49),
IF(AND(AB49&lt;VLOOKUP($C47,$C$3:$D$15,2,FALSE)*AC$21,AC48&gt;VLOOKUP($C47,$C$3:$D$15,2,FALSE)*AC$21),VLOOKUP($C47,$C$3:$D$15,2,FALSE)*AC$21-AB49)))</f>
        <v>0</v>
      </c>
      <c r="AD47" s="642">
        <f t="shared" ref="AD47" si="1687" xml:space="preserve">
IF(AC49&gt;=VLOOKUP($C47,$C$3:$D$15,2,FALSE)*AD$21,0,
IF(AND(AC49&lt;VLOOKUP($C47,$C$3:$D$15,2,FALSE)*AD$21,AD48&lt;=VLOOKUP($C47,$C$3:$D$15,2,FALSE)*AD$21),IF(AD48-AC49&lt;0,0,AD48-AC49),
IF(AND(AC49&lt;VLOOKUP($C47,$C$3:$D$15,2,FALSE)*AD$21,AD48&gt;VLOOKUP($C47,$C$3:$D$15,2,FALSE)*AD$21),VLOOKUP($C47,$C$3:$D$15,2,FALSE)*AD$21-AC49)))</f>
        <v>0</v>
      </c>
      <c r="AE47" s="642">
        <f t="shared" ref="AE47" si="1688" xml:space="preserve">
IF(AD49&gt;=VLOOKUP($C47,$C$3:$D$15,2,FALSE)*AE$21,0,
IF(AND(AD49&lt;VLOOKUP($C47,$C$3:$D$15,2,FALSE)*AE$21,AE48&lt;=VLOOKUP($C47,$C$3:$D$15,2,FALSE)*AE$21),IF(AE48-AD49&lt;0,0,AE48-AD49),
IF(AND(AD49&lt;VLOOKUP($C47,$C$3:$D$15,2,FALSE)*AE$21,AE48&gt;VLOOKUP($C47,$C$3:$D$15,2,FALSE)*AE$21),VLOOKUP($C47,$C$3:$D$15,2,FALSE)*AE$21-AD49)))</f>
        <v>0</v>
      </c>
      <c r="AF47" s="642">
        <f t="shared" ref="AF47" si="1689" xml:space="preserve">
IF(AE49&gt;=VLOOKUP($C47,$C$3:$D$15,2,FALSE)*AF$21,0,
IF(AND(AE49&lt;VLOOKUP($C47,$C$3:$D$15,2,FALSE)*AF$21,AF48&lt;=VLOOKUP($C47,$C$3:$D$15,2,FALSE)*AF$21),IF(AF48-AE49&lt;0,0,AF48-AE49),
IF(AND(AE49&lt;VLOOKUP($C47,$C$3:$D$15,2,FALSE)*AF$21,AF48&gt;VLOOKUP($C47,$C$3:$D$15,2,FALSE)*AF$21),VLOOKUP($C47,$C$3:$D$15,2,FALSE)*AF$21-AE49)))</f>
        <v>0</v>
      </c>
      <c r="AG47" s="642">
        <f t="shared" ref="AG47" si="1690" xml:space="preserve">
IF(AF49&gt;=VLOOKUP($C47,$C$3:$D$15,2,FALSE)*AG$21,0,
IF(AND(AF49&lt;VLOOKUP($C47,$C$3:$D$15,2,FALSE)*AG$21,AG48&lt;=VLOOKUP($C47,$C$3:$D$15,2,FALSE)*AG$21),IF(AG48-AF49&lt;0,0,AG48-AF49),
IF(AND(AF49&lt;VLOOKUP($C47,$C$3:$D$15,2,FALSE)*AG$21,AG48&gt;VLOOKUP($C47,$C$3:$D$15,2,FALSE)*AG$21),VLOOKUP($C47,$C$3:$D$15,2,FALSE)*AG$21-AF49)))</f>
        <v>0</v>
      </c>
      <c r="AH47" s="642">
        <f t="shared" ref="AH47" si="1691" xml:space="preserve">
IF(AG49&gt;=VLOOKUP($C47,$C$3:$D$15,2,FALSE)*AH$21,0,
IF(AND(AG49&lt;VLOOKUP($C47,$C$3:$D$15,2,FALSE)*AH$21,AH48&lt;=VLOOKUP($C47,$C$3:$D$15,2,FALSE)*AH$21),IF(AH48-AG49&lt;0,0,AH48-AG49),
IF(AND(AG49&lt;VLOOKUP($C47,$C$3:$D$15,2,FALSE)*AH$21,AH48&gt;VLOOKUP($C47,$C$3:$D$15,2,FALSE)*AH$21),VLOOKUP($C47,$C$3:$D$15,2,FALSE)*AH$21-AG49)))</f>
        <v>0</v>
      </c>
      <c r="AI47" s="642">
        <f t="shared" ref="AI47" si="1692" xml:space="preserve">
IF(AH49&gt;=VLOOKUP($C47,$C$3:$D$15,2,FALSE)*AI$21,0,
IF(AND(AH49&lt;VLOOKUP($C47,$C$3:$D$15,2,FALSE)*AI$21,AI48&lt;=VLOOKUP($C47,$C$3:$D$15,2,FALSE)*AI$21),IF(AI48-AH49&lt;0,0,AI48-AH49),
IF(AND(AH49&lt;VLOOKUP($C47,$C$3:$D$15,2,FALSE)*AI$21,AI48&gt;VLOOKUP($C47,$C$3:$D$15,2,FALSE)*AI$21),VLOOKUP($C47,$C$3:$D$15,2,FALSE)*AI$21-AH49)))</f>
        <v>0</v>
      </c>
      <c r="AJ47" s="642">
        <f t="shared" ref="AJ47" si="1693" xml:space="preserve">
IF(AI49&gt;=VLOOKUP($C47,$C$3:$D$15,2,FALSE)*AJ$21,0,
IF(AND(AI49&lt;VLOOKUP($C47,$C$3:$D$15,2,FALSE)*AJ$21,AJ48&lt;=VLOOKUP($C47,$C$3:$D$15,2,FALSE)*AJ$21),IF(AJ48-AI49&lt;0,0,AJ48-AI49),
IF(AND(AI49&lt;VLOOKUP($C47,$C$3:$D$15,2,FALSE)*AJ$21,AJ48&gt;VLOOKUP($C47,$C$3:$D$15,2,FALSE)*AJ$21),VLOOKUP($C47,$C$3:$D$15,2,FALSE)*AJ$21-AI49)))</f>
        <v>0</v>
      </c>
      <c r="AK47" s="642">
        <f t="shared" ref="AK47" si="1694" xml:space="preserve">
IF(AJ49&gt;=VLOOKUP($C47,$C$3:$D$15,2,FALSE)*AK$21,0,
IF(AND(AJ49&lt;VLOOKUP($C47,$C$3:$D$15,2,FALSE)*AK$21,AK48&lt;=VLOOKUP($C47,$C$3:$D$15,2,FALSE)*AK$21),IF(AK48-AJ49&lt;0,0,AK48-AJ49),
IF(AND(AJ49&lt;VLOOKUP($C47,$C$3:$D$15,2,FALSE)*AK$21,AK48&gt;VLOOKUP($C47,$C$3:$D$15,2,FALSE)*AK$21),VLOOKUP($C47,$C$3:$D$15,2,FALSE)*AK$21-AJ49)))</f>
        <v>0</v>
      </c>
      <c r="AL47" s="642">
        <f t="shared" ref="AL47" si="1695" xml:space="preserve">
IF(AK49&gt;=VLOOKUP($C47,$C$3:$D$15,2,FALSE)*AL$21,0,
IF(AND(AK49&lt;VLOOKUP($C47,$C$3:$D$15,2,FALSE)*AL$21,AL48&lt;=VLOOKUP($C47,$C$3:$D$15,2,FALSE)*AL$21),IF(AL48-AK49&lt;0,0,AL48-AK49),
IF(AND(AK49&lt;VLOOKUP($C47,$C$3:$D$15,2,FALSE)*AL$21,AL48&gt;VLOOKUP($C47,$C$3:$D$15,2,FALSE)*AL$21),VLOOKUP($C47,$C$3:$D$15,2,FALSE)*AL$21-AK49)))</f>
        <v>0</v>
      </c>
      <c r="AM47" s="642">
        <f t="shared" ref="AM47" si="1696" xml:space="preserve">
IF(AL49&gt;=VLOOKUP($C47,$C$3:$D$15,2,FALSE)*AM$21,0,
IF(AND(AL49&lt;VLOOKUP($C47,$C$3:$D$15,2,FALSE)*AM$21,AM48&lt;=VLOOKUP($C47,$C$3:$D$15,2,FALSE)*AM$21),IF(AM48-AL49&lt;0,0,AM48-AL49),
IF(AND(AL49&lt;VLOOKUP($C47,$C$3:$D$15,2,FALSE)*AM$21,AM48&gt;VLOOKUP($C47,$C$3:$D$15,2,FALSE)*AM$21),VLOOKUP($C47,$C$3:$D$15,2,FALSE)*AM$21-AL49)))</f>
        <v>0</v>
      </c>
      <c r="AN47" s="642">
        <f t="shared" ref="AN47" si="1697" xml:space="preserve">
IF(AM49&gt;=VLOOKUP($C47,$C$3:$D$15,2,FALSE)*AN$21,0,
IF(AND(AM49&lt;VLOOKUP($C47,$C$3:$D$15,2,FALSE)*AN$21,AN48&lt;=VLOOKUP($C47,$C$3:$D$15,2,FALSE)*AN$21),IF(AN48-AM49&lt;0,0,AN48-AM49),
IF(AND(AM49&lt;VLOOKUP($C47,$C$3:$D$15,2,FALSE)*AN$21,AN48&gt;VLOOKUP($C47,$C$3:$D$15,2,FALSE)*AN$21),VLOOKUP($C47,$C$3:$D$15,2,FALSE)*AN$21-AM49)))</f>
        <v>0</v>
      </c>
      <c r="AO47" s="642">
        <f t="shared" ref="AO47" si="1698" xml:space="preserve">
IF(AN49&gt;=VLOOKUP($C47,$C$3:$D$15,2,FALSE)*AO$21,0,
IF(AND(AN49&lt;VLOOKUP($C47,$C$3:$D$15,2,FALSE)*AO$21,AO48&lt;=VLOOKUP($C47,$C$3:$D$15,2,FALSE)*AO$21),IF(AO48-AN49&lt;0,0,AO48-AN49),
IF(AND(AN49&lt;VLOOKUP($C47,$C$3:$D$15,2,FALSE)*AO$21,AO48&gt;VLOOKUP($C47,$C$3:$D$15,2,FALSE)*AO$21),VLOOKUP($C47,$C$3:$D$15,2,FALSE)*AO$21-AN49)))</f>
        <v>0</v>
      </c>
      <c r="AP47" s="642">
        <f t="shared" ref="AP47" si="1699" xml:space="preserve">
IF(AO49&gt;=VLOOKUP($C47,$C$3:$D$15,2,FALSE)*AP$21,0,
IF(AND(AO49&lt;VLOOKUP($C47,$C$3:$D$15,2,FALSE)*AP$21,AP48&lt;=VLOOKUP($C47,$C$3:$D$15,2,FALSE)*AP$21),IF(AP48-AO49&lt;0,0,AP48-AO49),
IF(AND(AO49&lt;VLOOKUP($C47,$C$3:$D$15,2,FALSE)*AP$21,AP48&gt;VLOOKUP($C47,$C$3:$D$15,2,FALSE)*AP$21),VLOOKUP($C47,$C$3:$D$15,2,FALSE)*AP$21-AO49)))</f>
        <v>0</v>
      </c>
      <c r="AQ47" s="642">
        <f t="shared" ref="AQ47" si="1700" xml:space="preserve">
IF(AP49&gt;=VLOOKUP($C47,$C$3:$D$15,2,FALSE)*AQ$21,0,
IF(AND(AP49&lt;VLOOKUP($C47,$C$3:$D$15,2,FALSE)*AQ$21,AQ48&lt;=VLOOKUP($C47,$C$3:$D$15,2,FALSE)*AQ$21),IF(AQ48-AP49&lt;0,0,AQ48-AP49),
IF(AND(AP49&lt;VLOOKUP($C47,$C$3:$D$15,2,FALSE)*AQ$21,AQ48&gt;VLOOKUP($C47,$C$3:$D$15,2,FALSE)*AQ$21),VLOOKUP($C47,$C$3:$D$15,2,FALSE)*AQ$21-AP49)))</f>
        <v>0</v>
      </c>
      <c r="AR47" s="642">
        <f t="shared" ref="AR47" si="1701" xml:space="preserve">
IF(AQ49&gt;=VLOOKUP($C47,$C$3:$D$15,2,FALSE)*AR$21,0,
IF(AND(AQ49&lt;VLOOKUP($C47,$C$3:$D$15,2,FALSE)*AR$21,AR48&lt;=VLOOKUP($C47,$C$3:$D$15,2,FALSE)*AR$21),IF(AR48-AQ49&lt;0,0,AR48-AQ49),
IF(AND(AQ49&lt;VLOOKUP($C47,$C$3:$D$15,2,FALSE)*AR$21,AR48&gt;VLOOKUP($C47,$C$3:$D$15,2,FALSE)*AR$21),VLOOKUP($C47,$C$3:$D$15,2,FALSE)*AR$21-AQ49)))</f>
        <v>0</v>
      </c>
      <c r="AS47" s="642">
        <f t="shared" ref="AS47" si="1702" xml:space="preserve">
IF(AR49&gt;=VLOOKUP($C47,$C$3:$D$15,2,FALSE)*AS$21,0,
IF(AND(AR49&lt;VLOOKUP($C47,$C$3:$D$15,2,FALSE)*AS$21,AS48&lt;=VLOOKUP($C47,$C$3:$D$15,2,FALSE)*AS$21),IF(AS48-AR49&lt;0,0,AS48-AR49),
IF(AND(AR49&lt;VLOOKUP($C47,$C$3:$D$15,2,FALSE)*AS$21,AS48&gt;VLOOKUP($C47,$C$3:$D$15,2,FALSE)*AS$21),VLOOKUP($C47,$C$3:$D$15,2,FALSE)*AS$21-AR49)))</f>
        <v>0</v>
      </c>
      <c r="AT47" s="642">
        <f t="shared" ref="AT47" si="1703" xml:space="preserve">
IF(AS49&gt;=VLOOKUP($C47,$C$3:$D$15,2,FALSE)*AT$21,0,
IF(AND(AS49&lt;VLOOKUP($C47,$C$3:$D$15,2,FALSE)*AT$21,AT48&lt;=VLOOKUP($C47,$C$3:$D$15,2,FALSE)*AT$21),IF(AT48-AS49&lt;0,0,AT48-AS49),
IF(AND(AS49&lt;VLOOKUP($C47,$C$3:$D$15,2,FALSE)*AT$21,AT48&gt;VLOOKUP($C47,$C$3:$D$15,2,FALSE)*AT$21),VLOOKUP($C47,$C$3:$D$15,2,FALSE)*AT$21-AS49)))</f>
        <v>0</v>
      </c>
      <c r="AU47" s="642">
        <f t="shared" ref="AU47" si="1704" xml:space="preserve">
IF(AT49&gt;=VLOOKUP($C47,$C$3:$D$15,2,FALSE)*AU$21,0,
IF(AND(AT49&lt;VLOOKUP($C47,$C$3:$D$15,2,FALSE)*AU$21,AU48&lt;=VLOOKUP($C47,$C$3:$D$15,2,FALSE)*AU$21),IF(AU48-AT49&lt;0,0,AU48-AT49),
IF(AND(AT49&lt;VLOOKUP($C47,$C$3:$D$15,2,FALSE)*AU$21,AU48&gt;VLOOKUP($C47,$C$3:$D$15,2,FALSE)*AU$21),VLOOKUP($C47,$C$3:$D$15,2,FALSE)*AU$21-AT49)))</f>
        <v>0</v>
      </c>
      <c r="AV47" s="642">
        <f t="shared" ref="AV47" si="1705" xml:space="preserve">
IF(AU49&gt;=VLOOKUP($C47,$C$3:$D$15,2,FALSE)*AV$21,0,
IF(AND(AU49&lt;VLOOKUP($C47,$C$3:$D$15,2,FALSE)*AV$21,AV48&lt;=VLOOKUP($C47,$C$3:$D$15,2,FALSE)*AV$21),IF(AV48-AU49&lt;0,0,AV48-AU49),
IF(AND(AU49&lt;VLOOKUP($C47,$C$3:$D$15,2,FALSE)*AV$21,AV48&gt;VLOOKUP($C47,$C$3:$D$15,2,FALSE)*AV$21),VLOOKUP($C47,$C$3:$D$15,2,FALSE)*AV$21-AU49)))</f>
        <v>0</v>
      </c>
      <c r="AW47" s="642">
        <f t="shared" ref="AW47" si="1706" xml:space="preserve">
IF(AV49&gt;=VLOOKUP($C47,$C$3:$D$15,2,FALSE)*AW$21,0,
IF(AND(AV49&lt;VLOOKUP($C47,$C$3:$D$15,2,FALSE)*AW$21,AW48&lt;=VLOOKUP($C47,$C$3:$D$15,2,FALSE)*AW$21),IF(AW48-AV49&lt;0,0,AW48-AV49),
IF(AND(AV49&lt;VLOOKUP($C47,$C$3:$D$15,2,FALSE)*AW$21,AW48&gt;VLOOKUP($C47,$C$3:$D$15,2,FALSE)*AW$21),VLOOKUP($C47,$C$3:$D$15,2,FALSE)*AW$21-AV49)))</f>
        <v>0</v>
      </c>
      <c r="AX47" s="642">
        <f t="shared" ref="AX47" si="1707" xml:space="preserve">
IF(AW49&gt;=VLOOKUP($C47,$C$3:$D$15,2,FALSE)*AX$21,0,
IF(AND(AW49&lt;VLOOKUP($C47,$C$3:$D$15,2,FALSE)*AX$21,AX48&lt;=VLOOKUP($C47,$C$3:$D$15,2,FALSE)*AX$21),IF(AX48-AW49&lt;0,0,AX48-AW49),
IF(AND(AW49&lt;VLOOKUP($C47,$C$3:$D$15,2,FALSE)*AX$21,AX48&gt;VLOOKUP($C47,$C$3:$D$15,2,FALSE)*AX$21),VLOOKUP($C47,$C$3:$D$15,2,FALSE)*AX$21-AW49)))</f>
        <v>0</v>
      </c>
      <c r="AY47" s="642">
        <f t="shared" ref="AY47" si="1708" xml:space="preserve">
IF(AX49&gt;=VLOOKUP($C47,$C$3:$D$15,2,FALSE)*AY$21,0,
IF(AND(AX49&lt;VLOOKUP($C47,$C$3:$D$15,2,FALSE)*AY$21,AY48&lt;=VLOOKUP($C47,$C$3:$D$15,2,FALSE)*AY$21),IF(AY48-AX49&lt;0,0,AY48-AX49),
IF(AND(AX49&lt;VLOOKUP($C47,$C$3:$D$15,2,FALSE)*AY$21,AY48&gt;VLOOKUP($C47,$C$3:$D$15,2,FALSE)*AY$21),VLOOKUP($C47,$C$3:$D$15,2,FALSE)*AY$21-AX49)))</f>
        <v>0</v>
      </c>
      <c r="AZ47" s="642">
        <f t="shared" ref="AZ47" si="1709" xml:space="preserve">
IF(AY49&gt;=VLOOKUP($C47,$C$3:$D$15,2,FALSE)*AZ$21,0,
IF(AND(AY49&lt;VLOOKUP($C47,$C$3:$D$15,2,FALSE)*AZ$21,AZ48&lt;=VLOOKUP($C47,$C$3:$D$15,2,FALSE)*AZ$21),IF(AZ48-AY49&lt;0,0,AZ48-AY49),
IF(AND(AY49&lt;VLOOKUP($C47,$C$3:$D$15,2,FALSE)*AZ$21,AZ48&gt;VLOOKUP($C47,$C$3:$D$15,2,FALSE)*AZ$21),VLOOKUP($C47,$C$3:$D$15,2,FALSE)*AZ$21-AY49)))</f>
        <v>0</v>
      </c>
      <c r="BA47" s="642">
        <f t="shared" ref="BA47" si="1710" xml:space="preserve">
IF(AZ49&gt;=VLOOKUP($C47,$C$3:$D$15,2,FALSE)*BA$21,0,
IF(AND(AZ49&lt;VLOOKUP($C47,$C$3:$D$15,2,FALSE)*BA$21,BA48&lt;=VLOOKUP($C47,$C$3:$D$15,2,FALSE)*BA$21),IF(BA48-AZ49&lt;0,0,BA48-AZ49),
IF(AND(AZ49&lt;VLOOKUP($C47,$C$3:$D$15,2,FALSE)*BA$21,BA48&gt;VLOOKUP($C47,$C$3:$D$15,2,FALSE)*BA$21),VLOOKUP($C47,$C$3:$D$15,2,FALSE)*BA$21-AZ49)))</f>
        <v>0</v>
      </c>
      <c r="BB47" s="642">
        <f t="shared" ref="BB47" si="1711" xml:space="preserve">
IF(BA49&gt;=VLOOKUP($C47,$C$3:$D$15,2,FALSE)*BB$21,0,
IF(AND(BA49&lt;VLOOKUP($C47,$C$3:$D$15,2,FALSE)*BB$21,BB48&lt;=VLOOKUP($C47,$C$3:$D$15,2,FALSE)*BB$21),IF(BB48-BA49&lt;0,0,BB48-BA49),
IF(AND(BA49&lt;VLOOKUP($C47,$C$3:$D$15,2,FALSE)*BB$21,BB48&gt;VLOOKUP($C47,$C$3:$D$15,2,FALSE)*BB$21),VLOOKUP($C47,$C$3:$D$15,2,FALSE)*BB$21-BA49)))</f>
        <v>0</v>
      </c>
      <c r="BC47" s="642">
        <f t="shared" ref="BC47" si="1712" xml:space="preserve">
IF(BB49&gt;=VLOOKUP($C47,$C$3:$D$15,2,FALSE)*BC$21,0,
IF(AND(BB49&lt;VLOOKUP($C47,$C$3:$D$15,2,FALSE)*BC$21,BC48&lt;=VLOOKUP($C47,$C$3:$D$15,2,FALSE)*BC$21),IF(BC48-BB49&lt;0,0,BC48-BB49),
IF(AND(BB49&lt;VLOOKUP($C47,$C$3:$D$15,2,FALSE)*BC$21,BC48&gt;VLOOKUP($C47,$C$3:$D$15,2,FALSE)*BC$21),VLOOKUP($C47,$C$3:$D$15,2,FALSE)*BC$21-BB49)))</f>
        <v>0</v>
      </c>
      <c r="BD47" s="642">
        <f t="shared" ref="BD47" si="1713" xml:space="preserve">
IF(BC49&gt;=VLOOKUP($C47,$C$3:$D$15,2,FALSE)*BD$21,0,
IF(AND(BC49&lt;VLOOKUP($C47,$C$3:$D$15,2,FALSE)*BD$21,BD48&lt;=VLOOKUP($C47,$C$3:$D$15,2,FALSE)*BD$21),IF(BD48-BC49&lt;0,0,BD48-BC49),
IF(AND(BC49&lt;VLOOKUP($C47,$C$3:$D$15,2,FALSE)*BD$21,BD48&gt;VLOOKUP($C47,$C$3:$D$15,2,FALSE)*BD$21),VLOOKUP($C47,$C$3:$D$15,2,FALSE)*BD$21-BC49)))</f>
        <v>0</v>
      </c>
      <c r="BE47" s="642">
        <f t="shared" ref="BE47" si="1714" xml:space="preserve">
IF(BD49&gt;=VLOOKUP($C47,$C$3:$D$15,2,FALSE)*BE$21,0,
IF(AND(BD49&lt;VLOOKUP($C47,$C$3:$D$15,2,FALSE)*BE$21,BE48&lt;=VLOOKUP($C47,$C$3:$D$15,2,FALSE)*BE$21),IF(BE48-BD49&lt;0,0,BE48-BD49),
IF(AND(BD49&lt;VLOOKUP($C47,$C$3:$D$15,2,FALSE)*BE$21,BE48&gt;VLOOKUP($C47,$C$3:$D$15,2,FALSE)*BE$21),VLOOKUP($C47,$C$3:$D$15,2,FALSE)*BE$21-BD49)))</f>
        <v>0</v>
      </c>
      <c r="BF47" s="642">
        <f t="shared" ref="BF47" si="1715" xml:space="preserve">
IF(BE49&gt;=VLOOKUP($C47,$C$3:$D$15,2,FALSE)*BF$21,0,
IF(AND(BE49&lt;VLOOKUP($C47,$C$3:$D$15,2,FALSE)*BF$21,BF48&lt;=VLOOKUP($C47,$C$3:$D$15,2,FALSE)*BF$21),IF(BF48-BE49&lt;0,0,BF48-BE49),
IF(AND(BE49&lt;VLOOKUP($C47,$C$3:$D$15,2,FALSE)*BF$21,BF48&gt;VLOOKUP($C47,$C$3:$D$15,2,FALSE)*BF$21),VLOOKUP($C47,$C$3:$D$15,2,FALSE)*BF$21-BE49)))</f>
        <v>0</v>
      </c>
      <c r="BG47" s="642">
        <f t="shared" ref="BG47" si="1716" xml:space="preserve">
IF(BF49&gt;=VLOOKUP($C47,$C$3:$D$15,2,FALSE)*BG$21,0,
IF(AND(BF49&lt;VLOOKUP($C47,$C$3:$D$15,2,FALSE)*BG$21,BG48&lt;=VLOOKUP($C47,$C$3:$D$15,2,FALSE)*BG$21),IF(BG48-BF49&lt;0,0,BG48-BF49),
IF(AND(BF49&lt;VLOOKUP($C47,$C$3:$D$15,2,FALSE)*BG$21,BG48&gt;VLOOKUP($C47,$C$3:$D$15,2,FALSE)*BG$21),VLOOKUP($C47,$C$3:$D$15,2,FALSE)*BG$21-BF49)))</f>
        <v>0</v>
      </c>
      <c r="BH47" s="642">
        <f t="shared" ref="BH47" si="1717" xml:space="preserve">
IF(BG49&gt;=VLOOKUP($C47,$C$3:$D$15,2,FALSE)*BH$21,0,
IF(AND(BG49&lt;VLOOKUP($C47,$C$3:$D$15,2,FALSE)*BH$21,BH48&lt;=VLOOKUP($C47,$C$3:$D$15,2,FALSE)*BH$21),IF(BH48-BG49&lt;0,0,BH48-BG49),
IF(AND(BG49&lt;VLOOKUP($C47,$C$3:$D$15,2,FALSE)*BH$21,BH48&gt;VLOOKUP($C47,$C$3:$D$15,2,FALSE)*BH$21),VLOOKUP($C47,$C$3:$D$15,2,FALSE)*BH$21-BG49)))</f>
        <v>0</v>
      </c>
      <c r="BI47" s="642">
        <f t="shared" ref="BI47" si="1718" xml:space="preserve">
IF(BH49&gt;=VLOOKUP($C47,$C$3:$D$15,2,FALSE)*BI$21,0,
IF(AND(BH49&lt;VLOOKUP($C47,$C$3:$D$15,2,FALSE)*BI$21,BI48&lt;=VLOOKUP($C47,$C$3:$D$15,2,FALSE)*BI$21),IF(BI48-BH49&lt;0,0,BI48-BH49),
IF(AND(BH49&lt;VLOOKUP($C47,$C$3:$D$15,2,FALSE)*BI$21,BI48&gt;VLOOKUP($C47,$C$3:$D$15,2,FALSE)*BI$21),VLOOKUP($C47,$C$3:$D$15,2,FALSE)*BI$21-BH49)))</f>
        <v>0</v>
      </c>
      <c r="BJ47" s="642">
        <f t="shared" ref="BJ47" si="1719" xml:space="preserve">
IF(BI49&gt;=VLOOKUP($C47,$C$3:$D$15,2,FALSE)*BJ$21,0,
IF(AND(BI49&lt;VLOOKUP($C47,$C$3:$D$15,2,FALSE)*BJ$21,BJ48&lt;=VLOOKUP($C47,$C$3:$D$15,2,FALSE)*BJ$21),IF(BJ48-BI49&lt;0,0,BJ48-BI49),
IF(AND(BI49&lt;VLOOKUP($C47,$C$3:$D$15,2,FALSE)*BJ$21,BJ48&gt;VLOOKUP($C47,$C$3:$D$15,2,FALSE)*BJ$21),VLOOKUP($C47,$C$3:$D$15,2,FALSE)*BJ$21-BI49)))</f>
        <v>0</v>
      </c>
      <c r="BK47" s="642">
        <f t="shared" ref="BK47" si="1720" xml:space="preserve">
IF(BJ49&gt;=VLOOKUP($C47,$C$3:$D$15,2,FALSE)*BK$21,0,
IF(AND(BJ49&lt;VLOOKUP($C47,$C$3:$D$15,2,FALSE)*BK$21,BK48&lt;=VLOOKUP($C47,$C$3:$D$15,2,FALSE)*BK$21),IF(BK48-BJ49&lt;0,0,BK48-BJ49),
IF(AND(BJ49&lt;VLOOKUP($C47,$C$3:$D$15,2,FALSE)*BK$21,BK48&gt;VLOOKUP($C47,$C$3:$D$15,2,FALSE)*BK$21),VLOOKUP($C47,$C$3:$D$15,2,FALSE)*BK$21-BJ49)))</f>
        <v>0</v>
      </c>
      <c r="BL47" s="642">
        <f t="shared" ref="BL47" si="1721" xml:space="preserve">
IF(BK49&gt;=VLOOKUP($C47,$C$3:$D$15,2,FALSE)*BL$21,0,
IF(AND(BK49&lt;VLOOKUP($C47,$C$3:$D$15,2,FALSE)*BL$21,BL48&lt;=VLOOKUP($C47,$C$3:$D$15,2,FALSE)*BL$21),IF(BL48-BK49&lt;0,0,BL48-BK49),
IF(AND(BK49&lt;VLOOKUP($C47,$C$3:$D$15,2,FALSE)*BL$21,BL48&gt;VLOOKUP($C47,$C$3:$D$15,2,FALSE)*BL$21),VLOOKUP($C47,$C$3:$D$15,2,FALSE)*BL$21-BK49)))</f>
        <v>0</v>
      </c>
      <c r="BM47" s="642">
        <f t="shared" ref="BM47" si="1722" xml:space="preserve">
IF(BL49&gt;=VLOOKUP($C47,$C$3:$D$15,2,FALSE)*BM$21,0,
IF(AND(BL49&lt;VLOOKUP($C47,$C$3:$D$15,2,FALSE)*BM$21,BM48&lt;=VLOOKUP($C47,$C$3:$D$15,2,FALSE)*BM$21),IF(BM48-BL49&lt;0,0,BM48-BL49),
IF(AND(BL49&lt;VLOOKUP($C47,$C$3:$D$15,2,FALSE)*BM$21,BM48&gt;VLOOKUP($C47,$C$3:$D$15,2,FALSE)*BM$21),VLOOKUP($C47,$C$3:$D$15,2,FALSE)*BM$21-BL49)))</f>
        <v>0</v>
      </c>
      <c r="BN47" s="642">
        <f t="shared" ref="BN47" si="1723" xml:space="preserve">
IF(BM49&gt;=VLOOKUP($C47,$C$3:$D$15,2,FALSE)*BN$21,0,
IF(AND(BM49&lt;VLOOKUP($C47,$C$3:$D$15,2,FALSE)*BN$21,BN48&lt;=VLOOKUP($C47,$C$3:$D$15,2,FALSE)*BN$21),IF(BN48-BM49&lt;0,0,BN48-BM49),
IF(AND(BM49&lt;VLOOKUP($C47,$C$3:$D$15,2,FALSE)*BN$21,BN48&gt;VLOOKUP($C47,$C$3:$D$15,2,FALSE)*BN$21),VLOOKUP($C47,$C$3:$D$15,2,FALSE)*BN$21-BM49)))</f>
        <v>0</v>
      </c>
      <c r="BO47" s="642">
        <f t="shared" ref="BO47" si="1724" xml:space="preserve">
IF(BN49&gt;=VLOOKUP($C47,$C$3:$D$15,2,FALSE)*BO$21,0,
IF(AND(BN49&lt;VLOOKUP($C47,$C$3:$D$15,2,FALSE)*BO$21,BO48&lt;=VLOOKUP($C47,$C$3:$D$15,2,FALSE)*BO$21),IF(BO48-BN49&lt;0,0,BO48-BN49),
IF(AND(BN49&lt;VLOOKUP($C47,$C$3:$D$15,2,FALSE)*BO$21,BO48&gt;VLOOKUP($C47,$C$3:$D$15,2,FALSE)*BO$21),VLOOKUP($C47,$C$3:$D$15,2,FALSE)*BO$21-BN49)))</f>
        <v>0</v>
      </c>
      <c r="BP47" s="642">
        <f t="shared" ref="BP47" si="1725" xml:space="preserve">
IF(BO49&gt;=VLOOKUP($C47,$C$3:$D$15,2,FALSE)*BP$21,0,
IF(AND(BO49&lt;VLOOKUP($C47,$C$3:$D$15,2,FALSE)*BP$21,BP48&lt;=VLOOKUP($C47,$C$3:$D$15,2,FALSE)*BP$21),IF(BP48-BO49&lt;0,0,BP48-BO49),
IF(AND(BO49&lt;VLOOKUP($C47,$C$3:$D$15,2,FALSE)*BP$21,BP48&gt;VLOOKUP($C47,$C$3:$D$15,2,FALSE)*BP$21),VLOOKUP($C47,$C$3:$D$15,2,FALSE)*BP$21-BO49)))</f>
        <v>0</v>
      </c>
      <c r="BQ47" s="642">
        <f t="shared" ref="BQ47" si="1726" xml:space="preserve">
IF(BP49&gt;=VLOOKUP($C47,$C$3:$D$15,2,FALSE)*BQ$21,0,
IF(AND(BP49&lt;VLOOKUP($C47,$C$3:$D$15,2,FALSE)*BQ$21,BQ48&lt;=VLOOKUP($C47,$C$3:$D$15,2,FALSE)*BQ$21),IF(BQ48-BP49&lt;0,0,BQ48-BP49),
IF(AND(BP49&lt;VLOOKUP($C47,$C$3:$D$15,2,FALSE)*BQ$21,BQ48&gt;VLOOKUP($C47,$C$3:$D$15,2,FALSE)*BQ$21),VLOOKUP($C47,$C$3:$D$15,2,FALSE)*BQ$21-BP49)))</f>
        <v>0</v>
      </c>
      <c r="BR47" s="642">
        <f t="shared" ref="BR47" si="1727" xml:space="preserve">
IF(BQ49&gt;=VLOOKUP($C47,$C$3:$D$15,2,FALSE)*BR$21,0,
IF(AND(BQ49&lt;VLOOKUP($C47,$C$3:$D$15,2,FALSE)*BR$21,BR48&lt;=VLOOKUP($C47,$C$3:$D$15,2,FALSE)*BR$21),IF(BR48-BQ49&lt;0,0,BR48-BQ49),
IF(AND(BQ49&lt;VLOOKUP($C47,$C$3:$D$15,2,FALSE)*BR$21,BR48&gt;VLOOKUP($C47,$C$3:$D$15,2,FALSE)*BR$21),VLOOKUP($C47,$C$3:$D$15,2,FALSE)*BR$21-BQ49)))</f>
        <v>0</v>
      </c>
      <c r="BS47" s="642">
        <f t="shared" ref="BS47" si="1728" xml:space="preserve">
IF(BR49&gt;=VLOOKUP($C47,$C$3:$D$15,2,FALSE)*BS$21,0,
IF(AND(BR49&lt;VLOOKUP($C47,$C$3:$D$15,2,FALSE)*BS$21,BS48&lt;=VLOOKUP($C47,$C$3:$D$15,2,FALSE)*BS$21),IF(BS48-BR49&lt;0,0,BS48-BR49),
IF(AND(BR49&lt;VLOOKUP($C47,$C$3:$D$15,2,FALSE)*BS$21,BS48&gt;VLOOKUP($C47,$C$3:$D$15,2,FALSE)*BS$21),VLOOKUP($C47,$C$3:$D$15,2,FALSE)*BS$21-BR49)))</f>
        <v>0</v>
      </c>
      <c r="BT47" s="642">
        <f t="shared" ref="BT47" si="1729" xml:space="preserve">
IF(BS49&gt;=VLOOKUP($C47,$C$3:$D$15,2,FALSE)*BT$21,0,
IF(AND(BS49&lt;VLOOKUP($C47,$C$3:$D$15,2,FALSE)*BT$21,BT48&lt;=VLOOKUP($C47,$C$3:$D$15,2,FALSE)*BT$21),IF(BT48-BS49&lt;0,0,BT48-BS49),
IF(AND(BS49&lt;VLOOKUP($C47,$C$3:$D$15,2,FALSE)*BT$21,BT48&gt;VLOOKUP($C47,$C$3:$D$15,2,FALSE)*BT$21),VLOOKUP($C47,$C$3:$D$15,2,FALSE)*BT$21-BS49)))</f>
        <v>0</v>
      </c>
      <c r="BU47" s="642">
        <f t="shared" ref="BU47" si="1730" xml:space="preserve">
IF(BT49&gt;=VLOOKUP($C47,$C$3:$D$15,2,FALSE)*BU$21,0,
IF(AND(BT49&lt;VLOOKUP($C47,$C$3:$D$15,2,FALSE)*BU$21,BU48&lt;=VLOOKUP($C47,$C$3:$D$15,2,FALSE)*BU$21),IF(BU48-BT49&lt;0,0,BU48-BT49),
IF(AND(BT49&lt;VLOOKUP($C47,$C$3:$D$15,2,FALSE)*BU$21,BU48&gt;VLOOKUP($C47,$C$3:$D$15,2,FALSE)*BU$21),VLOOKUP($C47,$C$3:$D$15,2,FALSE)*BU$21-BT49)))</f>
        <v>0</v>
      </c>
      <c r="BV47" s="642">
        <f t="shared" ref="BV47" si="1731" xml:space="preserve">
IF(BU49&gt;=VLOOKUP($C47,$C$3:$D$15,2,FALSE)*BV$21,0,
IF(AND(BU49&lt;VLOOKUP($C47,$C$3:$D$15,2,FALSE)*BV$21,BV48&lt;=VLOOKUP($C47,$C$3:$D$15,2,FALSE)*BV$21),IF(BV48-BU49&lt;0,0,BV48-BU49),
IF(AND(BU49&lt;VLOOKUP($C47,$C$3:$D$15,2,FALSE)*BV$21,BV48&gt;VLOOKUP($C47,$C$3:$D$15,2,FALSE)*BV$21),VLOOKUP($C47,$C$3:$D$15,2,FALSE)*BV$21-BU49)))</f>
        <v>0</v>
      </c>
      <c r="BW47" s="642">
        <f t="shared" ref="BW47" si="1732" xml:space="preserve">
IF(BV49&gt;=VLOOKUP($C47,$C$3:$D$15,2,FALSE)*BW$21,0,
IF(AND(BV49&lt;VLOOKUP($C47,$C$3:$D$15,2,FALSE)*BW$21,BW48&lt;=VLOOKUP($C47,$C$3:$D$15,2,FALSE)*BW$21),IF(BW48-BV49&lt;0,0,BW48-BV49),
IF(AND(BV49&lt;VLOOKUP($C47,$C$3:$D$15,2,FALSE)*BW$21,BW48&gt;VLOOKUP($C47,$C$3:$D$15,2,FALSE)*BW$21),VLOOKUP($C47,$C$3:$D$15,2,FALSE)*BW$21-BV49)))</f>
        <v>0</v>
      </c>
      <c r="BX47" s="642">
        <f t="shared" ref="BX47" si="1733" xml:space="preserve">
IF(BW49&gt;=VLOOKUP($C47,$C$3:$D$15,2,FALSE)*BX$21,0,
IF(AND(BW49&lt;VLOOKUP($C47,$C$3:$D$15,2,FALSE)*BX$21,BX48&lt;=VLOOKUP($C47,$C$3:$D$15,2,FALSE)*BX$21),IF(BX48-BW49&lt;0,0,BX48-BW49),
IF(AND(BW49&lt;VLOOKUP($C47,$C$3:$D$15,2,FALSE)*BX$21,BX48&gt;VLOOKUP($C47,$C$3:$D$15,2,FALSE)*BX$21),VLOOKUP($C47,$C$3:$D$15,2,FALSE)*BX$21-BW49)))</f>
        <v>0</v>
      </c>
      <c r="BY47" s="642">
        <f t="shared" ref="BY47" si="1734" xml:space="preserve">
IF(BX49&gt;=VLOOKUP($C47,$C$3:$D$15,2,FALSE)*BY$21,0,
IF(AND(BX49&lt;VLOOKUP($C47,$C$3:$D$15,2,FALSE)*BY$21,BY48&lt;=VLOOKUP($C47,$C$3:$D$15,2,FALSE)*BY$21),IF(BY48-BX49&lt;0,0,BY48-BX49),
IF(AND(BX49&lt;VLOOKUP($C47,$C$3:$D$15,2,FALSE)*BY$21,BY48&gt;VLOOKUP($C47,$C$3:$D$15,2,FALSE)*BY$21),VLOOKUP($C47,$C$3:$D$15,2,FALSE)*BY$21-BX49)))</f>
        <v>0</v>
      </c>
      <c r="BZ47" s="642">
        <f t="shared" ref="BZ47" si="1735" xml:space="preserve">
IF(BY49&gt;=VLOOKUP($C47,$C$3:$D$15,2,FALSE)*BZ$21,0,
IF(AND(BY49&lt;VLOOKUP($C47,$C$3:$D$15,2,FALSE)*BZ$21,BZ48&lt;=VLOOKUP($C47,$C$3:$D$15,2,FALSE)*BZ$21),IF(BZ48-BY49&lt;0,0,BZ48-BY49),
IF(AND(BY49&lt;VLOOKUP($C47,$C$3:$D$15,2,FALSE)*BZ$21,BZ48&gt;VLOOKUP($C47,$C$3:$D$15,2,FALSE)*BZ$21),VLOOKUP($C47,$C$3:$D$15,2,FALSE)*BZ$21-BY49)))</f>
        <v>0</v>
      </c>
      <c r="CA47" s="642">
        <f t="shared" ref="CA47" si="1736" xml:space="preserve">
IF(BZ49&gt;=VLOOKUP($C47,$C$3:$D$15,2,FALSE)*CA$21,0,
IF(AND(BZ49&lt;VLOOKUP($C47,$C$3:$D$15,2,FALSE)*CA$21,CA48&lt;=VLOOKUP($C47,$C$3:$D$15,2,FALSE)*CA$21),IF(CA48-BZ49&lt;0,0,CA48-BZ49),
IF(AND(BZ49&lt;VLOOKUP($C47,$C$3:$D$15,2,FALSE)*CA$21,CA48&gt;VLOOKUP($C47,$C$3:$D$15,2,FALSE)*CA$21),VLOOKUP($C47,$C$3:$D$15,2,FALSE)*CA$21-BZ49)))</f>
        <v>0</v>
      </c>
      <c r="CB47" s="642">
        <f t="shared" ref="CB47" si="1737" xml:space="preserve">
IF(CA49&gt;=VLOOKUP($C47,$C$3:$D$15,2,FALSE)*CB$21,0,
IF(AND(CA49&lt;VLOOKUP($C47,$C$3:$D$15,2,FALSE)*CB$21,CB48&lt;=VLOOKUP($C47,$C$3:$D$15,2,FALSE)*CB$21),IF(CB48-CA49&lt;0,0,CB48-CA49),
IF(AND(CA49&lt;VLOOKUP($C47,$C$3:$D$15,2,FALSE)*CB$21,CB48&gt;VLOOKUP($C47,$C$3:$D$15,2,FALSE)*CB$21),VLOOKUP($C47,$C$3:$D$15,2,FALSE)*CB$21-CA49)))</f>
        <v>0</v>
      </c>
      <c r="CC47" s="642">
        <f t="shared" ref="CC47" si="1738" xml:space="preserve">
IF(CB49&gt;=VLOOKUP($C47,$C$3:$D$15,2,FALSE)*CC$21,0,
IF(AND(CB49&lt;VLOOKUP($C47,$C$3:$D$15,2,FALSE)*CC$21,CC48&lt;=VLOOKUP($C47,$C$3:$D$15,2,FALSE)*CC$21),IF(CC48-CB49&lt;0,0,CC48-CB49),
IF(AND(CB49&lt;VLOOKUP($C47,$C$3:$D$15,2,FALSE)*CC$21,CC48&gt;VLOOKUP($C47,$C$3:$D$15,2,FALSE)*CC$21),VLOOKUP($C47,$C$3:$D$15,2,FALSE)*CC$21-CB49)))</f>
        <v>0</v>
      </c>
      <c r="CD47" s="642">
        <f t="shared" ref="CD47" si="1739" xml:space="preserve">
IF(CC49&gt;=VLOOKUP($C47,$C$3:$D$15,2,FALSE)*CD$21,0,
IF(AND(CC49&lt;VLOOKUP($C47,$C$3:$D$15,2,FALSE)*CD$21,CD48&lt;=VLOOKUP($C47,$C$3:$D$15,2,FALSE)*CD$21),IF(CD48-CC49&lt;0,0,CD48-CC49),
IF(AND(CC49&lt;VLOOKUP($C47,$C$3:$D$15,2,FALSE)*CD$21,CD48&gt;VLOOKUP($C47,$C$3:$D$15,2,FALSE)*CD$21),VLOOKUP($C47,$C$3:$D$15,2,FALSE)*CD$21-CC49)))</f>
        <v>0</v>
      </c>
      <c r="CE47" s="642">
        <f t="shared" ref="CE47" si="1740" xml:space="preserve">
IF(CD49&gt;=VLOOKUP($C47,$C$3:$D$15,2,FALSE)*CE$21,0,
IF(AND(CD49&lt;VLOOKUP($C47,$C$3:$D$15,2,FALSE)*CE$21,CE48&lt;=VLOOKUP($C47,$C$3:$D$15,2,FALSE)*CE$21),IF(CE48-CD49&lt;0,0,CE48-CD49),
IF(AND(CD49&lt;VLOOKUP($C47,$C$3:$D$15,2,FALSE)*CE$21,CE48&gt;VLOOKUP($C47,$C$3:$D$15,2,FALSE)*CE$21),VLOOKUP($C47,$C$3:$D$15,2,FALSE)*CE$21-CD49)))</f>
        <v>0</v>
      </c>
      <c r="CF47" s="642">
        <f t="shared" ref="CF47" si="1741" xml:space="preserve">
IF(CE49&gt;=VLOOKUP($C47,$C$3:$D$15,2,FALSE)*CF$21,0,
IF(AND(CE49&lt;VLOOKUP($C47,$C$3:$D$15,2,FALSE)*CF$21,CF48&lt;=VLOOKUP($C47,$C$3:$D$15,2,FALSE)*CF$21),IF(CF48-CE49&lt;0,0,CF48-CE49),
IF(AND(CE49&lt;VLOOKUP($C47,$C$3:$D$15,2,FALSE)*CF$21,CF48&gt;VLOOKUP($C47,$C$3:$D$15,2,FALSE)*CF$21),VLOOKUP($C47,$C$3:$D$15,2,FALSE)*CF$21-CE49)))</f>
        <v>0</v>
      </c>
      <c r="CG47" s="642">
        <f t="shared" ref="CG47" si="1742" xml:space="preserve">
IF(CF49&gt;=VLOOKUP($C47,$C$3:$D$15,2,FALSE)*CG$21,0,
IF(AND(CF49&lt;VLOOKUP($C47,$C$3:$D$15,2,FALSE)*CG$21,CG48&lt;=VLOOKUP($C47,$C$3:$D$15,2,FALSE)*CG$21),IF(CG48-CF49&lt;0,0,CG48-CF49),
IF(AND(CF49&lt;VLOOKUP($C47,$C$3:$D$15,2,FALSE)*CG$21,CG48&gt;VLOOKUP($C47,$C$3:$D$15,2,FALSE)*CG$21),VLOOKUP($C47,$C$3:$D$15,2,FALSE)*CG$21-CF49)))</f>
        <v>0</v>
      </c>
      <c r="CH47" s="642">
        <f t="shared" ref="CH47" si="1743" xml:space="preserve">
IF(CG49&gt;=VLOOKUP($C47,$C$3:$D$15,2,FALSE)*CH$21,0,
IF(AND(CG49&lt;VLOOKUP($C47,$C$3:$D$15,2,FALSE)*CH$21,CH48&lt;=VLOOKUP($C47,$C$3:$D$15,2,FALSE)*CH$21),IF(CH48-CG49&lt;0,0,CH48-CG49),
IF(AND(CG49&lt;VLOOKUP($C47,$C$3:$D$15,2,FALSE)*CH$21,CH48&gt;VLOOKUP($C47,$C$3:$D$15,2,FALSE)*CH$21),VLOOKUP($C47,$C$3:$D$15,2,FALSE)*CH$21-CG49)))</f>
        <v>0</v>
      </c>
      <c r="CI47" s="642">
        <f t="shared" ref="CI47" si="1744" xml:space="preserve">
IF(CH49&gt;=VLOOKUP($C47,$C$3:$D$15,2,FALSE)*CI$21,0,
IF(AND(CH49&lt;VLOOKUP($C47,$C$3:$D$15,2,FALSE)*CI$21,CI48&lt;=VLOOKUP($C47,$C$3:$D$15,2,FALSE)*CI$21),IF(CI48-CH49&lt;0,0,CI48-CH49),
IF(AND(CH49&lt;VLOOKUP($C47,$C$3:$D$15,2,FALSE)*CI$21,CI48&gt;VLOOKUP($C47,$C$3:$D$15,2,FALSE)*CI$21),VLOOKUP($C47,$C$3:$D$15,2,FALSE)*CI$21-CH49)))</f>
        <v>0</v>
      </c>
      <c r="CJ47" s="642">
        <f t="shared" ref="CJ47" si="1745" xml:space="preserve">
IF(CI49&gt;=VLOOKUP($C47,$C$3:$D$15,2,FALSE)*CJ$21,0,
IF(AND(CI49&lt;VLOOKUP($C47,$C$3:$D$15,2,FALSE)*CJ$21,CJ48&lt;=VLOOKUP($C47,$C$3:$D$15,2,FALSE)*CJ$21),IF(CJ48-CI49&lt;0,0,CJ48-CI49),
IF(AND(CI49&lt;VLOOKUP($C47,$C$3:$D$15,2,FALSE)*CJ$21,CJ48&gt;VLOOKUP($C47,$C$3:$D$15,2,FALSE)*CJ$21),VLOOKUP($C47,$C$3:$D$15,2,FALSE)*CJ$21-CI49)))</f>
        <v>0</v>
      </c>
      <c r="CK47" s="642">
        <f t="shared" ref="CK47" si="1746" xml:space="preserve">
IF(CJ49&gt;=VLOOKUP($C47,$C$3:$D$15,2,FALSE)*CK$21,0,
IF(AND(CJ49&lt;VLOOKUP($C47,$C$3:$D$15,2,FALSE)*CK$21,CK48&lt;=VLOOKUP($C47,$C$3:$D$15,2,FALSE)*CK$21),IF(CK48-CJ49&lt;0,0,CK48-CJ49),
IF(AND(CJ49&lt;VLOOKUP($C47,$C$3:$D$15,2,FALSE)*CK$21,CK48&gt;VLOOKUP($C47,$C$3:$D$15,2,FALSE)*CK$21),VLOOKUP($C47,$C$3:$D$15,2,FALSE)*CK$21-CJ49)))</f>
        <v>0</v>
      </c>
      <c r="CL47" s="642">
        <f t="shared" ref="CL47" si="1747" xml:space="preserve">
IF(CK49&gt;=VLOOKUP($C47,$C$3:$D$15,2,FALSE)*CL$21,0,
IF(AND(CK49&lt;VLOOKUP($C47,$C$3:$D$15,2,FALSE)*CL$21,CL48&lt;=VLOOKUP($C47,$C$3:$D$15,2,FALSE)*CL$21),IF(CL48-CK49&lt;0,0,CL48-CK49),
IF(AND(CK49&lt;VLOOKUP($C47,$C$3:$D$15,2,FALSE)*CL$21,CL48&gt;VLOOKUP($C47,$C$3:$D$15,2,FALSE)*CL$21),VLOOKUP($C47,$C$3:$D$15,2,FALSE)*CL$21-CK49)))</f>
        <v>0</v>
      </c>
      <c r="CM47" s="642">
        <f t="shared" ref="CM47" si="1748" xml:space="preserve">
IF(CL49&gt;=VLOOKUP($C47,$C$3:$D$15,2,FALSE)*CM$21,0,
IF(AND(CL49&lt;VLOOKUP($C47,$C$3:$D$15,2,FALSE)*CM$21,CM48&lt;=VLOOKUP($C47,$C$3:$D$15,2,FALSE)*CM$21),IF(CM48-CL49&lt;0,0,CM48-CL49),
IF(AND(CL49&lt;VLOOKUP($C47,$C$3:$D$15,2,FALSE)*CM$21,CM48&gt;VLOOKUP($C47,$C$3:$D$15,2,FALSE)*CM$21),VLOOKUP($C47,$C$3:$D$15,2,FALSE)*CM$21-CL49)))</f>
        <v>0</v>
      </c>
      <c r="CN47" s="642">
        <f t="shared" ref="CN47" si="1749" xml:space="preserve">
IF(CM49&gt;=VLOOKUP($C47,$C$3:$D$15,2,FALSE)*CN$21,0,
IF(AND(CM49&lt;VLOOKUP($C47,$C$3:$D$15,2,FALSE)*CN$21,CN48&lt;=VLOOKUP($C47,$C$3:$D$15,2,FALSE)*CN$21),IF(CN48-CM49&lt;0,0,CN48-CM49),
IF(AND(CM49&lt;VLOOKUP($C47,$C$3:$D$15,2,FALSE)*CN$21,CN48&gt;VLOOKUP($C47,$C$3:$D$15,2,FALSE)*CN$21),VLOOKUP($C47,$C$3:$D$15,2,FALSE)*CN$21-CM49)))</f>
        <v>0</v>
      </c>
      <c r="CO47" s="642">
        <f t="shared" ref="CO47" si="1750" xml:space="preserve">
IF(CN49&gt;=VLOOKUP($C47,$C$3:$D$15,2,FALSE)*CO$21,0,
IF(AND(CN49&lt;VLOOKUP($C47,$C$3:$D$15,2,FALSE)*CO$21,CO48&lt;=VLOOKUP($C47,$C$3:$D$15,2,FALSE)*CO$21),IF(CO48-CN49&lt;0,0,CO48-CN49),
IF(AND(CN49&lt;VLOOKUP($C47,$C$3:$D$15,2,FALSE)*CO$21,CO48&gt;VLOOKUP($C47,$C$3:$D$15,2,FALSE)*CO$21),VLOOKUP($C47,$C$3:$D$15,2,FALSE)*CO$21-CN49)))</f>
        <v>0</v>
      </c>
      <c r="CP47" s="642">
        <f t="shared" ref="CP47" si="1751" xml:space="preserve">
IF(CO49&gt;=VLOOKUP($C47,$C$3:$D$15,2,FALSE)*CP$21,0,
IF(AND(CO49&lt;VLOOKUP($C47,$C$3:$D$15,2,FALSE)*CP$21,CP48&lt;=VLOOKUP($C47,$C$3:$D$15,2,FALSE)*CP$21),IF(CP48-CO49&lt;0,0,CP48-CO49),
IF(AND(CO49&lt;VLOOKUP($C47,$C$3:$D$15,2,FALSE)*CP$21,CP48&gt;VLOOKUP($C47,$C$3:$D$15,2,FALSE)*CP$21),VLOOKUP($C47,$C$3:$D$15,2,FALSE)*CP$21-CO49)))</f>
        <v>0</v>
      </c>
      <c r="CQ47" s="642">
        <f t="shared" ref="CQ47" si="1752" xml:space="preserve">
IF(CP49&gt;=VLOOKUP($C47,$C$3:$D$15,2,FALSE)*CQ$21,0,
IF(AND(CP49&lt;VLOOKUP($C47,$C$3:$D$15,2,FALSE)*CQ$21,CQ48&lt;=VLOOKUP($C47,$C$3:$D$15,2,FALSE)*CQ$21),IF(CQ48-CP49&lt;0,0,CQ48-CP49),
IF(AND(CP49&lt;VLOOKUP($C47,$C$3:$D$15,2,FALSE)*CQ$21,CQ48&gt;VLOOKUP($C47,$C$3:$D$15,2,FALSE)*CQ$21),VLOOKUP($C47,$C$3:$D$15,2,FALSE)*CQ$21-CP49)))</f>
        <v>0</v>
      </c>
      <c r="CR47" s="642">
        <f t="shared" ref="CR47" si="1753" xml:space="preserve">
IF(CQ49&gt;=VLOOKUP($C47,$C$3:$D$15,2,FALSE)*CR$21,0,
IF(AND(CQ49&lt;VLOOKUP($C47,$C$3:$D$15,2,FALSE)*CR$21,CR48&lt;=VLOOKUP($C47,$C$3:$D$15,2,FALSE)*CR$21),IF(CR48-CQ49&lt;0,0,CR48-CQ49),
IF(AND(CQ49&lt;VLOOKUP($C47,$C$3:$D$15,2,FALSE)*CR$21,CR48&gt;VLOOKUP($C47,$C$3:$D$15,2,FALSE)*CR$21),VLOOKUP($C47,$C$3:$D$15,2,FALSE)*CR$21-CQ49)))</f>
        <v>0</v>
      </c>
      <c r="CS47" s="642">
        <f t="shared" ref="CS47" si="1754" xml:space="preserve">
IF(CR49&gt;=VLOOKUP($C47,$C$3:$D$15,2,FALSE)*CS$21,0,
IF(AND(CR49&lt;VLOOKUP($C47,$C$3:$D$15,2,FALSE)*CS$21,CS48&lt;=VLOOKUP($C47,$C$3:$D$15,2,FALSE)*CS$21),IF(CS48-CR49&lt;0,0,CS48-CR49),
IF(AND(CR49&lt;VLOOKUP($C47,$C$3:$D$15,2,FALSE)*CS$21,CS48&gt;VLOOKUP($C47,$C$3:$D$15,2,FALSE)*CS$21),VLOOKUP($C47,$C$3:$D$15,2,FALSE)*CS$21-CR49)))</f>
        <v>0</v>
      </c>
      <c r="CT47" s="642">
        <f t="shared" ref="CT47" si="1755" xml:space="preserve">
IF(CS49&gt;=VLOOKUP($C47,$C$3:$D$15,2,FALSE)*CT$21,0,
IF(AND(CS49&lt;VLOOKUP($C47,$C$3:$D$15,2,FALSE)*CT$21,CT48&lt;=VLOOKUP($C47,$C$3:$D$15,2,FALSE)*CT$21),IF(CT48-CS49&lt;0,0,CT48-CS49),
IF(AND(CS49&lt;VLOOKUP($C47,$C$3:$D$15,2,FALSE)*CT$21,CT48&gt;VLOOKUP($C47,$C$3:$D$15,2,FALSE)*CT$21),VLOOKUP($C47,$C$3:$D$15,2,FALSE)*CT$21-CS49)))</f>
        <v>0</v>
      </c>
      <c r="CU47" s="642">
        <f t="shared" ref="CU47" si="1756" xml:space="preserve">
IF(CT49&gt;=VLOOKUP($C47,$C$3:$D$15,2,FALSE)*CU$21,0,
IF(AND(CT49&lt;VLOOKUP($C47,$C$3:$D$15,2,FALSE)*CU$21,CU48&lt;=VLOOKUP($C47,$C$3:$D$15,2,FALSE)*CU$21),IF(CU48-CT49&lt;0,0,CU48-CT49),
IF(AND(CT49&lt;VLOOKUP($C47,$C$3:$D$15,2,FALSE)*CU$21,CU48&gt;VLOOKUP($C47,$C$3:$D$15,2,FALSE)*CU$21),VLOOKUP($C47,$C$3:$D$15,2,FALSE)*CU$21-CT49)))</f>
        <v>0</v>
      </c>
      <c r="CV47" s="642">
        <f t="shared" ref="CV47" si="1757" xml:space="preserve">
IF(CU49&gt;=VLOOKUP($C47,$C$3:$D$15,2,FALSE)*CV$21,0,
IF(AND(CU49&lt;VLOOKUP($C47,$C$3:$D$15,2,FALSE)*CV$21,CV48&lt;=VLOOKUP($C47,$C$3:$D$15,2,FALSE)*CV$21),IF(CV48-CU49&lt;0,0,CV48-CU49),
IF(AND(CU49&lt;VLOOKUP($C47,$C$3:$D$15,2,FALSE)*CV$21,CV48&gt;VLOOKUP($C47,$C$3:$D$15,2,FALSE)*CV$21),VLOOKUP($C47,$C$3:$D$15,2,FALSE)*CV$21-CU49)))</f>
        <v>0</v>
      </c>
      <c r="CW47" s="642">
        <f t="shared" ref="CW47" si="1758" xml:space="preserve">
IF(CV49&gt;=VLOOKUP($C47,$C$3:$D$15,2,FALSE)*CW$21,0,
IF(AND(CV49&lt;VLOOKUP($C47,$C$3:$D$15,2,FALSE)*CW$21,CW48&lt;=VLOOKUP($C47,$C$3:$D$15,2,FALSE)*CW$21),IF(CW48-CV49&lt;0,0,CW48-CV49),
IF(AND(CV49&lt;VLOOKUP($C47,$C$3:$D$15,2,FALSE)*CW$21,CW48&gt;VLOOKUP($C47,$C$3:$D$15,2,FALSE)*CW$21),VLOOKUP($C47,$C$3:$D$15,2,FALSE)*CW$21-CV49)))</f>
        <v>0</v>
      </c>
      <c r="CX47" s="642">
        <f t="shared" ref="CX47" si="1759" xml:space="preserve">
IF(CW49&gt;=VLOOKUP($C47,$C$3:$D$15,2,FALSE)*CX$21,0,
IF(AND(CW49&lt;VLOOKUP($C47,$C$3:$D$15,2,FALSE)*CX$21,CX48&lt;=VLOOKUP($C47,$C$3:$D$15,2,FALSE)*CX$21),IF(CX48-CW49&lt;0,0,CX48-CW49),
IF(AND(CW49&lt;VLOOKUP($C47,$C$3:$D$15,2,FALSE)*CX$21,CX48&gt;VLOOKUP($C47,$C$3:$D$15,2,FALSE)*CX$21),VLOOKUP($C47,$C$3:$D$15,2,FALSE)*CX$21-CW49)))</f>
        <v>0</v>
      </c>
      <c r="CY47" s="642">
        <f t="shared" ref="CY47" si="1760" xml:space="preserve">
IF(CX49&gt;=VLOOKUP($C47,$C$3:$D$15,2,FALSE)*CY$21,0,
IF(AND(CX49&lt;VLOOKUP($C47,$C$3:$D$15,2,FALSE)*CY$21,CY48&lt;=VLOOKUP($C47,$C$3:$D$15,2,FALSE)*CY$21),IF(CY48-CX49&lt;0,0,CY48-CX49),
IF(AND(CX49&lt;VLOOKUP($C47,$C$3:$D$15,2,FALSE)*CY$21,CY48&gt;VLOOKUP($C47,$C$3:$D$15,2,FALSE)*CY$21),VLOOKUP($C47,$C$3:$D$15,2,FALSE)*CY$21-CX49)))</f>
        <v>0</v>
      </c>
      <c r="CZ47" s="642">
        <f t="shared" ref="CZ47" si="1761" xml:space="preserve">
IF(CY49&gt;=VLOOKUP($C47,$C$3:$D$15,2,FALSE)*CZ$21,0,
IF(AND(CY49&lt;VLOOKUP($C47,$C$3:$D$15,2,FALSE)*CZ$21,CZ48&lt;=VLOOKUP($C47,$C$3:$D$15,2,FALSE)*CZ$21),IF(CZ48-CY49&lt;0,0,CZ48-CY49),
IF(AND(CY49&lt;VLOOKUP($C47,$C$3:$D$15,2,FALSE)*CZ$21,CZ48&gt;VLOOKUP($C47,$C$3:$D$15,2,FALSE)*CZ$21),VLOOKUP($C47,$C$3:$D$15,2,FALSE)*CZ$21-CY49)))</f>
        <v>0</v>
      </c>
      <c r="DA47" s="642">
        <f t="shared" ref="DA47" si="1762" xml:space="preserve">
IF(CZ49&gt;=VLOOKUP($C47,$C$3:$D$15,2,FALSE)*DA$21,0,
IF(AND(CZ49&lt;VLOOKUP($C47,$C$3:$D$15,2,FALSE)*DA$21,DA48&lt;=VLOOKUP($C47,$C$3:$D$15,2,FALSE)*DA$21),IF(DA48-CZ49&lt;0,0,DA48-CZ49),
IF(AND(CZ49&lt;VLOOKUP($C47,$C$3:$D$15,2,FALSE)*DA$21,DA48&gt;VLOOKUP($C47,$C$3:$D$15,2,FALSE)*DA$21),VLOOKUP($C47,$C$3:$D$15,2,FALSE)*DA$21-CZ49)))</f>
        <v>0</v>
      </c>
      <c r="DB47" s="642">
        <f t="shared" ref="DB47" si="1763" xml:space="preserve">
IF(DA49&gt;=VLOOKUP($C47,$C$3:$D$15,2,FALSE)*DB$21,0,
IF(AND(DA49&lt;VLOOKUP($C47,$C$3:$D$15,2,FALSE)*DB$21,DB48&lt;=VLOOKUP($C47,$C$3:$D$15,2,FALSE)*DB$21),IF(DB48-DA49&lt;0,0,DB48-DA49),
IF(AND(DA49&lt;VLOOKUP($C47,$C$3:$D$15,2,FALSE)*DB$21,DB48&gt;VLOOKUP($C47,$C$3:$D$15,2,FALSE)*DB$21),VLOOKUP($C47,$C$3:$D$15,2,FALSE)*DB$21-DA49)))</f>
        <v>0</v>
      </c>
      <c r="DC47" s="642">
        <f t="shared" ref="DC47" si="1764" xml:space="preserve">
IF(DB49&gt;=VLOOKUP($C47,$C$3:$D$15,2,FALSE)*DC$21,0,
IF(AND(DB49&lt;VLOOKUP($C47,$C$3:$D$15,2,FALSE)*DC$21,DC48&lt;=VLOOKUP($C47,$C$3:$D$15,2,FALSE)*DC$21),IF(DC48-DB49&lt;0,0,DC48-DB49),
IF(AND(DB49&lt;VLOOKUP($C47,$C$3:$D$15,2,FALSE)*DC$21,DC48&gt;VLOOKUP($C47,$C$3:$D$15,2,FALSE)*DC$21),VLOOKUP($C47,$C$3:$D$15,2,FALSE)*DC$21-DB49)))</f>
        <v>0</v>
      </c>
      <c r="DD47" s="642">
        <f t="shared" ref="DD47" si="1765" xml:space="preserve">
IF(DC49&gt;=VLOOKUP($C47,$C$3:$D$15,2,FALSE)*DD$21,0,
IF(AND(DC49&lt;VLOOKUP($C47,$C$3:$D$15,2,FALSE)*DD$21,DD48&lt;=VLOOKUP($C47,$C$3:$D$15,2,FALSE)*DD$21),IF(DD48-DC49&lt;0,0,DD48-DC49),
IF(AND(DC49&lt;VLOOKUP($C47,$C$3:$D$15,2,FALSE)*DD$21,DD48&gt;VLOOKUP($C47,$C$3:$D$15,2,FALSE)*DD$21),VLOOKUP($C47,$C$3:$D$15,2,FALSE)*DD$21-DC49)))</f>
        <v>0</v>
      </c>
      <c r="DE47" s="642">
        <f t="shared" ref="DE47" si="1766" xml:space="preserve">
IF(DD49&gt;=VLOOKUP($C47,$C$3:$D$15,2,FALSE)*DE$21,0,
IF(AND(DD49&lt;VLOOKUP($C47,$C$3:$D$15,2,FALSE)*DE$21,DE48&lt;=VLOOKUP($C47,$C$3:$D$15,2,FALSE)*DE$21),IF(DE48-DD49&lt;0,0,DE48-DD49),
IF(AND(DD49&lt;VLOOKUP($C47,$C$3:$D$15,2,FALSE)*DE$21,DE48&gt;VLOOKUP($C47,$C$3:$D$15,2,FALSE)*DE$21),VLOOKUP($C47,$C$3:$D$15,2,FALSE)*DE$21-DD49)))</f>
        <v>0</v>
      </c>
      <c r="DF47" s="642">
        <f t="shared" ref="DF47" si="1767" xml:space="preserve">
IF(DE49&gt;=VLOOKUP($C47,$C$3:$D$15,2,FALSE)*DF$21,0,
IF(AND(DE49&lt;VLOOKUP($C47,$C$3:$D$15,2,FALSE)*DF$21,DF48&lt;=VLOOKUP($C47,$C$3:$D$15,2,FALSE)*DF$21),IF(DF48-DE49&lt;0,0,DF48-DE49),
IF(AND(DE49&lt;VLOOKUP($C47,$C$3:$D$15,2,FALSE)*DF$21,DF48&gt;VLOOKUP($C47,$C$3:$D$15,2,FALSE)*DF$21),VLOOKUP($C47,$C$3:$D$15,2,FALSE)*DF$21-DE49)))</f>
        <v>0</v>
      </c>
      <c r="DG47" s="642">
        <f t="shared" ref="DG47" si="1768" xml:space="preserve">
IF(DF49&gt;=VLOOKUP($C47,$C$3:$D$15,2,FALSE)*DG$21,0,
IF(AND(DF49&lt;VLOOKUP($C47,$C$3:$D$15,2,FALSE)*DG$21,DG48&lt;=VLOOKUP($C47,$C$3:$D$15,2,FALSE)*DG$21),IF(DG48-DF49&lt;0,0,DG48-DF49),
IF(AND(DF49&lt;VLOOKUP($C47,$C$3:$D$15,2,FALSE)*DG$21,DG48&gt;VLOOKUP($C47,$C$3:$D$15,2,FALSE)*DG$21),VLOOKUP($C47,$C$3:$D$15,2,FALSE)*DG$21-DF49)))</f>
        <v>0</v>
      </c>
      <c r="DH47" s="642">
        <f t="shared" ref="DH47" si="1769" xml:space="preserve">
IF(DG49&gt;=VLOOKUP($C47,$C$3:$D$15,2,FALSE)*DH$21,0,
IF(AND(DG49&lt;VLOOKUP($C47,$C$3:$D$15,2,FALSE)*DH$21,DH48&lt;=VLOOKUP($C47,$C$3:$D$15,2,FALSE)*DH$21),IF(DH48-DG49&lt;0,0,DH48-DG49),
IF(AND(DG49&lt;VLOOKUP($C47,$C$3:$D$15,2,FALSE)*DH$21,DH48&gt;VLOOKUP($C47,$C$3:$D$15,2,FALSE)*DH$21),VLOOKUP($C47,$C$3:$D$15,2,FALSE)*DH$21-DG49)))</f>
        <v>0</v>
      </c>
      <c r="DI47" s="642">
        <f t="shared" ref="DI47" si="1770" xml:space="preserve">
IF(DH49&gt;=VLOOKUP($C47,$C$3:$D$15,2,FALSE)*DI$21,0,
IF(AND(DH49&lt;VLOOKUP($C47,$C$3:$D$15,2,FALSE)*DI$21,DI48&lt;=VLOOKUP($C47,$C$3:$D$15,2,FALSE)*DI$21),IF(DI48-DH49&lt;0,0,DI48-DH49),
IF(AND(DH49&lt;VLOOKUP($C47,$C$3:$D$15,2,FALSE)*DI$21,DI48&gt;VLOOKUP($C47,$C$3:$D$15,2,FALSE)*DI$21),VLOOKUP($C47,$C$3:$D$15,2,FALSE)*DI$21-DH49)))</f>
        <v>0</v>
      </c>
      <c r="DJ47" s="642">
        <f t="shared" ref="DJ47" si="1771" xml:space="preserve">
IF(DI49&gt;=VLOOKUP($C47,$C$3:$D$15,2,FALSE)*DJ$21,0,
IF(AND(DI49&lt;VLOOKUP($C47,$C$3:$D$15,2,FALSE)*DJ$21,DJ48&lt;=VLOOKUP($C47,$C$3:$D$15,2,FALSE)*DJ$21),IF(DJ48-DI49&lt;0,0,DJ48-DI49),
IF(AND(DI49&lt;VLOOKUP($C47,$C$3:$D$15,2,FALSE)*DJ$21,DJ48&gt;VLOOKUP($C47,$C$3:$D$15,2,FALSE)*DJ$21),VLOOKUP($C47,$C$3:$D$15,2,FALSE)*DJ$21-DI49)))</f>
        <v>0</v>
      </c>
      <c r="DK47" s="642">
        <f t="shared" ref="DK47" si="1772" xml:space="preserve">
IF(DJ49&gt;=VLOOKUP($C47,$C$3:$D$15,2,FALSE)*DK$21,0,
IF(AND(DJ49&lt;VLOOKUP($C47,$C$3:$D$15,2,FALSE)*DK$21,DK48&lt;=VLOOKUP($C47,$C$3:$D$15,2,FALSE)*DK$21),IF(DK48-DJ49&lt;0,0,DK48-DJ49),
IF(AND(DJ49&lt;VLOOKUP($C47,$C$3:$D$15,2,FALSE)*DK$21,DK48&gt;VLOOKUP($C47,$C$3:$D$15,2,FALSE)*DK$21),VLOOKUP($C47,$C$3:$D$15,2,FALSE)*DK$21-DJ49)))</f>
        <v>0</v>
      </c>
      <c r="DL47" s="642">
        <f t="shared" ref="DL47" si="1773" xml:space="preserve">
IF(DK49&gt;=VLOOKUP($C47,$C$3:$D$15,2,FALSE)*DL$21,0,
IF(AND(DK49&lt;VLOOKUP($C47,$C$3:$D$15,2,FALSE)*DL$21,DL48&lt;=VLOOKUP($C47,$C$3:$D$15,2,FALSE)*DL$21),IF(DL48-DK49&lt;0,0,DL48-DK49),
IF(AND(DK49&lt;VLOOKUP($C47,$C$3:$D$15,2,FALSE)*DL$21,DL48&gt;VLOOKUP($C47,$C$3:$D$15,2,FALSE)*DL$21),VLOOKUP($C47,$C$3:$D$15,2,FALSE)*DL$21-DK49)))</f>
        <v>0</v>
      </c>
      <c r="DM47" s="642">
        <f t="shared" ref="DM47" si="1774" xml:space="preserve">
IF(DL49&gt;=VLOOKUP($C47,$C$3:$D$15,2,FALSE)*DM$21,0,
IF(AND(DL49&lt;VLOOKUP($C47,$C$3:$D$15,2,FALSE)*DM$21,DM48&lt;=VLOOKUP($C47,$C$3:$D$15,2,FALSE)*DM$21),IF(DM48-DL49&lt;0,0,DM48-DL49),
IF(AND(DL49&lt;VLOOKUP($C47,$C$3:$D$15,2,FALSE)*DM$21,DM48&gt;VLOOKUP($C47,$C$3:$D$15,2,FALSE)*DM$21),VLOOKUP($C47,$C$3:$D$15,2,FALSE)*DM$21-DL49)))</f>
        <v>0</v>
      </c>
      <c r="DN47" s="642">
        <f t="shared" ref="DN47" si="1775" xml:space="preserve">
IF(DM49&gt;=VLOOKUP($C47,$C$3:$D$15,2,FALSE)*DN$21,0,
IF(AND(DM49&lt;VLOOKUP($C47,$C$3:$D$15,2,FALSE)*DN$21,DN48&lt;=VLOOKUP($C47,$C$3:$D$15,2,FALSE)*DN$21),IF(DN48-DM49&lt;0,0,DN48-DM49),
IF(AND(DM49&lt;VLOOKUP($C47,$C$3:$D$15,2,FALSE)*DN$21,DN48&gt;VLOOKUP($C47,$C$3:$D$15,2,FALSE)*DN$21),VLOOKUP($C47,$C$3:$D$15,2,FALSE)*DN$21-DM49)))</f>
        <v>0</v>
      </c>
      <c r="DO47" s="642">
        <f t="shared" ref="DO47" si="1776" xml:space="preserve">
IF(DN49&gt;=VLOOKUP($C47,$C$3:$D$15,2,FALSE)*DO$21,0,
IF(AND(DN49&lt;VLOOKUP($C47,$C$3:$D$15,2,FALSE)*DO$21,DO48&lt;=VLOOKUP($C47,$C$3:$D$15,2,FALSE)*DO$21),IF(DO48-DN49&lt;0,0,DO48-DN49),
IF(AND(DN49&lt;VLOOKUP($C47,$C$3:$D$15,2,FALSE)*DO$21,DO48&gt;VLOOKUP($C47,$C$3:$D$15,2,FALSE)*DO$21),VLOOKUP($C47,$C$3:$D$15,2,FALSE)*DO$21-DN49)))</f>
        <v>0</v>
      </c>
      <c r="DP47" s="642">
        <f t="shared" ref="DP47" si="1777" xml:space="preserve">
IF(DO49&gt;=VLOOKUP($C47,$C$3:$D$15,2,FALSE)*DP$21,0,
IF(AND(DO49&lt;VLOOKUP($C47,$C$3:$D$15,2,FALSE)*DP$21,DP48&lt;=VLOOKUP($C47,$C$3:$D$15,2,FALSE)*DP$21),IF(DP48-DO49&lt;0,0,DP48-DO49),
IF(AND(DO49&lt;VLOOKUP($C47,$C$3:$D$15,2,FALSE)*DP$21,DP48&gt;VLOOKUP($C47,$C$3:$D$15,2,FALSE)*DP$21),VLOOKUP($C47,$C$3:$D$15,2,FALSE)*DP$21-DO49)))</f>
        <v>0</v>
      </c>
      <c r="DQ47" s="642">
        <f t="shared" ref="DQ47" si="1778" xml:space="preserve">
IF(DP49&gt;=VLOOKUP($C47,$C$3:$D$15,2,FALSE)*DQ$21,0,
IF(AND(DP49&lt;VLOOKUP($C47,$C$3:$D$15,2,FALSE)*DQ$21,DQ48&lt;=VLOOKUP($C47,$C$3:$D$15,2,FALSE)*DQ$21),IF(DQ48-DP49&lt;0,0,DQ48-DP49),
IF(AND(DP49&lt;VLOOKUP($C47,$C$3:$D$15,2,FALSE)*DQ$21,DQ48&gt;VLOOKUP($C47,$C$3:$D$15,2,FALSE)*DQ$21),VLOOKUP($C47,$C$3:$D$15,2,FALSE)*DQ$21-DP49)))</f>
        <v>0</v>
      </c>
      <c r="DR47" s="642">
        <f t="shared" ref="DR47" si="1779" xml:space="preserve">
IF(DQ49&gt;=VLOOKUP($C47,$C$3:$D$15,2,FALSE)*DR$21,0,
IF(AND(DQ49&lt;VLOOKUP($C47,$C$3:$D$15,2,FALSE)*DR$21,DR48&lt;=VLOOKUP($C47,$C$3:$D$15,2,FALSE)*DR$21),IF(DR48-DQ49&lt;0,0,DR48-DQ49),
IF(AND(DQ49&lt;VLOOKUP($C47,$C$3:$D$15,2,FALSE)*DR$21,DR48&gt;VLOOKUP($C47,$C$3:$D$15,2,FALSE)*DR$21),VLOOKUP($C47,$C$3:$D$15,2,FALSE)*DR$21-DQ49)))</f>
        <v>0</v>
      </c>
      <c r="DS47" s="642">
        <f t="shared" ref="DS47" si="1780" xml:space="preserve">
IF(DR49&gt;=VLOOKUP($C47,$C$3:$D$15,2,FALSE)*DS$21,0,
IF(AND(DR49&lt;VLOOKUP($C47,$C$3:$D$15,2,FALSE)*DS$21,DS48&lt;=VLOOKUP($C47,$C$3:$D$15,2,FALSE)*DS$21),IF(DS48-DR49&lt;0,0,DS48-DR49),
IF(AND(DR49&lt;VLOOKUP($C47,$C$3:$D$15,2,FALSE)*DS$21,DS48&gt;VLOOKUP($C47,$C$3:$D$15,2,FALSE)*DS$21),VLOOKUP($C47,$C$3:$D$15,2,FALSE)*DS$21-DR49)))</f>
        <v>0</v>
      </c>
      <c r="DT47" s="642">
        <f t="shared" ref="DT47" si="1781" xml:space="preserve">
IF(DS49&gt;=VLOOKUP($C47,$C$3:$D$15,2,FALSE)*DT$21,0,
IF(AND(DS49&lt;VLOOKUP($C47,$C$3:$D$15,2,FALSE)*DT$21,DT48&lt;=VLOOKUP($C47,$C$3:$D$15,2,FALSE)*DT$21),IF(DT48-DS49&lt;0,0,DT48-DS49),
IF(AND(DS49&lt;VLOOKUP($C47,$C$3:$D$15,2,FALSE)*DT$21,DT48&gt;VLOOKUP($C47,$C$3:$D$15,2,FALSE)*DT$21),VLOOKUP($C47,$C$3:$D$15,2,FALSE)*DT$21-DS49)))</f>
        <v>0</v>
      </c>
      <c r="DU47" s="642">
        <f t="shared" ref="DU47" si="1782" xml:space="preserve">
IF(DT49&gt;=VLOOKUP($C47,$C$3:$D$15,2,FALSE)*DU$21,0,
IF(AND(DT49&lt;VLOOKUP($C47,$C$3:$D$15,2,FALSE)*DU$21,DU48&lt;=VLOOKUP($C47,$C$3:$D$15,2,FALSE)*DU$21),IF(DU48-DT49&lt;0,0,DU48-DT49),
IF(AND(DT49&lt;VLOOKUP($C47,$C$3:$D$15,2,FALSE)*DU$21,DU48&gt;VLOOKUP($C47,$C$3:$D$15,2,FALSE)*DU$21),VLOOKUP($C47,$C$3:$D$15,2,FALSE)*DU$21-DT49)))</f>
        <v>0</v>
      </c>
      <c r="DV47" s="642">
        <f t="shared" ref="DV47" si="1783" xml:space="preserve">
IF(DU49&gt;=VLOOKUP($C47,$C$3:$D$15,2,FALSE)*DV$21,0,
IF(AND(DU49&lt;VLOOKUP($C47,$C$3:$D$15,2,FALSE)*DV$21,DV48&lt;=VLOOKUP($C47,$C$3:$D$15,2,FALSE)*DV$21),IF(DV48-DU49&lt;0,0,DV48-DU49),
IF(AND(DU49&lt;VLOOKUP($C47,$C$3:$D$15,2,FALSE)*DV$21,DV48&gt;VLOOKUP($C47,$C$3:$D$15,2,FALSE)*DV$21),VLOOKUP($C47,$C$3:$D$15,2,FALSE)*DV$21-DU49)))</f>
        <v>0</v>
      </c>
      <c r="DW47" s="642">
        <f t="shared" ref="DW47" si="1784" xml:space="preserve">
IF(DV49&gt;=VLOOKUP($C47,$C$3:$D$15,2,FALSE)*DW$21,0,
IF(AND(DV49&lt;VLOOKUP($C47,$C$3:$D$15,2,FALSE)*DW$21,DW48&lt;=VLOOKUP($C47,$C$3:$D$15,2,FALSE)*DW$21),IF(DW48-DV49&lt;0,0,DW48-DV49),
IF(AND(DV49&lt;VLOOKUP($C47,$C$3:$D$15,2,FALSE)*DW$21,DW48&gt;VLOOKUP($C47,$C$3:$D$15,2,FALSE)*DW$21),VLOOKUP($C47,$C$3:$D$15,2,FALSE)*DW$21-DV49)))</f>
        <v>0</v>
      </c>
      <c r="DX47" s="642">
        <f t="shared" ref="DX47" si="1785" xml:space="preserve">
IF(DW49&gt;=VLOOKUP($C47,$C$3:$D$15,2,FALSE)*DX$21,0,
IF(AND(DW49&lt;VLOOKUP($C47,$C$3:$D$15,2,FALSE)*DX$21,DX48&lt;=VLOOKUP($C47,$C$3:$D$15,2,FALSE)*DX$21),IF(DX48-DW49&lt;0,0,DX48-DW49),
IF(AND(DW49&lt;VLOOKUP($C47,$C$3:$D$15,2,FALSE)*DX$21,DX48&gt;VLOOKUP($C47,$C$3:$D$15,2,FALSE)*DX$21),VLOOKUP($C47,$C$3:$D$15,2,FALSE)*DX$21-DW49)))</f>
        <v>0</v>
      </c>
      <c r="DY47" s="642">
        <f t="shared" ref="DY47" si="1786" xml:space="preserve">
IF(DX49&gt;=VLOOKUP($C47,$C$3:$D$15,2,FALSE)*DY$21,0,
IF(AND(DX49&lt;VLOOKUP($C47,$C$3:$D$15,2,FALSE)*DY$21,DY48&lt;=VLOOKUP($C47,$C$3:$D$15,2,FALSE)*DY$21),IF(DY48-DX49&lt;0,0,DY48-DX49),
IF(AND(DX49&lt;VLOOKUP($C47,$C$3:$D$15,2,FALSE)*DY$21,DY48&gt;VLOOKUP($C47,$C$3:$D$15,2,FALSE)*DY$21),VLOOKUP($C47,$C$3:$D$15,2,FALSE)*DY$21-DX49)))</f>
        <v>0</v>
      </c>
      <c r="DZ47" s="642">
        <f t="shared" ref="DZ47" si="1787" xml:space="preserve">
IF(DY49&gt;=VLOOKUP($C47,$C$3:$D$15,2,FALSE)*DZ$21,0,
IF(AND(DY49&lt;VLOOKUP($C47,$C$3:$D$15,2,FALSE)*DZ$21,DZ48&lt;=VLOOKUP($C47,$C$3:$D$15,2,FALSE)*DZ$21),IF(DZ48-DY49&lt;0,0,DZ48-DY49),
IF(AND(DY49&lt;VLOOKUP($C47,$C$3:$D$15,2,FALSE)*DZ$21,DZ48&gt;VLOOKUP($C47,$C$3:$D$15,2,FALSE)*DZ$21),VLOOKUP($C47,$C$3:$D$15,2,FALSE)*DZ$21-DY49)))</f>
        <v>0</v>
      </c>
      <c r="EA47" s="642">
        <f t="shared" ref="EA47" si="1788" xml:space="preserve">
IF(DZ49&gt;=VLOOKUP($C47,$C$3:$D$15,2,FALSE)*EA$21,0,
IF(AND(DZ49&lt;VLOOKUP($C47,$C$3:$D$15,2,FALSE)*EA$21,EA48&lt;=VLOOKUP($C47,$C$3:$D$15,2,FALSE)*EA$21),IF(EA48-DZ49&lt;0,0,EA48-DZ49),
IF(AND(DZ49&lt;VLOOKUP($C47,$C$3:$D$15,2,FALSE)*EA$21,EA48&gt;VLOOKUP($C47,$C$3:$D$15,2,FALSE)*EA$21),VLOOKUP($C47,$C$3:$D$15,2,FALSE)*EA$21-DZ49)))</f>
        <v>0</v>
      </c>
      <c r="EB47" s="642">
        <f t="shared" ref="EB47" si="1789" xml:space="preserve">
IF(EA49&gt;=VLOOKUP($C47,$C$3:$D$15,2,FALSE)*EB$21,0,
IF(AND(EA49&lt;VLOOKUP($C47,$C$3:$D$15,2,FALSE)*EB$21,EB48&lt;=VLOOKUP($C47,$C$3:$D$15,2,FALSE)*EB$21),IF(EB48-EA49&lt;0,0,EB48-EA49),
IF(AND(EA49&lt;VLOOKUP($C47,$C$3:$D$15,2,FALSE)*EB$21,EB48&gt;VLOOKUP($C47,$C$3:$D$15,2,FALSE)*EB$21),VLOOKUP($C47,$C$3:$D$15,2,FALSE)*EB$21-EA49)))</f>
        <v>0</v>
      </c>
      <c r="EC47" s="642">
        <f t="shared" ref="EC47" si="1790" xml:space="preserve">
IF(EB49&gt;=VLOOKUP($C47,$C$3:$D$15,2,FALSE)*EC$21,0,
IF(AND(EB49&lt;VLOOKUP($C47,$C$3:$D$15,2,FALSE)*EC$21,EC48&lt;=VLOOKUP($C47,$C$3:$D$15,2,FALSE)*EC$21),IF(EC48-EB49&lt;0,0,EC48-EB49),
IF(AND(EB49&lt;VLOOKUP($C47,$C$3:$D$15,2,FALSE)*EC$21,EC48&gt;VLOOKUP($C47,$C$3:$D$15,2,FALSE)*EC$21),VLOOKUP($C47,$C$3:$D$15,2,FALSE)*EC$21-EB49)))</f>
        <v>0</v>
      </c>
      <c r="ED47" s="642">
        <f t="shared" ref="ED47" si="1791" xml:space="preserve">
IF(EC49&gt;=VLOOKUP($C47,$C$3:$D$15,2,FALSE)*ED$21,0,
IF(AND(EC49&lt;VLOOKUP($C47,$C$3:$D$15,2,FALSE)*ED$21,ED48&lt;=VLOOKUP($C47,$C$3:$D$15,2,FALSE)*ED$21),IF(ED48-EC49&lt;0,0,ED48-EC49),
IF(AND(EC49&lt;VLOOKUP($C47,$C$3:$D$15,2,FALSE)*ED$21,ED48&gt;VLOOKUP($C47,$C$3:$D$15,2,FALSE)*ED$21),VLOOKUP($C47,$C$3:$D$15,2,FALSE)*ED$21-EC49)))</f>
        <v>0</v>
      </c>
      <c r="EE47" s="642">
        <f t="shared" ref="EE47" si="1792" xml:space="preserve">
IF(ED49&gt;=VLOOKUP($C47,$C$3:$D$15,2,FALSE)*EE$21,0,
IF(AND(ED49&lt;VLOOKUP($C47,$C$3:$D$15,2,FALSE)*EE$21,EE48&lt;=VLOOKUP($C47,$C$3:$D$15,2,FALSE)*EE$21),IF(EE48-ED49&lt;0,0,EE48-ED49),
IF(AND(ED49&lt;VLOOKUP($C47,$C$3:$D$15,2,FALSE)*EE$21,EE48&gt;VLOOKUP($C47,$C$3:$D$15,2,FALSE)*EE$21),VLOOKUP($C47,$C$3:$D$15,2,FALSE)*EE$21-ED49)))</f>
        <v>0</v>
      </c>
      <c r="EF47" s="642">
        <f t="shared" ref="EF47" si="1793" xml:space="preserve">
IF(EE49&gt;=VLOOKUP($C47,$C$3:$D$15,2,FALSE)*EF$21,0,
IF(AND(EE49&lt;VLOOKUP($C47,$C$3:$D$15,2,FALSE)*EF$21,EF48&lt;=VLOOKUP($C47,$C$3:$D$15,2,FALSE)*EF$21),IF(EF48-EE49&lt;0,0,EF48-EE49),
IF(AND(EE49&lt;VLOOKUP($C47,$C$3:$D$15,2,FALSE)*EF$21,EF48&gt;VLOOKUP($C47,$C$3:$D$15,2,FALSE)*EF$21),VLOOKUP($C47,$C$3:$D$15,2,FALSE)*EF$21-EE49)))</f>
        <v>0</v>
      </c>
      <c r="EG47" s="642">
        <f t="shared" ref="EG47" si="1794" xml:space="preserve">
IF(EF49&gt;=VLOOKUP($C47,$C$3:$D$15,2,FALSE)*EG$21,0,
IF(AND(EF49&lt;VLOOKUP($C47,$C$3:$D$15,2,FALSE)*EG$21,EG48&lt;=VLOOKUP($C47,$C$3:$D$15,2,FALSE)*EG$21),IF(EG48-EF49&lt;0,0,EG48-EF49),
IF(AND(EF49&lt;VLOOKUP($C47,$C$3:$D$15,2,FALSE)*EG$21,EG48&gt;VLOOKUP($C47,$C$3:$D$15,2,FALSE)*EG$21),VLOOKUP($C47,$C$3:$D$15,2,FALSE)*EG$21-EF49)))</f>
        <v>0</v>
      </c>
      <c r="EH47" s="642">
        <f t="shared" ref="EH47" si="1795" xml:space="preserve">
IF(EG49&gt;=VLOOKUP($C47,$C$3:$D$15,2,FALSE)*EH$21,0,
IF(AND(EG49&lt;VLOOKUP($C47,$C$3:$D$15,2,FALSE)*EH$21,EH48&lt;=VLOOKUP($C47,$C$3:$D$15,2,FALSE)*EH$21),IF(EH48-EG49&lt;0,0,EH48-EG49),
IF(AND(EG49&lt;VLOOKUP($C47,$C$3:$D$15,2,FALSE)*EH$21,EH48&gt;VLOOKUP($C47,$C$3:$D$15,2,FALSE)*EH$21),VLOOKUP($C47,$C$3:$D$15,2,FALSE)*EH$21-EG49)))</f>
        <v>0</v>
      </c>
      <c r="EI47" s="642">
        <f t="shared" ref="EI47" si="1796" xml:space="preserve">
IF(EH49&gt;=VLOOKUP($C47,$C$3:$D$15,2,FALSE)*EI$21,0,
IF(AND(EH49&lt;VLOOKUP($C47,$C$3:$D$15,2,FALSE)*EI$21,EI48&lt;=VLOOKUP($C47,$C$3:$D$15,2,FALSE)*EI$21),IF(EI48-EH49&lt;0,0,EI48-EH49),
IF(AND(EH49&lt;VLOOKUP($C47,$C$3:$D$15,2,FALSE)*EI$21,EI48&gt;VLOOKUP($C47,$C$3:$D$15,2,FALSE)*EI$21),VLOOKUP($C47,$C$3:$D$15,2,FALSE)*EI$21-EH49)))</f>
        <v>0</v>
      </c>
      <c r="EJ47" s="642">
        <f t="shared" ref="EJ47" si="1797" xml:space="preserve">
IF(EI49&gt;=VLOOKUP($C47,$C$3:$D$15,2,FALSE)*EJ$21,0,
IF(AND(EI49&lt;VLOOKUP($C47,$C$3:$D$15,2,FALSE)*EJ$21,EJ48&lt;=VLOOKUP($C47,$C$3:$D$15,2,FALSE)*EJ$21),IF(EJ48-EI49&lt;0,0,EJ48-EI49),
IF(AND(EI49&lt;VLOOKUP($C47,$C$3:$D$15,2,FALSE)*EJ$21,EJ48&gt;VLOOKUP($C47,$C$3:$D$15,2,FALSE)*EJ$21),VLOOKUP($C47,$C$3:$D$15,2,FALSE)*EJ$21-EI49)))</f>
        <v>0</v>
      </c>
      <c r="EK47" s="642">
        <f t="shared" ref="EK47" si="1798" xml:space="preserve">
IF(EJ49&gt;=VLOOKUP($C47,$C$3:$D$15,2,FALSE)*EK$21,0,
IF(AND(EJ49&lt;VLOOKUP($C47,$C$3:$D$15,2,FALSE)*EK$21,EK48&lt;=VLOOKUP($C47,$C$3:$D$15,2,FALSE)*EK$21),IF(EK48-EJ49&lt;0,0,EK48-EJ49),
IF(AND(EJ49&lt;VLOOKUP($C47,$C$3:$D$15,2,FALSE)*EK$21,EK48&gt;VLOOKUP($C47,$C$3:$D$15,2,FALSE)*EK$21),VLOOKUP($C47,$C$3:$D$15,2,FALSE)*EK$21-EJ49)))</f>
        <v>0</v>
      </c>
      <c r="EL47" s="642">
        <f t="shared" ref="EL47" si="1799" xml:space="preserve">
IF(EK49&gt;=VLOOKUP($C47,$C$3:$D$15,2,FALSE)*EL$21,0,
IF(AND(EK49&lt;VLOOKUP($C47,$C$3:$D$15,2,FALSE)*EL$21,EL48&lt;=VLOOKUP($C47,$C$3:$D$15,2,FALSE)*EL$21),IF(EL48-EK49&lt;0,0,EL48-EK49),
IF(AND(EK49&lt;VLOOKUP($C47,$C$3:$D$15,2,FALSE)*EL$21,EL48&gt;VLOOKUP($C47,$C$3:$D$15,2,FALSE)*EL$21),VLOOKUP($C47,$C$3:$D$15,2,FALSE)*EL$21-EK49)))</f>
        <v>0</v>
      </c>
      <c r="EM47" s="642">
        <f t="shared" ref="EM47" si="1800" xml:space="preserve">
IF(EL49&gt;=VLOOKUP($C47,$C$3:$D$15,2,FALSE)*EM$21,0,
IF(AND(EL49&lt;VLOOKUP($C47,$C$3:$D$15,2,FALSE)*EM$21,EM48&lt;=VLOOKUP($C47,$C$3:$D$15,2,FALSE)*EM$21),IF(EM48-EL49&lt;0,0,EM48-EL49),
IF(AND(EL49&lt;VLOOKUP($C47,$C$3:$D$15,2,FALSE)*EM$21,EM48&gt;VLOOKUP($C47,$C$3:$D$15,2,FALSE)*EM$21),VLOOKUP($C47,$C$3:$D$15,2,FALSE)*EM$21-EL49)))</f>
        <v>0</v>
      </c>
      <c r="EN47" s="642">
        <f t="shared" ref="EN47" si="1801" xml:space="preserve">
IF(EM49&gt;=VLOOKUP($C47,$C$3:$D$15,2,FALSE)*EN$21,0,
IF(AND(EM49&lt;VLOOKUP($C47,$C$3:$D$15,2,FALSE)*EN$21,EN48&lt;=VLOOKUP($C47,$C$3:$D$15,2,FALSE)*EN$21),IF(EN48-EM49&lt;0,0,EN48-EM49),
IF(AND(EM49&lt;VLOOKUP($C47,$C$3:$D$15,2,FALSE)*EN$21,EN48&gt;VLOOKUP($C47,$C$3:$D$15,2,FALSE)*EN$21),VLOOKUP($C47,$C$3:$D$15,2,FALSE)*EN$21-EM49)))</f>
        <v>0</v>
      </c>
      <c r="EO47" s="642">
        <f t="shared" ref="EO47" si="1802" xml:space="preserve">
IF(EN49&gt;=VLOOKUP($C47,$C$3:$D$15,2,FALSE)*EO$21,0,
IF(AND(EN49&lt;VLOOKUP($C47,$C$3:$D$15,2,FALSE)*EO$21,EO48&lt;=VLOOKUP($C47,$C$3:$D$15,2,FALSE)*EO$21),IF(EO48-EN49&lt;0,0,EO48-EN49),
IF(AND(EN49&lt;VLOOKUP($C47,$C$3:$D$15,2,FALSE)*EO$21,EO48&gt;VLOOKUP($C47,$C$3:$D$15,2,FALSE)*EO$21),VLOOKUP($C47,$C$3:$D$15,2,FALSE)*EO$21-EN49)))</f>
        <v>0</v>
      </c>
      <c r="EP47" s="642">
        <f t="shared" ref="EP47" si="1803" xml:space="preserve">
IF(EO49&gt;=VLOOKUP($C47,$C$3:$D$15,2,FALSE)*EP$21,0,
IF(AND(EO49&lt;VLOOKUP($C47,$C$3:$D$15,2,FALSE)*EP$21,EP48&lt;=VLOOKUP($C47,$C$3:$D$15,2,FALSE)*EP$21),IF(EP48-EO49&lt;0,0,EP48-EO49),
IF(AND(EO49&lt;VLOOKUP($C47,$C$3:$D$15,2,FALSE)*EP$21,EP48&gt;VLOOKUP($C47,$C$3:$D$15,2,FALSE)*EP$21),VLOOKUP($C47,$C$3:$D$15,2,FALSE)*EP$21-EO49)))</f>
        <v>0</v>
      </c>
      <c r="EQ47" s="642">
        <f t="shared" ref="EQ47" si="1804" xml:space="preserve">
IF(EP49&gt;=VLOOKUP($C47,$C$3:$D$15,2,FALSE)*EQ$21,0,
IF(AND(EP49&lt;VLOOKUP($C47,$C$3:$D$15,2,FALSE)*EQ$21,EQ48&lt;=VLOOKUP($C47,$C$3:$D$15,2,FALSE)*EQ$21),IF(EQ48-EP49&lt;0,0,EQ48-EP49),
IF(AND(EP49&lt;VLOOKUP($C47,$C$3:$D$15,2,FALSE)*EQ$21,EQ48&gt;VLOOKUP($C47,$C$3:$D$15,2,FALSE)*EQ$21),VLOOKUP($C47,$C$3:$D$15,2,FALSE)*EQ$21-EP49)))</f>
        <v>0</v>
      </c>
      <c r="ER47" s="642">
        <f t="shared" ref="ER47" si="1805" xml:space="preserve">
IF(EQ49&gt;=VLOOKUP($C47,$C$3:$D$15,2,FALSE)*ER$21,0,
IF(AND(EQ49&lt;VLOOKUP($C47,$C$3:$D$15,2,FALSE)*ER$21,ER48&lt;=VLOOKUP($C47,$C$3:$D$15,2,FALSE)*ER$21),IF(ER48-EQ49&lt;0,0,ER48-EQ49),
IF(AND(EQ49&lt;VLOOKUP($C47,$C$3:$D$15,2,FALSE)*ER$21,ER48&gt;VLOOKUP($C47,$C$3:$D$15,2,FALSE)*ER$21),VLOOKUP($C47,$C$3:$D$15,2,FALSE)*ER$21-EQ49)))</f>
        <v>0</v>
      </c>
      <c r="ES47" s="642">
        <f t="shared" ref="ES47" si="1806" xml:space="preserve">
IF(ER49&gt;=VLOOKUP($C47,$C$3:$D$15,2,FALSE)*ES$21,0,
IF(AND(ER49&lt;VLOOKUP($C47,$C$3:$D$15,2,FALSE)*ES$21,ES48&lt;=VLOOKUP($C47,$C$3:$D$15,2,FALSE)*ES$21),IF(ES48-ER49&lt;0,0,ES48-ER49),
IF(AND(ER49&lt;VLOOKUP($C47,$C$3:$D$15,2,FALSE)*ES$21,ES48&gt;VLOOKUP($C47,$C$3:$D$15,2,FALSE)*ES$21),VLOOKUP($C47,$C$3:$D$15,2,FALSE)*ES$21-ER49)))</f>
        <v>0</v>
      </c>
      <c r="ET47" s="642">
        <f t="shared" ref="ET47" si="1807" xml:space="preserve">
IF(ES49&gt;=VLOOKUP($C47,$C$3:$D$15,2,FALSE)*ET$21,0,
IF(AND(ES49&lt;VLOOKUP($C47,$C$3:$D$15,2,FALSE)*ET$21,ET48&lt;=VLOOKUP($C47,$C$3:$D$15,2,FALSE)*ET$21),IF(ET48-ES49&lt;0,0,ET48-ES49),
IF(AND(ES49&lt;VLOOKUP($C47,$C$3:$D$15,2,FALSE)*ET$21,ET48&gt;VLOOKUP($C47,$C$3:$D$15,2,FALSE)*ET$21),VLOOKUP($C47,$C$3:$D$15,2,FALSE)*ET$21-ES49)))</f>
        <v>0</v>
      </c>
      <c r="EU47" s="642">
        <f t="shared" ref="EU47" si="1808" xml:space="preserve">
IF(ET49&gt;=VLOOKUP($C47,$C$3:$D$15,2,FALSE)*EU$21,0,
IF(AND(ET49&lt;VLOOKUP($C47,$C$3:$D$15,2,FALSE)*EU$21,EU48&lt;=VLOOKUP($C47,$C$3:$D$15,2,FALSE)*EU$21),IF(EU48-ET49&lt;0,0,EU48-ET49),
IF(AND(ET49&lt;VLOOKUP($C47,$C$3:$D$15,2,FALSE)*EU$21,EU48&gt;VLOOKUP($C47,$C$3:$D$15,2,FALSE)*EU$21),VLOOKUP($C47,$C$3:$D$15,2,FALSE)*EU$21-ET49)))</f>
        <v>0</v>
      </c>
      <c r="EV47" s="642">
        <f t="shared" ref="EV47" si="1809" xml:space="preserve">
IF(EU49&gt;=VLOOKUP($C47,$C$3:$D$15,2,FALSE)*EV$21,0,
IF(AND(EU49&lt;VLOOKUP($C47,$C$3:$D$15,2,FALSE)*EV$21,EV48&lt;=VLOOKUP($C47,$C$3:$D$15,2,FALSE)*EV$21),IF(EV48-EU49&lt;0,0,EV48-EU49),
IF(AND(EU49&lt;VLOOKUP($C47,$C$3:$D$15,2,FALSE)*EV$21,EV48&gt;VLOOKUP($C47,$C$3:$D$15,2,FALSE)*EV$21),VLOOKUP($C47,$C$3:$D$15,2,FALSE)*EV$21-EU49)))</f>
        <v>0</v>
      </c>
      <c r="EW47" s="642">
        <f t="shared" ref="EW47" si="1810" xml:space="preserve">
IF(EV49&gt;=VLOOKUP($C47,$C$3:$D$15,2,FALSE)*EW$21,0,
IF(AND(EV49&lt;VLOOKUP($C47,$C$3:$D$15,2,FALSE)*EW$21,EW48&lt;=VLOOKUP($C47,$C$3:$D$15,2,FALSE)*EW$21),IF(EW48-EV49&lt;0,0,EW48-EV49),
IF(AND(EV49&lt;VLOOKUP($C47,$C$3:$D$15,2,FALSE)*EW$21,EW48&gt;VLOOKUP($C47,$C$3:$D$15,2,FALSE)*EW$21),VLOOKUP($C47,$C$3:$D$15,2,FALSE)*EW$21-EV49)))</f>
        <v>0</v>
      </c>
      <c r="EX47" s="642">
        <f t="shared" ref="EX47" si="1811" xml:space="preserve">
IF(EW49&gt;=VLOOKUP($C47,$C$3:$D$15,2,FALSE)*EX$21,0,
IF(AND(EW49&lt;VLOOKUP($C47,$C$3:$D$15,2,FALSE)*EX$21,EX48&lt;=VLOOKUP($C47,$C$3:$D$15,2,FALSE)*EX$21),IF(EX48-EW49&lt;0,0,EX48-EW49),
IF(AND(EW49&lt;VLOOKUP($C47,$C$3:$D$15,2,FALSE)*EX$21,EX48&gt;VLOOKUP($C47,$C$3:$D$15,2,FALSE)*EX$21),VLOOKUP($C47,$C$3:$D$15,2,FALSE)*EX$21-EW49)))</f>
        <v>0</v>
      </c>
      <c r="EY47" s="642">
        <f t="shared" ref="EY47" si="1812" xml:space="preserve">
IF(EX49&gt;=VLOOKUP($C47,$C$3:$D$15,2,FALSE)*EY$21,0,
IF(AND(EX49&lt;VLOOKUP($C47,$C$3:$D$15,2,FALSE)*EY$21,EY48&lt;=VLOOKUP($C47,$C$3:$D$15,2,FALSE)*EY$21),IF(EY48-EX49&lt;0,0,EY48-EX49),
IF(AND(EX49&lt;VLOOKUP($C47,$C$3:$D$15,2,FALSE)*EY$21,EY48&gt;VLOOKUP($C47,$C$3:$D$15,2,FALSE)*EY$21),VLOOKUP($C47,$C$3:$D$15,2,FALSE)*EY$21-EX49)))</f>
        <v>0</v>
      </c>
      <c r="EZ47" s="642">
        <f t="shared" ref="EZ47" si="1813" xml:space="preserve">
IF(EY49&gt;=VLOOKUP($C47,$C$3:$D$15,2,FALSE)*EZ$21,0,
IF(AND(EY49&lt;VLOOKUP($C47,$C$3:$D$15,2,FALSE)*EZ$21,EZ48&lt;=VLOOKUP($C47,$C$3:$D$15,2,FALSE)*EZ$21),IF(EZ48-EY49&lt;0,0,EZ48-EY49),
IF(AND(EY49&lt;VLOOKUP($C47,$C$3:$D$15,2,FALSE)*EZ$21,EZ48&gt;VLOOKUP($C47,$C$3:$D$15,2,FALSE)*EZ$21),VLOOKUP($C47,$C$3:$D$15,2,FALSE)*EZ$21-EY49)))</f>
        <v>0</v>
      </c>
      <c r="FA47" s="642">
        <f t="shared" ref="FA47" si="1814" xml:space="preserve">
IF(EZ49&gt;=VLOOKUP($C47,$C$3:$D$15,2,FALSE)*FA$21,0,
IF(AND(EZ49&lt;VLOOKUP($C47,$C$3:$D$15,2,FALSE)*FA$21,FA48&lt;=VLOOKUP($C47,$C$3:$D$15,2,FALSE)*FA$21),IF(FA48-EZ49&lt;0,0,FA48-EZ49),
IF(AND(EZ49&lt;VLOOKUP($C47,$C$3:$D$15,2,FALSE)*FA$21,FA48&gt;VLOOKUP($C47,$C$3:$D$15,2,FALSE)*FA$21),VLOOKUP($C47,$C$3:$D$15,2,FALSE)*FA$21-EZ49)))</f>
        <v>0</v>
      </c>
      <c r="FB47" s="642">
        <f t="shared" ref="FB47" si="1815" xml:space="preserve">
IF(FA49&gt;=VLOOKUP($C47,$C$3:$D$15,2,FALSE)*FB$21,0,
IF(AND(FA49&lt;VLOOKUP($C47,$C$3:$D$15,2,FALSE)*FB$21,FB48&lt;=VLOOKUP($C47,$C$3:$D$15,2,FALSE)*FB$21),IF(FB48-FA49&lt;0,0,FB48-FA49),
IF(AND(FA49&lt;VLOOKUP($C47,$C$3:$D$15,2,FALSE)*FB$21,FB48&gt;VLOOKUP($C47,$C$3:$D$15,2,FALSE)*FB$21),VLOOKUP($C47,$C$3:$D$15,2,FALSE)*FB$21-FA49)))</f>
        <v>0</v>
      </c>
      <c r="FC47" s="642">
        <f t="shared" ref="FC47" si="1816" xml:space="preserve">
IF(FB49&gt;=VLOOKUP($C47,$C$3:$D$15,2,FALSE)*FC$21,0,
IF(AND(FB49&lt;VLOOKUP($C47,$C$3:$D$15,2,FALSE)*FC$21,FC48&lt;=VLOOKUP($C47,$C$3:$D$15,2,FALSE)*FC$21),IF(FC48-FB49&lt;0,0,FC48-FB49),
IF(AND(FB49&lt;VLOOKUP($C47,$C$3:$D$15,2,FALSE)*FC$21,FC48&gt;VLOOKUP($C47,$C$3:$D$15,2,FALSE)*FC$21),VLOOKUP($C47,$C$3:$D$15,2,FALSE)*FC$21-FB49)))</f>
        <v>0</v>
      </c>
      <c r="FD47" s="642">
        <f t="shared" ref="FD47" si="1817" xml:space="preserve">
IF(FC49&gt;=VLOOKUP($C47,$C$3:$D$15,2,FALSE)*FD$21,0,
IF(AND(FC49&lt;VLOOKUP($C47,$C$3:$D$15,2,FALSE)*FD$21,FD48&lt;=VLOOKUP($C47,$C$3:$D$15,2,FALSE)*FD$21),IF(FD48-FC49&lt;0,0,FD48-FC49),
IF(AND(FC49&lt;VLOOKUP($C47,$C$3:$D$15,2,FALSE)*FD$21,FD48&gt;VLOOKUP($C47,$C$3:$D$15,2,FALSE)*FD$21),VLOOKUP($C47,$C$3:$D$15,2,FALSE)*FD$21-FC49)))</f>
        <v>0</v>
      </c>
      <c r="FE47" s="642">
        <f t="shared" ref="FE47" si="1818" xml:space="preserve">
IF(FD49&gt;=VLOOKUP($C47,$C$3:$D$15,2,FALSE)*FE$21,0,
IF(AND(FD49&lt;VLOOKUP($C47,$C$3:$D$15,2,FALSE)*FE$21,FE48&lt;=VLOOKUP($C47,$C$3:$D$15,2,FALSE)*FE$21),IF(FE48-FD49&lt;0,0,FE48-FD49),
IF(AND(FD49&lt;VLOOKUP($C47,$C$3:$D$15,2,FALSE)*FE$21,FE48&gt;VLOOKUP($C47,$C$3:$D$15,2,FALSE)*FE$21),VLOOKUP($C47,$C$3:$D$15,2,FALSE)*FE$21-FD49)))</f>
        <v>0</v>
      </c>
      <c r="FF47" s="642">
        <f t="shared" ref="FF47" si="1819" xml:space="preserve">
IF(FE49&gt;=VLOOKUP($C47,$C$3:$D$15,2,FALSE)*FF$21,0,
IF(AND(FE49&lt;VLOOKUP($C47,$C$3:$D$15,2,FALSE)*FF$21,FF48&lt;=VLOOKUP($C47,$C$3:$D$15,2,FALSE)*FF$21),IF(FF48-FE49&lt;0,0,FF48-FE49),
IF(AND(FE49&lt;VLOOKUP($C47,$C$3:$D$15,2,FALSE)*FF$21,FF48&gt;VLOOKUP($C47,$C$3:$D$15,2,FALSE)*FF$21),VLOOKUP($C47,$C$3:$D$15,2,FALSE)*FF$21-FE49)))</f>
        <v>0</v>
      </c>
      <c r="FG47" s="642">
        <f t="shared" ref="FG47" si="1820" xml:space="preserve">
IF(FF49&gt;=VLOOKUP($C47,$C$3:$D$15,2,FALSE)*FG$21,0,
IF(AND(FF49&lt;VLOOKUP($C47,$C$3:$D$15,2,FALSE)*FG$21,FG48&lt;=VLOOKUP($C47,$C$3:$D$15,2,FALSE)*FG$21),IF(FG48-FF49&lt;0,0,FG48-FF49),
IF(AND(FF49&lt;VLOOKUP($C47,$C$3:$D$15,2,FALSE)*FG$21,FG48&gt;VLOOKUP($C47,$C$3:$D$15,2,FALSE)*FG$21),VLOOKUP($C47,$C$3:$D$15,2,FALSE)*FG$21-FF49)))</f>
        <v>0</v>
      </c>
      <c r="FH47" s="642">
        <f t="shared" ref="FH47" si="1821" xml:space="preserve">
IF(FG49&gt;=VLOOKUP($C47,$C$3:$D$15,2,FALSE)*FH$21,0,
IF(AND(FG49&lt;VLOOKUP($C47,$C$3:$D$15,2,FALSE)*FH$21,FH48&lt;=VLOOKUP($C47,$C$3:$D$15,2,FALSE)*FH$21),IF(FH48-FG49&lt;0,0,FH48-FG49),
IF(AND(FG49&lt;VLOOKUP($C47,$C$3:$D$15,2,FALSE)*FH$21,FH48&gt;VLOOKUP($C47,$C$3:$D$15,2,FALSE)*FH$21),VLOOKUP($C47,$C$3:$D$15,2,FALSE)*FH$21-FG49)))</f>
        <v>0</v>
      </c>
      <c r="FI47" s="642">
        <f t="shared" ref="FI47" si="1822" xml:space="preserve">
IF(FH49&gt;=VLOOKUP($C47,$C$3:$D$15,2,FALSE)*FI$21,0,
IF(AND(FH49&lt;VLOOKUP($C47,$C$3:$D$15,2,FALSE)*FI$21,FI48&lt;=VLOOKUP($C47,$C$3:$D$15,2,FALSE)*FI$21),IF(FI48-FH49&lt;0,0,FI48-FH49),
IF(AND(FH49&lt;VLOOKUP($C47,$C$3:$D$15,2,FALSE)*FI$21,FI48&gt;VLOOKUP($C47,$C$3:$D$15,2,FALSE)*FI$21),VLOOKUP($C47,$C$3:$D$15,2,FALSE)*FI$21-FH49)))</f>
        <v>0</v>
      </c>
      <c r="FJ47" s="642">
        <f t="shared" ref="FJ47" si="1823" xml:space="preserve">
IF(FI49&gt;=VLOOKUP($C47,$C$3:$D$15,2,FALSE)*FJ$21,0,
IF(AND(FI49&lt;VLOOKUP($C47,$C$3:$D$15,2,FALSE)*FJ$21,FJ48&lt;=VLOOKUP($C47,$C$3:$D$15,2,FALSE)*FJ$21),IF(FJ48-FI49&lt;0,0,FJ48-FI49),
IF(AND(FI49&lt;VLOOKUP($C47,$C$3:$D$15,2,FALSE)*FJ$21,FJ48&gt;VLOOKUP($C47,$C$3:$D$15,2,FALSE)*FJ$21),VLOOKUP($C47,$C$3:$D$15,2,FALSE)*FJ$21-FI49)))</f>
        <v>0</v>
      </c>
      <c r="FK47" s="642">
        <f t="shared" ref="FK47" si="1824" xml:space="preserve">
IF(FJ49&gt;=VLOOKUP($C47,$C$3:$D$15,2,FALSE)*FK$21,0,
IF(AND(FJ49&lt;VLOOKUP($C47,$C$3:$D$15,2,FALSE)*FK$21,FK48&lt;=VLOOKUP($C47,$C$3:$D$15,2,FALSE)*FK$21),IF(FK48-FJ49&lt;0,0,FK48-FJ49),
IF(AND(FJ49&lt;VLOOKUP($C47,$C$3:$D$15,2,FALSE)*FK$21,FK48&gt;VLOOKUP($C47,$C$3:$D$15,2,FALSE)*FK$21),VLOOKUP($C47,$C$3:$D$15,2,FALSE)*FK$21-FJ49)))</f>
        <v>0</v>
      </c>
      <c r="FL47" s="642">
        <f t="shared" ref="FL47" si="1825" xml:space="preserve">
IF(FK49&gt;=VLOOKUP($C47,$C$3:$D$15,2,FALSE)*FL$21,0,
IF(AND(FK49&lt;VLOOKUP($C47,$C$3:$D$15,2,FALSE)*FL$21,FL48&lt;=VLOOKUP($C47,$C$3:$D$15,2,FALSE)*FL$21),IF(FL48-FK49&lt;0,0,FL48-FK49),
IF(AND(FK49&lt;VLOOKUP($C47,$C$3:$D$15,2,FALSE)*FL$21,FL48&gt;VLOOKUP($C47,$C$3:$D$15,2,FALSE)*FL$21),VLOOKUP($C47,$C$3:$D$15,2,FALSE)*FL$21-FK49)))</f>
        <v>0</v>
      </c>
      <c r="FM47" s="642">
        <f t="shared" ref="FM47" si="1826" xml:space="preserve">
IF(FL49&gt;=VLOOKUP($C47,$C$3:$D$15,2,FALSE)*FM$21,0,
IF(AND(FL49&lt;VLOOKUP($C47,$C$3:$D$15,2,FALSE)*FM$21,FM48&lt;=VLOOKUP($C47,$C$3:$D$15,2,FALSE)*FM$21),IF(FM48-FL49&lt;0,0,FM48-FL49),
IF(AND(FL49&lt;VLOOKUP($C47,$C$3:$D$15,2,FALSE)*FM$21,FM48&gt;VLOOKUP($C47,$C$3:$D$15,2,FALSE)*FM$21),VLOOKUP($C47,$C$3:$D$15,2,FALSE)*FM$21-FL49)))</f>
        <v>0</v>
      </c>
      <c r="FN47" s="642">
        <f t="shared" ref="FN47" si="1827" xml:space="preserve">
IF(FM49&gt;=VLOOKUP($C47,$C$3:$D$15,2,FALSE)*FN$21,0,
IF(AND(FM49&lt;VLOOKUP($C47,$C$3:$D$15,2,FALSE)*FN$21,FN48&lt;=VLOOKUP($C47,$C$3:$D$15,2,FALSE)*FN$21),IF(FN48-FM49&lt;0,0,FN48-FM49),
IF(AND(FM49&lt;VLOOKUP($C47,$C$3:$D$15,2,FALSE)*FN$21,FN48&gt;VLOOKUP($C47,$C$3:$D$15,2,FALSE)*FN$21),VLOOKUP($C47,$C$3:$D$15,2,FALSE)*FN$21-FM49)))</f>
        <v>0</v>
      </c>
      <c r="FO47" s="642">
        <f t="shared" ref="FO47" si="1828" xml:space="preserve">
IF(FN49&gt;=VLOOKUP($C47,$C$3:$D$15,2,FALSE)*FO$21,0,
IF(AND(FN49&lt;VLOOKUP($C47,$C$3:$D$15,2,FALSE)*FO$21,FO48&lt;=VLOOKUP($C47,$C$3:$D$15,2,FALSE)*FO$21),IF(FO48-FN49&lt;0,0,FO48-FN49),
IF(AND(FN49&lt;VLOOKUP($C47,$C$3:$D$15,2,FALSE)*FO$21,FO48&gt;VLOOKUP($C47,$C$3:$D$15,2,FALSE)*FO$21),VLOOKUP($C47,$C$3:$D$15,2,FALSE)*FO$21-FN49)))</f>
        <v>0</v>
      </c>
      <c r="FP47" s="642">
        <f t="shared" ref="FP47" si="1829" xml:space="preserve">
IF(FO49&gt;=VLOOKUP($C47,$C$3:$D$15,2,FALSE)*FP$21,0,
IF(AND(FO49&lt;VLOOKUP($C47,$C$3:$D$15,2,FALSE)*FP$21,FP48&lt;=VLOOKUP($C47,$C$3:$D$15,2,FALSE)*FP$21),IF(FP48-FO49&lt;0,0,FP48-FO49),
IF(AND(FO49&lt;VLOOKUP($C47,$C$3:$D$15,2,FALSE)*FP$21,FP48&gt;VLOOKUP($C47,$C$3:$D$15,2,FALSE)*FP$21),VLOOKUP($C47,$C$3:$D$15,2,FALSE)*FP$21-FO49)))</f>
        <v>0</v>
      </c>
      <c r="FQ47" s="642">
        <f t="shared" ref="FQ47" si="1830" xml:space="preserve">
IF(FP49&gt;=VLOOKUP($C47,$C$3:$D$15,2,FALSE)*FQ$21,0,
IF(AND(FP49&lt;VLOOKUP($C47,$C$3:$D$15,2,FALSE)*FQ$21,FQ48&lt;=VLOOKUP($C47,$C$3:$D$15,2,FALSE)*FQ$21),IF(FQ48-FP49&lt;0,0,FQ48-FP49),
IF(AND(FP49&lt;VLOOKUP($C47,$C$3:$D$15,2,FALSE)*FQ$21,FQ48&gt;VLOOKUP($C47,$C$3:$D$15,2,FALSE)*FQ$21),VLOOKUP($C47,$C$3:$D$15,2,FALSE)*FQ$21-FP49)))</f>
        <v>0</v>
      </c>
      <c r="FR47" s="642">
        <f t="shared" ref="FR47" si="1831" xml:space="preserve">
IF(FQ49&gt;=VLOOKUP($C47,$C$3:$D$15,2,FALSE)*FR$21,0,
IF(AND(FQ49&lt;VLOOKUP($C47,$C$3:$D$15,2,FALSE)*FR$21,FR48&lt;=VLOOKUP($C47,$C$3:$D$15,2,FALSE)*FR$21),IF(FR48-FQ49&lt;0,0,FR48-FQ49),
IF(AND(FQ49&lt;VLOOKUP($C47,$C$3:$D$15,2,FALSE)*FR$21,FR48&gt;VLOOKUP($C47,$C$3:$D$15,2,FALSE)*FR$21),VLOOKUP($C47,$C$3:$D$15,2,FALSE)*FR$21-FQ49)))</f>
        <v>0</v>
      </c>
      <c r="FS47" s="642">
        <f t="shared" ref="FS47" si="1832" xml:space="preserve">
IF(FR49&gt;=VLOOKUP($C47,$C$3:$D$15,2,FALSE)*FS$21,0,
IF(AND(FR49&lt;VLOOKUP($C47,$C$3:$D$15,2,FALSE)*FS$21,FS48&lt;=VLOOKUP($C47,$C$3:$D$15,2,FALSE)*FS$21),IF(FS48-FR49&lt;0,0,FS48-FR49),
IF(AND(FR49&lt;VLOOKUP($C47,$C$3:$D$15,2,FALSE)*FS$21,FS48&gt;VLOOKUP($C47,$C$3:$D$15,2,FALSE)*FS$21),VLOOKUP($C47,$C$3:$D$15,2,FALSE)*FS$21-FR49)))</f>
        <v>0</v>
      </c>
      <c r="FT47" s="642">
        <f t="shared" ref="FT47" si="1833" xml:space="preserve">
IF(FS49&gt;=VLOOKUP($C47,$C$3:$D$15,2,FALSE)*FT$21,0,
IF(AND(FS49&lt;VLOOKUP($C47,$C$3:$D$15,2,FALSE)*FT$21,FT48&lt;=VLOOKUP($C47,$C$3:$D$15,2,FALSE)*FT$21),IF(FT48-FS49&lt;0,0,FT48-FS49),
IF(AND(FS49&lt;VLOOKUP($C47,$C$3:$D$15,2,FALSE)*FT$21,FT48&gt;VLOOKUP($C47,$C$3:$D$15,2,FALSE)*FT$21),VLOOKUP($C47,$C$3:$D$15,2,FALSE)*FT$21-FS49)))</f>
        <v>0</v>
      </c>
      <c r="FU47" s="642">
        <f t="shared" ref="FU47" si="1834" xml:space="preserve">
IF(FT49&gt;=VLOOKUP($C47,$C$3:$D$15,2,FALSE)*FU$21,0,
IF(AND(FT49&lt;VLOOKUP($C47,$C$3:$D$15,2,FALSE)*FU$21,FU48&lt;=VLOOKUP($C47,$C$3:$D$15,2,FALSE)*FU$21),IF(FU48-FT49&lt;0,0,FU48-FT49),
IF(AND(FT49&lt;VLOOKUP($C47,$C$3:$D$15,2,FALSE)*FU$21,FU48&gt;VLOOKUP($C47,$C$3:$D$15,2,FALSE)*FU$21),VLOOKUP($C47,$C$3:$D$15,2,FALSE)*FU$21-FT49)))</f>
        <v>0</v>
      </c>
      <c r="FV47" s="642">
        <f t="shared" ref="FV47" si="1835" xml:space="preserve">
IF(FU49&gt;=VLOOKUP($C47,$C$3:$D$15,2,FALSE)*FV$21,0,
IF(AND(FU49&lt;VLOOKUP($C47,$C$3:$D$15,2,FALSE)*FV$21,FV48&lt;=VLOOKUP($C47,$C$3:$D$15,2,FALSE)*FV$21),IF(FV48-FU49&lt;0,0,FV48-FU49),
IF(AND(FU49&lt;VLOOKUP($C47,$C$3:$D$15,2,FALSE)*FV$21,FV48&gt;VLOOKUP($C47,$C$3:$D$15,2,FALSE)*FV$21),VLOOKUP($C47,$C$3:$D$15,2,FALSE)*FV$21-FU49)))</f>
        <v>0</v>
      </c>
      <c r="FW47" s="642">
        <f t="shared" ref="FW47" si="1836" xml:space="preserve">
IF(FV49&gt;=VLOOKUP($C47,$C$3:$D$15,2,FALSE)*FW$21,0,
IF(AND(FV49&lt;VLOOKUP($C47,$C$3:$D$15,2,FALSE)*FW$21,FW48&lt;=VLOOKUP($C47,$C$3:$D$15,2,FALSE)*FW$21),IF(FW48-FV49&lt;0,0,FW48-FV49),
IF(AND(FV49&lt;VLOOKUP($C47,$C$3:$D$15,2,FALSE)*FW$21,FW48&gt;VLOOKUP($C47,$C$3:$D$15,2,FALSE)*FW$21),VLOOKUP($C47,$C$3:$D$15,2,FALSE)*FW$21-FV49)))</f>
        <v>0</v>
      </c>
      <c r="FX47" s="642">
        <f t="shared" ref="FX47" si="1837" xml:space="preserve">
IF(FW49&gt;=VLOOKUP($C47,$C$3:$D$15,2,FALSE)*FX$21,0,
IF(AND(FW49&lt;VLOOKUP($C47,$C$3:$D$15,2,FALSE)*FX$21,FX48&lt;=VLOOKUP($C47,$C$3:$D$15,2,FALSE)*FX$21),IF(FX48-FW49&lt;0,0,FX48-FW49),
IF(AND(FW49&lt;VLOOKUP($C47,$C$3:$D$15,2,FALSE)*FX$21,FX48&gt;VLOOKUP($C47,$C$3:$D$15,2,FALSE)*FX$21),VLOOKUP($C47,$C$3:$D$15,2,FALSE)*FX$21-FW49)))</f>
        <v>0</v>
      </c>
      <c r="FY47" s="642">
        <f t="shared" ref="FY47" si="1838" xml:space="preserve">
IF(FX49&gt;=VLOOKUP($C47,$C$3:$D$15,2,FALSE)*FY$21,0,
IF(AND(FX49&lt;VLOOKUP($C47,$C$3:$D$15,2,FALSE)*FY$21,FY48&lt;=VLOOKUP($C47,$C$3:$D$15,2,FALSE)*FY$21),IF(FY48-FX49&lt;0,0,FY48-FX49),
IF(AND(FX49&lt;VLOOKUP($C47,$C$3:$D$15,2,FALSE)*FY$21,FY48&gt;VLOOKUP($C47,$C$3:$D$15,2,FALSE)*FY$21),VLOOKUP($C47,$C$3:$D$15,2,FALSE)*FY$21-FX49)))</f>
        <v>0</v>
      </c>
      <c r="FZ47" s="642">
        <f t="shared" ref="FZ47" si="1839" xml:space="preserve">
IF(FY49&gt;=VLOOKUP($C47,$C$3:$D$15,2,FALSE)*FZ$21,0,
IF(AND(FY49&lt;VLOOKUP($C47,$C$3:$D$15,2,FALSE)*FZ$21,FZ48&lt;=VLOOKUP($C47,$C$3:$D$15,2,FALSE)*FZ$21),IF(FZ48-FY49&lt;0,0,FZ48-FY49),
IF(AND(FY49&lt;VLOOKUP($C47,$C$3:$D$15,2,FALSE)*FZ$21,FZ48&gt;VLOOKUP($C47,$C$3:$D$15,2,FALSE)*FZ$21),VLOOKUP($C47,$C$3:$D$15,2,FALSE)*FZ$21-FY49)))</f>
        <v>0</v>
      </c>
      <c r="GA47" s="642">
        <f t="shared" ref="GA47" si="1840" xml:space="preserve">
IF(FZ49&gt;=VLOOKUP($C47,$C$3:$D$15,2,FALSE)*GA$21,0,
IF(AND(FZ49&lt;VLOOKUP($C47,$C$3:$D$15,2,FALSE)*GA$21,GA48&lt;=VLOOKUP($C47,$C$3:$D$15,2,FALSE)*GA$21),IF(GA48-FZ49&lt;0,0,GA48-FZ49),
IF(AND(FZ49&lt;VLOOKUP($C47,$C$3:$D$15,2,FALSE)*GA$21,GA48&gt;VLOOKUP($C47,$C$3:$D$15,2,FALSE)*GA$21),VLOOKUP($C47,$C$3:$D$15,2,FALSE)*GA$21-FZ49)))</f>
        <v>0</v>
      </c>
      <c r="GB47" s="642">
        <f t="shared" ref="GB47" si="1841" xml:space="preserve">
IF(GA49&gt;=VLOOKUP($C47,$C$3:$D$15,2,FALSE)*GB$21,0,
IF(AND(GA49&lt;VLOOKUP($C47,$C$3:$D$15,2,FALSE)*GB$21,GB48&lt;=VLOOKUP($C47,$C$3:$D$15,2,FALSE)*GB$21),IF(GB48-GA49&lt;0,0,GB48-GA49),
IF(AND(GA49&lt;VLOOKUP($C47,$C$3:$D$15,2,FALSE)*GB$21,GB48&gt;VLOOKUP($C47,$C$3:$D$15,2,FALSE)*GB$21),VLOOKUP($C47,$C$3:$D$15,2,FALSE)*GB$21-GA49)))</f>
        <v>0</v>
      </c>
      <c r="GC47" s="642">
        <f t="shared" ref="GC47" si="1842" xml:space="preserve">
IF(GB49&gt;=VLOOKUP($C47,$C$3:$D$15,2,FALSE)*GC$21,0,
IF(AND(GB49&lt;VLOOKUP($C47,$C$3:$D$15,2,FALSE)*GC$21,GC48&lt;=VLOOKUP($C47,$C$3:$D$15,2,FALSE)*GC$21),IF(GC48-GB49&lt;0,0,GC48-GB49),
IF(AND(GB49&lt;VLOOKUP($C47,$C$3:$D$15,2,FALSE)*GC$21,GC48&gt;VLOOKUP($C47,$C$3:$D$15,2,FALSE)*GC$21),VLOOKUP($C47,$C$3:$D$15,2,FALSE)*GC$21-GB49)))</f>
        <v>0</v>
      </c>
      <c r="GD47" s="642">
        <f t="shared" ref="GD47" si="1843" xml:space="preserve">
IF(GC49&gt;=VLOOKUP($C47,$C$3:$D$15,2,FALSE)*GD$21,0,
IF(AND(GC49&lt;VLOOKUP($C47,$C$3:$D$15,2,FALSE)*GD$21,GD48&lt;=VLOOKUP($C47,$C$3:$D$15,2,FALSE)*GD$21),IF(GD48-GC49&lt;0,0,GD48-GC49),
IF(AND(GC49&lt;VLOOKUP($C47,$C$3:$D$15,2,FALSE)*GD$21,GD48&gt;VLOOKUP($C47,$C$3:$D$15,2,FALSE)*GD$21),VLOOKUP($C47,$C$3:$D$15,2,FALSE)*GD$21-GC49)))</f>
        <v>0</v>
      </c>
      <c r="GE47" s="642">
        <f t="shared" ref="GE47" si="1844" xml:space="preserve">
IF(GD49&gt;=VLOOKUP($C47,$C$3:$D$15,2,FALSE)*GE$21,0,
IF(AND(GD49&lt;VLOOKUP($C47,$C$3:$D$15,2,FALSE)*GE$21,GE48&lt;=VLOOKUP($C47,$C$3:$D$15,2,FALSE)*GE$21),IF(GE48-GD49&lt;0,0,GE48-GD49),
IF(AND(GD49&lt;VLOOKUP($C47,$C$3:$D$15,2,FALSE)*GE$21,GE48&gt;VLOOKUP($C47,$C$3:$D$15,2,FALSE)*GE$21),VLOOKUP($C47,$C$3:$D$15,2,FALSE)*GE$21-GD49)))</f>
        <v>0</v>
      </c>
      <c r="GF47" s="642">
        <f t="shared" ref="GF47" si="1845" xml:space="preserve">
IF(GE49&gt;=VLOOKUP($C47,$C$3:$D$15,2,FALSE)*GF$21,0,
IF(AND(GE49&lt;VLOOKUP($C47,$C$3:$D$15,2,FALSE)*GF$21,GF48&lt;=VLOOKUP($C47,$C$3:$D$15,2,FALSE)*GF$21),IF(GF48-GE49&lt;0,0,GF48-GE49),
IF(AND(GE49&lt;VLOOKUP($C47,$C$3:$D$15,2,FALSE)*GF$21,GF48&gt;VLOOKUP($C47,$C$3:$D$15,2,FALSE)*GF$21),VLOOKUP($C47,$C$3:$D$15,2,FALSE)*GF$21-GE49)))</f>
        <v>0</v>
      </c>
      <c r="GG47" s="642">
        <f t="shared" ref="GG47" si="1846" xml:space="preserve">
IF(GF49&gt;=VLOOKUP($C47,$C$3:$D$15,2,FALSE)*GG$21,0,
IF(AND(GF49&lt;VLOOKUP($C47,$C$3:$D$15,2,FALSE)*GG$21,GG48&lt;=VLOOKUP($C47,$C$3:$D$15,2,FALSE)*GG$21),IF(GG48-GF49&lt;0,0,GG48-GF49),
IF(AND(GF49&lt;VLOOKUP($C47,$C$3:$D$15,2,FALSE)*GG$21,GG48&gt;VLOOKUP($C47,$C$3:$D$15,2,FALSE)*GG$21),VLOOKUP($C47,$C$3:$D$15,2,FALSE)*GG$21-GF49)))</f>
        <v>0</v>
      </c>
      <c r="GH47" s="642">
        <f t="shared" ref="GH47" si="1847" xml:space="preserve">
IF(GG49&gt;=VLOOKUP($C47,$C$3:$D$15,2,FALSE)*GH$21,0,
IF(AND(GG49&lt;VLOOKUP($C47,$C$3:$D$15,2,FALSE)*GH$21,GH48&lt;=VLOOKUP($C47,$C$3:$D$15,2,FALSE)*GH$21),IF(GH48-GG49&lt;0,0,GH48-GG49),
IF(AND(GG49&lt;VLOOKUP($C47,$C$3:$D$15,2,FALSE)*GH$21,GH48&gt;VLOOKUP($C47,$C$3:$D$15,2,FALSE)*GH$21),VLOOKUP($C47,$C$3:$D$15,2,FALSE)*GH$21-GG49)))</f>
        <v>0</v>
      </c>
      <c r="GI47" s="642">
        <f t="shared" ref="GI47" si="1848" xml:space="preserve">
IF(GH49&gt;=VLOOKUP($C47,$C$3:$D$15,2,FALSE)*GI$21,0,
IF(AND(GH49&lt;VLOOKUP($C47,$C$3:$D$15,2,FALSE)*GI$21,GI48&lt;=VLOOKUP($C47,$C$3:$D$15,2,FALSE)*GI$21),IF(GI48-GH49&lt;0,0,GI48-GH49),
IF(AND(GH49&lt;VLOOKUP($C47,$C$3:$D$15,2,FALSE)*GI$21,GI48&gt;VLOOKUP($C47,$C$3:$D$15,2,FALSE)*GI$21),VLOOKUP($C47,$C$3:$D$15,2,FALSE)*GI$21-GH49)))</f>
        <v>0</v>
      </c>
      <c r="GJ47" s="642">
        <f t="shared" ref="GJ47" si="1849" xml:space="preserve">
IF(GI49&gt;=VLOOKUP($C47,$C$3:$D$15,2,FALSE)*GJ$21,0,
IF(AND(GI49&lt;VLOOKUP($C47,$C$3:$D$15,2,FALSE)*GJ$21,GJ48&lt;=VLOOKUP($C47,$C$3:$D$15,2,FALSE)*GJ$21),IF(GJ48-GI49&lt;0,0,GJ48-GI49),
IF(AND(GI49&lt;VLOOKUP($C47,$C$3:$D$15,2,FALSE)*GJ$21,GJ48&gt;VLOOKUP($C47,$C$3:$D$15,2,FALSE)*GJ$21),VLOOKUP($C47,$C$3:$D$15,2,FALSE)*GJ$21-GI49)))</f>
        <v>0</v>
      </c>
    </row>
    <row r="48" spans="2:192" s="655" customFormat="1">
      <c r="B48" s="656"/>
      <c r="C48" s="641"/>
      <c r="D48" s="768" t="s">
        <v>1467</v>
      </c>
      <c r="E48" s="773"/>
      <c r="F48" s="706"/>
      <c r="G48" s="642">
        <f>SUMIF(防護具!$Y$30:$Y$212,G$17&amp;$C47,防護具!$Q$30:$Q$212)</f>
        <v>0</v>
      </c>
      <c r="H48" s="642">
        <f>IFERROR(
SUM(G48,SUMIF(防護具!$Y$30:$Y$212,H$17&amp;$C47,防護具!$Q$30:$Q$212))-G47,0)</f>
        <v>0</v>
      </c>
      <c r="I48" s="642">
        <f>IFERROR(
SUM(H48,SUMIF(防護具!$Y$30:$Y$212,I$17&amp;$C47,防護具!$Q$30:$Q$212))-H47,0)</f>
        <v>0</v>
      </c>
      <c r="J48" s="642">
        <f>IFERROR(
SUM(I48,SUMIF(防護具!$Y$30:$Y$212,J$17&amp;$C47,防護具!$Q$30:$Q$212))-I47,0)</f>
        <v>0</v>
      </c>
      <c r="K48" s="642">
        <f>IFERROR(
SUM(J48,SUMIF(防護具!$Y$30:$Y$212,K$17&amp;$C47,防護具!$Q$30:$Q$212))-J47,0)</f>
        <v>0</v>
      </c>
      <c r="L48" s="642">
        <f>IFERROR(
SUM(K48,SUMIF(防護具!$Y$30:$Y$212,L$17&amp;$C47,防護具!$Q$30:$Q$212))-K47,0)</f>
        <v>0</v>
      </c>
      <c r="M48" s="642">
        <f>IFERROR(
SUM(L48,SUMIF(防護具!$Y$30:$Y$212,M$17&amp;$C47,防護具!$Q$30:$Q$212))-L47,0)</f>
        <v>0</v>
      </c>
      <c r="N48" s="642">
        <f>IFERROR(
SUM(M48,SUMIF(防護具!$Y$30:$Y$212,N$17&amp;$C47,防護具!$Q$30:$Q$212))-M47,0)</f>
        <v>0</v>
      </c>
      <c r="O48" s="642">
        <f>IFERROR(
SUM(N48,SUMIF(防護具!$Y$30:$Y$212,O$17&amp;$C47,防護具!$Q$30:$Q$212))-N47,0)</f>
        <v>0</v>
      </c>
      <c r="P48" s="642">
        <f>IFERROR(
SUM(O48,SUMIF(防護具!$Y$30:$Y$212,P$17&amp;$C47,防護具!$Q$30:$Q$212))-O47,0)</f>
        <v>0</v>
      </c>
      <c r="Q48" s="642">
        <f>IFERROR(
SUM(P48,SUMIF(防護具!$Y$30:$Y$212,Q$17&amp;$C47,防護具!$Q$30:$Q$212))-P47,0)</f>
        <v>0</v>
      </c>
      <c r="R48" s="642">
        <f>IFERROR(
SUM(Q48,SUMIF(防護具!$Y$30:$Y$212,R$17&amp;$C47,防護具!$Q$30:$Q$212))-Q47,0)</f>
        <v>0</v>
      </c>
      <c r="S48" s="642">
        <f>IFERROR(
SUM(R48,SUMIF(防護具!$Y$30:$Y$212,S$17&amp;$C47,防護具!$Q$30:$Q$212))-R47,0)</f>
        <v>0</v>
      </c>
      <c r="T48" s="642">
        <f>IFERROR(
SUM(S48,SUMIF(防護具!$Y$30:$Y$212,T$17&amp;$C47,防護具!$Q$30:$Q$212))-S47,0)</f>
        <v>0</v>
      </c>
      <c r="U48" s="642">
        <f>IFERROR(
SUM(T48,SUMIF(防護具!$Y$30:$Y$212,U$17&amp;$C47,防護具!$Q$30:$Q$212))-T47,0)</f>
        <v>0</v>
      </c>
      <c r="V48" s="642">
        <f>IFERROR(
SUM(U48,SUMIF(防護具!$Y$30:$Y$212,V$17&amp;$C47,防護具!$Q$30:$Q$212))-U47,0)</f>
        <v>0</v>
      </c>
      <c r="W48" s="642">
        <f>IFERROR(
SUM(V48,SUMIF(防護具!$Y$30:$Y$212,W$17&amp;$C47,防護具!$Q$30:$Q$212))-V47,0)</f>
        <v>0</v>
      </c>
      <c r="X48" s="642">
        <f>IFERROR(
SUM(W48,SUMIF(防護具!$Y$30:$Y$212,X$17&amp;$C47,防護具!$Q$30:$Q$212))-W47,0)</f>
        <v>0</v>
      </c>
      <c r="Y48" s="642">
        <f>IFERROR(
SUM(X48,SUMIF(防護具!$Y$30:$Y$212,Y$17&amp;$C47,防護具!$Q$30:$Q$212))-X47,0)</f>
        <v>0</v>
      </c>
      <c r="Z48" s="642">
        <f>IFERROR(
SUM(Y48,SUMIF(防護具!$Y$30:$Y$212,Z$17&amp;$C47,防護具!$Q$30:$Q$212))-Y47,0)</f>
        <v>0</v>
      </c>
      <c r="AA48" s="642">
        <f>IFERROR(
SUM(Z48,SUMIF(防護具!$Y$30:$Y$212,AA$17&amp;$C47,防護具!$Q$30:$Q$212))-Z47,0)</f>
        <v>0</v>
      </c>
      <c r="AB48" s="642">
        <f>IFERROR(
SUM(AA48,SUMIF(防護具!$Y$30:$Y$212,AB$17&amp;$C47,防護具!$Q$30:$Q$212))-AA47,0)</f>
        <v>0</v>
      </c>
      <c r="AC48" s="642">
        <f>IFERROR(
SUM(AB48,SUMIF(防護具!$Y$30:$Y$212,AC$17&amp;$C47,防護具!$Q$30:$Q$212))-AB47,0)</f>
        <v>0</v>
      </c>
      <c r="AD48" s="642">
        <f>IFERROR(
SUM(AC48,SUMIF(防護具!$Y$30:$Y$212,AD$17&amp;$C47,防護具!$Q$30:$Q$212))-AC47,0)</f>
        <v>0</v>
      </c>
      <c r="AE48" s="642">
        <f>IFERROR(
SUM(AD48,SUMIF(防護具!$Y$30:$Y$212,AE$17&amp;$C47,防護具!$Q$30:$Q$212))-AD47,0)</f>
        <v>0</v>
      </c>
      <c r="AF48" s="642">
        <f>IFERROR(
SUM(AE48,SUMIF(防護具!$Y$30:$Y$212,AF$17&amp;$C47,防護具!$Q$30:$Q$212))-AE47,0)</f>
        <v>0</v>
      </c>
      <c r="AG48" s="642">
        <f>IFERROR(
SUM(AF48,SUMIF(防護具!$Y$30:$Y$212,AG$17&amp;$C47,防護具!$Q$30:$Q$212))-AF47,0)</f>
        <v>0</v>
      </c>
      <c r="AH48" s="642">
        <f>IFERROR(
SUM(AG48,SUMIF(防護具!$Y$30:$Y$212,AH$17&amp;$C47,防護具!$Q$30:$Q$212))-AG47,0)</f>
        <v>0</v>
      </c>
      <c r="AI48" s="642">
        <f>IFERROR(
SUM(AH48,SUMIF(防護具!$Y$30:$Y$212,AI$17&amp;$C47,防護具!$Q$30:$Q$212))-AH47,0)</f>
        <v>0</v>
      </c>
      <c r="AJ48" s="642">
        <f>IFERROR(
SUM(AI48,SUMIF(防護具!$Y$30:$Y$212,AJ$17&amp;$C47,防護具!$Q$30:$Q$212))-AI47,0)</f>
        <v>0</v>
      </c>
      <c r="AK48" s="642">
        <f>IFERROR(
SUM(AJ48,SUMIF(防護具!$Y$30:$Y$212,AK$17&amp;$C47,防護具!$Q$30:$Q$212))-AJ47,0)</f>
        <v>0</v>
      </c>
      <c r="AL48" s="642">
        <f>IFERROR(
SUM(AK48,SUMIF(防護具!$Y$30:$Y$212,AL$17&amp;$C47,防護具!$Q$30:$Q$212))-AK47,0)</f>
        <v>0</v>
      </c>
      <c r="AM48" s="642">
        <f>IFERROR(
SUM(AL48,SUMIF(防護具!$Y$30:$Y$212,AM$17&amp;$C47,防護具!$Q$30:$Q$212))-AL47,0)</f>
        <v>0</v>
      </c>
      <c r="AN48" s="642">
        <f>IFERROR(
SUM(AM48,SUMIF(防護具!$Y$30:$Y$212,AN$17&amp;$C47,防護具!$Q$30:$Q$212))-AM47,0)</f>
        <v>0</v>
      </c>
      <c r="AO48" s="642">
        <f>IFERROR(
SUM(AN48,SUMIF(防護具!$Y$30:$Y$212,AO$17&amp;$C47,防護具!$Q$30:$Q$212))-AN47,0)</f>
        <v>0</v>
      </c>
      <c r="AP48" s="642">
        <f>IFERROR(
SUM(AO48,SUMIF(防護具!$Y$30:$Y$212,AP$17&amp;$C47,防護具!$Q$30:$Q$212))-AO47,0)</f>
        <v>0</v>
      </c>
      <c r="AQ48" s="642">
        <f>IFERROR(
SUM(AP48,SUMIF(防護具!$Y$30:$Y$212,AQ$17&amp;$C47,防護具!$Q$30:$Q$212))-AP47,0)</f>
        <v>0</v>
      </c>
      <c r="AR48" s="642">
        <f>IFERROR(
SUM(AQ48,SUMIF(防護具!$Y$30:$Y$212,AR$17&amp;$C47,防護具!$Q$30:$Q$212))-AQ47,0)</f>
        <v>0</v>
      </c>
      <c r="AS48" s="642">
        <f>IFERROR(
SUM(AR48,SUMIF(防護具!$Y$30:$Y$212,AS$17&amp;$C47,防護具!$Q$30:$Q$212))-AR47,0)</f>
        <v>0</v>
      </c>
      <c r="AT48" s="642">
        <f>IFERROR(
SUM(AS48,SUMIF(防護具!$Y$30:$Y$212,AT$17&amp;$C47,防護具!$Q$30:$Q$212))-AS47,0)</f>
        <v>0</v>
      </c>
      <c r="AU48" s="642">
        <f>IFERROR(
SUM(AT48,SUMIF(防護具!$Y$30:$Y$212,AU$17&amp;$C47,防護具!$Q$30:$Q$212))-AT47,0)</f>
        <v>0</v>
      </c>
      <c r="AV48" s="642">
        <f>IFERROR(
SUM(AU48,SUMIF(防護具!$Y$30:$Y$212,AV$17&amp;$C47,防護具!$Q$30:$Q$212))-AU47,0)</f>
        <v>0</v>
      </c>
      <c r="AW48" s="642">
        <f>IFERROR(
SUM(AV48,SUMIF(防護具!$Y$30:$Y$212,AW$17&amp;$C47,防護具!$Q$30:$Q$212))-AV47,0)</f>
        <v>0</v>
      </c>
      <c r="AX48" s="642">
        <f>IFERROR(
SUM(AW48,SUMIF(防護具!$Y$30:$Y$212,AX$17&amp;$C47,防護具!$Q$30:$Q$212))-AW47,0)</f>
        <v>0</v>
      </c>
      <c r="AY48" s="642">
        <f>IFERROR(
SUM(AX48,SUMIF(防護具!$Y$30:$Y$212,AY$17&amp;$C47,防護具!$Q$30:$Q$212))-AX47,0)</f>
        <v>0</v>
      </c>
      <c r="AZ48" s="642">
        <f>IFERROR(
SUM(AY48,SUMIF(防護具!$Y$30:$Y$212,AZ$17&amp;$C47,防護具!$Q$30:$Q$212))-AY47,0)</f>
        <v>0</v>
      </c>
      <c r="BA48" s="642">
        <f>IFERROR(
SUM(AZ48,SUMIF(防護具!$Y$30:$Y$212,BA$17&amp;$C47,防護具!$Q$30:$Q$212))-AZ47,0)</f>
        <v>0</v>
      </c>
      <c r="BB48" s="642">
        <f>IFERROR(
SUM(BA48,SUMIF(防護具!$Y$30:$Y$212,BB$17&amp;$C47,防護具!$Q$30:$Q$212))-BA47,0)</f>
        <v>0</v>
      </c>
      <c r="BC48" s="642">
        <f>IFERROR(
SUM(BB48,SUMIF(防護具!$Y$30:$Y$212,BC$17&amp;$C47,防護具!$Q$30:$Q$212))-BB47,0)</f>
        <v>0</v>
      </c>
      <c r="BD48" s="642">
        <f>IFERROR(
SUM(BC48,SUMIF(防護具!$Y$30:$Y$212,BD$17&amp;$C47,防護具!$Q$30:$Q$212))-BC47,0)</f>
        <v>0</v>
      </c>
      <c r="BE48" s="642">
        <f>IFERROR(
SUM(BD48,SUMIF(防護具!$Y$30:$Y$212,BE$17&amp;$C47,防護具!$Q$30:$Q$212))-BD47,0)</f>
        <v>0</v>
      </c>
      <c r="BF48" s="642">
        <f>IFERROR(
SUM(BE48,SUMIF(防護具!$Y$30:$Y$212,BF$17&amp;$C47,防護具!$Q$30:$Q$212))-BE47,0)</f>
        <v>0</v>
      </c>
      <c r="BG48" s="642">
        <f>IFERROR(
SUM(BF48,SUMIF(防護具!$Y$30:$Y$212,BG$17&amp;$C47,防護具!$Q$30:$Q$212))-BF47,0)</f>
        <v>0</v>
      </c>
      <c r="BH48" s="642">
        <f>IFERROR(
SUM(BG48,SUMIF(防護具!$Y$30:$Y$212,BH$17&amp;$C47,防護具!$Q$30:$Q$212))-BG47,0)</f>
        <v>0</v>
      </c>
      <c r="BI48" s="642">
        <f>IFERROR(
SUM(BH48,SUMIF(防護具!$Y$30:$Y$212,BI$17&amp;$C47,防護具!$Q$30:$Q$212))-BH47,0)</f>
        <v>0</v>
      </c>
      <c r="BJ48" s="642">
        <f>IFERROR(
SUM(BI48,SUMIF(防護具!$Y$30:$Y$212,BJ$17&amp;$C47,防護具!$Q$30:$Q$212))-BI47,0)</f>
        <v>0</v>
      </c>
      <c r="BK48" s="642">
        <f>IFERROR(
SUM(BJ48,SUMIF(防護具!$Y$30:$Y$212,BK$17&amp;$C47,防護具!$Q$30:$Q$212))-BJ47,0)</f>
        <v>0</v>
      </c>
      <c r="BL48" s="642">
        <f>IFERROR(
SUM(BK48,SUMIF(防護具!$Y$30:$Y$212,BL$17&amp;$C47,防護具!$Q$30:$Q$212))-BK47,0)</f>
        <v>0</v>
      </c>
      <c r="BM48" s="642">
        <f>IFERROR(
SUM(BL48,SUMIF(防護具!$Y$30:$Y$212,BM$17&amp;$C47,防護具!$Q$30:$Q$212))-BL47,0)</f>
        <v>0</v>
      </c>
      <c r="BN48" s="642">
        <f>IFERROR(
SUM(BM48,SUMIF(防護具!$Y$30:$Y$212,BN$17&amp;$C47,防護具!$Q$30:$Q$212))-BM47,0)</f>
        <v>0</v>
      </c>
      <c r="BO48" s="642">
        <f>IFERROR(
SUM(BN48,SUMIF(防護具!$Y$30:$Y$212,BO$17&amp;$C47,防護具!$Q$30:$Q$212))-BN47,0)</f>
        <v>0</v>
      </c>
      <c r="BP48" s="642">
        <f>IFERROR(
SUM(BO48,SUMIF(防護具!$Y$30:$Y$212,BP$17&amp;$C47,防護具!$Q$30:$Q$212))-BO47,0)</f>
        <v>0</v>
      </c>
      <c r="BQ48" s="642">
        <f>IFERROR(
SUM(BP48,SUMIF(防護具!$Y$30:$Y$212,BQ$17&amp;$C47,防護具!$Q$30:$Q$212))-BP47,0)</f>
        <v>0</v>
      </c>
      <c r="BR48" s="642">
        <f>IFERROR(
SUM(BQ48,SUMIF(防護具!$Y$30:$Y$212,BR$17&amp;$C47,防護具!$Q$30:$Q$212))-BQ47,0)</f>
        <v>0</v>
      </c>
      <c r="BS48" s="642">
        <f>IFERROR(
SUM(BR48,SUMIF(防護具!$Y$30:$Y$212,BS$17&amp;$C47,防護具!$Q$30:$Q$212))-BR47,0)</f>
        <v>0</v>
      </c>
      <c r="BT48" s="642">
        <f>IFERROR(
SUM(BS48,SUMIF(防護具!$Y$30:$Y$212,BT$17&amp;$C47,防護具!$Q$30:$Q$212))-BS47,0)</f>
        <v>0</v>
      </c>
      <c r="BU48" s="642">
        <f>IFERROR(
SUM(BT48,SUMIF(防護具!$Y$30:$Y$212,BU$17&amp;$C47,防護具!$Q$30:$Q$212))-BT47,0)</f>
        <v>0</v>
      </c>
      <c r="BV48" s="642">
        <f>IFERROR(
SUM(BU48,SUMIF(防護具!$Y$30:$Y$212,BV$17&amp;$C47,防護具!$Q$30:$Q$212))-BU47,0)</f>
        <v>0</v>
      </c>
      <c r="BW48" s="642">
        <f>IFERROR(
SUM(BV48,SUMIF(防護具!$Y$30:$Y$212,BW$17&amp;$C47,防護具!$Q$30:$Q$212))-BV47,0)</f>
        <v>0</v>
      </c>
      <c r="BX48" s="642">
        <f>IFERROR(
SUM(BW48,SUMIF(防護具!$Y$30:$Y$212,BX$17&amp;$C47,防護具!$Q$30:$Q$212))-BW47,0)</f>
        <v>0</v>
      </c>
      <c r="BY48" s="642">
        <f>IFERROR(
SUM(BX48,SUMIF(防護具!$Y$30:$Y$212,BY$17&amp;$C47,防護具!$Q$30:$Q$212))-BX47,0)</f>
        <v>0</v>
      </c>
      <c r="BZ48" s="642">
        <f>IFERROR(
SUM(BY48,SUMIF(防護具!$Y$30:$Y$212,BZ$17&amp;$C47,防護具!$Q$30:$Q$212))-BY47,0)</f>
        <v>0</v>
      </c>
      <c r="CA48" s="642">
        <f>IFERROR(
SUM(BZ48,SUMIF(防護具!$Y$30:$Y$212,CA$17&amp;$C47,防護具!$Q$30:$Q$212))-BZ47,0)</f>
        <v>0</v>
      </c>
      <c r="CB48" s="642">
        <f>IFERROR(
SUM(CA48,SUMIF(防護具!$Y$30:$Y$212,CB$17&amp;$C47,防護具!$Q$30:$Q$212))-CA47,0)</f>
        <v>0</v>
      </c>
      <c r="CC48" s="642">
        <f>IFERROR(
SUM(CB48,SUMIF(防護具!$Y$30:$Y$212,CC$17&amp;$C47,防護具!$Q$30:$Q$212))-CB47,0)</f>
        <v>0</v>
      </c>
      <c r="CD48" s="642">
        <f>IFERROR(
SUM(CC48,SUMIF(防護具!$Y$30:$Y$212,CD$17&amp;$C47,防護具!$Q$30:$Q$212))-CC47,0)</f>
        <v>0</v>
      </c>
      <c r="CE48" s="642">
        <f>IFERROR(
SUM(CD48,SUMIF(防護具!$Y$30:$Y$212,CE$17&amp;$C47,防護具!$Q$30:$Q$212))-CD47,0)</f>
        <v>0</v>
      </c>
      <c r="CF48" s="642">
        <f>IFERROR(
SUM(CE48,SUMIF(防護具!$Y$30:$Y$212,CF$17&amp;$C47,防護具!$Q$30:$Q$212))-CE47,0)</f>
        <v>0</v>
      </c>
      <c r="CG48" s="642">
        <f>IFERROR(
SUM(CF48,SUMIF(防護具!$Y$30:$Y$212,CG$17&amp;$C47,防護具!$Q$30:$Q$212))-CF47,0)</f>
        <v>0</v>
      </c>
      <c r="CH48" s="642">
        <f>IFERROR(
SUM(CG48,SUMIF(防護具!$Y$30:$Y$212,CH$17&amp;$C47,防護具!$Q$30:$Q$212))-CG47,0)</f>
        <v>0</v>
      </c>
      <c r="CI48" s="642">
        <f>IFERROR(
SUM(CH48,SUMIF(防護具!$Y$30:$Y$212,CI$17&amp;$C47,防護具!$Q$30:$Q$212))-CH47,0)</f>
        <v>0</v>
      </c>
      <c r="CJ48" s="642">
        <f>IFERROR(
SUM(CI48,SUMIF(防護具!$Y$30:$Y$212,CJ$17&amp;$C47,防護具!$Q$30:$Q$212))-CI47,0)</f>
        <v>0</v>
      </c>
      <c r="CK48" s="642">
        <f>IFERROR(
SUM(CJ48,SUMIF(防護具!$Y$30:$Y$212,CK$17&amp;$C47,防護具!$Q$30:$Q$212))-CJ47,0)</f>
        <v>0</v>
      </c>
      <c r="CL48" s="642">
        <f>IFERROR(
SUM(CK48,SUMIF(防護具!$Y$30:$Y$212,CL$17&amp;$C47,防護具!$Q$30:$Q$212))-CK47,0)</f>
        <v>0</v>
      </c>
      <c r="CM48" s="642">
        <f>IFERROR(
SUM(CL48,SUMIF(防護具!$Y$30:$Y$212,CM$17&amp;$C47,防護具!$Q$30:$Q$212))-CL47,0)</f>
        <v>0</v>
      </c>
      <c r="CN48" s="642">
        <f>IFERROR(
SUM(CM48,SUMIF(防護具!$Y$30:$Y$212,CN$17&amp;$C47,防護具!$Q$30:$Q$212))-CM47,0)</f>
        <v>0</v>
      </c>
      <c r="CO48" s="642">
        <f>IFERROR(
SUM(CN48,SUMIF(防護具!$Y$30:$Y$212,CO$17&amp;$C47,防護具!$Q$30:$Q$212))-CN47,0)</f>
        <v>0</v>
      </c>
      <c r="CP48" s="642">
        <f>IFERROR(
SUM(CO48,SUMIF(防護具!$Y$30:$Y$212,CP$17&amp;$C47,防護具!$Q$30:$Q$212))-CO47,0)</f>
        <v>0</v>
      </c>
      <c r="CQ48" s="642">
        <f>IFERROR(
SUM(CP48,SUMIF(防護具!$Y$30:$Y$212,CQ$17&amp;$C47,防護具!$Q$30:$Q$212))-CP47,0)</f>
        <v>0</v>
      </c>
      <c r="CR48" s="642">
        <f>IFERROR(
SUM(CQ48,SUMIF(防護具!$Y$30:$Y$212,CR$17&amp;$C47,防護具!$Q$30:$Q$212))-CQ47,0)</f>
        <v>0</v>
      </c>
      <c r="CS48" s="642">
        <f>IFERROR(
SUM(CR48,SUMIF(防護具!$Y$30:$Y$212,CS$17&amp;$C47,防護具!$Q$30:$Q$212))-CR47,0)</f>
        <v>0</v>
      </c>
      <c r="CT48" s="642">
        <f>IFERROR(
SUM(CS48,SUMIF(防護具!$Y$30:$Y$212,CT$17&amp;$C47,防護具!$Q$30:$Q$212))-CS47,0)</f>
        <v>0</v>
      </c>
      <c r="CU48" s="642">
        <f>IFERROR(
SUM(CT48,SUMIF(防護具!$Y$30:$Y$212,CU$17&amp;$C47,防護具!$Q$30:$Q$212))-CT47,0)</f>
        <v>0</v>
      </c>
      <c r="CV48" s="642">
        <f>IFERROR(
SUM(CU48,SUMIF(防護具!$Y$30:$Y$212,CV$17&amp;$C47,防護具!$Q$30:$Q$212))-CU47,0)</f>
        <v>0</v>
      </c>
      <c r="CW48" s="642">
        <f>IFERROR(
SUM(CV48,SUMIF(防護具!$Y$30:$Y$212,CW$17&amp;$C47,防護具!$Q$30:$Q$212))-CV47,0)</f>
        <v>0</v>
      </c>
      <c r="CX48" s="642">
        <f>IFERROR(
SUM(CW48,SUMIF(防護具!$Y$30:$Y$212,CX$17&amp;$C47,防護具!$Q$30:$Q$212))-CW47,0)</f>
        <v>0</v>
      </c>
      <c r="CY48" s="642">
        <f>IFERROR(
SUM(CX48,SUMIF(防護具!$Y$30:$Y$212,CY$17&amp;$C47,防護具!$Q$30:$Q$212))-CX47,0)</f>
        <v>0</v>
      </c>
      <c r="CZ48" s="642">
        <f>IFERROR(
SUM(CY48,SUMIF(防護具!$Y$30:$Y$212,CZ$17&amp;$C47,防護具!$Q$30:$Q$212))-CY47,0)</f>
        <v>0</v>
      </c>
      <c r="DA48" s="642">
        <f>IFERROR(
SUM(CZ48,SUMIF(防護具!$Y$30:$Y$212,DA$17&amp;$C47,防護具!$Q$30:$Q$212))-CZ47,0)</f>
        <v>0</v>
      </c>
      <c r="DB48" s="642">
        <f>IFERROR(
SUM(DA48,SUMIF(防護具!$Y$30:$Y$212,DB$17&amp;$C47,防護具!$Q$30:$Q$212))-DA47,0)</f>
        <v>0</v>
      </c>
      <c r="DC48" s="642">
        <f>IFERROR(
SUM(DB48,SUMIF(防護具!$Y$30:$Y$212,DC$17&amp;$C47,防護具!$Q$30:$Q$212))-DB47,0)</f>
        <v>0</v>
      </c>
      <c r="DD48" s="642">
        <f>IFERROR(
SUM(DC48,SUMIF(防護具!$Y$30:$Y$212,DD$17&amp;$C47,防護具!$Q$30:$Q$212))-DC47,0)</f>
        <v>0</v>
      </c>
      <c r="DE48" s="642">
        <f>IFERROR(
SUM(DD48,SUMIF(防護具!$Y$30:$Y$212,DE$17&amp;$C47,防護具!$Q$30:$Q$212))-DD47,0)</f>
        <v>0</v>
      </c>
      <c r="DF48" s="642">
        <f>IFERROR(
SUM(DE48,SUMIF(防護具!$Y$30:$Y$212,DF$17&amp;$C47,防護具!$Q$30:$Q$212))-DE47,0)</f>
        <v>0</v>
      </c>
      <c r="DG48" s="642">
        <f>IFERROR(
SUM(DF48,SUMIF(防護具!$Y$30:$Y$212,DG$17&amp;$C47,防護具!$Q$30:$Q$212))-DF47,0)</f>
        <v>0</v>
      </c>
      <c r="DH48" s="642">
        <f>IFERROR(
SUM(DG48,SUMIF(防護具!$Y$30:$Y$212,DH$17&amp;$C47,防護具!$Q$30:$Q$212))-DG47,0)</f>
        <v>0</v>
      </c>
      <c r="DI48" s="642">
        <f>IFERROR(
SUM(DH48,SUMIF(防護具!$Y$30:$Y$212,DI$17&amp;$C47,防護具!$Q$30:$Q$212))-DH47,0)</f>
        <v>0</v>
      </c>
      <c r="DJ48" s="642">
        <f>IFERROR(
SUM(DI48,SUMIF(防護具!$Y$30:$Y$212,DJ$17&amp;$C47,防護具!$Q$30:$Q$212))-DI47,0)</f>
        <v>0</v>
      </c>
      <c r="DK48" s="642">
        <f>IFERROR(
SUM(DJ48,SUMIF(防護具!$Y$30:$Y$212,DK$17&amp;$C47,防護具!$Q$30:$Q$212))-DJ47,0)</f>
        <v>0</v>
      </c>
      <c r="DL48" s="642">
        <f>IFERROR(
SUM(DK48,SUMIF(防護具!$Y$30:$Y$212,DL$17&amp;$C47,防護具!$Q$30:$Q$212))-DK47,0)</f>
        <v>0</v>
      </c>
      <c r="DM48" s="642">
        <f>IFERROR(
SUM(DL48,SUMIF(防護具!$Y$30:$Y$212,DM$17&amp;$C47,防護具!$Q$30:$Q$212))-DL47,0)</f>
        <v>0</v>
      </c>
      <c r="DN48" s="642">
        <f>IFERROR(
SUM(DM48,SUMIF(防護具!$Y$30:$Y$212,DN$17&amp;$C47,防護具!$Q$30:$Q$212))-DM47,0)</f>
        <v>0</v>
      </c>
      <c r="DO48" s="642">
        <f>IFERROR(
SUM(DN48,SUMIF(防護具!$Y$30:$Y$212,DO$17&amp;$C47,防護具!$Q$30:$Q$212))-DN47,0)</f>
        <v>0</v>
      </c>
      <c r="DP48" s="642">
        <f>IFERROR(
SUM(DO48,SUMIF(防護具!$Y$30:$Y$212,DP$17&amp;$C47,防護具!$Q$30:$Q$212))-DO47,0)</f>
        <v>0</v>
      </c>
      <c r="DQ48" s="642">
        <f>IFERROR(
SUM(DP48,SUMIF(防護具!$Y$30:$Y$212,DQ$17&amp;$C47,防護具!$Q$30:$Q$212))-DP47,0)</f>
        <v>0</v>
      </c>
      <c r="DR48" s="642">
        <f>IFERROR(
SUM(DQ48,SUMIF(防護具!$Y$30:$Y$212,DR$17&amp;$C47,防護具!$Q$30:$Q$212))-DQ47,0)</f>
        <v>0</v>
      </c>
      <c r="DS48" s="642">
        <f>IFERROR(
SUM(DR48,SUMIF(防護具!$Y$30:$Y$212,DS$17&amp;$C47,防護具!$Q$30:$Q$212))-DR47,0)</f>
        <v>0</v>
      </c>
      <c r="DT48" s="642">
        <f>IFERROR(
SUM(DS48,SUMIF(防護具!$Y$30:$Y$212,DT$17&amp;$C47,防護具!$Q$30:$Q$212))-DS47,0)</f>
        <v>0</v>
      </c>
      <c r="DU48" s="642">
        <f>IFERROR(
SUM(DT48,SUMIF(防護具!$Y$30:$Y$212,DU$17&amp;$C47,防護具!$Q$30:$Q$212))-DT47,0)</f>
        <v>0</v>
      </c>
      <c r="DV48" s="642">
        <f>IFERROR(
SUM(DU48,SUMIF(防護具!$Y$30:$Y$212,DV$17&amp;$C47,防護具!$Q$30:$Q$212))-DU47,0)</f>
        <v>0</v>
      </c>
      <c r="DW48" s="642">
        <f>IFERROR(
SUM(DV48,SUMIF(防護具!$Y$30:$Y$212,DW$17&amp;$C47,防護具!$Q$30:$Q$212))-DV47,0)</f>
        <v>0</v>
      </c>
      <c r="DX48" s="642">
        <f>IFERROR(
SUM(DW48,SUMIF(防護具!$Y$30:$Y$212,DX$17&amp;$C47,防護具!$Q$30:$Q$212))-DW47,0)</f>
        <v>0</v>
      </c>
      <c r="DY48" s="642">
        <f>IFERROR(
SUM(DX48,SUMIF(防護具!$Y$30:$Y$212,DY$17&amp;$C47,防護具!$Q$30:$Q$212))-DX47,0)</f>
        <v>0</v>
      </c>
      <c r="DZ48" s="642">
        <f>IFERROR(
SUM(DY48,SUMIF(防護具!$Y$30:$Y$212,DZ$17&amp;$C47,防護具!$Q$30:$Q$212))-DY47,0)</f>
        <v>0</v>
      </c>
      <c r="EA48" s="642">
        <f>IFERROR(
SUM(DZ48,SUMIF(防護具!$Y$30:$Y$212,EA$17&amp;$C47,防護具!$Q$30:$Q$212))-DZ47,0)</f>
        <v>0</v>
      </c>
      <c r="EB48" s="642">
        <f>IFERROR(
SUM(EA48,SUMIF(防護具!$Y$30:$Y$212,EB$17&amp;$C47,防護具!$Q$30:$Q$212))-EA47,0)</f>
        <v>0</v>
      </c>
      <c r="EC48" s="642">
        <f>IFERROR(
SUM(EB48,SUMIF(防護具!$Y$30:$Y$212,EC$17&amp;$C47,防護具!$Q$30:$Q$212))-EB47,0)</f>
        <v>0</v>
      </c>
      <c r="ED48" s="642">
        <f>IFERROR(
SUM(EC48,SUMIF(防護具!$Y$30:$Y$212,ED$17&amp;$C47,防護具!$Q$30:$Q$212))-EC47,0)</f>
        <v>0</v>
      </c>
      <c r="EE48" s="642">
        <f>IFERROR(
SUM(ED48,SUMIF(防護具!$Y$30:$Y$212,EE$17&amp;$C47,防護具!$Q$30:$Q$212))-ED47,0)</f>
        <v>0</v>
      </c>
      <c r="EF48" s="642">
        <f>IFERROR(
SUM(EE48,SUMIF(防護具!$Y$30:$Y$212,EF$17&amp;$C47,防護具!$Q$30:$Q$212))-EE47,0)</f>
        <v>0</v>
      </c>
      <c r="EG48" s="642">
        <f>IFERROR(
SUM(EF48,SUMIF(防護具!$Y$30:$Y$212,EG$17&amp;$C47,防護具!$Q$30:$Q$212))-EF47,0)</f>
        <v>0</v>
      </c>
      <c r="EH48" s="642">
        <f>IFERROR(
SUM(EG48,SUMIF(防護具!$Y$30:$Y$212,EH$17&amp;$C47,防護具!$Q$30:$Q$212))-EG47,0)</f>
        <v>0</v>
      </c>
      <c r="EI48" s="642">
        <f>IFERROR(
SUM(EH48,SUMIF(防護具!$Y$30:$Y$212,EI$17&amp;$C47,防護具!$Q$30:$Q$212))-EH47,0)</f>
        <v>0</v>
      </c>
      <c r="EJ48" s="642">
        <f>IFERROR(
SUM(EI48,SUMIF(防護具!$Y$30:$Y$212,EJ$17&amp;$C47,防護具!$Q$30:$Q$212))-EI47,0)</f>
        <v>0</v>
      </c>
      <c r="EK48" s="642">
        <f>IFERROR(
SUM(EJ48,SUMIF(防護具!$Y$30:$Y$212,EK$17&amp;$C47,防護具!$Q$30:$Q$212))-EJ47,0)</f>
        <v>0</v>
      </c>
      <c r="EL48" s="642">
        <f>IFERROR(
SUM(EK48,SUMIF(防護具!$Y$30:$Y$212,EL$17&amp;$C47,防護具!$Q$30:$Q$212))-EK47,0)</f>
        <v>0</v>
      </c>
      <c r="EM48" s="642">
        <f>IFERROR(
SUM(EL48,SUMIF(防護具!$Y$30:$Y$212,EM$17&amp;$C47,防護具!$Q$30:$Q$212))-EL47,0)</f>
        <v>0</v>
      </c>
      <c r="EN48" s="642">
        <f>IFERROR(
SUM(EM48,SUMIF(防護具!$Y$30:$Y$212,EN$17&amp;$C47,防護具!$Q$30:$Q$212))-EM47,0)</f>
        <v>0</v>
      </c>
      <c r="EO48" s="642">
        <f>IFERROR(
SUM(EN48,SUMIF(防護具!$Y$30:$Y$212,EO$17&amp;$C47,防護具!$Q$30:$Q$212))-EN47,0)</f>
        <v>0</v>
      </c>
      <c r="EP48" s="642">
        <f>IFERROR(
SUM(EO48,SUMIF(防護具!$Y$30:$Y$212,EP$17&amp;$C47,防護具!$Q$30:$Q$212))-EO47,0)</f>
        <v>0</v>
      </c>
      <c r="EQ48" s="642">
        <f>IFERROR(
SUM(EP48,SUMIF(防護具!$Y$30:$Y$212,EQ$17&amp;$C47,防護具!$Q$30:$Q$212))-EP47,0)</f>
        <v>0</v>
      </c>
      <c r="ER48" s="642">
        <f>IFERROR(
SUM(EQ48,SUMIF(防護具!$Y$30:$Y$212,ER$17&amp;$C47,防護具!$Q$30:$Q$212))-EQ47,0)</f>
        <v>0</v>
      </c>
      <c r="ES48" s="642">
        <f>IFERROR(
SUM(ER48,SUMIF(防護具!$Y$30:$Y$212,ES$17&amp;$C47,防護具!$Q$30:$Q$212))-ER47,0)</f>
        <v>0</v>
      </c>
      <c r="ET48" s="642">
        <f>IFERROR(
SUM(ES48,SUMIF(防護具!$Y$30:$Y$212,ET$17&amp;$C47,防護具!$Q$30:$Q$212))-ES47,0)</f>
        <v>0</v>
      </c>
      <c r="EU48" s="642">
        <f>IFERROR(
SUM(ET48,SUMIF(防護具!$Y$30:$Y$212,EU$17&amp;$C47,防護具!$Q$30:$Q$212))-ET47,0)</f>
        <v>0</v>
      </c>
      <c r="EV48" s="642">
        <f>IFERROR(
SUM(EU48,SUMIF(防護具!$Y$30:$Y$212,EV$17&amp;$C47,防護具!$Q$30:$Q$212))-EU47,0)</f>
        <v>0</v>
      </c>
      <c r="EW48" s="642">
        <f>IFERROR(
SUM(EV48,SUMIF(防護具!$Y$30:$Y$212,EW$17&amp;$C47,防護具!$Q$30:$Q$212))-EV47,0)</f>
        <v>0</v>
      </c>
      <c r="EX48" s="642">
        <f>IFERROR(
SUM(EW48,SUMIF(防護具!$Y$30:$Y$212,EX$17&amp;$C47,防護具!$Q$30:$Q$212))-EW47,0)</f>
        <v>0</v>
      </c>
      <c r="EY48" s="642">
        <f>IFERROR(
SUM(EX48,SUMIF(防護具!$Y$30:$Y$212,EY$17&amp;$C47,防護具!$Q$30:$Q$212))-EX47,0)</f>
        <v>0</v>
      </c>
      <c r="EZ48" s="642">
        <f>IFERROR(
SUM(EY48,SUMIF(防護具!$Y$30:$Y$212,EZ$17&amp;$C47,防護具!$Q$30:$Q$212))-EY47,0)</f>
        <v>0</v>
      </c>
      <c r="FA48" s="642">
        <f>IFERROR(
SUM(EZ48,SUMIF(防護具!$Y$30:$Y$212,FA$17&amp;$C47,防護具!$Q$30:$Q$212))-EZ47,0)</f>
        <v>0</v>
      </c>
      <c r="FB48" s="642">
        <f>IFERROR(
SUM(FA48,SUMIF(防護具!$Y$30:$Y$212,FB$17&amp;$C47,防護具!$Q$30:$Q$212))-FA47,0)</f>
        <v>0</v>
      </c>
      <c r="FC48" s="642">
        <f>IFERROR(
SUM(FB48,SUMIF(防護具!$Y$30:$Y$212,FC$17&amp;$C47,防護具!$Q$30:$Q$212))-FB47,0)</f>
        <v>0</v>
      </c>
      <c r="FD48" s="642">
        <f>IFERROR(
SUM(FC48,SUMIF(防護具!$Y$30:$Y$212,FD$17&amp;$C47,防護具!$Q$30:$Q$212))-FC47,0)</f>
        <v>0</v>
      </c>
      <c r="FE48" s="642">
        <f>IFERROR(
SUM(FD48,SUMIF(防護具!$Y$30:$Y$212,FE$17&amp;$C47,防護具!$Q$30:$Q$212))-FD47,0)</f>
        <v>0</v>
      </c>
      <c r="FF48" s="642">
        <f>IFERROR(
SUM(FE48,SUMIF(防護具!$Y$30:$Y$212,FF$17&amp;$C47,防護具!$Q$30:$Q$212))-FE47,0)</f>
        <v>0</v>
      </c>
      <c r="FG48" s="642">
        <f>IFERROR(
SUM(FF48,SUMIF(防護具!$Y$30:$Y$212,FG$17&amp;$C47,防護具!$Q$30:$Q$212))-FF47,0)</f>
        <v>0</v>
      </c>
      <c r="FH48" s="642">
        <f>IFERROR(
SUM(FG48,SUMIF(防護具!$Y$30:$Y$212,FH$17&amp;$C47,防護具!$Q$30:$Q$212))-FG47,0)</f>
        <v>0</v>
      </c>
      <c r="FI48" s="642">
        <f>IFERROR(
SUM(FH48,SUMIF(防護具!$Y$30:$Y$212,FI$17&amp;$C47,防護具!$Q$30:$Q$212))-FH47,0)</f>
        <v>0</v>
      </c>
      <c r="FJ48" s="642">
        <f>IFERROR(
SUM(FI48,SUMIF(防護具!$Y$30:$Y$212,FJ$17&amp;$C47,防護具!$Q$30:$Q$212))-FI47,0)</f>
        <v>0</v>
      </c>
      <c r="FK48" s="642">
        <f>IFERROR(
SUM(FJ48,SUMIF(防護具!$Y$30:$Y$212,FK$17&amp;$C47,防護具!$Q$30:$Q$212))-FJ47,0)</f>
        <v>0</v>
      </c>
      <c r="FL48" s="642">
        <f>IFERROR(
SUM(FK48,SUMIF(防護具!$Y$30:$Y$212,FL$17&amp;$C47,防護具!$Q$30:$Q$212))-FK47,0)</f>
        <v>0</v>
      </c>
      <c r="FM48" s="642">
        <f>IFERROR(
SUM(FL48,SUMIF(防護具!$Y$30:$Y$212,FM$17&amp;$C47,防護具!$Q$30:$Q$212))-FL47,0)</f>
        <v>0</v>
      </c>
      <c r="FN48" s="642">
        <f>IFERROR(
SUM(FM48,SUMIF(防護具!$Y$30:$Y$212,FN$17&amp;$C47,防護具!$Q$30:$Q$212))-FM47,0)</f>
        <v>0</v>
      </c>
      <c r="FO48" s="642">
        <f>IFERROR(
SUM(FN48,SUMIF(防護具!$Y$30:$Y$212,FO$17&amp;$C47,防護具!$Q$30:$Q$212))-FN47,0)</f>
        <v>0</v>
      </c>
      <c r="FP48" s="642">
        <f>IFERROR(
SUM(FO48,SUMIF(防護具!$Y$30:$Y$212,FP$17&amp;$C47,防護具!$Q$30:$Q$212))-FO47,0)</f>
        <v>0</v>
      </c>
      <c r="FQ48" s="642">
        <f>IFERROR(
SUM(FP48,SUMIF(防護具!$Y$30:$Y$212,FQ$17&amp;$C47,防護具!$Q$30:$Q$212))-FP47,0)</f>
        <v>0</v>
      </c>
      <c r="FR48" s="642">
        <f>IFERROR(
SUM(FQ48,SUMIF(防護具!$Y$30:$Y$212,FR$17&amp;$C47,防護具!$Q$30:$Q$212))-FQ47,0)</f>
        <v>0</v>
      </c>
      <c r="FS48" s="642">
        <f>IFERROR(
SUM(FR48,SUMIF(防護具!$Y$30:$Y$212,FS$17&amp;$C47,防護具!$Q$30:$Q$212))-FR47,0)</f>
        <v>0</v>
      </c>
      <c r="FT48" s="642">
        <f>IFERROR(
SUM(FS48,SUMIF(防護具!$Y$30:$Y$212,FT$17&amp;$C47,防護具!$Q$30:$Q$212))-FS47,0)</f>
        <v>0</v>
      </c>
      <c r="FU48" s="642">
        <f>IFERROR(
SUM(FT48,SUMIF(防護具!$Y$30:$Y$212,FU$17&amp;$C47,防護具!$Q$30:$Q$212))-FT47,0)</f>
        <v>0</v>
      </c>
      <c r="FV48" s="642">
        <f>IFERROR(
SUM(FU48,SUMIF(防護具!$Y$30:$Y$212,FV$17&amp;$C47,防護具!$Q$30:$Q$212))-FU47,0)</f>
        <v>0</v>
      </c>
      <c r="FW48" s="642">
        <f>IFERROR(
SUM(FV48,SUMIF(防護具!$Y$30:$Y$212,FW$17&amp;$C47,防護具!$Q$30:$Q$212))-FV47,0)</f>
        <v>0</v>
      </c>
      <c r="FX48" s="642">
        <f>IFERROR(
SUM(FW48,SUMIF(防護具!$Y$30:$Y$212,FX$17&amp;$C47,防護具!$Q$30:$Q$212))-FW47,0)</f>
        <v>0</v>
      </c>
      <c r="FY48" s="642">
        <f>IFERROR(
SUM(FX48,SUMIF(防護具!$Y$30:$Y$212,FY$17&amp;$C47,防護具!$Q$30:$Q$212))-FX47,0)</f>
        <v>0</v>
      </c>
      <c r="FZ48" s="642">
        <f>IFERROR(
SUM(FY48,SUMIF(防護具!$Y$30:$Y$212,FZ$17&amp;$C47,防護具!$Q$30:$Q$212))-FY47,0)</f>
        <v>0</v>
      </c>
      <c r="GA48" s="642">
        <f>IFERROR(
SUM(FZ48,SUMIF(防護具!$Y$30:$Y$212,GA$17&amp;$C47,防護具!$Q$30:$Q$212))-FZ47,0)</f>
        <v>0</v>
      </c>
      <c r="GB48" s="642">
        <f>IFERROR(
SUM(GA48,SUMIF(防護具!$Y$30:$Y$212,GB$17&amp;$C47,防護具!$Q$30:$Q$212))-GA47,0)</f>
        <v>0</v>
      </c>
      <c r="GC48" s="642">
        <f>IFERROR(
SUM(GB48,SUMIF(防護具!$Y$30:$Y$212,GC$17&amp;$C47,防護具!$Q$30:$Q$212))-GB47,0)</f>
        <v>0</v>
      </c>
      <c r="GD48" s="642">
        <f>IFERROR(
SUM(GC48,SUMIF(防護具!$Y$30:$Y$212,GD$17&amp;$C47,防護具!$Q$30:$Q$212))-GC47,0)</f>
        <v>0</v>
      </c>
      <c r="GE48" s="642">
        <f>IFERROR(
SUM(GD48,SUMIF(防護具!$Y$30:$Y$212,GE$17&amp;$C47,防護具!$Q$30:$Q$212))-GD47,0)</f>
        <v>0</v>
      </c>
      <c r="GF48" s="642">
        <f>IFERROR(
SUM(GE48,SUMIF(防護具!$Y$30:$Y$212,GF$17&amp;$C47,防護具!$Q$30:$Q$212))-GE47,0)</f>
        <v>0</v>
      </c>
      <c r="GG48" s="642">
        <f>IFERROR(
SUM(GF48,SUMIF(防護具!$Y$30:$Y$212,GG$17&amp;$C47,防護具!$Q$30:$Q$212))-GF47,0)</f>
        <v>0</v>
      </c>
      <c r="GH48" s="642">
        <f>IFERROR(
SUM(GG48,SUMIF(防護具!$Y$30:$Y$212,GH$17&amp;$C47,防護具!$Q$30:$Q$212))-GG47,0)</f>
        <v>0</v>
      </c>
      <c r="GI48" s="642">
        <f>IFERROR(
SUM(GH48,SUMIF(防護具!$Y$30:$Y$212,GI$17&amp;$C47,防護具!$Q$30:$Q$212))-GH47,0)</f>
        <v>0</v>
      </c>
      <c r="GJ48" s="642">
        <f>IFERROR(
SUM(GI48,SUMIF(防護具!$Y$30:$Y$212,GJ$17&amp;$C47,防護具!$Q$30:$Q$212))-GI47,0)</f>
        <v>0</v>
      </c>
    </row>
    <row r="49" spans="2:192" s="655" customFormat="1">
      <c r="B49" s="656"/>
      <c r="C49" s="641"/>
      <c r="D49" s="768" t="s">
        <v>1468</v>
      </c>
      <c r="E49" s="773"/>
      <c r="F49" s="706"/>
      <c r="G49" s="642">
        <f>SUMIF(防護具!$Y$13:$Y$29,G$17&amp;PPE差引簿!C47,防護具!$Q$13:$Q$29)</f>
        <v>5000</v>
      </c>
      <c r="H49" s="642">
        <f xml:space="preserve">
IF(G49-VLOOKUP($C47,$C$3:$D$15,2,FALSE)*H$21&lt;0,0,G49-VLOOKUP($C47,$C$3:$D$15,2,FALSE)*H$21)</f>
        <v>5000</v>
      </c>
      <c r="I49" s="642">
        <f t="shared" ref="I49:BT49" si="1850" xml:space="preserve">
IF(H49-VLOOKUP($C47,$C$3:$D$15,2,FALSE)*I$21&lt;0,0,H49-VLOOKUP($C47,$C$3:$D$15,2,FALSE)*I$21)</f>
        <v>5000</v>
      </c>
      <c r="J49" s="642">
        <f t="shared" si="1850"/>
        <v>5000</v>
      </c>
      <c r="K49" s="642">
        <f t="shared" si="1850"/>
        <v>5000</v>
      </c>
      <c r="L49" s="642">
        <f t="shared" si="1850"/>
        <v>5000</v>
      </c>
      <c r="M49" s="642">
        <f t="shared" si="1850"/>
        <v>5000</v>
      </c>
      <c r="N49" s="642">
        <f t="shared" si="1850"/>
        <v>5000</v>
      </c>
      <c r="O49" s="642">
        <f t="shared" si="1850"/>
        <v>5000</v>
      </c>
      <c r="P49" s="642">
        <f t="shared" si="1850"/>
        <v>5000</v>
      </c>
      <c r="Q49" s="642">
        <f t="shared" si="1850"/>
        <v>5000</v>
      </c>
      <c r="R49" s="642">
        <f t="shared" si="1850"/>
        <v>5000</v>
      </c>
      <c r="S49" s="642">
        <f t="shared" si="1850"/>
        <v>5000</v>
      </c>
      <c r="T49" s="642">
        <f t="shared" si="1850"/>
        <v>5000</v>
      </c>
      <c r="U49" s="642">
        <f t="shared" si="1850"/>
        <v>5000</v>
      </c>
      <c r="V49" s="642">
        <f t="shared" si="1850"/>
        <v>5000</v>
      </c>
      <c r="W49" s="642">
        <f t="shared" si="1850"/>
        <v>5000</v>
      </c>
      <c r="X49" s="642">
        <f t="shared" si="1850"/>
        <v>5000</v>
      </c>
      <c r="Y49" s="642">
        <f t="shared" si="1850"/>
        <v>5000</v>
      </c>
      <c r="Z49" s="642">
        <f t="shared" si="1850"/>
        <v>5000</v>
      </c>
      <c r="AA49" s="642">
        <f t="shared" si="1850"/>
        <v>5000</v>
      </c>
      <c r="AB49" s="642">
        <f t="shared" si="1850"/>
        <v>5000</v>
      </c>
      <c r="AC49" s="642">
        <f t="shared" si="1850"/>
        <v>5000</v>
      </c>
      <c r="AD49" s="642">
        <f t="shared" si="1850"/>
        <v>5000</v>
      </c>
      <c r="AE49" s="642">
        <f t="shared" si="1850"/>
        <v>5000</v>
      </c>
      <c r="AF49" s="642">
        <f t="shared" si="1850"/>
        <v>5000</v>
      </c>
      <c r="AG49" s="642">
        <f t="shared" si="1850"/>
        <v>5000</v>
      </c>
      <c r="AH49" s="642">
        <f t="shared" si="1850"/>
        <v>5000</v>
      </c>
      <c r="AI49" s="642">
        <f t="shared" si="1850"/>
        <v>5000</v>
      </c>
      <c r="AJ49" s="642">
        <f t="shared" si="1850"/>
        <v>5000</v>
      </c>
      <c r="AK49" s="642">
        <f t="shared" si="1850"/>
        <v>5000</v>
      </c>
      <c r="AL49" s="642">
        <f t="shared" si="1850"/>
        <v>5000</v>
      </c>
      <c r="AM49" s="642">
        <f t="shared" si="1850"/>
        <v>5000</v>
      </c>
      <c r="AN49" s="642">
        <f t="shared" si="1850"/>
        <v>5000</v>
      </c>
      <c r="AO49" s="642">
        <f t="shared" si="1850"/>
        <v>5000</v>
      </c>
      <c r="AP49" s="642">
        <f t="shared" si="1850"/>
        <v>5000</v>
      </c>
      <c r="AQ49" s="642">
        <f t="shared" si="1850"/>
        <v>5000</v>
      </c>
      <c r="AR49" s="642">
        <f t="shared" si="1850"/>
        <v>5000</v>
      </c>
      <c r="AS49" s="642">
        <f t="shared" si="1850"/>
        <v>5000</v>
      </c>
      <c r="AT49" s="642">
        <f t="shared" si="1850"/>
        <v>5000</v>
      </c>
      <c r="AU49" s="642">
        <f t="shared" si="1850"/>
        <v>5000</v>
      </c>
      <c r="AV49" s="642">
        <f t="shared" si="1850"/>
        <v>5000</v>
      </c>
      <c r="AW49" s="642">
        <f t="shared" si="1850"/>
        <v>5000</v>
      </c>
      <c r="AX49" s="642">
        <f t="shared" si="1850"/>
        <v>5000</v>
      </c>
      <c r="AY49" s="642">
        <f t="shared" si="1850"/>
        <v>5000</v>
      </c>
      <c r="AZ49" s="642">
        <f t="shared" si="1850"/>
        <v>5000</v>
      </c>
      <c r="BA49" s="642">
        <f t="shared" si="1850"/>
        <v>5000</v>
      </c>
      <c r="BB49" s="642">
        <f t="shared" si="1850"/>
        <v>5000</v>
      </c>
      <c r="BC49" s="642">
        <f t="shared" si="1850"/>
        <v>5000</v>
      </c>
      <c r="BD49" s="642">
        <f t="shared" si="1850"/>
        <v>5000</v>
      </c>
      <c r="BE49" s="642">
        <f t="shared" si="1850"/>
        <v>5000</v>
      </c>
      <c r="BF49" s="642">
        <f t="shared" si="1850"/>
        <v>5000</v>
      </c>
      <c r="BG49" s="642">
        <f t="shared" si="1850"/>
        <v>5000</v>
      </c>
      <c r="BH49" s="642">
        <f t="shared" si="1850"/>
        <v>5000</v>
      </c>
      <c r="BI49" s="642">
        <f t="shared" si="1850"/>
        <v>5000</v>
      </c>
      <c r="BJ49" s="642">
        <f t="shared" si="1850"/>
        <v>5000</v>
      </c>
      <c r="BK49" s="642">
        <f t="shared" si="1850"/>
        <v>5000</v>
      </c>
      <c r="BL49" s="642">
        <f t="shared" si="1850"/>
        <v>5000</v>
      </c>
      <c r="BM49" s="642">
        <f t="shared" si="1850"/>
        <v>5000</v>
      </c>
      <c r="BN49" s="642">
        <f t="shared" si="1850"/>
        <v>5000</v>
      </c>
      <c r="BO49" s="642">
        <f t="shared" si="1850"/>
        <v>5000</v>
      </c>
      <c r="BP49" s="642">
        <f t="shared" si="1850"/>
        <v>5000</v>
      </c>
      <c r="BQ49" s="642">
        <f t="shared" si="1850"/>
        <v>5000</v>
      </c>
      <c r="BR49" s="642">
        <f t="shared" si="1850"/>
        <v>5000</v>
      </c>
      <c r="BS49" s="642">
        <f t="shared" si="1850"/>
        <v>5000</v>
      </c>
      <c r="BT49" s="642">
        <f t="shared" si="1850"/>
        <v>5000</v>
      </c>
      <c r="BU49" s="642">
        <f t="shared" ref="BU49:EF49" si="1851" xml:space="preserve">
IF(BT49-VLOOKUP($C47,$C$3:$D$15,2,FALSE)*BU$21&lt;0,0,BT49-VLOOKUP($C47,$C$3:$D$15,2,FALSE)*BU$21)</f>
        <v>5000</v>
      </c>
      <c r="BV49" s="642">
        <f t="shared" si="1851"/>
        <v>5000</v>
      </c>
      <c r="BW49" s="642">
        <f t="shared" si="1851"/>
        <v>5000</v>
      </c>
      <c r="BX49" s="642">
        <f t="shared" si="1851"/>
        <v>5000</v>
      </c>
      <c r="BY49" s="642">
        <f t="shared" si="1851"/>
        <v>5000</v>
      </c>
      <c r="BZ49" s="642">
        <f t="shared" si="1851"/>
        <v>5000</v>
      </c>
      <c r="CA49" s="642">
        <f t="shared" si="1851"/>
        <v>5000</v>
      </c>
      <c r="CB49" s="642">
        <f t="shared" si="1851"/>
        <v>5000</v>
      </c>
      <c r="CC49" s="642">
        <f t="shared" si="1851"/>
        <v>5000</v>
      </c>
      <c r="CD49" s="642">
        <f t="shared" si="1851"/>
        <v>5000</v>
      </c>
      <c r="CE49" s="642">
        <f t="shared" si="1851"/>
        <v>5000</v>
      </c>
      <c r="CF49" s="642">
        <f t="shared" si="1851"/>
        <v>5000</v>
      </c>
      <c r="CG49" s="642">
        <f t="shared" si="1851"/>
        <v>5000</v>
      </c>
      <c r="CH49" s="642">
        <f t="shared" si="1851"/>
        <v>5000</v>
      </c>
      <c r="CI49" s="642">
        <f t="shared" si="1851"/>
        <v>5000</v>
      </c>
      <c r="CJ49" s="642">
        <f t="shared" si="1851"/>
        <v>5000</v>
      </c>
      <c r="CK49" s="642">
        <f t="shared" si="1851"/>
        <v>5000</v>
      </c>
      <c r="CL49" s="642">
        <f t="shared" si="1851"/>
        <v>5000</v>
      </c>
      <c r="CM49" s="642">
        <f t="shared" si="1851"/>
        <v>5000</v>
      </c>
      <c r="CN49" s="642">
        <f t="shared" si="1851"/>
        <v>5000</v>
      </c>
      <c r="CO49" s="642">
        <f t="shared" si="1851"/>
        <v>5000</v>
      </c>
      <c r="CP49" s="642">
        <f t="shared" si="1851"/>
        <v>5000</v>
      </c>
      <c r="CQ49" s="642">
        <f t="shared" si="1851"/>
        <v>5000</v>
      </c>
      <c r="CR49" s="642">
        <f t="shared" si="1851"/>
        <v>5000</v>
      </c>
      <c r="CS49" s="642">
        <f t="shared" si="1851"/>
        <v>5000</v>
      </c>
      <c r="CT49" s="642">
        <f t="shared" si="1851"/>
        <v>5000</v>
      </c>
      <c r="CU49" s="642">
        <f t="shared" si="1851"/>
        <v>5000</v>
      </c>
      <c r="CV49" s="642">
        <f t="shared" si="1851"/>
        <v>5000</v>
      </c>
      <c r="CW49" s="642">
        <f t="shared" si="1851"/>
        <v>5000</v>
      </c>
      <c r="CX49" s="642">
        <f t="shared" si="1851"/>
        <v>5000</v>
      </c>
      <c r="CY49" s="642">
        <f t="shared" si="1851"/>
        <v>5000</v>
      </c>
      <c r="CZ49" s="642">
        <f t="shared" si="1851"/>
        <v>5000</v>
      </c>
      <c r="DA49" s="642">
        <f t="shared" si="1851"/>
        <v>5000</v>
      </c>
      <c r="DB49" s="642">
        <f t="shared" si="1851"/>
        <v>5000</v>
      </c>
      <c r="DC49" s="642">
        <f t="shared" si="1851"/>
        <v>5000</v>
      </c>
      <c r="DD49" s="642">
        <f t="shared" si="1851"/>
        <v>5000</v>
      </c>
      <c r="DE49" s="642">
        <f t="shared" si="1851"/>
        <v>5000</v>
      </c>
      <c r="DF49" s="642">
        <f t="shared" si="1851"/>
        <v>5000</v>
      </c>
      <c r="DG49" s="642">
        <f t="shared" si="1851"/>
        <v>5000</v>
      </c>
      <c r="DH49" s="642">
        <f t="shared" si="1851"/>
        <v>5000</v>
      </c>
      <c r="DI49" s="642">
        <f t="shared" si="1851"/>
        <v>5000</v>
      </c>
      <c r="DJ49" s="642">
        <f t="shared" si="1851"/>
        <v>5000</v>
      </c>
      <c r="DK49" s="642">
        <f t="shared" si="1851"/>
        <v>5000</v>
      </c>
      <c r="DL49" s="642">
        <f t="shared" si="1851"/>
        <v>5000</v>
      </c>
      <c r="DM49" s="642">
        <f t="shared" si="1851"/>
        <v>5000</v>
      </c>
      <c r="DN49" s="642">
        <f t="shared" si="1851"/>
        <v>5000</v>
      </c>
      <c r="DO49" s="642">
        <f t="shared" si="1851"/>
        <v>5000</v>
      </c>
      <c r="DP49" s="642">
        <f t="shared" si="1851"/>
        <v>5000</v>
      </c>
      <c r="DQ49" s="642">
        <f t="shared" si="1851"/>
        <v>5000</v>
      </c>
      <c r="DR49" s="642">
        <f t="shared" si="1851"/>
        <v>5000</v>
      </c>
      <c r="DS49" s="642">
        <f t="shared" si="1851"/>
        <v>5000</v>
      </c>
      <c r="DT49" s="642">
        <f t="shared" si="1851"/>
        <v>5000</v>
      </c>
      <c r="DU49" s="642">
        <f t="shared" si="1851"/>
        <v>5000</v>
      </c>
      <c r="DV49" s="642">
        <f t="shared" si="1851"/>
        <v>5000</v>
      </c>
      <c r="DW49" s="642">
        <f t="shared" si="1851"/>
        <v>5000</v>
      </c>
      <c r="DX49" s="642">
        <f t="shared" si="1851"/>
        <v>5000</v>
      </c>
      <c r="DY49" s="642">
        <f t="shared" si="1851"/>
        <v>5000</v>
      </c>
      <c r="DZ49" s="642">
        <f t="shared" si="1851"/>
        <v>5000</v>
      </c>
      <c r="EA49" s="642">
        <f t="shared" si="1851"/>
        <v>5000</v>
      </c>
      <c r="EB49" s="642">
        <f t="shared" si="1851"/>
        <v>5000</v>
      </c>
      <c r="EC49" s="642">
        <f t="shared" si="1851"/>
        <v>5000</v>
      </c>
      <c r="ED49" s="642">
        <f t="shared" si="1851"/>
        <v>5000</v>
      </c>
      <c r="EE49" s="642">
        <f t="shared" si="1851"/>
        <v>5000</v>
      </c>
      <c r="EF49" s="642">
        <f t="shared" si="1851"/>
        <v>5000</v>
      </c>
      <c r="EG49" s="642">
        <f t="shared" ref="EG49:GJ49" si="1852" xml:space="preserve">
IF(EF49-VLOOKUP($C47,$C$3:$D$15,2,FALSE)*EG$21&lt;0,0,EF49-VLOOKUP($C47,$C$3:$D$15,2,FALSE)*EG$21)</f>
        <v>5000</v>
      </c>
      <c r="EH49" s="642">
        <f t="shared" si="1852"/>
        <v>5000</v>
      </c>
      <c r="EI49" s="642">
        <f t="shared" si="1852"/>
        <v>5000</v>
      </c>
      <c r="EJ49" s="642">
        <f t="shared" si="1852"/>
        <v>5000</v>
      </c>
      <c r="EK49" s="642">
        <f t="shared" si="1852"/>
        <v>5000</v>
      </c>
      <c r="EL49" s="642">
        <f t="shared" si="1852"/>
        <v>5000</v>
      </c>
      <c r="EM49" s="642">
        <f t="shared" si="1852"/>
        <v>5000</v>
      </c>
      <c r="EN49" s="642">
        <f t="shared" si="1852"/>
        <v>5000</v>
      </c>
      <c r="EO49" s="642">
        <f t="shared" si="1852"/>
        <v>5000</v>
      </c>
      <c r="EP49" s="642">
        <f t="shared" si="1852"/>
        <v>5000</v>
      </c>
      <c r="EQ49" s="642">
        <f t="shared" si="1852"/>
        <v>5000</v>
      </c>
      <c r="ER49" s="642">
        <f t="shared" si="1852"/>
        <v>5000</v>
      </c>
      <c r="ES49" s="642">
        <f t="shared" si="1852"/>
        <v>5000</v>
      </c>
      <c r="ET49" s="642">
        <f t="shared" si="1852"/>
        <v>5000</v>
      </c>
      <c r="EU49" s="642">
        <f t="shared" si="1852"/>
        <v>5000</v>
      </c>
      <c r="EV49" s="642">
        <f t="shared" si="1852"/>
        <v>5000</v>
      </c>
      <c r="EW49" s="642">
        <f t="shared" si="1852"/>
        <v>5000</v>
      </c>
      <c r="EX49" s="642">
        <f t="shared" si="1852"/>
        <v>5000</v>
      </c>
      <c r="EY49" s="642">
        <f t="shared" si="1852"/>
        <v>5000</v>
      </c>
      <c r="EZ49" s="642">
        <f t="shared" si="1852"/>
        <v>5000</v>
      </c>
      <c r="FA49" s="642">
        <f t="shared" si="1852"/>
        <v>5000</v>
      </c>
      <c r="FB49" s="642">
        <f t="shared" si="1852"/>
        <v>5000</v>
      </c>
      <c r="FC49" s="642">
        <f t="shared" si="1852"/>
        <v>5000</v>
      </c>
      <c r="FD49" s="642">
        <f t="shared" si="1852"/>
        <v>5000</v>
      </c>
      <c r="FE49" s="642">
        <f t="shared" si="1852"/>
        <v>5000</v>
      </c>
      <c r="FF49" s="642">
        <f t="shared" si="1852"/>
        <v>5000</v>
      </c>
      <c r="FG49" s="642">
        <f t="shared" si="1852"/>
        <v>5000</v>
      </c>
      <c r="FH49" s="642">
        <f t="shared" si="1852"/>
        <v>5000</v>
      </c>
      <c r="FI49" s="642">
        <f t="shared" si="1852"/>
        <v>5000</v>
      </c>
      <c r="FJ49" s="642">
        <f t="shared" si="1852"/>
        <v>5000</v>
      </c>
      <c r="FK49" s="642">
        <f t="shared" si="1852"/>
        <v>5000</v>
      </c>
      <c r="FL49" s="642">
        <f t="shared" si="1852"/>
        <v>5000</v>
      </c>
      <c r="FM49" s="642">
        <f t="shared" si="1852"/>
        <v>5000</v>
      </c>
      <c r="FN49" s="642">
        <f t="shared" si="1852"/>
        <v>5000</v>
      </c>
      <c r="FO49" s="642">
        <f t="shared" si="1852"/>
        <v>5000</v>
      </c>
      <c r="FP49" s="642">
        <f t="shared" si="1852"/>
        <v>5000</v>
      </c>
      <c r="FQ49" s="642">
        <f t="shared" si="1852"/>
        <v>5000</v>
      </c>
      <c r="FR49" s="642">
        <f t="shared" si="1852"/>
        <v>5000</v>
      </c>
      <c r="FS49" s="642">
        <f t="shared" si="1852"/>
        <v>5000</v>
      </c>
      <c r="FT49" s="642">
        <f t="shared" si="1852"/>
        <v>5000</v>
      </c>
      <c r="FU49" s="642">
        <f t="shared" si="1852"/>
        <v>5000</v>
      </c>
      <c r="FV49" s="642">
        <f t="shared" si="1852"/>
        <v>5000</v>
      </c>
      <c r="FW49" s="642">
        <f t="shared" si="1852"/>
        <v>5000</v>
      </c>
      <c r="FX49" s="642">
        <f t="shared" si="1852"/>
        <v>5000</v>
      </c>
      <c r="FY49" s="642">
        <f t="shared" si="1852"/>
        <v>5000</v>
      </c>
      <c r="FZ49" s="642">
        <f t="shared" si="1852"/>
        <v>5000</v>
      </c>
      <c r="GA49" s="642">
        <f t="shared" si="1852"/>
        <v>5000</v>
      </c>
      <c r="GB49" s="642">
        <f t="shared" si="1852"/>
        <v>5000</v>
      </c>
      <c r="GC49" s="642">
        <f t="shared" si="1852"/>
        <v>5000</v>
      </c>
      <c r="GD49" s="642">
        <f t="shared" si="1852"/>
        <v>5000</v>
      </c>
      <c r="GE49" s="642">
        <f t="shared" si="1852"/>
        <v>5000</v>
      </c>
      <c r="GF49" s="642">
        <f t="shared" si="1852"/>
        <v>5000</v>
      </c>
      <c r="GG49" s="642">
        <f t="shared" si="1852"/>
        <v>5000</v>
      </c>
      <c r="GH49" s="642">
        <f t="shared" si="1852"/>
        <v>5000</v>
      </c>
      <c r="GI49" s="642">
        <f t="shared" si="1852"/>
        <v>5000</v>
      </c>
      <c r="GJ49" s="642">
        <f t="shared" si="1852"/>
        <v>5000</v>
      </c>
    </row>
    <row r="50" spans="2:192" s="645" customFormat="1">
      <c r="B50" s="654"/>
      <c r="C50" s="643" t="s">
        <v>1266</v>
      </c>
      <c r="D50" s="769" t="s">
        <v>1466</v>
      </c>
      <c r="E50" s="774"/>
      <c r="F50" s="707"/>
      <c r="G50" s="644">
        <f xml:space="preserve">
MIN(G51,
IF((VLOOKUP($C50,$C$3:$D$15,2,FALSE)*G$21-G52)&lt;0,0,VLOOKUP($C50,$C$3:$D$15,2,FALSE)*G$21-G52))</f>
        <v>0</v>
      </c>
      <c r="H50" s="644">
        <f t="shared" ref="H50" si="1853" xml:space="preserve">
IF(G52&gt;=VLOOKUP($C50,$C$3:$D$15,2,FALSE)*H$21,0,
IF(AND(G52&lt;VLOOKUP($C50,$C$3:$D$15,2,FALSE)*H$21,H51&lt;=VLOOKUP($C50,$C$3:$D$15,2,FALSE)*H$21),IF(H51-G52&lt;0,0,H51-G52),
IF(AND(G52&lt;VLOOKUP($C50,$C$3:$D$15,2,FALSE)*H$21,H51&gt;VLOOKUP($C50,$C$3:$D$15,2,FALSE)*H$21),VLOOKUP($C50,$C$3:$D$15,2,FALSE)*H$21-G52)))</f>
        <v>0</v>
      </c>
      <c r="I50" s="644">
        <f t="shared" ref="I50" si="1854" xml:space="preserve">
IF(H52&gt;=VLOOKUP($C50,$C$3:$D$15,2,FALSE)*I$21,0,
IF(AND(H52&lt;VLOOKUP($C50,$C$3:$D$15,2,FALSE)*I$21,I51&lt;=VLOOKUP($C50,$C$3:$D$15,2,FALSE)*I$21),IF(I51-H52&lt;0,0,I51-H52),
IF(AND(H52&lt;VLOOKUP($C50,$C$3:$D$15,2,FALSE)*I$21,I51&gt;VLOOKUP($C50,$C$3:$D$15,2,FALSE)*I$21),VLOOKUP($C50,$C$3:$D$15,2,FALSE)*I$21-H52)))</f>
        <v>0</v>
      </c>
      <c r="J50" s="644">
        <f t="shared" ref="J50" si="1855" xml:space="preserve">
IF(I52&gt;=VLOOKUP($C50,$C$3:$D$15,2,FALSE)*J$21,0,
IF(AND(I52&lt;VLOOKUP($C50,$C$3:$D$15,2,FALSE)*J$21,J51&lt;=VLOOKUP($C50,$C$3:$D$15,2,FALSE)*J$21),IF(J51-I52&lt;0,0,J51-I52),
IF(AND(I52&lt;VLOOKUP($C50,$C$3:$D$15,2,FALSE)*J$21,J51&gt;VLOOKUP($C50,$C$3:$D$15,2,FALSE)*J$21),VLOOKUP($C50,$C$3:$D$15,2,FALSE)*J$21-I52)))</f>
        <v>0</v>
      </c>
      <c r="K50" s="644">
        <f t="shared" ref="K50" si="1856" xml:space="preserve">
IF(J52&gt;=VLOOKUP($C50,$C$3:$D$15,2,FALSE)*K$21,0,
IF(AND(J52&lt;VLOOKUP($C50,$C$3:$D$15,2,FALSE)*K$21,K51&lt;=VLOOKUP($C50,$C$3:$D$15,2,FALSE)*K$21),IF(K51-J52&lt;0,0,K51-J52),
IF(AND(J52&lt;VLOOKUP($C50,$C$3:$D$15,2,FALSE)*K$21,K51&gt;VLOOKUP($C50,$C$3:$D$15,2,FALSE)*K$21),VLOOKUP($C50,$C$3:$D$15,2,FALSE)*K$21-J52)))</f>
        <v>0</v>
      </c>
      <c r="L50" s="644">
        <f t="shared" ref="L50" si="1857" xml:space="preserve">
IF(K52&gt;=VLOOKUP($C50,$C$3:$D$15,2,FALSE)*L$21,0,
IF(AND(K52&lt;VLOOKUP($C50,$C$3:$D$15,2,FALSE)*L$21,L51&lt;=VLOOKUP($C50,$C$3:$D$15,2,FALSE)*L$21),IF(L51-K52&lt;0,0,L51-K52),
IF(AND(K52&lt;VLOOKUP($C50,$C$3:$D$15,2,FALSE)*L$21,L51&gt;VLOOKUP($C50,$C$3:$D$15,2,FALSE)*L$21),VLOOKUP($C50,$C$3:$D$15,2,FALSE)*L$21-K52)))</f>
        <v>0</v>
      </c>
      <c r="M50" s="644">
        <f t="shared" ref="M50" si="1858" xml:space="preserve">
IF(L52&gt;=VLOOKUP($C50,$C$3:$D$15,2,FALSE)*M$21,0,
IF(AND(L52&lt;VLOOKUP($C50,$C$3:$D$15,2,FALSE)*M$21,M51&lt;=VLOOKUP($C50,$C$3:$D$15,2,FALSE)*M$21),IF(M51-L52&lt;0,0,M51-L52),
IF(AND(L52&lt;VLOOKUP($C50,$C$3:$D$15,2,FALSE)*M$21,M51&gt;VLOOKUP($C50,$C$3:$D$15,2,FALSE)*M$21),VLOOKUP($C50,$C$3:$D$15,2,FALSE)*M$21-L52)))</f>
        <v>0</v>
      </c>
      <c r="N50" s="644">
        <f t="shared" ref="N50" si="1859" xml:space="preserve">
IF(M52&gt;=VLOOKUP($C50,$C$3:$D$15,2,FALSE)*N$21,0,
IF(AND(M52&lt;VLOOKUP($C50,$C$3:$D$15,2,FALSE)*N$21,N51&lt;=VLOOKUP($C50,$C$3:$D$15,2,FALSE)*N$21),IF(N51-M52&lt;0,0,N51-M52),
IF(AND(M52&lt;VLOOKUP($C50,$C$3:$D$15,2,FALSE)*N$21,N51&gt;VLOOKUP($C50,$C$3:$D$15,2,FALSE)*N$21),VLOOKUP($C50,$C$3:$D$15,2,FALSE)*N$21-M52)))</f>
        <v>0</v>
      </c>
      <c r="O50" s="644">
        <f t="shared" ref="O50" si="1860" xml:space="preserve">
IF(N52&gt;=VLOOKUP($C50,$C$3:$D$15,2,FALSE)*O$21,0,
IF(AND(N52&lt;VLOOKUP($C50,$C$3:$D$15,2,FALSE)*O$21,O51&lt;=VLOOKUP($C50,$C$3:$D$15,2,FALSE)*O$21),IF(O51-N52&lt;0,0,O51-N52),
IF(AND(N52&lt;VLOOKUP($C50,$C$3:$D$15,2,FALSE)*O$21,O51&gt;VLOOKUP($C50,$C$3:$D$15,2,FALSE)*O$21),VLOOKUP($C50,$C$3:$D$15,2,FALSE)*O$21-N52)))</f>
        <v>0</v>
      </c>
      <c r="P50" s="644">
        <f t="shared" ref="P50" si="1861" xml:space="preserve">
IF(O52&gt;=VLOOKUP($C50,$C$3:$D$15,2,FALSE)*P$21,0,
IF(AND(O52&lt;VLOOKUP($C50,$C$3:$D$15,2,FALSE)*P$21,P51&lt;=VLOOKUP($C50,$C$3:$D$15,2,FALSE)*P$21),IF(P51-O52&lt;0,0,P51-O52),
IF(AND(O52&lt;VLOOKUP($C50,$C$3:$D$15,2,FALSE)*P$21,P51&gt;VLOOKUP($C50,$C$3:$D$15,2,FALSE)*P$21),VLOOKUP($C50,$C$3:$D$15,2,FALSE)*P$21-O52)))</f>
        <v>0</v>
      </c>
      <c r="Q50" s="644">
        <f t="shared" ref="Q50" si="1862" xml:space="preserve">
IF(P52&gt;=VLOOKUP($C50,$C$3:$D$15,2,FALSE)*Q$21,0,
IF(AND(P52&lt;VLOOKUP($C50,$C$3:$D$15,2,FALSE)*Q$21,Q51&lt;=VLOOKUP($C50,$C$3:$D$15,2,FALSE)*Q$21),IF(Q51-P52&lt;0,0,Q51-P52),
IF(AND(P52&lt;VLOOKUP($C50,$C$3:$D$15,2,FALSE)*Q$21,Q51&gt;VLOOKUP($C50,$C$3:$D$15,2,FALSE)*Q$21),VLOOKUP($C50,$C$3:$D$15,2,FALSE)*Q$21-P52)))</f>
        <v>0</v>
      </c>
      <c r="R50" s="644">
        <f t="shared" ref="R50" si="1863" xml:space="preserve">
IF(Q52&gt;=VLOOKUP($C50,$C$3:$D$15,2,FALSE)*R$21,0,
IF(AND(Q52&lt;VLOOKUP($C50,$C$3:$D$15,2,FALSE)*R$21,R51&lt;=VLOOKUP($C50,$C$3:$D$15,2,FALSE)*R$21),IF(R51-Q52&lt;0,0,R51-Q52),
IF(AND(Q52&lt;VLOOKUP($C50,$C$3:$D$15,2,FALSE)*R$21,R51&gt;VLOOKUP($C50,$C$3:$D$15,2,FALSE)*R$21),VLOOKUP($C50,$C$3:$D$15,2,FALSE)*R$21-Q52)))</f>
        <v>0</v>
      </c>
      <c r="S50" s="644">
        <f t="shared" ref="S50" si="1864" xml:space="preserve">
IF(R52&gt;=VLOOKUP($C50,$C$3:$D$15,2,FALSE)*S$21,0,
IF(AND(R52&lt;VLOOKUP($C50,$C$3:$D$15,2,FALSE)*S$21,S51&lt;=VLOOKUP($C50,$C$3:$D$15,2,FALSE)*S$21),IF(S51-R52&lt;0,0,S51-R52),
IF(AND(R52&lt;VLOOKUP($C50,$C$3:$D$15,2,FALSE)*S$21,S51&gt;VLOOKUP($C50,$C$3:$D$15,2,FALSE)*S$21),VLOOKUP($C50,$C$3:$D$15,2,FALSE)*S$21-R52)))</f>
        <v>0</v>
      </c>
      <c r="T50" s="644">
        <f t="shared" ref="T50" si="1865" xml:space="preserve">
IF(S52&gt;=VLOOKUP($C50,$C$3:$D$15,2,FALSE)*T$21,0,
IF(AND(S52&lt;VLOOKUP($C50,$C$3:$D$15,2,FALSE)*T$21,T51&lt;=VLOOKUP($C50,$C$3:$D$15,2,FALSE)*T$21),IF(T51-S52&lt;0,0,T51-S52),
IF(AND(S52&lt;VLOOKUP($C50,$C$3:$D$15,2,FALSE)*T$21,T51&gt;VLOOKUP($C50,$C$3:$D$15,2,FALSE)*T$21),VLOOKUP($C50,$C$3:$D$15,2,FALSE)*T$21-S52)))</f>
        <v>0</v>
      </c>
      <c r="U50" s="644">
        <f t="shared" ref="U50" si="1866" xml:space="preserve">
IF(T52&gt;=VLOOKUP($C50,$C$3:$D$15,2,FALSE)*U$21,0,
IF(AND(T52&lt;VLOOKUP($C50,$C$3:$D$15,2,FALSE)*U$21,U51&lt;=VLOOKUP($C50,$C$3:$D$15,2,FALSE)*U$21),IF(U51-T52&lt;0,0,U51-T52),
IF(AND(T52&lt;VLOOKUP($C50,$C$3:$D$15,2,FALSE)*U$21,U51&gt;VLOOKUP($C50,$C$3:$D$15,2,FALSE)*U$21),VLOOKUP($C50,$C$3:$D$15,2,FALSE)*U$21-T52)))</f>
        <v>0</v>
      </c>
      <c r="V50" s="644">
        <f t="shared" ref="V50" si="1867" xml:space="preserve">
IF(U52&gt;=VLOOKUP($C50,$C$3:$D$15,2,FALSE)*V$21,0,
IF(AND(U52&lt;VLOOKUP($C50,$C$3:$D$15,2,FALSE)*V$21,V51&lt;=VLOOKUP($C50,$C$3:$D$15,2,FALSE)*V$21),IF(V51-U52&lt;0,0,V51-U52),
IF(AND(U52&lt;VLOOKUP($C50,$C$3:$D$15,2,FALSE)*V$21,V51&gt;VLOOKUP($C50,$C$3:$D$15,2,FALSE)*V$21),VLOOKUP($C50,$C$3:$D$15,2,FALSE)*V$21-U52)))</f>
        <v>0</v>
      </c>
      <c r="W50" s="644">
        <f t="shared" ref="W50" si="1868" xml:space="preserve">
IF(V52&gt;=VLOOKUP($C50,$C$3:$D$15,2,FALSE)*W$21,0,
IF(AND(V52&lt;VLOOKUP($C50,$C$3:$D$15,2,FALSE)*W$21,W51&lt;=VLOOKUP($C50,$C$3:$D$15,2,FALSE)*W$21),IF(W51-V52&lt;0,0,W51-V52),
IF(AND(V52&lt;VLOOKUP($C50,$C$3:$D$15,2,FALSE)*W$21,W51&gt;VLOOKUP($C50,$C$3:$D$15,2,FALSE)*W$21),VLOOKUP($C50,$C$3:$D$15,2,FALSE)*W$21-V52)))</f>
        <v>0</v>
      </c>
      <c r="X50" s="644">
        <f t="shared" ref="X50" si="1869" xml:space="preserve">
IF(W52&gt;=VLOOKUP($C50,$C$3:$D$15,2,FALSE)*X$21,0,
IF(AND(W52&lt;VLOOKUP($C50,$C$3:$D$15,2,FALSE)*X$21,X51&lt;=VLOOKUP($C50,$C$3:$D$15,2,FALSE)*X$21),IF(X51-W52&lt;0,0,X51-W52),
IF(AND(W52&lt;VLOOKUP($C50,$C$3:$D$15,2,FALSE)*X$21,X51&gt;VLOOKUP($C50,$C$3:$D$15,2,FALSE)*X$21),VLOOKUP($C50,$C$3:$D$15,2,FALSE)*X$21-W52)))</f>
        <v>0</v>
      </c>
      <c r="Y50" s="644">
        <f t="shared" ref="Y50" si="1870" xml:space="preserve">
IF(X52&gt;=VLOOKUP($C50,$C$3:$D$15,2,FALSE)*Y$21,0,
IF(AND(X52&lt;VLOOKUP($C50,$C$3:$D$15,2,FALSE)*Y$21,Y51&lt;=VLOOKUP($C50,$C$3:$D$15,2,FALSE)*Y$21),IF(Y51-X52&lt;0,0,Y51-X52),
IF(AND(X52&lt;VLOOKUP($C50,$C$3:$D$15,2,FALSE)*Y$21,Y51&gt;VLOOKUP($C50,$C$3:$D$15,2,FALSE)*Y$21),VLOOKUP($C50,$C$3:$D$15,2,FALSE)*Y$21-X52)))</f>
        <v>0</v>
      </c>
      <c r="Z50" s="644">
        <f t="shared" ref="Z50" si="1871" xml:space="preserve">
IF(Y52&gt;=VLOOKUP($C50,$C$3:$D$15,2,FALSE)*Z$21,0,
IF(AND(Y52&lt;VLOOKUP($C50,$C$3:$D$15,2,FALSE)*Z$21,Z51&lt;=VLOOKUP($C50,$C$3:$D$15,2,FALSE)*Z$21),IF(Z51-Y52&lt;0,0,Z51-Y52),
IF(AND(Y52&lt;VLOOKUP($C50,$C$3:$D$15,2,FALSE)*Z$21,Z51&gt;VLOOKUP($C50,$C$3:$D$15,2,FALSE)*Z$21),VLOOKUP($C50,$C$3:$D$15,2,FALSE)*Z$21-Y52)))</f>
        <v>0</v>
      </c>
      <c r="AA50" s="644">
        <f t="shared" ref="AA50" si="1872" xml:space="preserve">
IF(Z52&gt;=VLOOKUP($C50,$C$3:$D$15,2,FALSE)*AA$21,0,
IF(AND(Z52&lt;VLOOKUP($C50,$C$3:$D$15,2,FALSE)*AA$21,AA51&lt;=VLOOKUP($C50,$C$3:$D$15,2,FALSE)*AA$21),IF(AA51-Z52&lt;0,0,AA51-Z52),
IF(AND(Z52&lt;VLOOKUP($C50,$C$3:$D$15,2,FALSE)*AA$21,AA51&gt;VLOOKUP($C50,$C$3:$D$15,2,FALSE)*AA$21),VLOOKUP($C50,$C$3:$D$15,2,FALSE)*AA$21-Z52)))</f>
        <v>0</v>
      </c>
      <c r="AB50" s="644">
        <f t="shared" ref="AB50" si="1873" xml:space="preserve">
IF(AA52&gt;=VLOOKUP($C50,$C$3:$D$15,2,FALSE)*AB$21,0,
IF(AND(AA52&lt;VLOOKUP($C50,$C$3:$D$15,2,FALSE)*AB$21,AB51&lt;=VLOOKUP($C50,$C$3:$D$15,2,FALSE)*AB$21),IF(AB51-AA52&lt;0,0,AB51-AA52),
IF(AND(AA52&lt;VLOOKUP($C50,$C$3:$D$15,2,FALSE)*AB$21,AB51&gt;VLOOKUP($C50,$C$3:$D$15,2,FALSE)*AB$21),VLOOKUP($C50,$C$3:$D$15,2,FALSE)*AB$21-AA52)))</f>
        <v>0</v>
      </c>
      <c r="AC50" s="644">
        <f t="shared" ref="AC50" si="1874" xml:space="preserve">
IF(AB52&gt;=VLOOKUP($C50,$C$3:$D$15,2,FALSE)*AC$21,0,
IF(AND(AB52&lt;VLOOKUP($C50,$C$3:$D$15,2,FALSE)*AC$21,AC51&lt;=VLOOKUP($C50,$C$3:$D$15,2,FALSE)*AC$21),IF(AC51-AB52&lt;0,0,AC51-AB52),
IF(AND(AB52&lt;VLOOKUP($C50,$C$3:$D$15,2,FALSE)*AC$21,AC51&gt;VLOOKUP($C50,$C$3:$D$15,2,FALSE)*AC$21),VLOOKUP($C50,$C$3:$D$15,2,FALSE)*AC$21-AB52)))</f>
        <v>0</v>
      </c>
      <c r="AD50" s="644">
        <f t="shared" ref="AD50" si="1875" xml:space="preserve">
IF(AC52&gt;=VLOOKUP($C50,$C$3:$D$15,2,FALSE)*AD$21,0,
IF(AND(AC52&lt;VLOOKUP($C50,$C$3:$D$15,2,FALSE)*AD$21,AD51&lt;=VLOOKUP($C50,$C$3:$D$15,2,FALSE)*AD$21),IF(AD51-AC52&lt;0,0,AD51-AC52),
IF(AND(AC52&lt;VLOOKUP($C50,$C$3:$D$15,2,FALSE)*AD$21,AD51&gt;VLOOKUP($C50,$C$3:$D$15,2,FALSE)*AD$21),VLOOKUP($C50,$C$3:$D$15,2,FALSE)*AD$21-AC52)))</f>
        <v>0</v>
      </c>
      <c r="AE50" s="644">
        <f t="shared" ref="AE50" si="1876" xml:space="preserve">
IF(AD52&gt;=VLOOKUP($C50,$C$3:$D$15,2,FALSE)*AE$21,0,
IF(AND(AD52&lt;VLOOKUP($C50,$C$3:$D$15,2,FALSE)*AE$21,AE51&lt;=VLOOKUP($C50,$C$3:$D$15,2,FALSE)*AE$21),IF(AE51-AD52&lt;0,0,AE51-AD52),
IF(AND(AD52&lt;VLOOKUP($C50,$C$3:$D$15,2,FALSE)*AE$21,AE51&gt;VLOOKUP($C50,$C$3:$D$15,2,FALSE)*AE$21),VLOOKUP($C50,$C$3:$D$15,2,FALSE)*AE$21-AD52)))</f>
        <v>0</v>
      </c>
      <c r="AF50" s="644">
        <f t="shared" ref="AF50" si="1877" xml:space="preserve">
IF(AE52&gt;=VLOOKUP($C50,$C$3:$D$15,2,FALSE)*AF$21,0,
IF(AND(AE52&lt;VLOOKUP($C50,$C$3:$D$15,2,FALSE)*AF$21,AF51&lt;=VLOOKUP($C50,$C$3:$D$15,2,FALSE)*AF$21),IF(AF51-AE52&lt;0,0,AF51-AE52),
IF(AND(AE52&lt;VLOOKUP($C50,$C$3:$D$15,2,FALSE)*AF$21,AF51&gt;VLOOKUP($C50,$C$3:$D$15,2,FALSE)*AF$21),VLOOKUP($C50,$C$3:$D$15,2,FALSE)*AF$21-AE52)))</f>
        <v>0</v>
      </c>
      <c r="AG50" s="644">
        <f t="shared" ref="AG50" si="1878" xml:space="preserve">
IF(AF52&gt;=VLOOKUP($C50,$C$3:$D$15,2,FALSE)*AG$21,0,
IF(AND(AF52&lt;VLOOKUP($C50,$C$3:$D$15,2,FALSE)*AG$21,AG51&lt;=VLOOKUP($C50,$C$3:$D$15,2,FALSE)*AG$21),IF(AG51-AF52&lt;0,0,AG51-AF52),
IF(AND(AF52&lt;VLOOKUP($C50,$C$3:$D$15,2,FALSE)*AG$21,AG51&gt;VLOOKUP($C50,$C$3:$D$15,2,FALSE)*AG$21),VLOOKUP($C50,$C$3:$D$15,2,FALSE)*AG$21-AF52)))</f>
        <v>0</v>
      </c>
      <c r="AH50" s="644">
        <f t="shared" ref="AH50" si="1879" xml:space="preserve">
IF(AG52&gt;=VLOOKUP($C50,$C$3:$D$15,2,FALSE)*AH$21,0,
IF(AND(AG52&lt;VLOOKUP($C50,$C$3:$D$15,2,FALSE)*AH$21,AH51&lt;=VLOOKUP($C50,$C$3:$D$15,2,FALSE)*AH$21),IF(AH51-AG52&lt;0,0,AH51-AG52),
IF(AND(AG52&lt;VLOOKUP($C50,$C$3:$D$15,2,FALSE)*AH$21,AH51&gt;VLOOKUP($C50,$C$3:$D$15,2,FALSE)*AH$21),VLOOKUP($C50,$C$3:$D$15,2,FALSE)*AH$21-AG52)))</f>
        <v>0</v>
      </c>
      <c r="AI50" s="644">
        <f t="shared" ref="AI50" si="1880" xml:space="preserve">
IF(AH52&gt;=VLOOKUP($C50,$C$3:$D$15,2,FALSE)*AI$21,0,
IF(AND(AH52&lt;VLOOKUP($C50,$C$3:$D$15,2,FALSE)*AI$21,AI51&lt;=VLOOKUP($C50,$C$3:$D$15,2,FALSE)*AI$21),IF(AI51-AH52&lt;0,0,AI51-AH52),
IF(AND(AH52&lt;VLOOKUP($C50,$C$3:$D$15,2,FALSE)*AI$21,AI51&gt;VLOOKUP($C50,$C$3:$D$15,2,FALSE)*AI$21),VLOOKUP($C50,$C$3:$D$15,2,FALSE)*AI$21-AH52)))</f>
        <v>0</v>
      </c>
      <c r="AJ50" s="644">
        <f t="shared" ref="AJ50" si="1881" xml:space="preserve">
IF(AI52&gt;=VLOOKUP($C50,$C$3:$D$15,2,FALSE)*AJ$21,0,
IF(AND(AI52&lt;VLOOKUP($C50,$C$3:$D$15,2,FALSE)*AJ$21,AJ51&lt;=VLOOKUP($C50,$C$3:$D$15,2,FALSE)*AJ$21),IF(AJ51-AI52&lt;0,0,AJ51-AI52),
IF(AND(AI52&lt;VLOOKUP($C50,$C$3:$D$15,2,FALSE)*AJ$21,AJ51&gt;VLOOKUP($C50,$C$3:$D$15,2,FALSE)*AJ$21),VLOOKUP($C50,$C$3:$D$15,2,FALSE)*AJ$21-AI52)))</f>
        <v>0</v>
      </c>
      <c r="AK50" s="644">
        <f t="shared" ref="AK50" si="1882" xml:space="preserve">
IF(AJ52&gt;=VLOOKUP($C50,$C$3:$D$15,2,FALSE)*AK$21,0,
IF(AND(AJ52&lt;VLOOKUP($C50,$C$3:$D$15,2,FALSE)*AK$21,AK51&lt;=VLOOKUP($C50,$C$3:$D$15,2,FALSE)*AK$21),IF(AK51-AJ52&lt;0,0,AK51-AJ52),
IF(AND(AJ52&lt;VLOOKUP($C50,$C$3:$D$15,2,FALSE)*AK$21,AK51&gt;VLOOKUP($C50,$C$3:$D$15,2,FALSE)*AK$21),VLOOKUP($C50,$C$3:$D$15,2,FALSE)*AK$21-AJ52)))</f>
        <v>0</v>
      </c>
      <c r="AL50" s="644">
        <f t="shared" ref="AL50" si="1883" xml:space="preserve">
IF(AK52&gt;=VLOOKUP($C50,$C$3:$D$15,2,FALSE)*AL$21,0,
IF(AND(AK52&lt;VLOOKUP($C50,$C$3:$D$15,2,FALSE)*AL$21,AL51&lt;=VLOOKUP($C50,$C$3:$D$15,2,FALSE)*AL$21),IF(AL51-AK52&lt;0,0,AL51-AK52),
IF(AND(AK52&lt;VLOOKUP($C50,$C$3:$D$15,2,FALSE)*AL$21,AL51&gt;VLOOKUP($C50,$C$3:$D$15,2,FALSE)*AL$21),VLOOKUP($C50,$C$3:$D$15,2,FALSE)*AL$21-AK52)))</f>
        <v>0</v>
      </c>
      <c r="AM50" s="644">
        <f t="shared" ref="AM50" si="1884" xml:space="preserve">
IF(AL52&gt;=VLOOKUP($C50,$C$3:$D$15,2,FALSE)*AM$21,0,
IF(AND(AL52&lt;VLOOKUP($C50,$C$3:$D$15,2,FALSE)*AM$21,AM51&lt;=VLOOKUP($C50,$C$3:$D$15,2,FALSE)*AM$21),IF(AM51-AL52&lt;0,0,AM51-AL52),
IF(AND(AL52&lt;VLOOKUP($C50,$C$3:$D$15,2,FALSE)*AM$21,AM51&gt;VLOOKUP($C50,$C$3:$D$15,2,FALSE)*AM$21),VLOOKUP($C50,$C$3:$D$15,2,FALSE)*AM$21-AL52)))</f>
        <v>0</v>
      </c>
      <c r="AN50" s="644">
        <f t="shared" ref="AN50" si="1885" xml:space="preserve">
IF(AM52&gt;=VLOOKUP($C50,$C$3:$D$15,2,FALSE)*AN$21,0,
IF(AND(AM52&lt;VLOOKUP($C50,$C$3:$D$15,2,FALSE)*AN$21,AN51&lt;=VLOOKUP($C50,$C$3:$D$15,2,FALSE)*AN$21),IF(AN51-AM52&lt;0,0,AN51-AM52),
IF(AND(AM52&lt;VLOOKUP($C50,$C$3:$D$15,2,FALSE)*AN$21,AN51&gt;VLOOKUP($C50,$C$3:$D$15,2,FALSE)*AN$21),VLOOKUP($C50,$C$3:$D$15,2,FALSE)*AN$21-AM52)))</f>
        <v>0</v>
      </c>
      <c r="AO50" s="644">
        <f t="shared" ref="AO50" si="1886" xml:space="preserve">
IF(AN52&gt;=VLOOKUP($C50,$C$3:$D$15,2,FALSE)*AO$21,0,
IF(AND(AN52&lt;VLOOKUP($C50,$C$3:$D$15,2,FALSE)*AO$21,AO51&lt;=VLOOKUP($C50,$C$3:$D$15,2,FALSE)*AO$21),IF(AO51-AN52&lt;0,0,AO51-AN52),
IF(AND(AN52&lt;VLOOKUP($C50,$C$3:$D$15,2,FALSE)*AO$21,AO51&gt;VLOOKUP($C50,$C$3:$D$15,2,FALSE)*AO$21),VLOOKUP($C50,$C$3:$D$15,2,FALSE)*AO$21-AN52)))</f>
        <v>0</v>
      </c>
      <c r="AP50" s="644">
        <f t="shared" ref="AP50" si="1887" xml:space="preserve">
IF(AO52&gt;=VLOOKUP($C50,$C$3:$D$15,2,FALSE)*AP$21,0,
IF(AND(AO52&lt;VLOOKUP($C50,$C$3:$D$15,2,FALSE)*AP$21,AP51&lt;=VLOOKUP($C50,$C$3:$D$15,2,FALSE)*AP$21),IF(AP51-AO52&lt;0,0,AP51-AO52),
IF(AND(AO52&lt;VLOOKUP($C50,$C$3:$D$15,2,FALSE)*AP$21,AP51&gt;VLOOKUP($C50,$C$3:$D$15,2,FALSE)*AP$21),VLOOKUP($C50,$C$3:$D$15,2,FALSE)*AP$21-AO52)))</f>
        <v>0</v>
      </c>
      <c r="AQ50" s="644">
        <f t="shared" ref="AQ50" si="1888" xml:space="preserve">
IF(AP52&gt;=VLOOKUP($C50,$C$3:$D$15,2,FALSE)*AQ$21,0,
IF(AND(AP52&lt;VLOOKUP($C50,$C$3:$D$15,2,FALSE)*AQ$21,AQ51&lt;=VLOOKUP($C50,$C$3:$D$15,2,FALSE)*AQ$21),IF(AQ51-AP52&lt;0,0,AQ51-AP52),
IF(AND(AP52&lt;VLOOKUP($C50,$C$3:$D$15,2,FALSE)*AQ$21,AQ51&gt;VLOOKUP($C50,$C$3:$D$15,2,FALSE)*AQ$21),VLOOKUP($C50,$C$3:$D$15,2,FALSE)*AQ$21-AP52)))</f>
        <v>0</v>
      </c>
      <c r="AR50" s="644">
        <f t="shared" ref="AR50" si="1889" xml:space="preserve">
IF(AQ52&gt;=VLOOKUP($C50,$C$3:$D$15,2,FALSE)*AR$21,0,
IF(AND(AQ52&lt;VLOOKUP($C50,$C$3:$D$15,2,FALSE)*AR$21,AR51&lt;=VLOOKUP($C50,$C$3:$D$15,2,FALSE)*AR$21),IF(AR51-AQ52&lt;0,0,AR51-AQ52),
IF(AND(AQ52&lt;VLOOKUP($C50,$C$3:$D$15,2,FALSE)*AR$21,AR51&gt;VLOOKUP($C50,$C$3:$D$15,2,FALSE)*AR$21),VLOOKUP($C50,$C$3:$D$15,2,FALSE)*AR$21-AQ52)))</f>
        <v>0</v>
      </c>
      <c r="AS50" s="644">
        <f t="shared" ref="AS50" si="1890" xml:space="preserve">
IF(AR52&gt;=VLOOKUP($C50,$C$3:$D$15,2,FALSE)*AS$21,0,
IF(AND(AR52&lt;VLOOKUP($C50,$C$3:$D$15,2,FALSE)*AS$21,AS51&lt;=VLOOKUP($C50,$C$3:$D$15,2,FALSE)*AS$21),IF(AS51-AR52&lt;0,0,AS51-AR52),
IF(AND(AR52&lt;VLOOKUP($C50,$C$3:$D$15,2,FALSE)*AS$21,AS51&gt;VLOOKUP($C50,$C$3:$D$15,2,FALSE)*AS$21),VLOOKUP($C50,$C$3:$D$15,2,FALSE)*AS$21-AR52)))</f>
        <v>0</v>
      </c>
      <c r="AT50" s="644">
        <f t="shared" ref="AT50" si="1891" xml:space="preserve">
IF(AS52&gt;=VLOOKUP($C50,$C$3:$D$15,2,FALSE)*AT$21,0,
IF(AND(AS52&lt;VLOOKUP($C50,$C$3:$D$15,2,FALSE)*AT$21,AT51&lt;=VLOOKUP($C50,$C$3:$D$15,2,FALSE)*AT$21),IF(AT51-AS52&lt;0,0,AT51-AS52),
IF(AND(AS52&lt;VLOOKUP($C50,$C$3:$D$15,2,FALSE)*AT$21,AT51&gt;VLOOKUP($C50,$C$3:$D$15,2,FALSE)*AT$21),VLOOKUP($C50,$C$3:$D$15,2,FALSE)*AT$21-AS52)))</f>
        <v>0</v>
      </c>
      <c r="AU50" s="644">
        <f t="shared" ref="AU50" si="1892" xml:space="preserve">
IF(AT52&gt;=VLOOKUP($C50,$C$3:$D$15,2,FALSE)*AU$21,0,
IF(AND(AT52&lt;VLOOKUP($C50,$C$3:$D$15,2,FALSE)*AU$21,AU51&lt;=VLOOKUP($C50,$C$3:$D$15,2,FALSE)*AU$21),IF(AU51-AT52&lt;0,0,AU51-AT52),
IF(AND(AT52&lt;VLOOKUP($C50,$C$3:$D$15,2,FALSE)*AU$21,AU51&gt;VLOOKUP($C50,$C$3:$D$15,2,FALSE)*AU$21),VLOOKUP($C50,$C$3:$D$15,2,FALSE)*AU$21-AT52)))</f>
        <v>0</v>
      </c>
      <c r="AV50" s="644">
        <f t="shared" ref="AV50" si="1893" xml:space="preserve">
IF(AU52&gt;=VLOOKUP($C50,$C$3:$D$15,2,FALSE)*AV$21,0,
IF(AND(AU52&lt;VLOOKUP($C50,$C$3:$D$15,2,FALSE)*AV$21,AV51&lt;=VLOOKUP($C50,$C$3:$D$15,2,FALSE)*AV$21),IF(AV51-AU52&lt;0,0,AV51-AU52),
IF(AND(AU52&lt;VLOOKUP($C50,$C$3:$D$15,2,FALSE)*AV$21,AV51&gt;VLOOKUP($C50,$C$3:$D$15,2,FALSE)*AV$21),VLOOKUP($C50,$C$3:$D$15,2,FALSE)*AV$21-AU52)))</f>
        <v>0</v>
      </c>
      <c r="AW50" s="644">
        <f t="shared" ref="AW50" si="1894" xml:space="preserve">
IF(AV52&gt;=VLOOKUP($C50,$C$3:$D$15,2,FALSE)*AW$21,0,
IF(AND(AV52&lt;VLOOKUP($C50,$C$3:$D$15,2,FALSE)*AW$21,AW51&lt;=VLOOKUP($C50,$C$3:$D$15,2,FALSE)*AW$21),IF(AW51-AV52&lt;0,0,AW51-AV52),
IF(AND(AV52&lt;VLOOKUP($C50,$C$3:$D$15,2,FALSE)*AW$21,AW51&gt;VLOOKUP($C50,$C$3:$D$15,2,FALSE)*AW$21),VLOOKUP($C50,$C$3:$D$15,2,FALSE)*AW$21-AV52)))</f>
        <v>0</v>
      </c>
      <c r="AX50" s="644">
        <f t="shared" ref="AX50" si="1895" xml:space="preserve">
IF(AW52&gt;=VLOOKUP($C50,$C$3:$D$15,2,FALSE)*AX$21,0,
IF(AND(AW52&lt;VLOOKUP($C50,$C$3:$D$15,2,FALSE)*AX$21,AX51&lt;=VLOOKUP($C50,$C$3:$D$15,2,FALSE)*AX$21),IF(AX51-AW52&lt;0,0,AX51-AW52),
IF(AND(AW52&lt;VLOOKUP($C50,$C$3:$D$15,2,FALSE)*AX$21,AX51&gt;VLOOKUP($C50,$C$3:$D$15,2,FALSE)*AX$21),VLOOKUP($C50,$C$3:$D$15,2,FALSE)*AX$21-AW52)))</f>
        <v>0</v>
      </c>
      <c r="AY50" s="644">
        <f t="shared" ref="AY50" si="1896" xml:space="preserve">
IF(AX52&gt;=VLOOKUP($C50,$C$3:$D$15,2,FALSE)*AY$21,0,
IF(AND(AX52&lt;VLOOKUP($C50,$C$3:$D$15,2,FALSE)*AY$21,AY51&lt;=VLOOKUP($C50,$C$3:$D$15,2,FALSE)*AY$21),IF(AY51-AX52&lt;0,0,AY51-AX52),
IF(AND(AX52&lt;VLOOKUP($C50,$C$3:$D$15,2,FALSE)*AY$21,AY51&gt;VLOOKUP($C50,$C$3:$D$15,2,FALSE)*AY$21),VLOOKUP($C50,$C$3:$D$15,2,FALSE)*AY$21-AX52)))</f>
        <v>0</v>
      </c>
      <c r="AZ50" s="644">
        <f t="shared" ref="AZ50" si="1897" xml:space="preserve">
IF(AY52&gt;=VLOOKUP($C50,$C$3:$D$15,2,FALSE)*AZ$21,0,
IF(AND(AY52&lt;VLOOKUP($C50,$C$3:$D$15,2,FALSE)*AZ$21,AZ51&lt;=VLOOKUP($C50,$C$3:$D$15,2,FALSE)*AZ$21),IF(AZ51-AY52&lt;0,0,AZ51-AY52),
IF(AND(AY52&lt;VLOOKUP($C50,$C$3:$D$15,2,FALSE)*AZ$21,AZ51&gt;VLOOKUP($C50,$C$3:$D$15,2,FALSE)*AZ$21),VLOOKUP($C50,$C$3:$D$15,2,FALSE)*AZ$21-AY52)))</f>
        <v>0</v>
      </c>
      <c r="BA50" s="644">
        <f t="shared" ref="BA50" si="1898" xml:space="preserve">
IF(AZ52&gt;=VLOOKUP($C50,$C$3:$D$15,2,FALSE)*BA$21,0,
IF(AND(AZ52&lt;VLOOKUP($C50,$C$3:$D$15,2,FALSE)*BA$21,BA51&lt;=VLOOKUP($C50,$C$3:$D$15,2,FALSE)*BA$21),IF(BA51-AZ52&lt;0,0,BA51-AZ52),
IF(AND(AZ52&lt;VLOOKUP($C50,$C$3:$D$15,2,FALSE)*BA$21,BA51&gt;VLOOKUP($C50,$C$3:$D$15,2,FALSE)*BA$21),VLOOKUP($C50,$C$3:$D$15,2,FALSE)*BA$21-AZ52)))</f>
        <v>0</v>
      </c>
      <c r="BB50" s="644">
        <f t="shared" ref="BB50" si="1899" xml:space="preserve">
IF(BA52&gt;=VLOOKUP($C50,$C$3:$D$15,2,FALSE)*BB$21,0,
IF(AND(BA52&lt;VLOOKUP($C50,$C$3:$D$15,2,FALSE)*BB$21,BB51&lt;=VLOOKUP($C50,$C$3:$D$15,2,FALSE)*BB$21),IF(BB51-BA52&lt;0,0,BB51-BA52),
IF(AND(BA52&lt;VLOOKUP($C50,$C$3:$D$15,2,FALSE)*BB$21,BB51&gt;VLOOKUP($C50,$C$3:$D$15,2,FALSE)*BB$21),VLOOKUP($C50,$C$3:$D$15,2,FALSE)*BB$21-BA52)))</f>
        <v>0</v>
      </c>
      <c r="BC50" s="644">
        <f t="shared" ref="BC50" si="1900" xml:space="preserve">
IF(BB52&gt;=VLOOKUP($C50,$C$3:$D$15,2,FALSE)*BC$21,0,
IF(AND(BB52&lt;VLOOKUP($C50,$C$3:$D$15,2,FALSE)*BC$21,BC51&lt;=VLOOKUP($C50,$C$3:$D$15,2,FALSE)*BC$21),IF(BC51-BB52&lt;0,0,BC51-BB52),
IF(AND(BB52&lt;VLOOKUP($C50,$C$3:$D$15,2,FALSE)*BC$21,BC51&gt;VLOOKUP($C50,$C$3:$D$15,2,FALSE)*BC$21),VLOOKUP($C50,$C$3:$D$15,2,FALSE)*BC$21-BB52)))</f>
        <v>0</v>
      </c>
      <c r="BD50" s="644">
        <f t="shared" ref="BD50" si="1901" xml:space="preserve">
IF(BC52&gt;=VLOOKUP($C50,$C$3:$D$15,2,FALSE)*BD$21,0,
IF(AND(BC52&lt;VLOOKUP($C50,$C$3:$D$15,2,FALSE)*BD$21,BD51&lt;=VLOOKUP($C50,$C$3:$D$15,2,FALSE)*BD$21),IF(BD51-BC52&lt;0,0,BD51-BC52),
IF(AND(BC52&lt;VLOOKUP($C50,$C$3:$D$15,2,FALSE)*BD$21,BD51&gt;VLOOKUP($C50,$C$3:$D$15,2,FALSE)*BD$21),VLOOKUP($C50,$C$3:$D$15,2,FALSE)*BD$21-BC52)))</f>
        <v>0</v>
      </c>
      <c r="BE50" s="644">
        <f t="shared" ref="BE50" si="1902" xml:space="preserve">
IF(BD52&gt;=VLOOKUP($C50,$C$3:$D$15,2,FALSE)*BE$21,0,
IF(AND(BD52&lt;VLOOKUP($C50,$C$3:$D$15,2,FALSE)*BE$21,BE51&lt;=VLOOKUP($C50,$C$3:$D$15,2,FALSE)*BE$21),IF(BE51-BD52&lt;0,0,BE51-BD52),
IF(AND(BD52&lt;VLOOKUP($C50,$C$3:$D$15,2,FALSE)*BE$21,BE51&gt;VLOOKUP($C50,$C$3:$D$15,2,FALSE)*BE$21),VLOOKUP($C50,$C$3:$D$15,2,FALSE)*BE$21-BD52)))</f>
        <v>0</v>
      </c>
      <c r="BF50" s="644">
        <f t="shared" ref="BF50" si="1903" xml:space="preserve">
IF(BE52&gt;=VLOOKUP($C50,$C$3:$D$15,2,FALSE)*BF$21,0,
IF(AND(BE52&lt;VLOOKUP($C50,$C$3:$D$15,2,FALSE)*BF$21,BF51&lt;=VLOOKUP($C50,$C$3:$D$15,2,FALSE)*BF$21),IF(BF51-BE52&lt;0,0,BF51-BE52),
IF(AND(BE52&lt;VLOOKUP($C50,$C$3:$D$15,2,FALSE)*BF$21,BF51&gt;VLOOKUP($C50,$C$3:$D$15,2,FALSE)*BF$21),VLOOKUP($C50,$C$3:$D$15,2,FALSE)*BF$21-BE52)))</f>
        <v>0</v>
      </c>
      <c r="BG50" s="644">
        <f t="shared" ref="BG50" si="1904" xml:space="preserve">
IF(BF52&gt;=VLOOKUP($C50,$C$3:$D$15,2,FALSE)*BG$21,0,
IF(AND(BF52&lt;VLOOKUP($C50,$C$3:$D$15,2,FALSE)*BG$21,BG51&lt;=VLOOKUP($C50,$C$3:$D$15,2,FALSE)*BG$21),IF(BG51-BF52&lt;0,0,BG51-BF52),
IF(AND(BF52&lt;VLOOKUP($C50,$C$3:$D$15,2,FALSE)*BG$21,BG51&gt;VLOOKUP($C50,$C$3:$D$15,2,FALSE)*BG$21),VLOOKUP($C50,$C$3:$D$15,2,FALSE)*BG$21-BF52)))</f>
        <v>0</v>
      </c>
      <c r="BH50" s="644">
        <f t="shared" ref="BH50" si="1905" xml:space="preserve">
IF(BG52&gt;=VLOOKUP($C50,$C$3:$D$15,2,FALSE)*BH$21,0,
IF(AND(BG52&lt;VLOOKUP($C50,$C$3:$D$15,2,FALSE)*BH$21,BH51&lt;=VLOOKUP($C50,$C$3:$D$15,2,FALSE)*BH$21),IF(BH51-BG52&lt;0,0,BH51-BG52),
IF(AND(BG52&lt;VLOOKUP($C50,$C$3:$D$15,2,FALSE)*BH$21,BH51&gt;VLOOKUP($C50,$C$3:$D$15,2,FALSE)*BH$21),VLOOKUP($C50,$C$3:$D$15,2,FALSE)*BH$21-BG52)))</f>
        <v>0</v>
      </c>
      <c r="BI50" s="644">
        <f t="shared" ref="BI50" si="1906" xml:space="preserve">
IF(BH52&gt;=VLOOKUP($C50,$C$3:$D$15,2,FALSE)*BI$21,0,
IF(AND(BH52&lt;VLOOKUP($C50,$C$3:$D$15,2,FALSE)*BI$21,BI51&lt;=VLOOKUP($C50,$C$3:$D$15,2,FALSE)*BI$21),IF(BI51-BH52&lt;0,0,BI51-BH52),
IF(AND(BH52&lt;VLOOKUP($C50,$C$3:$D$15,2,FALSE)*BI$21,BI51&gt;VLOOKUP($C50,$C$3:$D$15,2,FALSE)*BI$21),VLOOKUP($C50,$C$3:$D$15,2,FALSE)*BI$21-BH52)))</f>
        <v>0</v>
      </c>
      <c r="BJ50" s="644">
        <f t="shared" ref="BJ50" si="1907" xml:space="preserve">
IF(BI52&gt;=VLOOKUP($C50,$C$3:$D$15,2,FALSE)*BJ$21,0,
IF(AND(BI52&lt;VLOOKUP($C50,$C$3:$D$15,2,FALSE)*BJ$21,BJ51&lt;=VLOOKUP($C50,$C$3:$D$15,2,FALSE)*BJ$21),IF(BJ51-BI52&lt;0,0,BJ51-BI52),
IF(AND(BI52&lt;VLOOKUP($C50,$C$3:$D$15,2,FALSE)*BJ$21,BJ51&gt;VLOOKUP($C50,$C$3:$D$15,2,FALSE)*BJ$21),VLOOKUP($C50,$C$3:$D$15,2,FALSE)*BJ$21-BI52)))</f>
        <v>0</v>
      </c>
      <c r="BK50" s="644">
        <f t="shared" ref="BK50" si="1908" xml:space="preserve">
IF(BJ52&gt;=VLOOKUP($C50,$C$3:$D$15,2,FALSE)*BK$21,0,
IF(AND(BJ52&lt;VLOOKUP($C50,$C$3:$D$15,2,FALSE)*BK$21,BK51&lt;=VLOOKUP($C50,$C$3:$D$15,2,FALSE)*BK$21),IF(BK51-BJ52&lt;0,0,BK51-BJ52),
IF(AND(BJ52&lt;VLOOKUP($C50,$C$3:$D$15,2,FALSE)*BK$21,BK51&gt;VLOOKUP($C50,$C$3:$D$15,2,FALSE)*BK$21),VLOOKUP($C50,$C$3:$D$15,2,FALSE)*BK$21-BJ52)))</f>
        <v>0</v>
      </c>
      <c r="BL50" s="644">
        <f t="shared" ref="BL50" si="1909" xml:space="preserve">
IF(BK52&gt;=VLOOKUP($C50,$C$3:$D$15,2,FALSE)*BL$21,0,
IF(AND(BK52&lt;VLOOKUP($C50,$C$3:$D$15,2,FALSE)*BL$21,BL51&lt;=VLOOKUP($C50,$C$3:$D$15,2,FALSE)*BL$21),IF(BL51-BK52&lt;0,0,BL51-BK52),
IF(AND(BK52&lt;VLOOKUP($C50,$C$3:$D$15,2,FALSE)*BL$21,BL51&gt;VLOOKUP($C50,$C$3:$D$15,2,FALSE)*BL$21),VLOOKUP($C50,$C$3:$D$15,2,FALSE)*BL$21-BK52)))</f>
        <v>0</v>
      </c>
      <c r="BM50" s="644">
        <f t="shared" ref="BM50" si="1910" xml:space="preserve">
IF(BL52&gt;=VLOOKUP($C50,$C$3:$D$15,2,FALSE)*BM$21,0,
IF(AND(BL52&lt;VLOOKUP($C50,$C$3:$D$15,2,FALSE)*BM$21,BM51&lt;=VLOOKUP($C50,$C$3:$D$15,2,FALSE)*BM$21),IF(BM51-BL52&lt;0,0,BM51-BL52),
IF(AND(BL52&lt;VLOOKUP($C50,$C$3:$D$15,2,FALSE)*BM$21,BM51&gt;VLOOKUP($C50,$C$3:$D$15,2,FALSE)*BM$21),VLOOKUP($C50,$C$3:$D$15,2,FALSE)*BM$21-BL52)))</f>
        <v>0</v>
      </c>
      <c r="BN50" s="644">
        <f t="shared" ref="BN50" si="1911" xml:space="preserve">
IF(BM52&gt;=VLOOKUP($C50,$C$3:$D$15,2,FALSE)*BN$21,0,
IF(AND(BM52&lt;VLOOKUP($C50,$C$3:$D$15,2,FALSE)*BN$21,BN51&lt;=VLOOKUP($C50,$C$3:$D$15,2,FALSE)*BN$21),IF(BN51-BM52&lt;0,0,BN51-BM52),
IF(AND(BM52&lt;VLOOKUP($C50,$C$3:$D$15,2,FALSE)*BN$21,BN51&gt;VLOOKUP($C50,$C$3:$D$15,2,FALSE)*BN$21),VLOOKUP($C50,$C$3:$D$15,2,FALSE)*BN$21-BM52)))</f>
        <v>0</v>
      </c>
      <c r="BO50" s="644">
        <f t="shared" ref="BO50" si="1912" xml:space="preserve">
IF(BN52&gt;=VLOOKUP($C50,$C$3:$D$15,2,FALSE)*BO$21,0,
IF(AND(BN52&lt;VLOOKUP($C50,$C$3:$D$15,2,FALSE)*BO$21,BO51&lt;=VLOOKUP($C50,$C$3:$D$15,2,FALSE)*BO$21),IF(BO51-BN52&lt;0,0,BO51-BN52),
IF(AND(BN52&lt;VLOOKUP($C50,$C$3:$D$15,2,FALSE)*BO$21,BO51&gt;VLOOKUP($C50,$C$3:$D$15,2,FALSE)*BO$21),VLOOKUP($C50,$C$3:$D$15,2,FALSE)*BO$21-BN52)))</f>
        <v>0</v>
      </c>
      <c r="BP50" s="644">
        <f t="shared" ref="BP50" si="1913" xml:space="preserve">
IF(BO52&gt;=VLOOKUP($C50,$C$3:$D$15,2,FALSE)*BP$21,0,
IF(AND(BO52&lt;VLOOKUP($C50,$C$3:$D$15,2,FALSE)*BP$21,BP51&lt;=VLOOKUP($C50,$C$3:$D$15,2,FALSE)*BP$21),IF(BP51-BO52&lt;0,0,BP51-BO52),
IF(AND(BO52&lt;VLOOKUP($C50,$C$3:$D$15,2,FALSE)*BP$21,BP51&gt;VLOOKUP($C50,$C$3:$D$15,2,FALSE)*BP$21),VLOOKUP($C50,$C$3:$D$15,2,FALSE)*BP$21-BO52)))</f>
        <v>0</v>
      </c>
      <c r="BQ50" s="644">
        <f t="shared" ref="BQ50" si="1914" xml:space="preserve">
IF(BP52&gt;=VLOOKUP($C50,$C$3:$D$15,2,FALSE)*BQ$21,0,
IF(AND(BP52&lt;VLOOKUP($C50,$C$3:$D$15,2,FALSE)*BQ$21,BQ51&lt;=VLOOKUP($C50,$C$3:$D$15,2,FALSE)*BQ$21),IF(BQ51-BP52&lt;0,0,BQ51-BP52),
IF(AND(BP52&lt;VLOOKUP($C50,$C$3:$D$15,2,FALSE)*BQ$21,BQ51&gt;VLOOKUP($C50,$C$3:$D$15,2,FALSE)*BQ$21),VLOOKUP($C50,$C$3:$D$15,2,FALSE)*BQ$21-BP52)))</f>
        <v>0</v>
      </c>
      <c r="BR50" s="644">
        <f t="shared" ref="BR50" si="1915" xml:space="preserve">
IF(BQ52&gt;=VLOOKUP($C50,$C$3:$D$15,2,FALSE)*BR$21,0,
IF(AND(BQ52&lt;VLOOKUP($C50,$C$3:$D$15,2,FALSE)*BR$21,BR51&lt;=VLOOKUP($C50,$C$3:$D$15,2,FALSE)*BR$21),IF(BR51-BQ52&lt;0,0,BR51-BQ52),
IF(AND(BQ52&lt;VLOOKUP($C50,$C$3:$D$15,2,FALSE)*BR$21,BR51&gt;VLOOKUP($C50,$C$3:$D$15,2,FALSE)*BR$21),VLOOKUP($C50,$C$3:$D$15,2,FALSE)*BR$21-BQ52)))</f>
        <v>0</v>
      </c>
      <c r="BS50" s="644">
        <f t="shared" ref="BS50" si="1916" xml:space="preserve">
IF(BR52&gt;=VLOOKUP($C50,$C$3:$D$15,2,FALSE)*BS$21,0,
IF(AND(BR52&lt;VLOOKUP($C50,$C$3:$D$15,2,FALSE)*BS$21,BS51&lt;=VLOOKUP($C50,$C$3:$D$15,2,FALSE)*BS$21),IF(BS51-BR52&lt;0,0,BS51-BR52),
IF(AND(BR52&lt;VLOOKUP($C50,$C$3:$D$15,2,FALSE)*BS$21,BS51&gt;VLOOKUP($C50,$C$3:$D$15,2,FALSE)*BS$21),VLOOKUP($C50,$C$3:$D$15,2,FALSE)*BS$21-BR52)))</f>
        <v>0</v>
      </c>
      <c r="BT50" s="644">
        <f t="shared" ref="BT50" si="1917" xml:space="preserve">
IF(BS52&gt;=VLOOKUP($C50,$C$3:$D$15,2,FALSE)*BT$21,0,
IF(AND(BS52&lt;VLOOKUP($C50,$C$3:$D$15,2,FALSE)*BT$21,BT51&lt;=VLOOKUP($C50,$C$3:$D$15,2,FALSE)*BT$21),IF(BT51-BS52&lt;0,0,BT51-BS52),
IF(AND(BS52&lt;VLOOKUP($C50,$C$3:$D$15,2,FALSE)*BT$21,BT51&gt;VLOOKUP($C50,$C$3:$D$15,2,FALSE)*BT$21),VLOOKUP($C50,$C$3:$D$15,2,FALSE)*BT$21-BS52)))</f>
        <v>0</v>
      </c>
      <c r="BU50" s="644">
        <f t="shared" ref="BU50" si="1918" xml:space="preserve">
IF(BT52&gt;=VLOOKUP($C50,$C$3:$D$15,2,FALSE)*BU$21,0,
IF(AND(BT52&lt;VLOOKUP($C50,$C$3:$D$15,2,FALSE)*BU$21,BU51&lt;=VLOOKUP($C50,$C$3:$D$15,2,FALSE)*BU$21),IF(BU51-BT52&lt;0,0,BU51-BT52),
IF(AND(BT52&lt;VLOOKUP($C50,$C$3:$D$15,2,FALSE)*BU$21,BU51&gt;VLOOKUP($C50,$C$3:$D$15,2,FALSE)*BU$21),VLOOKUP($C50,$C$3:$D$15,2,FALSE)*BU$21-BT52)))</f>
        <v>0</v>
      </c>
      <c r="BV50" s="644">
        <f t="shared" ref="BV50" si="1919" xml:space="preserve">
IF(BU52&gt;=VLOOKUP($C50,$C$3:$D$15,2,FALSE)*BV$21,0,
IF(AND(BU52&lt;VLOOKUP($C50,$C$3:$D$15,2,FALSE)*BV$21,BV51&lt;=VLOOKUP($C50,$C$3:$D$15,2,FALSE)*BV$21),IF(BV51-BU52&lt;0,0,BV51-BU52),
IF(AND(BU52&lt;VLOOKUP($C50,$C$3:$D$15,2,FALSE)*BV$21,BV51&gt;VLOOKUP($C50,$C$3:$D$15,2,FALSE)*BV$21),VLOOKUP($C50,$C$3:$D$15,2,FALSE)*BV$21-BU52)))</f>
        <v>0</v>
      </c>
      <c r="BW50" s="644">
        <f t="shared" ref="BW50" si="1920" xml:space="preserve">
IF(BV52&gt;=VLOOKUP($C50,$C$3:$D$15,2,FALSE)*BW$21,0,
IF(AND(BV52&lt;VLOOKUP($C50,$C$3:$D$15,2,FALSE)*BW$21,BW51&lt;=VLOOKUP($C50,$C$3:$D$15,2,FALSE)*BW$21),IF(BW51-BV52&lt;0,0,BW51-BV52),
IF(AND(BV52&lt;VLOOKUP($C50,$C$3:$D$15,2,FALSE)*BW$21,BW51&gt;VLOOKUP($C50,$C$3:$D$15,2,FALSE)*BW$21),VLOOKUP($C50,$C$3:$D$15,2,FALSE)*BW$21-BV52)))</f>
        <v>0</v>
      </c>
      <c r="BX50" s="644">
        <f t="shared" ref="BX50" si="1921" xml:space="preserve">
IF(BW52&gt;=VLOOKUP($C50,$C$3:$D$15,2,FALSE)*BX$21,0,
IF(AND(BW52&lt;VLOOKUP($C50,$C$3:$D$15,2,FALSE)*BX$21,BX51&lt;=VLOOKUP($C50,$C$3:$D$15,2,FALSE)*BX$21),IF(BX51-BW52&lt;0,0,BX51-BW52),
IF(AND(BW52&lt;VLOOKUP($C50,$C$3:$D$15,2,FALSE)*BX$21,BX51&gt;VLOOKUP($C50,$C$3:$D$15,2,FALSE)*BX$21),VLOOKUP($C50,$C$3:$D$15,2,FALSE)*BX$21-BW52)))</f>
        <v>0</v>
      </c>
      <c r="BY50" s="644">
        <f t="shared" ref="BY50" si="1922" xml:space="preserve">
IF(BX52&gt;=VLOOKUP($C50,$C$3:$D$15,2,FALSE)*BY$21,0,
IF(AND(BX52&lt;VLOOKUP($C50,$C$3:$D$15,2,FALSE)*BY$21,BY51&lt;=VLOOKUP($C50,$C$3:$D$15,2,FALSE)*BY$21),IF(BY51-BX52&lt;0,0,BY51-BX52),
IF(AND(BX52&lt;VLOOKUP($C50,$C$3:$D$15,2,FALSE)*BY$21,BY51&gt;VLOOKUP($C50,$C$3:$D$15,2,FALSE)*BY$21),VLOOKUP($C50,$C$3:$D$15,2,FALSE)*BY$21-BX52)))</f>
        <v>0</v>
      </c>
      <c r="BZ50" s="644">
        <f t="shared" ref="BZ50" si="1923" xml:space="preserve">
IF(BY52&gt;=VLOOKUP($C50,$C$3:$D$15,2,FALSE)*BZ$21,0,
IF(AND(BY52&lt;VLOOKUP($C50,$C$3:$D$15,2,FALSE)*BZ$21,BZ51&lt;=VLOOKUP($C50,$C$3:$D$15,2,FALSE)*BZ$21),IF(BZ51-BY52&lt;0,0,BZ51-BY52),
IF(AND(BY52&lt;VLOOKUP($C50,$C$3:$D$15,2,FALSE)*BZ$21,BZ51&gt;VLOOKUP($C50,$C$3:$D$15,2,FALSE)*BZ$21),VLOOKUP($C50,$C$3:$D$15,2,FALSE)*BZ$21-BY52)))</f>
        <v>0</v>
      </c>
      <c r="CA50" s="644">
        <f t="shared" ref="CA50" si="1924" xml:space="preserve">
IF(BZ52&gt;=VLOOKUP($C50,$C$3:$D$15,2,FALSE)*CA$21,0,
IF(AND(BZ52&lt;VLOOKUP($C50,$C$3:$D$15,2,FALSE)*CA$21,CA51&lt;=VLOOKUP($C50,$C$3:$D$15,2,FALSE)*CA$21),IF(CA51-BZ52&lt;0,0,CA51-BZ52),
IF(AND(BZ52&lt;VLOOKUP($C50,$C$3:$D$15,2,FALSE)*CA$21,CA51&gt;VLOOKUP($C50,$C$3:$D$15,2,FALSE)*CA$21),VLOOKUP($C50,$C$3:$D$15,2,FALSE)*CA$21-BZ52)))</f>
        <v>0</v>
      </c>
      <c r="CB50" s="644">
        <f t="shared" ref="CB50" si="1925" xml:space="preserve">
IF(CA52&gt;=VLOOKUP($C50,$C$3:$D$15,2,FALSE)*CB$21,0,
IF(AND(CA52&lt;VLOOKUP($C50,$C$3:$D$15,2,FALSE)*CB$21,CB51&lt;=VLOOKUP($C50,$C$3:$D$15,2,FALSE)*CB$21),IF(CB51-CA52&lt;0,0,CB51-CA52),
IF(AND(CA52&lt;VLOOKUP($C50,$C$3:$D$15,2,FALSE)*CB$21,CB51&gt;VLOOKUP($C50,$C$3:$D$15,2,FALSE)*CB$21),VLOOKUP($C50,$C$3:$D$15,2,FALSE)*CB$21-CA52)))</f>
        <v>0</v>
      </c>
      <c r="CC50" s="644">
        <f t="shared" ref="CC50" si="1926" xml:space="preserve">
IF(CB52&gt;=VLOOKUP($C50,$C$3:$D$15,2,FALSE)*CC$21,0,
IF(AND(CB52&lt;VLOOKUP($C50,$C$3:$D$15,2,FALSE)*CC$21,CC51&lt;=VLOOKUP($C50,$C$3:$D$15,2,FALSE)*CC$21),IF(CC51-CB52&lt;0,0,CC51-CB52),
IF(AND(CB52&lt;VLOOKUP($C50,$C$3:$D$15,2,FALSE)*CC$21,CC51&gt;VLOOKUP($C50,$C$3:$D$15,2,FALSE)*CC$21),VLOOKUP($C50,$C$3:$D$15,2,FALSE)*CC$21-CB52)))</f>
        <v>0</v>
      </c>
      <c r="CD50" s="644">
        <f t="shared" ref="CD50" si="1927" xml:space="preserve">
IF(CC52&gt;=VLOOKUP($C50,$C$3:$D$15,2,FALSE)*CD$21,0,
IF(AND(CC52&lt;VLOOKUP($C50,$C$3:$D$15,2,FALSE)*CD$21,CD51&lt;=VLOOKUP($C50,$C$3:$D$15,2,FALSE)*CD$21),IF(CD51-CC52&lt;0,0,CD51-CC52),
IF(AND(CC52&lt;VLOOKUP($C50,$C$3:$D$15,2,FALSE)*CD$21,CD51&gt;VLOOKUP($C50,$C$3:$D$15,2,FALSE)*CD$21),VLOOKUP($C50,$C$3:$D$15,2,FALSE)*CD$21-CC52)))</f>
        <v>0</v>
      </c>
      <c r="CE50" s="644">
        <f t="shared" ref="CE50" si="1928" xml:space="preserve">
IF(CD52&gt;=VLOOKUP($C50,$C$3:$D$15,2,FALSE)*CE$21,0,
IF(AND(CD52&lt;VLOOKUP($C50,$C$3:$D$15,2,FALSE)*CE$21,CE51&lt;=VLOOKUP($C50,$C$3:$D$15,2,FALSE)*CE$21),IF(CE51-CD52&lt;0,0,CE51-CD52),
IF(AND(CD52&lt;VLOOKUP($C50,$C$3:$D$15,2,FALSE)*CE$21,CE51&gt;VLOOKUP($C50,$C$3:$D$15,2,FALSE)*CE$21),VLOOKUP($C50,$C$3:$D$15,2,FALSE)*CE$21-CD52)))</f>
        <v>0</v>
      </c>
      <c r="CF50" s="644">
        <f t="shared" ref="CF50" si="1929" xml:space="preserve">
IF(CE52&gt;=VLOOKUP($C50,$C$3:$D$15,2,FALSE)*CF$21,0,
IF(AND(CE52&lt;VLOOKUP($C50,$C$3:$D$15,2,FALSE)*CF$21,CF51&lt;=VLOOKUP($C50,$C$3:$D$15,2,FALSE)*CF$21),IF(CF51-CE52&lt;0,0,CF51-CE52),
IF(AND(CE52&lt;VLOOKUP($C50,$C$3:$D$15,2,FALSE)*CF$21,CF51&gt;VLOOKUP($C50,$C$3:$D$15,2,FALSE)*CF$21),VLOOKUP($C50,$C$3:$D$15,2,FALSE)*CF$21-CE52)))</f>
        <v>0</v>
      </c>
      <c r="CG50" s="644">
        <f t="shared" ref="CG50" si="1930" xml:space="preserve">
IF(CF52&gt;=VLOOKUP($C50,$C$3:$D$15,2,FALSE)*CG$21,0,
IF(AND(CF52&lt;VLOOKUP($C50,$C$3:$D$15,2,FALSE)*CG$21,CG51&lt;=VLOOKUP($C50,$C$3:$D$15,2,FALSE)*CG$21),IF(CG51-CF52&lt;0,0,CG51-CF52),
IF(AND(CF52&lt;VLOOKUP($C50,$C$3:$D$15,2,FALSE)*CG$21,CG51&gt;VLOOKUP($C50,$C$3:$D$15,2,FALSE)*CG$21),VLOOKUP($C50,$C$3:$D$15,2,FALSE)*CG$21-CF52)))</f>
        <v>0</v>
      </c>
      <c r="CH50" s="644">
        <f t="shared" ref="CH50" si="1931" xml:space="preserve">
IF(CG52&gt;=VLOOKUP($C50,$C$3:$D$15,2,FALSE)*CH$21,0,
IF(AND(CG52&lt;VLOOKUP($C50,$C$3:$D$15,2,FALSE)*CH$21,CH51&lt;=VLOOKUP($C50,$C$3:$D$15,2,FALSE)*CH$21),IF(CH51-CG52&lt;0,0,CH51-CG52),
IF(AND(CG52&lt;VLOOKUP($C50,$C$3:$D$15,2,FALSE)*CH$21,CH51&gt;VLOOKUP($C50,$C$3:$D$15,2,FALSE)*CH$21),VLOOKUP($C50,$C$3:$D$15,2,FALSE)*CH$21-CG52)))</f>
        <v>0</v>
      </c>
      <c r="CI50" s="644">
        <f t="shared" ref="CI50" si="1932" xml:space="preserve">
IF(CH52&gt;=VLOOKUP($C50,$C$3:$D$15,2,FALSE)*CI$21,0,
IF(AND(CH52&lt;VLOOKUP($C50,$C$3:$D$15,2,FALSE)*CI$21,CI51&lt;=VLOOKUP($C50,$C$3:$D$15,2,FALSE)*CI$21),IF(CI51-CH52&lt;0,0,CI51-CH52),
IF(AND(CH52&lt;VLOOKUP($C50,$C$3:$D$15,2,FALSE)*CI$21,CI51&gt;VLOOKUP($C50,$C$3:$D$15,2,FALSE)*CI$21),VLOOKUP($C50,$C$3:$D$15,2,FALSE)*CI$21-CH52)))</f>
        <v>0</v>
      </c>
      <c r="CJ50" s="644">
        <f t="shared" ref="CJ50" si="1933" xml:space="preserve">
IF(CI52&gt;=VLOOKUP($C50,$C$3:$D$15,2,FALSE)*CJ$21,0,
IF(AND(CI52&lt;VLOOKUP($C50,$C$3:$D$15,2,FALSE)*CJ$21,CJ51&lt;=VLOOKUP($C50,$C$3:$D$15,2,FALSE)*CJ$21),IF(CJ51-CI52&lt;0,0,CJ51-CI52),
IF(AND(CI52&lt;VLOOKUP($C50,$C$3:$D$15,2,FALSE)*CJ$21,CJ51&gt;VLOOKUP($C50,$C$3:$D$15,2,FALSE)*CJ$21),VLOOKUP($C50,$C$3:$D$15,2,FALSE)*CJ$21-CI52)))</f>
        <v>0</v>
      </c>
      <c r="CK50" s="644">
        <f t="shared" ref="CK50" si="1934" xml:space="preserve">
IF(CJ52&gt;=VLOOKUP($C50,$C$3:$D$15,2,FALSE)*CK$21,0,
IF(AND(CJ52&lt;VLOOKUP($C50,$C$3:$D$15,2,FALSE)*CK$21,CK51&lt;=VLOOKUP($C50,$C$3:$D$15,2,FALSE)*CK$21),IF(CK51-CJ52&lt;0,0,CK51-CJ52),
IF(AND(CJ52&lt;VLOOKUP($C50,$C$3:$D$15,2,FALSE)*CK$21,CK51&gt;VLOOKUP($C50,$C$3:$D$15,2,FALSE)*CK$21),VLOOKUP($C50,$C$3:$D$15,2,FALSE)*CK$21-CJ52)))</f>
        <v>0</v>
      </c>
      <c r="CL50" s="644">
        <f t="shared" ref="CL50" si="1935" xml:space="preserve">
IF(CK52&gt;=VLOOKUP($C50,$C$3:$D$15,2,FALSE)*CL$21,0,
IF(AND(CK52&lt;VLOOKUP($C50,$C$3:$D$15,2,FALSE)*CL$21,CL51&lt;=VLOOKUP($C50,$C$3:$D$15,2,FALSE)*CL$21),IF(CL51-CK52&lt;0,0,CL51-CK52),
IF(AND(CK52&lt;VLOOKUP($C50,$C$3:$D$15,2,FALSE)*CL$21,CL51&gt;VLOOKUP($C50,$C$3:$D$15,2,FALSE)*CL$21),VLOOKUP($C50,$C$3:$D$15,2,FALSE)*CL$21-CK52)))</f>
        <v>0</v>
      </c>
      <c r="CM50" s="644">
        <f t="shared" ref="CM50" si="1936" xml:space="preserve">
IF(CL52&gt;=VLOOKUP($C50,$C$3:$D$15,2,FALSE)*CM$21,0,
IF(AND(CL52&lt;VLOOKUP($C50,$C$3:$D$15,2,FALSE)*CM$21,CM51&lt;=VLOOKUP($C50,$C$3:$D$15,2,FALSE)*CM$21),IF(CM51-CL52&lt;0,0,CM51-CL52),
IF(AND(CL52&lt;VLOOKUP($C50,$C$3:$D$15,2,FALSE)*CM$21,CM51&gt;VLOOKUP($C50,$C$3:$D$15,2,FALSE)*CM$21),VLOOKUP($C50,$C$3:$D$15,2,FALSE)*CM$21-CL52)))</f>
        <v>0</v>
      </c>
      <c r="CN50" s="644">
        <f t="shared" ref="CN50" si="1937" xml:space="preserve">
IF(CM52&gt;=VLOOKUP($C50,$C$3:$D$15,2,FALSE)*CN$21,0,
IF(AND(CM52&lt;VLOOKUP($C50,$C$3:$D$15,2,FALSE)*CN$21,CN51&lt;=VLOOKUP($C50,$C$3:$D$15,2,FALSE)*CN$21),IF(CN51-CM52&lt;0,0,CN51-CM52),
IF(AND(CM52&lt;VLOOKUP($C50,$C$3:$D$15,2,FALSE)*CN$21,CN51&gt;VLOOKUP($C50,$C$3:$D$15,2,FALSE)*CN$21),VLOOKUP($C50,$C$3:$D$15,2,FALSE)*CN$21-CM52)))</f>
        <v>0</v>
      </c>
      <c r="CO50" s="644">
        <f t="shared" ref="CO50" si="1938" xml:space="preserve">
IF(CN52&gt;=VLOOKUP($C50,$C$3:$D$15,2,FALSE)*CO$21,0,
IF(AND(CN52&lt;VLOOKUP($C50,$C$3:$D$15,2,FALSE)*CO$21,CO51&lt;=VLOOKUP($C50,$C$3:$D$15,2,FALSE)*CO$21),IF(CO51-CN52&lt;0,0,CO51-CN52),
IF(AND(CN52&lt;VLOOKUP($C50,$C$3:$D$15,2,FALSE)*CO$21,CO51&gt;VLOOKUP($C50,$C$3:$D$15,2,FALSE)*CO$21),VLOOKUP($C50,$C$3:$D$15,2,FALSE)*CO$21-CN52)))</f>
        <v>0</v>
      </c>
      <c r="CP50" s="644">
        <f t="shared" ref="CP50" si="1939" xml:space="preserve">
IF(CO52&gt;=VLOOKUP($C50,$C$3:$D$15,2,FALSE)*CP$21,0,
IF(AND(CO52&lt;VLOOKUP($C50,$C$3:$D$15,2,FALSE)*CP$21,CP51&lt;=VLOOKUP($C50,$C$3:$D$15,2,FALSE)*CP$21),IF(CP51-CO52&lt;0,0,CP51-CO52),
IF(AND(CO52&lt;VLOOKUP($C50,$C$3:$D$15,2,FALSE)*CP$21,CP51&gt;VLOOKUP($C50,$C$3:$D$15,2,FALSE)*CP$21),VLOOKUP($C50,$C$3:$D$15,2,FALSE)*CP$21-CO52)))</f>
        <v>0</v>
      </c>
      <c r="CQ50" s="644">
        <f t="shared" ref="CQ50" si="1940" xml:space="preserve">
IF(CP52&gt;=VLOOKUP($C50,$C$3:$D$15,2,FALSE)*CQ$21,0,
IF(AND(CP52&lt;VLOOKUP($C50,$C$3:$D$15,2,FALSE)*CQ$21,CQ51&lt;=VLOOKUP($C50,$C$3:$D$15,2,FALSE)*CQ$21),IF(CQ51-CP52&lt;0,0,CQ51-CP52),
IF(AND(CP52&lt;VLOOKUP($C50,$C$3:$D$15,2,FALSE)*CQ$21,CQ51&gt;VLOOKUP($C50,$C$3:$D$15,2,FALSE)*CQ$21),VLOOKUP($C50,$C$3:$D$15,2,FALSE)*CQ$21-CP52)))</f>
        <v>0</v>
      </c>
      <c r="CR50" s="644">
        <f t="shared" ref="CR50" si="1941" xml:space="preserve">
IF(CQ52&gt;=VLOOKUP($C50,$C$3:$D$15,2,FALSE)*CR$21,0,
IF(AND(CQ52&lt;VLOOKUP($C50,$C$3:$D$15,2,FALSE)*CR$21,CR51&lt;=VLOOKUP($C50,$C$3:$D$15,2,FALSE)*CR$21),IF(CR51-CQ52&lt;0,0,CR51-CQ52),
IF(AND(CQ52&lt;VLOOKUP($C50,$C$3:$D$15,2,FALSE)*CR$21,CR51&gt;VLOOKUP($C50,$C$3:$D$15,2,FALSE)*CR$21),VLOOKUP($C50,$C$3:$D$15,2,FALSE)*CR$21-CQ52)))</f>
        <v>0</v>
      </c>
      <c r="CS50" s="644">
        <f t="shared" ref="CS50" si="1942" xml:space="preserve">
IF(CR52&gt;=VLOOKUP($C50,$C$3:$D$15,2,FALSE)*CS$21,0,
IF(AND(CR52&lt;VLOOKUP($C50,$C$3:$D$15,2,FALSE)*CS$21,CS51&lt;=VLOOKUP($C50,$C$3:$D$15,2,FALSE)*CS$21),IF(CS51-CR52&lt;0,0,CS51-CR52),
IF(AND(CR52&lt;VLOOKUP($C50,$C$3:$D$15,2,FALSE)*CS$21,CS51&gt;VLOOKUP($C50,$C$3:$D$15,2,FALSE)*CS$21),VLOOKUP($C50,$C$3:$D$15,2,FALSE)*CS$21-CR52)))</f>
        <v>0</v>
      </c>
      <c r="CT50" s="644">
        <f t="shared" ref="CT50" si="1943" xml:space="preserve">
IF(CS52&gt;=VLOOKUP($C50,$C$3:$D$15,2,FALSE)*CT$21,0,
IF(AND(CS52&lt;VLOOKUP($C50,$C$3:$D$15,2,FALSE)*CT$21,CT51&lt;=VLOOKUP($C50,$C$3:$D$15,2,FALSE)*CT$21),IF(CT51-CS52&lt;0,0,CT51-CS52),
IF(AND(CS52&lt;VLOOKUP($C50,$C$3:$D$15,2,FALSE)*CT$21,CT51&gt;VLOOKUP($C50,$C$3:$D$15,2,FALSE)*CT$21),VLOOKUP($C50,$C$3:$D$15,2,FALSE)*CT$21-CS52)))</f>
        <v>0</v>
      </c>
      <c r="CU50" s="644">
        <f t="shared" ref="CU50" si="1944" xml:space="preserve">
IF(CT52&gt;=VLOOKUP($C50,$C$3:$D$15,2,FALSE)*CU$21,0,
IF(AND(CT52&lt;VLOOKUP($C50,$C$3:$D$15,2,FALSE)*CU$21,CU51&lt;=VLOOKUP($C50,$C$3:$D$15,2,FALSE)*CU$21),IF(CU51-CT52&lt;0,0,CU51-CT52),
IF(AND(CT52&lt;VLOOKUP($C50,$C$3:$D$15,2,FALSE)*CU$21,CU51&gt;VLOOKUP($C50,$C$3:$D$15,2,FALSE)*CU$21),VLOOKUP($C50,$C$3:$D$15,2,FALSE)*CU$21-CT52)))</f>
        <v>0</v>
      </c>
      <c r="CV50" s="644">
        <f t="shared" ref="CV50" si="1945" xml:space="preserve">
IF(CU52&gt;=VLOOKUP($C50,$C$3:$D$15,2,FALSE)*CV$21,0,
IF(AND(CU52&lt;VLOOKUP($C50,$C$3:$D$15,2,FALSE)*CV$21,CV51&lt;=VLOOKUP($C50,$C$3:$D$15,2,FALSE)*CV$21),IF(CV51-CU52&lt;0,0,CV51-CU52),
IF(AND(CU52&lt;VLOOKUP($C50,$C$3:$D$15,2,FALSE)*CV$21,CV51&gt;VLOOKUP($C50,$C$3:$D$15,2,FALSE)*CV$21),VLOOKUP($C50,$C$3:$D$15,2,FALSE)*CV$21-CU52)))</f>
        <v>0</v>
      </c>
      <c r="CW50" s="644">
        <f t="shared" ref="CW50" si="1946" xml:space="preserve">
IF(CV52&gt;=VLOOKUP($C50,$C$3:$D$15,2,FALSE)*CW$21,0,
IF(AND(CV52&lt;VLOOKUP($C50,$C$3:$D$15,2,FALSE)*CW$21,CW51&lt;=VLOOKUP($C50,$C$3:$D$15,2,FALSE)*CW$21),IF(CW51-CV52&lt;0,0,CW51-CV52),
IF(AND(CV52&lt;VLOOKUP($C50,$C$3:$D$15,2,FALSE)*CW$21,CW51&gt;VLOOKUP($C50,$C$3:$D$15,2,FALSE)*CW$21),VLOOKUP($C50,$C$3:$D$15,2,FALSE)*CW$21-CV52)))</f>
        <v>0</v>
      </c>
      <c r="CX50" s="644">
        <f t="shared" ref="CX50" si="1947" xml:space="preserve">
IF(CW52&gt;=VLOOKUP($C50,$C$3:$D$15,2,FALSE)*CX$21,0,
IF(AND(CW52&lt;VLOOKUP($C50,$C$3:$D$15,2,FALSE)*CX$21,CX51&lt;=VLOOKUP($C50,$C$3:$D$15,2,FALSE)*CX$21),IF(CX51-CW52&lt;0,0,CX51-CW52),
IF(AND(CW52&lt;VLOOKUP($C50,$C$3:$D$15,2,FALSE)*CX$21,CX51&gt;VLOOKUP($C50,$C$3:$D$15,2,FALSE)*CX$21),VLOOKUP($C50,$C$3:$D$15,2,FALSE)*CX$21-CW52)))</f>
        <v>0</v>
      </c>
      <c r="CY50" s="644">
        <f t="shared" ref="CY50" si="1948" xml:space="preserve">
IF(CX52&gt;=VLOOKUP($C50,$C$3:$D$15,2,FALSE)*CY$21,0,
IF(AND(CX52&lt;VLOOKUP($C50,$C$3:$D$15,2,FALSE)*CY$21,CY51&lt;=VLOOKUP($C50,$C$3:$D$15,2,FALSE)*CY$21),IF(CY51-CX52&lt;0,0,CY51-CX52),
IF(AND(CX52&lt;VLOOKUP($C50,$C$3:$D$15,2,FALSE)*CY$21,CY51&gt;VLOOKUP($C50,$C$3:$D$15,2,FALSE)*CY$21),VLOOKUP($C50,$C$3:$D$15,2,FALSE)*CY$21-CX52)))</f>
        <v>0</v>
      </c>
      <c r="CZ50" s="644">
        <f t="shared" ref="CZ50" si="1949" xml:space="preserve">
IF(CY52&gt;=VLOOKUP($C50,$C$3:$D$15,2,FALSE)*CZ$21,0,
IF(AND(CY52&lt;VLOOKUP($C50,$C$3:$D$15,2,FALSE)*CZ$21,CZ51&lt;=VLOOKUP($C50,$C$3:$D$15,2,FALSE)*CZ$21),IF(CZ51-CY52&lt;0,0,CZ51-CY52),
IF(AND(CY52&lt;VLOOKUP($C50,$C$3:$D$15,2,FALSE)*CZ$21,CZ51&gt;VLOOKUP($C50,$C$3:$D$15,2,FALSE)*CZ$21),VLOOKUP($C50,$C$3:$D$15,2,FALSE)*CZ$21-CY52)))</f>
        <v>0</v>
      </c>
      <c r="DA50" s="644">
        <f t="shared" ref="DA50" si="1950" xml:space="preserve">
IF(CZ52&gt;=VLOOKUP($C50,$C$3:$D$15,2,FALSE)*DA$21,0,
IF(AND(CZ52&lt;VLOOKUP($C50,$C$3:$D$15,2,FALSE)*DA$21,DA51&lt;=VLOOKUP($C50,$C$3:$D$15,2,FALSE)*DA$21),IF(DA51-CZ52&lt;0,0,DA51-CZ52),
IF(AND(CZ52&lt;VLOOKUP($C50,$C$3:$D$15,2,FALSE)*DA$21,DA51&gt;VLOOKUP($C50,$C$3:$D$15,2,FALSE)*DA$21),VLOOKUP($C50,$C$3:$D$15,2,FALSE)*DA$21-CZ52)))</f>
        <v>0</v>
      </c>
      <c r="DB50" s="644">
        <f t="shared" ref="DB50" si="1951" xml:space="preserve">
IF(DA52&gt;=VLOOKUP($C50,$C$3:$D$15,2,FALSE)*DB$21,0,
IF(AND(DA52&lt;VLOOKUP($C50,$C$3:$D$15,2,FALSE)*DB$21,DB51&lt;=VLOOKUP($C50,$C$3:$D$15,2,FALSE)*DB$21),IF(DB51-DA52&lt;0,0,DB51-DA52),
IF(AND(DA52&lt;VLOOKUP($C50,$C$3:$D$15,2,FALSE)*DB$21,DB51&gt;VLOOKUP($C50,$C$3:$D$15,2,FALSE)*DB$21),VLOOKUP($C50,$C$3:$D$15,2,FALSE)*DB$21-DA52)))</f>
        <v>0</v>
      </c>
      <c r="DC50" s="644">
        <f t="shared" ref="DC50" si="1952" xml:space="preserve">
IF(DB52&gt;=VLOOKUP($C50,$C$3:$D$15,2,FALSE)*DC$21,0,
IF(AND(DB52&lt;VLOOKUP($C50,$C$3:$D$15,2,FALSE)*DC$21,DC51&lt;=VLOOKUP($C50,$C$3:$D$15,2,FALSE)*DC$21),IF(DC51-DB52&lt;0,0,DC51-DB52),
IF(AND(DB52&lt;VLOOKUP($C50,$C$3:$D$15,2,FALSE)*DC$21,DC51&gt;VLOOKUP($C50,$C$3:$D$15,2,FALSE)*DC$21),VLOOKUP($C50,$C$3:$D$15,2,FALSE)*DC$21-DB52)))</f>
        <v>0</v>
      </c>
      <c r="DD50" s="644">
        <f t="shared" ref="DD50" si="1953" xml:space="preserve">
IF(DC52&gt;=VLOOKUP($C50,$C$3:$D$15,2,FALSE)*DD$21,0,
IF(AND(DC52&lt;VLOOKUP($C50,$C$3:$D$15,2,FALSE)*DD$21,DD51&lt;=VLOOKUP($C50,$C$3:$D$15,2,FALSE)*DD$21),IF(DD51-DC52&lt;0,0,DD51-DC52),
IF(AND(DC52&lt;VLOOKUP($C50,$C$3:$D$15,2,FALSE)*DD$21,DD51&gt;VLOOKUP($C50,$C$3:$D$15,2,FALSE)*DD$21),VLOOKUP($C50,$C$3:$D$15,2,FALSE)*DD$21-DC52)))</f>
        <v>0</v>
      </c>
      <c r="DE50" s="644">
        <f t="shared" ref="DE50" si="1954" xml:space="preserve">
IF(DD52&gt;=VLOOKUP($C50,$C$3:$D$15,2,FALSE)*DE$21,0,
IF(AND(DD52&lt;VLOOKUP($C50,$C$3:$D$15,2,FALSE)*DE$21,DE51&lt;=VLOOKUP($C50,$C$3:$D$15,2,FALSE)*DE$21),IF(DE51-DD52&lt;0,0,DE51-DD52),
IF(AND(DD52&lt;VLOOKUP($C50,$C$3:$D$15,2,FALSE)*DE$21,DE51&gt;VLOOKUP($C50,$C$3:$D$15,2,FALSE)*DE$21),VLOOKUP($C50,$C$3:$D$15,2,FALSE)*DE$21-DD52)))</f>
        <v>0</v>
      </c>
      <c r="DF50" s="644">
        <f t="shared" ref="DF50" si="1955" xml:space="preserve">
IF(DE52&gt;=VLOOKUP($C50,$C$3:$D$15,2,FALSE)*DF$21,0,
IF(AND(DE52&lt;VLOOKUP($C50,$C$3:$D$15,2,FALSE)*DF$21,DF51&lt;=VLOOKUP($C50,$C$3:$D$15,2,FALSE)*DF$21),IF(DF51-DE52&lt;0,0,DF51-DE52),
IF(AND(DE52&lt;VLOOKUP($C50,$C$3:$D$15,2,FALSE)*DF$21,DF51&gt;VLOOKUP($C50,$C$3:$D$15,2,FALSE)*DF$21),VLOOKUP($C50,$C$3:$D$15,2,FALSE)*DF$21-DE52)))</f>
        <v>0</v>
      </c>
      <c r="DG50" s="644">
        <f t="shared" ref="DG50" si="1956" xml:space="preserve">
IF(DF52&gt;=VLOOKUP($C50,$C$3:$D$15,2,FALSE)*DG$21,0,
IF(AND(DF52&lt;VLOOKUP($C50,$C$3:$D$15,2,FALSE)*DG$21,DG51&lt;=VLOOKUP($C50,$C$3:$D$15,2,FALSE)*DG$21),IF(DG51-DF52&lt;0,0,DG51-DF52),
IF(AND(DF52&lt;VLOOKUP($C50,$C$3:$D$15,2,FALSE)*DG$21,DG51&gt;VLOOKUP($C50,$C$3:$D$15,2,FALSE)*DG$21),VLOOKUP($C50,$C$3:$D$15,2,FALSE)*DG$21-DF52)))</f>
        <v>0</v>
      </c>
      <c r="DH50" s="644">
        <f t="shared" ref="DH50" si="1957" xml:space="preserve">
IF(DG52&gt;=VLOOKUP($C50,$C$3:$D$15,2,FALSE)*DH$21,0,
IF(AND(DG52&lt;VLOOKUP($C50,$C$3:$D$15,2,FALSE)*DH$21,DH51&lt;=VLOOKUP($C50,$C$3:$D$15,2,FALSE)*DH$21),IF(DH51-DG52&lt;0,0,DH51-DG52),
IF(AND(DG52&lt;VLOOKUP($C50,$C$3:$D$15,2,FALSE)*DH$21,DH51&gt;VLOOKUP($C50,$C$3:$D$15,2,FALSE)*DH$21),VLOOKUP($C50,$C$3:$D$15,2,FALSE)*DH$21-DG52)))</f>
        <v>0</v>
      </c>
      <c r="DI50" s="644">
        <f t="shared" ref="DI50" si="1958" xml:space="preserve">
IF(DH52&gt;=VLOOKUP($C50,$C$3:$D$15,2,FALSE)*DI$21,0,
IF(AND(DH52&lt;VLOOKUP($C50,$C$3:$D$15,2,FALSE)*DI$21,DI51&lt;=VLOOKUP($C50,$C$3:$D$15,2,FALSE)*DI$21),IF(DI51-DH52&lt;0,0,DI51-DH52),
IF(AND(DH52&lt;VLOOKUP($C50,$C$3:$D$15,2,FALSE)*DI$21,DI51&gt;VLOOKUP($C50,$C$3:$D$15,2,FALSE)*DI$21),VLOOKUP($C50,$C$3:$D$15,2,FALSE)*DI$21-DH52)))</f>
        <v>0</v>
      </c>
      <c r="DJ50" s="644">
        <f t="shared" ref="DJ50" si="1959" xml:space="preserve">
IF(DI52&gt;=VLOOKUP($C50,$C$3:$D$15,2,FALSE)*DJ$21,0,
IF(AND(DI52&lt;VLOOKUP($C50,$C$3:$D$15,2,FALSE)*DJ$21,DJ51&lt;=VLOOKUP($C50,$C$3:$D$15,2,FALSE)*DJ$21),IF(DJ51-DI52&lt;0,0,DJ51-DI52),
IF(AND(DI52&lt;VLOOKUP($C50,$C$3:$D$15,2,FALSE)*DJ$21,DJ51&gt;VLOOKUP($C50,$C$3:$D$15,2,FALSE)*DJ$21),VLOOKUP($C50,$C$3:$D$15,2,FALSE)*DJ$21-DI52)))</f>
        <v>0</v>
      </c>
      <c r="DK50" s="644">
        <f t="shared" ref="DK50" si="1960" xml:space="preserve">
IF(DJ52&gt;=VLOOKUP($C50,$C$3:$D$15,2,FALSE)*DK$21,0,
IF(AND(DJ52&lt;VLOOKUP($C50,$C$3:$D$15,2,FALSE)*DK$21,DK51&lt;=VLOOKUP($C50,$C$3:$D$15,2,FALSE)*DK$21),IF(DK51-DJ52&lt;0,0,DK51-DJ52),
IF(AND(DJ52&lt;VLOOKUP($C50,$C$3:$D$15,2,FALSE)*DK$21,DK51&gt;VLOOKUP($C50,$C$3:$D$15,2,FALSE)*DK$21),VLOOKUP($C50,$C$3:$D$15,2,FALSE)*DK$21-DJ52)))</f>
        <v>0</v>
      </c>
      <c r="DL50" s="644">
        <f t="shared" ref="DL50" si="1961" xml:space="preserve">
IF(DK52&gt;=VLOOKUP($C50,$C$3:$D$15,2,FALSE)*DL$21,0,
IF(AND(DK52&lt;VLOOKUP($C50,$C$3:$D$15,2,FALSE)*DL$21,DL51&lt;=VLOOKUP($C50,$C$3:$D$15,2,FALSE)*DL$21),IF(DL51-DK52&lt;0,0,DL51-DK52),
IF(AND(DK52&lt;VLOOKUP($C50,$C$3:$D$15,2,FALSE)*DL$21,DL51&gt;VLOOKUP($C50,$C$3:$D$15,2,FALSE)*DL$21),VLOOKUP($C50,$C$3:$D$15,2,FALSE)*DL$21-DK52)))</f>
        <v>0</v>
      </c>
      <c r="DM50" s="644">
        <f t="shared" ref="DM50" si="1962" xml:space="preserve">
IF(DL52&gt;=VLOOKUP($C50,$C$3:$D$15,2,FALSE)*DM$21,0,
IF(AND(DL52&lt;VLOOKUP($C50,$C$3:$D$15,2,FALSE)*DM$21,DM51&lt;=VLOOKUP($C50,$C$3:$D$15,2,FALSE)*DM$21),IF(DM51-DL52&lt;0,0,DM51-DL52),
IF(AND(DL52&lt;VLOOKUP($C50,$C$3:$D$15,2,FALSE)*DM$21,DM51&gt;VLOOKUP($C50,$C$3:$D$15,2,FALSE)*DM$21),VLOOKUP($C50,$C$3:$D$15,2,FALSE)*DM$21-DL52)))</f>
        <v>0</v>
      </c>
      <c r="DN50" s="644">
        <f t="shared" ref="DN50" si="1963" xml:space="preserve">
IF(DM52&gt;=VLOOKUP($C50,$C$3:$D$15,2,FALSE)*DN$21,0,
IF(AND(DM52&lt;VLOOKUP($C50,$C$3:$D$15,2,FALSE)*DN$21,DN51&lt;=VLOOKUP($C50,$C$3:$D$15,2,FALSE)*DN$21),IF(DN51-DM52&lt;0,0,DN51-DM52),
IF(AND(DM52&lt;VLOOKUP($C50,$C$3:$D$15,2,FALSE)*DN$21,DN51&gt;VLOOKUP($C50,$C$3:$D$15,2,FALSE)*DN$21),VLOOKUP($C50,$C$3:$D$15,2,FALSE)*DN$21-DM52)))</f>
        <v>0</v>
      </c>
      <c r="DO50" s="644">
        <f t="shared" ref="DO50" si="1964" xml:space="preserve">
IF(DN52&gt;=VLOOKUP($C50,$C$3:$D$15,2,FALSE)*DO$21,0,
IF(AND(DN52&lt;VLOOKUP($C50,$C$3:$D$15,2,FALSE)*DO$21,DO51&lt;=VLOOKUP($C50,$C$3:$D$15,2,FALSE)*DO$21),IF(DO51-DN52&lt;0,0,DO51-DN52),
IF(AND(DN52&lt;VLOOKUP($C50,$C$3:$D$15,2,FALSE)*DO$21,DO51&gt;VLOOKUP($C50,$C$3:$D$15,2,FALSE)*DO$21),VLOOKUP($C50,$C$3:$D$15,2,FALSE)*DO$21-DN52)))</f>
        <v>0</v>
      </c>
      <c r="DP50" s="644">
        <f t="shared" ref="DP50" si="1965" xml:space="preserve">
IF(DO52&gt;=VLOOKUP($C50,$C$3:$D$15,2,FALSE)*DP$21,0,
IF(AND(DO52&lt;VLOOKUP($C50,$C$3:$D$15,2,FALSE)*DP$21,DP51&lt;=VLOOKUP($C50,$C$3:$D$15,2,FALSE)*DP$21),IF(DP51-DO52&lt;0,0,DP51-DO52),
IF(AND(DO52&lt;VLOOKUP($C50,$C$3:$D$15,2,FALSE)*DP$21,DP51&gt;VLOOKUP($C50,$C$3:$D$15,2,FALSE)*DP$21),VLOOKUP($C50,$C$3:$D$15,2,FALSE)*DP$21-DO52)))</f>
        <v>0</v>
      </c>
      <c r="DQ50" s="644">
        <f t="shared" ref="DQ50" si="1966" xml:space="preserve">
IF(DP52&gt;=VLOOKUP($C50,$C$3:$D$15,2,FALSE)*DQ$21,0,
IF(AND(DP52&lt;VLOOKUP($C50,$C$3:$D$15,2,FALSE)*DQ$21,DQ51&lt;=VLOOKUP($C50,$C$3:$D$15,2,FALSE)*DQ$21),IF(DQ51-DP52&lt;0,0,DQ51-DP52),
IF(AND(DP52&lt;VLOOKUP($C50,$C$3:$D$15,2,FALSE)*DQ$21,DQ51&gt;VLOOKUP($C50,$C$3:$D$15,2,FALSE)*DQ$21),VLOOKUP($C50,$C$3:$D$15,2,FALSE)*DQ$21-DP52)))</f>
        <v>0</v>
      </c>
      <c r="DR50" s="644">
        <f t="shared" ref="DR50" si="1967" xml:space="preserve">
IF(DQ52&gt;=VLOOKUP($C50,$C$3:$D$15,2,FALSE)*DR$21,0,
IF(AND(DQ52&lt;VLOOKUP($C50,$C$3:$D$15,2,FALSE)*DR$21,DR51&lt;=VLOOKUP($C50,$C$3:$D$15,2,FALSE)*DR$21),IF(DR51-DQ52&lt;0,0,DR51-DQ52),
IF(AND(DQ52&lt;VLOOKUP($C50,$C$3:$D$15,2,FALSE)*DR$21,DR51&gt;VLOOKUP($C50,$C$3:$D$15,2,FALSE)*DR$21),VLOOKUP($C50,$C$3:$D$15,2,FALSE)*DR$21-DQ52)))</f>
        <v>0</v>
      </c>
      <c r="DS50" s="644">
        <f t="shared" ref="DS50" si="1968" xml:space="preserve">
IF(DR52&gt;=VLOOKUP($C50,$C$3:$D$15,2,FALSE)*DS$21,0,
IF(AND(DR52&lt;VLOOKUP($C50,$C$3:$D$15,2,FALSE)*DS$21,DS51&lt;=VLOOKUP($C50,$C$3:$D$15,2,FALSE)*DS$21),IF(DS51-DR52&lt;0,0,DS51-DR52),
IF(AND(DR52&lt;VLOOKUP($C50,$C$3:$D$15,2,FALSE)*DS$21,DS51&gt;VLOOKUP($C50,$C$3:$D$15,2,FALSE)*DS$21),VLOOKUP($C50,$C$3:$D$15,2,FALSE)*DS$21-DR52)))</f>
        <v>0</v>
      </c>
      <c r="DT50" s="644">
        <f t="shared" ref="DT50" si="1969" xml:space="preserve">
IF(DS52&gt;=VLOOKUP($C50,$C$3:$D$15,2,FALSE)*DT$21,0,
IF(AND(DS52&lt;VLOOKUP($C50,$C$3:$D$15,2,FALSE)*DT$21,DT51&lt;=VLOOKUP($C50,$C$3:$D$15,2,FALSE)*DT$21),IF(DT51-DS52&lt;0,0,DT51-DS52),
IF(AND(DS52&lt;VLOOKUP($C50,$C$3:$D$15,2,FALSE)*DT$21,DT51&gt;VLOOKUP($C50,$C$3:$D$15,2,FALSE)*DT$21),VLOOKUP($C50,$C$3:$D$15,2,FALSE)*DT$21-DS52)))</f>
        <v>0</v>
      </c>
      <c r="DU50" s="644">
        <f t="shared" ref="DU50" si="1970" xml:space="preserve">
IF(DT52&gt;=VLOOKUP($C50,$C$3:$D$15,2,FALSE)*DU$21,0,
IF(AND(DT52&lt;VLOOKUP($C50,$C$3:$D$15,2,FALSE)*DU$21,DU51&lt;=VLOOKUP($C50,$C$3:$D$15,2,FALSE)*DU$21),IF(DU51-DT52&lt;0,0,DU51-DT52),
IF(AND(DT52&lt;VLOOKUP($C50,$C$3:$D$15,2,FALSE)*DU$21,DU51&gt;VLOOKUP($C50,$C$3:$D$15,2,FALSE)*DU$21),VLOOKUP($C50,$C$3:$D$15,2,FALSE)*DU$21-DT52)))</f>
        <v>0</v>
      </c>
      <c r="DV50" s="644">
        <f t="shared" ref="DV50" si="1971" xml:space="preserve">
IF(DU52&gt;=VLOOKUP($C50,$C$3:$D$15,2,FALSE)*DV$21,0,
IF(AND(DU52&lt;VLOOKUP($C50,$C$3:$D$15,2,FALSE)*DV$21,DV51&lt;=VLOOKUP($C50,$C$3:$D$15,2,FALSE)*DV$21),IF(DV51-DU52&lt;0,0,DV51-DU52),
IF(AND(DU52&lt;VLOOKUP($C50,$C$3:$D$15,2,FALSE)*DV$21,DV51&gt;VLOOKUP($C50,$C$3:$D$15,2,FALSE)*DV$21),VLOOKUP($C50,$C$3:$D$15,2,FALSE)*DV$21-DU52)))</f>
        <v>0</v>
      </c>
      <c r="DW50" s="644">
        <f t="shared" ref="DW50" si="1972" xml:space="preserve">
IF(DV52&gt;=VLOOKUP($C50,$C$3:$D$15,2,FALSE)*DW$21,0,
IF(AND(DV52&lt;VLOOKUP($C50,$C$3:$D$15,2,FALSE)*DW$21,DW51&lt;=VLOOKUP($C50,$C$3:$D$15,2,FALSE)*DW$21),IF(DW51-DV52&lt;0,0,DW51-DV52),
IF(AND(DV52&lt;VLOOKUP($C50,$C$3:$D$15,2,FALSE)*DW$21,DW51&gt;VLOOKUP($C50,$C$3:$D$15,2,FALSE)*DW$21),VLOOKUP($C50,$C$3:$D$15,2,FALSE)*DW$21-DV52)))</f>
        <v>0</v>
      </c>
      <c r="DX50" s="644">
        <f t="shared" ref="DX50" si="1973" xml:space="preserve">
IF(DW52&gt;=VLOOKUP($C50,$C$3:$D$15,2,FALSE)*DX$21,0,
IF(AND(DW52&lt;VLOOKUP($C50,$C$3:$D$15,2,FALSE)*DX$21,DX51&lt;=VLOOKUP($C50,$C$3:$D$15,2,FALSE)*DX$21),IF(DX51-DW52&lt;0,0,DX51-DW52),
IF(AND(DW52&lt;VLOOKUP($C50,$C$3:$D$15,2,FALSE)*DX$21,DX51&gt;VLOOKUP($C50,$C$3:$D$15,2,FALSE)*DX$21),VLOOKUP($C50,$C$3:$D$15,2,FALSE)*DX$21-DW52)))</f>
        <v>0</v>
      </c>
      <c r="DY50" s="644">
        <f t="shared" ref="DY50" si="1974" xml:space="preserve">
IF(DX52&gt;=VLOOKUP($C50,$C$3:$D$15,2,FALSE)*DY$21,0,
IF(AND(DX52&lt;VLOOKUP($C50,$C$3:$D$15,2,FALSE)*DY$21,DY51&lt;=VLOOKUP($C50,$C$3:$D$15,2,FALSE)*DY$21),IF(DY51-DX52&lt;0,0,DY51-DX52),
IF(AND(DX52&lt;VLOOKUP($C50,$C$3:$D$15,2,FALSE)*DY$21,DY51&gt;VLOOKUP($C50,$C$3:$D$15,2,FALSE)*DY$21),VLOOKUP($C50,$C$3:$D$15,2,FALSE)*DY$21-DX52)))</f>
        <v>0</v>
      </c>
      <c r="DZ50" s="644">
        <f t="shared" ref="DZ50" si="1975" xml:space="preserve">
IF(DY52&gt;=VLOOKUP($C50,$C$3:$D$15,2,FALSE)*DZ$21,0,
IF(AND(DY52&lt;VLOOKUP($C50,$C$3:$D$15,2,FALSE)*DZ$21,DZ51&lt;=VLOOKUP($C50,$C$3:$D$15,2,FALSE)*DZ$21),IF(DZ51-DY52&lt;0,0,DZ51-DY52),
IF(AND(DY52&lt;VLOOKUP($C50,$C$3:$D$15,2,FALSE)*DZ$21,DZ51&gt;VLOOKUP($C50,$C$3:$D$15,2,FALSE)*DZ$21),VLOOKUP($C50,$C$3:$D$15,2,FALSE)*DZ$21-DY52)))</f>
        <v>0</v>
      </c>
      <c r="EA50" s="644">
        <f t="shared" ref="EA50" si="1976" xml:space="preserve">
IF(DZ52&gt;=VLOOKUP($C50,$C$3:$D$15,2,FALSE)*EA$21,0,
IF(AND(DZ52&lt;VLOOKUP($C50,$C$3:$D$15,2,FALSE)*EA$21,EA51&lt;=VLOOKUP($C50,$C$3:$D$15,2,FALSE)*EA$21),IF(EA51-DZ52&lt;0,0,EA51-DZ52),
IF(AND(DZ52&lt;VLOOKUP($C50,$C$3:$D$15,2,FALSE)*EA$21,EA51&gt;VLOOKUP($C50,$C$3:$D$15,2,FALSE)*EA$21),VLOOKUP($C50,$C$3:$D$15,2,FALSE)*EA$21-DZ52)))</f>
        <v>0</v>
      </c>
      <c r="EB50" s="644">
        <f t="shared" ref="EB50" si="1977" xml:space="preserve">
IF(EA52&gt;=VLOOKUP($C50,$C$3:$D$15,2,FALSE)*EB$21,0,
IF(AND(EA52&lt;VLOOKUP($C50,$C$3:$D$15,2,FALSE)*EB$21,EB51&lt;=VLOOKUP($C50,$C$3:$D$15,2,FALSE)*EB$21),IF(EB51-EA52&lt;0,0,EB51-EA52),
IF(AND(EA52&lt;VLOOKUP($C50,$C$3:$D$15,2,FALSE)*EB$21,EB51&gt;VLOOKUP($C50,$C$3:$D$15,2,FALSE)*EB$21),VLOOKUP($C50,$C$3:$D$15,2,FALSE)*EB$21-EA52)))</f>
        <v>0</v>
      </c>
      <c r="EC50" s="644">
        <f t="shared" ref="EC50" si="1978" xml:space="preserve">
IF(EB52&gt;=VLOOKUP($C50,$C$3:$D$15,2,FALSE)*EC$21,0,
IF(AND(EB52&lt;VLOOKUP($C50,$C$3:$D$15,2,FALSE)*EC$21,EC51&lt;=VLOOKUP($C50,$C$3:$D$15,2,FALSE)*EC$21),IF(EC51-EB52&lt;0,0,EC51-EB52),
IF(AND(EB52&lt;VLOOKUP($C50,$C$3:$D$15,2,FALSE)*EC$21,EC51&gt;VLOOKUP($C50,$C$3:$D$15,2,FALSE)*EC$21),VLOOKUP($C50,$C$3:$D$15,2,FALSE)*EC$21-EB52)))</f>
        <v>0</v>
      </c>
      <c r="ED50" s="644">
        <f t="shared" ref="ED50" si="1979" xml:space="preserve">
IF(EC52&gt;=VLOOKUP($C50,$C$3:$D$15,2,FALSE)*ED$21,0,
IF(AND(EC52&lt;VLOOKUP($C50,$C$3:$D$15,2,FALSE)*ED$21,ED51&lt;=VLOOKUP($C50,$C$3:$D$15,2,FALSE)*ED$21),IF(ED51-EC52&lt;0,0,ED51-EC52),
IF(AND(EC52&lt;VLOOKUP($C50,$C$3:$D$15,2,FALSE)*ED$21,ED51&gt;VLOOKUP($C50,$C$3:$D$15,2,FALSE)*ED$21),VLOOKUP($C50,$C$3:$D$15,2,FALSE)*ED$21-EC52)))</f>
        <v>0</v>
      </c>
      <c r="EE50" s="644">
        <f t="shared" ref="EE50" si="1980" xml:space="preserve">
IF(ED52&gt;=VLOOKUP($C50,$C$3:$D$15,2,FALSE)*EE$21,0,
IF(AND(ED52&lt;VLOOKUP($C50,$C$3:$D$15,2,FALSE)*EE$21,EE51&lt;=VLOOKUP($C50,$C$3:$D$15,2,FALSE)*EE$21),IF(EE51-ED52&lt;0,0,EE51-ED52),
IF(AND(ED52&lt;VLOOKUP($C50,$C$3:$D$15,2,FALSE)*EE$21,EE51&gt;VLOOKUP($C50,$C$3:$D$15,2,FALSE)*EE$21),VLOOKUP($C50,$C$3:$D$15,2,FALSE)*EE$21-ED52)))</f>
        <v>0</v>
      </c>
      <c r="EF50" s="644">
        <f t="shared" ref="EF50" si="1981" xml:space="preserve">
IF(EE52&gt;=VLOOKUP($C50,$C$3:$D$15,2,FALSE)*EF$21,0,
IF(AND(EE52&lt;VLOOKUP($C50,$C$3:$D$15,2,FALSE)*EF$21,EF51&lt;=VLOOKUP($C50,$C$3:$D$15,2,FALSE)*EF$21),IF(EF51-EE52&lt;0,0,EF51-EE52),
IF(AND(EE52&lt;VLOOKUP($C50,$C$3:$D$15,2,FALSE)*EF$21,EF51&gt;VLOOKUP($C50,$C$3:$D$15,2,FALSE)*EF$21),VLOOKUP($C50,$C$3:$D$15,2,FALSE)*EF$21-EE52)))</f>
        <v>0</v>
      </c>
      <c r="EG50" s="644">
        <f t="shared" ref="EG50" si="1982" xml:space="preserve">
IF(EF52&gt;=VLOOKUP($C50,$C$3:$D$15,2,FALSE)*EG$21,0,
IF(AND(EF52&lt;VLOOKUP($C50,$C$3:$D$15,2,FALSE)*EG$21,EG51&lt;=VLOOKUP($C50,$C$3:$D$15,2,FALSE)*EG$21),IF(EG51-EF52&lt;0,0,EG51-EF52),
IF(AND(EF52&lt;VLOOKUP($C50,$C$3:$D$15,2,FALSE)*EG$21,EG51&gt;VLOOKUP($C50,$C$3:$D$15,2,FALSE)*EG$21),VLOOKUP($C50,$C$3:$D$15,2,FALSE)*EG$21-EF52)))</f>
        <v>0</v>
      </c>
      <c r="EH50" s="644">
        <f t="shared" ref="EH50" si="1983" xml:space="preserve">
IF(EG52&gt;=VLOOKUP($C50,$C$3:$D$15,2,FALSE)*EH$21,0,
IF(AND(EG52&lt;VLOOKUP($C50,$C$3:$D$15,2,FALSE)*EH$21,EH51&lt;=VLOOKUP($C50,$C$3:$D$15,2,FALSE)*EH$21),IF(EH51-EG52&lt;0,0,EH51-EG52),
IF(AND(EG52&lt;VLOOKUP($C50,$C$3:$D$15,2,FALSE)*EH$21,EH51&gt;VLOOKUP($C50,$C$3:$D$15,2,FALSE)*EH$21),VLOOKUP($C50,$C$3:$D$15,2,FALSE)*EH$21-EG52)))</f>
        <v>0</v>
      </c>
      <c r="EI50" s="644">
        <f t="shared" ref="EI50" si="1984" xml:space="preserve">
IF(EH52&gt;=VLOOKUP($C50,$C$3:$D$15,2,FALSE)*EI$21,0,
IF(AND(EH52&lt;VLOOKUP($C50,$C$3:$D$15,2,FALSE)*EI$21,EI51&lt;=VLOOKUP($C50,$C$3:$D$15,2,FALSE)*EI$21),IF(EI51-EH52&lt;0,0,EI51-EH52),
IF(AND(EH52&lt;VLOOKUP($C50,$C$3:$D$15,2,FALSE)*EI$21,EI51&gt;VLOOKUP($C50,$C$3:$D$15,2,FALSE)*EI$21),VLOOKUP($C50,$C$3:$D$15,2,FALSE)*EI$21-EH52)))</f>
        <v>0</v>
      </c>
      <c r="EJ50" s="644">
        <f t="shared" ref="EJ50" si="1985" xml:space="preserve">
IF(EI52&gt;=VLOOKUP($C50,$C$3:$D$15,2,FALSE)*EJ$21,0,
IF(AND(EI52&lt;VLOOKUP($C50,$C$3:$D$15,2,FALSE)*EJ$21,EJ51&lt;=VLOOKUP($C50,$C$3:$D$15,2,FALSE)*EJ$21),IF(EJ51-EI52&lt;0,0,EJ51-EI52),
IF(AND(EI52&lt;VLOOKUP($C50,$C$3:$D$15,2,FALSE)*EJ$21,EJ51&gt;VLOOKUP($C50,$C$3:$D$15,2,FALSE)*EJ$21),VLOOKUP($C50,$C$3:$D$15,2,FALSE)*EJ$21-EI52)))</f>
        <v>0</v>
      </c>
      <c r="EK50" s="644">
        <f t="shared" ref="EK50" si="1986" xml:space="preserve">
IF(EJ52&gt;=VLOOKUP($C50,$C$3:$D$15,2,FALSE)*EK$21,0,
IF(AND(EJ52&lt;VLOOKUP($C50,$C$3:$D$15,2,FALSE)*EK$21,EK51&lt;=VLOOKUP($C50,$C$3:$D$15,2,FALSE)*EK$21),IF(EK51-EJ52&lt;0,0,EK51-EJ52),
IF(AND(EJ52&lt;VLOOKUP($C50,$C$3:$D$15,2,FALSE)*EK$21,EK51&gt;VLOOKUP($C50,$C$3:$D$15,2,FALSE)*EK$21),VLOOKUP($C50,$C$3:$D$15,2,FALSE)*EK$21-EJ52)))</f>
        <v>0</v>
      </c>
      <c r="EL50" s="644">
        <f t="shared" ref="EL50" si="1987" xml:space="preserve">
IF(EK52&gt;=VLOOKUP($C50,$C$3:$D$15,2,FALSE)*EL$21,0,
IF(AND(EK52&lt;VLOOKUP($C50,$C$3:$D$15,2,FALSE)*EL$21,EL51&lt;=VLOOKUP($C50,$C$3:$D$15,2,FALSE)*EL$21),IF(EL51-EK52&lt;0,0,EL51-EK52),
IF(AND(EK52&lt;VLOOKUP($C50,$C$3:$D$15,2,FALSE)*EL$21,EL51&gt;VLOOKUP($C50,$C$3:$D$15,2,FALSE)*EL$21),VLOOKUP($C50,$C$3:$D$15,2,FALSE)*EL$21-EK52)))</f>
        <v>0</v>
      </c>
      <c r="EM50" s="644">
        <f t="shared" ref="EM50" si="1988" xml:space="preserve">
IF(EL52&gt;=VLOOKUP($C50,$C$3:$D$15,2,FALSE)*EM$21,0,
IF(AND(EL52&lt;VLOOKUP($C50,$C$3:$D$15,2,FALSE)*EM$21,EM51&lt;=VLOOKUP($C50,$C$3:$D$15,2,FALSE)*EM$21),IF(EM51-EL52&lt;0,0,EM51-EL52),
IF(AND(EL52&lt;VLOOKUP($C50,$C$3:$D$15,2,FALSE)*EM$21,EM51&gt;VLOOKUP($C50,$C$3:$D$15,2,FALSE)*EM$21),VLOOKUP($C50,$C$3:$D$15,2,FALSE)*EM$21-EL52)))</f>
        <v>0</v>
      </c>
      <c r="EN50" s="644">
        <f t="shared" ref="EN50" si="1989" xml:space="preserve">
IF(EM52&gt;=VLOOKUP($C50,$C$3:$D$15,2,FALSE)*EN$21,0,
IF(AND(EM52&lt;VLOOKUP($C50,$C$3:$D$15,2,FALSE)*EN$21,EN51&lt;=VLOOKUP($C50,$C$3:$D$15,2,FALSE)*EN$21),IF(EN51-EM52&lt;0,0,EN51-EM52),
IF(AND(EM52&lt;VLOOKUP($C50,$C$3:$D$15,2,FALSE)*EN$21,EN51&gt;VLOOKUP($C50,$C$3:$D$15,2,FALSE)*EN$21),VLOOKUP($C50,$C$3:$D$15,2,FALSE)*EN$21-EM52)))</f>
        <v>0</v>
      </c>
      <c r="EO50" s="644">
        <f t="shared" ref="EO50" si="1990" xml:space="preserve">
IF(EN52&gt;=VLOOKUP($C50,$C$3:$D$15,2,FALSE)*EO$21,0,
IF(AND(EN52&lt;VLOOKUP($C50,$C$3:$D$15,2,FALSE)*EO$21,EO51&lt;=VLOOKUP($C50,$C$3:$D$15,2,FALSE)*EO$21),IF(EO51-EN52&lt;0,0,EO51-EN52),
IF(AND(EN52&lt;VLOOKUP($C50,$C$3:$D$15,2,FALSE)*EO$21,EO51&gt;VLOOKUP($C50,$C$3:$D$15,2,FALSE)*EO$21),VLOOKUP($C50,$C$3:$D$15,2,FALSE)*EO$21-EN52)))</f>
        <v>0</v>
      </c>
      <c r="EP50" s="644">
        <f t="shared" ref="EP50" si="1991" xml:space="preserve">
IF(EO52&gt;=VLOOKUP($C50,$C$3:$D$15,2,FALSE)*EP$21,0,
IF(AND(EO52&lt;VLOOKUP($C50,$C$3:$D$15,2,FALSE)*EP$21,EP51&lt;=VLOOKUP($C50,$C$3:$D$15,2,FALSE)*EP$21),IF(EP51-EO52&lt;0,0,EP51-EO52),
IF(AND(EO52&lt;VLOOKUP($C50,$C$3:$D$15,2,FALSE)*EP$21,EP51&gt;VLOOKUP($C50,$C$3:$D$15,2,FALSE)*EP$21),VLOOKUP($C50,$C$3:$D$15,2,FALSE)*EP$21-EO52)))</f>
        <v>0</v>
      </c>
      <c r="EQ50" s="644">
        <f t="shared" ref="EQ50" si="1992" xml:space="preserve">
IF(EP52&gt;=VLOOKUP($C50,$C$3:$D$15,2,FALSE)*EQ$21,0,
IF(AND(EP52&lt;VLOOKUP($C50,$C$3:$D$15,2,FALSE)*EQ$21,EQ51&lt;=VLOOKUP($C50,$C$3:$D$15,2,FALSE)*EQ$21),IF(EQ51-EP52&lt;0,0,EQ51-EP52),
IF(AND(EP52&lt;VLOOKUP($C50,$C$3:$D$15,2,FALSE)*EQ$21,EQ51&gt;VLOOKUP($C50,$C$3:$D$15,2,FALSE)*EQ$21),VLOOKUP($C50,$C$3:$D$15,2,FALSE)*EQ$21-EP52)))</f>
        <v>0</v>
      </c>
      <c r="ER50" s="644">
        <f t="shared" ref="ER50" si="1993" xml:space="preserve">
IF(EQ52&gt;=VLOOKUP($C50,$C$3:$D$15,2,FALSE)*ER$21,0,
IF(AND(EQ52&lt;VLOOKUP($C50,$C$3:$D$15,2,FALSE)*ER$21,ER51&lt;=VLOOKUP($C50,$C$3:$D$15,2,FALSE)*ER$21),IF(ER51-EQ52&lt;0,0,ER51-EQ52),
IF(AND(EQ52&lt;VLOOKUP($C50,$C$3:$D$15,2,FALSE)*ER$21,ER51&gt;VLOOKUP($C50,$C$3:$D$15,2,FALSE)*ER$21),VLOOKUP($C50,$C$3:$D$15,2,FALSE)*ER$21-EQ52)))</f>
        <v>0</v>
      </c>
      <c r="ES50" s="644">
        <f t="shared" ref="ES50" si="1994" xml:space="preserve">
IF(ER52&gt;=VLOOKUP($C50,$C$3:$D$15,2,FALSE)*ES$21,0,
IF(AND(ER52&lt;VLOOKUP($C50,$C$3:$D$15,2,FALSE)*ES$21,ES51&lt;=VLOOKUP($C50,$C$3:$D$15,2,FALSE)*ES$21),IF(ES51-ER52&lt;0,0,ES51-ER52),
IF(AND(ER52&lt;VLOOKUP($C50,$C$3:$D$15,2,FALSE)*ES$21,ES51&gt;VLOOKUP($C50,$C$3:$D$15,2,FALSE)*ES$21),VLOOKUP($C50,$C$3:$D$15,2,FALSE)*ES$21-ER52)))</f>
        <v>0</v>
      </c>
      <c r="ET50" s="644">
        <f t="shared" ref="ET50" si="1995" xml:space="preserve">
IF(ES52&gt;=VLOOKUP($C50,$C$3:$D$15,2,FALSE)*ET$21,0,
IF(AND(ES52&lt;VLOOKUP($C50,$C$3:$D$15,2,FALSE)*ET$21,ET51&lt;=VLOOKUP($C50,$C$3:$D$15,2,FALSE)*ET$21),IF(ET51-ES52&lt;0,0,ET51-ES52),
IF(AND(ES52&lt;VLOOKUP($C50,$C$3:$D$15,2,FALSE)*ET$21,ET51&gt;VLOOKUP($C50,$C$3:$D$15,2,FALSE)*ET$21),VLOOKUP($C50,$C$3:$D$15,2,FALSE)*ET$21-ES52)))</f>
        <v>0</v>
      </c>
      <c r="EU50" s="644">
        <f t="shared" ref="EU50" si="1996" xml:space="preserve">
IF(ET52&gt;=VLOOKUP($C50,$C$3:$D$15,2,FALSE)*EU$21,0,
IF(AND(ET52&lt;VLOOKUP($C50,$C$3:$D$15,2,FALSE)*EU$21,EU51&lt;=VLOOKUP($C50,$C$3:$D$15,2,FALSE)*EU$21),IF(EU51-ET52&lt;0,0,EU51-ET52),
IF(AND(ET52&lt;VLOOKUP($C50,$C$3:$D$15,2,FALSE)*EU$21,EU51&gt;VLOOKUP($C50,$C$3:$D$15,2,FALSE)*EU$21),VLOOKUP($C50,$C$3:$D$15,2,FALSE)*EU$21-ET52)))</f>
        <v>0</v>
      </c>
      <c r="EV50" s="644">
        <f t="shared" ref="EV50" si="1997" xml:space="preserve">
IF(EU52&gt;=VLOOKUP($C50,$C$3:$D$15,2,FALSE)*EV$21,0,
IF(AND(EU52&lt;VLOOKUP($C50,$C$3:$D$15,2,FALSE)*EV$21,EV51&lt;=VLOOKUP($C50,$C$3:$D$15,2,FALSE)*EV$21),IF(EV51-EU52&lt;0,0,EV51-EU52),
IF(AND(EU52&lt;VLOOKUP($C50,$C$3:$D$15,2,FALSE)*EV$21,EV51&gt;VLOOKUP($C50,$C$3:$D$15,2,FALSE)*EV$21),VLOOKUP($C50,$C$3:$D$15,2,FALSE)*EV$21-EU52)))</f>
        <v>0</v>
      </c>
      <c r="EW50" s="644">
        <f t="shared" ref="EW50" si="1998" xml:space="preserve">
IF(EV52&gt;=VLOOKUP($C50,$C$3:$D$15,2,FALSE)*EW$21,0,
IF(AND(EV52&lt;VLOOKUP($C50,$C$3:$D$15,2,FALSE)*EW$21,EW51&lt;=VLOOKUP($C50,$C$3:$D$15,2,FALSE)*EW$21),IF(EW51-EV52&lt;0,0,EW51-EV52),
IF(AND(EV52&lt;VLOOKUP($C50,$C$3:$D$15,2,FALSE)*EW$21,EW51&gt;VLOOKUP($C50,$C$3:$D$15,2,FALSE)*EW$21),VLOOKUP($C50,$C$3:$D$15,2,FALSE)*EW$21-EV52)))</f>
        <v>0</v>
      </c>
      <c r="EX50" s="644">
        <f t="shared" ref="EX50" si="1999" xml:space="preserve">
IF(EW52&gt;=VLOOKUP($C50,$C$3:$D$15,2,FALSE)*EX$21,0,
IF(AND(EW52&lt;VLOOKUP($C50,$C$3:$D$15,2,FALSE)*EX$21,EX51&lt;=VLOOKUP($C50,$C$3:$D$15,2,FALSE)*EX$21),IF(EX51-EW52&lt;0,0,EX51-EW52),
IF(AND(EW52&lt;VLOOKUP($C50,$C$3:$D$15,2,FALSE)*EX$21,EX51&gt;VLOOKUP($C50,$C$3:$D$15,2,FALSE)*EX$21),VLOOKUP($C50,$C$3:$D$15,2,FALSE)*EX$21-EW52)))</f>
        <v>0</v>
      </c>
      <c r="EY50" s="644">
        <f t="shared" ref="EY50" si="2000" xml:space="preserve">
IF(EX52&gt;=VLOOKUP($C50,$C$3:$D$15,2,FALSE)*EY$21,0,
IF(AND(EX52&lt;VLOOKUP($C50,$C$3:$D$15,2,FALSE)*EY$21,EY51&lt;=VLOOKUP($C50,$C$3:$D$15,2,FALSE)*EY$21),IF(EY51-EX52&lt;0,0,EY51-EX52),
IF(AND(EX52&lt;VLOOKUP($C50,$C$3:$D$15,2,FALSE)*EY$21,EY51&gt;VLOOKUP($C50,$C$3:$D$15,2,FALSE)*EY$21),VLOOKUP($C50,$C$3:$D$15,2,FALSE)*EY$21-EX52)))</f>
        <v>0</v>
      </c>
      <c r="EZ50" s="644">
        <f t="shared" ref="EZ50" si="2001" xml:space="preserve">
IF(EY52&gt;=VLOOKUP($C50,$C$3:$D$15,2,FALSE)*EZ$21,0,
IF(AND(EY52&lt;VLOOKUP($C50,$C$3:$D$15,2,FALSE)*EZ$21,EZ51&lt;=VLOOKUP($C50,$C$3:$D$15,2,FALSE)*EZ$21),IF(EZ51-EY52&lt;0,0,EZ51-EY52),
IF(AND(EY52&lt;VLOOKUP($C50,$C$3:$D$15,2,FALSE)*EZ$21,EZ51&gt;VLOOKUP($C50,$C$3:$D$15,2,FALSE)*EZ$21),VLOOKUP($C50,$C$3:$D$15,2,FALSE)*EZ$21-EY52)))</f>
        <v>0</v>
      </c>
      <c r="FA50" s="644">
        <f t="shared" ref="FA50" si="2002" xml:space="preserve">
IF(EZ52&gt;=VLOOKUP($C50,$C$3:$D$15,2,FALSE)*FA$21,0,
IF(AND(EZ52&lt;VLOOKUP($C50,$C$3:$D$15,2,FALSE)*FA$21,FA51&lt;=VLOOKUP($C50,$C$3:$D$15,2,FALSE)*FA$21),IF(FA51-EZ52&lt;0,0,FA51-EZ52),
IF(AND(EZ52&lt;VLOOKUP($C50,$C$3:$D$15,2,FALSE)*FA$21,FA51&gt;VLOOKUP($C50,$C$3:$D$15,2,FALSE)*FA$21),VLOOKUP($C50,$C$3:$D$15,2,FALSE)*FA$21-EZ52)))</f>
        <v>0</v>
      </c>
      <c r="FB50" s="644">
        <f t="shared" ref="FB50" si="2003" xml:space="preserve">
IF(FA52&gt;=VLOOKUP($C50,$C$3:$D$15,2,FALSE)*FB$21,0,
IF(AND(FA52&lt;VLOOKUP($C50,$C$3:$D$15,2,FALSE)*FB$21,FB51&lt;=VLOOKUP($C50,$C$3:$D$15,2,FALSE)*FB$21),IF(FB51-FA52&lt;0,0,FB51-FA52),
IF(AND(FA52&lt;VLOOKUP($C50,$C$3:$D$15,2,FALSE)*FB$21,FB51&gt;VLOOKUP($C50,$C$3:$D$15,2,FALSE)*FB$21),VLOOKUP($C50,$C$3:$D$15,2,FALSE)*FB$21-FA52)))</f>
        <v>0</v>
      </c>
      <c r="FC50" s="644">
        <f t="shared" ref="FC50" si="2004" xml:space="preserve">
IF(FB52&gt;=VLOOKUP($C50,$C$3:$D$15,2,FALSE)*FC$21,0,
IF(AND(FB52&lt;VLOOKUP($C50,$C$3:$D$15,2,FALSE)*FC$21,FC51&lt;=VLOOKUP($C50,$C$3:$D$15,2,FALSE)*FC$21),IF(FC51-FB52&lt;0,0,FC51-FB52),
IF(AND(FB52&lt;VLOOKUP($C50,$C$3:$D$15,2,FALSE)*FC$21,FC51&gt;VLOOKUP($C50,$C$3:$D$15,2,FALSE)*FC$21),VLOOKUP($C50,$C$3:$D$15,2,FALSE)*FC$21-FB52)))</f>
        <v>0</v>
      </c>
      <c r="FD50" s="644">
        <f t="shared" ref="FD50" si="2005" xml:space="preserve">
IF(FC52&gt;=VLOOKUP($C50,$C$3:$D$15,2,FALSE)*FD$21,0,
IF(AND(FC52&lt;VLOOKUP($C50,$C$3:$D$15,2,FALSE)*FD$21,FD51&lt;=VLOOKUP($C50,$C$3:$D$15,2,FALSE)*FD$21),IF(FD51-FC52&lt;0,0,FD51-FC52),
IF(AND(FC52&lt;VLOOKUP($C50,$C$3:$D$15,2,FALSE)*FD$21,FD51&gt;VLOOKUP($C50,$C$3:$D$15,2,FALSE)*FD$21),VLOOKUP($C50,$C$3:$D$15,2,FALSE)*FD$21-FC52)))</f>
        <v>0</v>
      </c>
      <c r="FE50" s="644">
        <f t="shared" ref="FE50" si="2006" xml:space="preserve">
IF(FD52&gt;=VLOOKUP($C50,$C$3:$D$15,2,FALSE)*FE$21,0,
IF(AND(FD52&lt;VLOOKUP($C50,$C$3:$D$15,2,FALSE)*FE$21,FE51&lt;=VLOOKUP($C50,$C$3:$D$15,2,FALSE)*FE$21),IF(FE51-FD52&lt;0,0,FE51-FD52),
IF(AND(FD52&lt;VLOOKUP($C50,$C$3:$D$15,2,FALSE)*FE$21,FE51&gt;VLOOKUP($C50,$C$3:$D$15,2,FALSE)*FE$21),VLOOKUP($C50,$C$3:$D$15,2,FALSE)*FE$21-FD52)))</f>
        <v>0</v>
      </c>
      <c r="FF50" s="644">
        <f t="shared" ref="FF50" si="2007" xml:space="preserve">
IF(FE52&gt;=VLOOKUP($C50,$C$3:$D$15,2,FALSE)*FF$21,0,
IF(AND(FE52&lt;VLOOKUP($C50,$C$3:$D$15,2,FALSE)*FF$21,FF51&lt;=VLOOKUP($C50,$C$3:$D$15,2,FALSE)*FF$21),IF(FF51-FE52&lt;0,0,FF51-FE52),
IF(AND(FE52&lt;VLOOKUP($C50,$C$3:$D$15,2,FALSE)*FF$21,FF51&gt;VLOOKUP($C50,$C$3:$D$15,2,FALSE)*FF$21),VLOOKUP($C50,$C$3:$D$15,2,FALSE)*FF$21-FE52)))</f>
        <v>0</v>
      </c>
      <c r="FG50" s="644">
        <f t="shared" ref="FG50" si="2008" xml:space="preserve">
IF(FF52&gt;=VLOOKUP($C50,$C$3:$D$15,2,FALSE)*FG$21,0,
IF(AND(FF52&lt;VLOOKUP($C50,$C$3:$D$15,2,FALSE)*FG$21,FG51&lt;=VLOOKUP($C50,$C$3:$D$15,2,FALSE)*FG$21),IF(FG51-FF52&lt;0,0,FG51-FF52),
IF(AND(FF52&lt;VLOOKUP($C50,$C$3:$D$15,2,FALSE)*FG$21,FG51&gt;VLOOKUP($C50,$C$3:$D$15,2,FALSE)*FG$21),VLOOKUP($C50,$C$3:$D$15,2,FALSE)*FG$21-FF52)))</f>
        <v>0</v>
      </c>
      <c r="FH50" s="644">
        <f t="shared" ref="FH50" si="2009" xml:space="preserve">
IF(FG52&gt;=VLOOKUP($C50,$C$3:$D$15,2,FALSE)*FH$21,0,
IF(AND(FG52&lt;VLOOKUP($C50,$C$3:$D$15,2,FALSE)*FH$21,FH51&lt;=VLOOKUP($C50,$C$3:$D$15,2,FALSE)*FH$21),IF(FH51-FG52&lt;0,0,FH51-FG52),
IF(AND(FG52&lt;VLOOKUP($C50,$C$3:$D$15,2,FALSE)*FH$21,FH51&gt;VLOOKUP($C50,$C$3:$D$15,2,FALSE)*FH$21),VLOOKUP($C50,$C$3:$D$15,2,FALSE)*FH$21-FG52)))</f>
        <v>0</v>
      </c>
      <c r="FI50" s="644">
        <f t="shared" ref="FI50" si="2010" xml:space="preserve">
IF(FH52&gt;=VLOOKUP($C50,$C$3:$D$15,2,FALSE)*FI$21,0,
IF(AND(FH52&lt;VLOOKUP($C50,$C$3:$D$15,2,FALSE)*FI$21,FI51&lt;=VLOOKUP($C50,$C$3:$D$15,2,FALSE)*FI$21),IF(FI51-FH52&lt;0,0,FI51-FH52),
IF(AND(FH52&lt;VLOOKUP($C50,$C$3:$D$15,2,FALSE)*FI$21,FI51&gt;VLOOKUP($C50,$C$3:$D$15,2,FALSE)*FI$21),VLOOKUP($C50,$C$3:$D$15,2,FALSE)*FI$21-FH52)))</f>
        <v>0</v>
      </c>
      <c r="FJ50" s="644">
        <f t="shared" ref="FJ50" si="2011" xml:space="preserve">
IF(FI52&gt;=VLOOKUP($C50,$C$3:$D$15,2,FALSE)*FJ$21,0,
IF(AND(FI52&lt;VLOOKUP($C50,$C$3:$D$15,2,FALSE)*FJ$21,FJ51&lt;=VLOOKUP($C50,$C$3:$D$15,2,FALSE)*FJ$21),IF(FJ51-FI52&lt;0,0,FJ51-FI52),
IF(AND(FI52&lt;VLOOKUP($C50,$C$3:$D$15,2,FALSE)*FJ$21,FJ51&gt;VLOOKUP($C50,$C$3:$D$15,2,FALSE)*FJ$21),VLOOKUP($C50,$C$3:$D$15,2,FALSE)*FJ$21-FI52)))</f>
        <v>0</v>
      </c>
      <c r="FK50" s="644">
        <f t="shared" ref="FK50" si="2012" xml:space="preserve">
IF(FJ52&gt;=VLOOKUP($C50,$C$3:$D$15,2,FALSE)*FK$21,0,
IF(AND(FJ52&lt;VLOOKUP($C50,$C$3:$D$15,2,FALSE)*FK$21,FK51&lt;=VLOOKUP($C50,$C$3:$D$15,2,FALSE)*FK$21),IF(FK51-FJ52&lt;0,0,FK51-FJ52),
IF(AND(FJ52&lt;VLOOKUP($C50,$C$3:$D$15,2,FALSE)*FK$21,FK51&gt;VLOOKUP($C50,$C$3:$D$15,2,FALSE)*FK$21),VLOOKUP($C50,$C$3:$D$15,2,FALSE)*FK$21-FJ52)))</f>
        <v>0</v>
      </c>
      <c r="FL50" s="644">
        <f t="shared" ref="FL50" si="2013" xml:space="preserve">
IF(FK52&gt;=VLOOKUP($C50,$C$3:$D$15,2,FALSE)*FL$21,0,
IF(AND(FK52&lt;VLOOKUP($C50,$C$3:$D$15,2,FALSE)*FL$21,FL51&lt;=VLOOKUP($C50,$C$3:$D$15,2,FALSE)*FL$21),IF(FL51-FK52&lt;0,0,FL51-FK52),
IF(AND(FK52&lt;VLOOKUP($C50,$C$3:$D$15,2,FALSE)*FL$21,FL51&gt;VLOOKUP($C50,$C$3:$D$15,2,FALSE)*FL$21),VLOOKUP($C50,$C$3:$D$15,2,FALSE)*FL$21-FK52)))</f>
        <v>0</v>
      </c>
      <c r="FM50" s="644">
        <f t="shared" ref="FM50" si="2014" xml:space="preserve">
IF(FL52&gt;=VLOOKUP($C50,$C$3:$D$15,2,FALSE)*FM$21,0,
IF(AND(FL52&lt;VLOOKUP($C50,$C$3:$D$15,2,FALSE)*FM$21,FM51&lt;=VLOOKUP($C50,$C$3:$D$15,2,FALSE)*FM$21),IF(FM51-FL52&lt;0,0,FM51-FL52),
IF(AND(FL52&lt;VLOOKUP($C50,$C$3:$D$15,2,FALSE)*FM$21,FM51&gt;VLOOKUP($C50,$C$3:$D$15,2,FALSE)*FM$21),VLOOKUP($C50,$C$3:$D$15,2,FALSE)*FM$21-FL52)))</f>
        <v>0</v>
      </c>
      <c r="FN50" s="644">
        <f t="shared" ref="FN50" si="2015" xml:space="preserve">
IF(FM52&gt;=VLOOKUP($C50,$C$3:$D$15,2,FALSE)*FN$21,0,
IF(AND(FM52&lt;VLOOKUP($C50,$C$3:$D$15,2,FALSE)*FN$21,FN51&lt;=VLOOKUP($C50,$C$3:$D$15,2,FALSE)*FN$21),IF(FN51-FM52&lt;0,0,FN51-FM52),
IF(AND(FM52&lt;VLOOKUP($C50,$C$3:$D$15,2,FALSE)*FN$21,FN51&gt;VLOOKUP($C50,$C$3:$D$15,2,FALSE)*FN$21),VLOOKUP($C50,$C$3:$D$15,2,FALSE)*FN$21-FM52)))</f>
        <v>0</v>
      </c>
      <c r="FO50" s="644">
        <f t="shared" ref="FO50" si="2016" xml:space="preserve">
IF(FN52&gt;=VLOOKUP($C50,$C$3:$D$15,2,FALSE)*FO$21,0,
IF(AND(FN52&lt;VLOOKUP($C50,$C$3:$D$15,2,FALSE)*FO$21,FO51&lt;=VLOOKUP($C50,$C$3:$D$15,2,FALSE)*FO$21),IF(FO51-FN52&lt;0,0,FO51-FN52),
IF(AND(FN52&lt;VLOOKUP($C50,$C$3:$D$15,2,FALSE)*FO$21,FO51&gt;VLOOKUP($C50,$C$3:$D$15,2,FALSE)*FO$21),VLOOKUP($C50,$C$3:$D$15,2,FALSE)*FO$21-FN52)))</f>
        <v>0</v>
      </c>
      <c r="FP50" s="644">
        <f t="shared" ref="FP50" si="2017" xml:space="preserve">
IF(FO52&gt;=VLOOKUP($C50,$C$3:$D$15,2,FALSE)*FP$21,0,
IF(AND(FO52&lt;VLOOKUP($C50,$C$3:$D$15,2,FALSE)*FP$21,FP51&lt;=VLOOKUP($C50,$C$3:$D$15,2,FALSE)*FP$21),IF(FP51-FO52&lt;0,0,FP51-FO52),
IF(AND(FO52&lt;VLOOKUP($C50,$C$3:$D$15,2,FALSE)*FP$21,FP51&gt;VLOOKUP($C50,$C$3:$D$15,2,FALSE)*FP$21),VLOOKUP($C50,$C$3:$D$15,2,FALSE)*FP$21-FO52)))</f>
        <v>0</v>
      </c>
      <c r="FQ50" s="644">
        <f t="shared" ref="FQ50" si="2018" xml:space="preserve">
IF(FP52&gt;=VLOOKUP($C50,$C$3:$D$15,2,FALSE)*FQ$21,0,
IF(AND(FP52&lt;VLOOKUP($C50,$C$3:$D$15,2,FALSE)*FQ$21,FQ51&lt;=VLOOKUP($C50,$C$3:$D$15,2,FALSE)*FQ$21),IF(FQ51-FP52&lt;0,0,FQ51-FP52),
IF(AND(FP52&lt;VLOOKUP($C50,$C$3:$D$15,2,FALSE)*FQ$21,FQ51&gt;VLOOKUP($C50,$C$3:$D$15,2,FALSE)*FQ$21),VLOOKUP($C50,$C$3:$D$15,2,FALSE)*FQ$21-FP52)))</f>
        <v>0</v>
      </c>
      <c r="FR50" s="644">
        <f t="shared" ref="FR50" si="2019" xml:space="preserve">
IF(FQ52&gt;=VLOOKUP($C50,$C$3:$D$15,2,FALSE)*FR$21,0,
IF(AND(FQ52&lt;VLOOKUP($C50,$C$3:$D$15,2,FALSE)*FR$21,FR51&lt;=VLOOKUP($C50,$C$3:$D$15,2,FALSE)*FR$21),IF(FR51-FQ52&lt;0,0,FR51-FQ52),
IF(AND(FQ52&lt;VLOOKUP($C50,$C$3:$D$15,2,FALSE)*FR$21,FR51&gt;VLOOKUP($C50,$C$3:$D$15,2,FALSE)*FR$21),VLOOKUP($C50,$C$3:$D$15,2,FALSE)*FR$21-FQ52)))</f>
        <v>0</v>
      </c>
      <c r="FS50" s="644">
        <f t="shared" ref="FS50" si="2020" xml:space="preserve">
IF(FR52&gt;=VLOOKUP($C50,$C$3:$D$15,2,FALSE)*FS$21,0,
IF(AND(FR52&lt;VLOOKUP($C50,$C$3:$D$15,2,FALSE)*FS$21,FS51&lt;=VLOOKUP($C50,$C$3:$D$15,2,FALSE)*FS$21),IF(FS51-FR52&lt;0,0,FS51-FR52),
IF(AND(FR52&lt;VLOOKUP($C50,$C$3:$D$15,2,FALSE)*FS$21,FS51&gt;VLOOKUP($C50,$C$3:$D$15,2,FALSE)*FS$21),VLOOKUP($C50,$C$3:$D$15,2,FALSE)*FS$21-FR52)))</f>
        <v>0</v>
      </c>
      <c r="FT50" s="644">
        <f t="shared" ref="FT50" si="2021" xml:space="preserve">
IF(FS52&gt;=VLOOKUP($C50,$C$3:$D$15,2,FALSE)*FT$21,0,
IF(AND(FS52&lt;VLOOKUP($C50,$C$3:$D$15,2,FALSE)*FT$21,FT51&lt;=VLOOKUP($C50,$C$3:$D$15,2,FALSE)*FT$21),IF(FT51-FS52&lt;0,0,FT51-FS52),
IF(AND(FS52&lt;VLOOKUP($C50,$C$3:$D$15,2,FALSE)*FT$21,FT51&gt;VLOOKUP($C50,$C$3:$D$15,2,FALSE)*FT$21),VLOOKUP($C50,$C$3:$D$15,2,FALSE)*FT$21-FS52)))</f>
        <v>0</v>
      </c>
      <c r="FU50" s="644">
        <f t="shared" ref="FU50" si="2022" xml:space="preserve">
IF(FT52&gt;=VLOOKUP($C50,$C$3:$D$15,2,FALSE)*FU$21,0,
IF(AND(FT52&lt;VLOOKUP($C50,$C$3:$D$15,2,FALSE)*FU$21,FU51&lt;=VLOOKUP($C50,$C$3:$D$15,2,FALSE)*FU$21),IF(FU51-FT52&lt;0,0,FU51-FT52),
IF(AND(FT52&lt;VLOOKUP($C50,$C$3:$D$15,2,FALSE)*FU$21,FU51&gt;VLOOKUP($C50,$C$3:$D$15,2,FALSE)*FU$21),VLOOKUP($C50,$C$3:$D$15,2,FALSE)*FU$21-FT52)))</f>
        <v>0</v>
      </c>
      <c r="FV50" s="644">
        <f t="shared" ref="FV50" si="2023" xml:space="preserve">
IF(FU52&gt;=VLOOKUP($C50,$C$3:$D$15,2,FALSE)*FV$21,0,
IF(AND(FU52&lt;VLOOKUP($C50,$C$3:$D$15,2,FALSE)*FV$21,FV51&lt;=VLOOKUP($C50,$C$3:$D$15,2,FALSE)*FV$21),IF(FV51-FU52&lt;0,0,FV51-FU52),
IF(AND(FU52&lt;VLOOKUP($C50,$C$3:$D$15,2,FALSE)*FV$21,FV51&gt;VLOOKUP($C50,$C$3:$D$15,2,FALSE)*FV$21),VLOOKUP($C50,$C$3:$D$15,2,FALSE)*FV$21-FU52)))</f>
        <v>0</v>
      </c>
      <c r="FW50" s="644">
        <f t="shared" ref="FW50" si="2024" xml:space="preserve">
IF(FV52&gt;=VLOOKUP($C50,$C$3:$D$15,2,FALSE)*FW$21,0,
IF(AND(FV52&lt;VLOOKUP($C50,$C$3:$D$15,2,FALSE)*FW$21,FW51&lt;=VLOOKUP($C50,$C$3:$D$15,2,FALSE)*FW$21),IF(FW51-FV52&lt;0,0,FW51-FV52),
IF(AND(FV52&lt;VLOOKUP($C50,$C$3:$D$15,2,FALSE)*FW$21,FW51&gt;VLOOKUP($C50,$C$3:$D$15,2,FALSE)*FW$21),VLOOKUP($C50,$C$3:$D$15,2,FALSE)*FW$21-FV52)))</f>
        <v>0</v>
      </c>
      <c r="FX50" s="644">
        <f t="shared" ref="FX50" si="2025" xml:space="preserve">
IF(FW52&gt;=VLOOKUP($C50,$C$3:$D$15,2,FALSE)*FX$21,0,
IF(AND(FW52&lt;VLOOKUP($C50,$C$3:$D$15,2,FALSE)*FX$21,FX51&lt;=VLOOKUP($C50,$C$3:$D$15,2,FALSE)*FX$21),IF(FX51-FW52&lt;0,0,FX51-FW52),
IF(AND(FW52&lt;VLOOKUP($C50,$C$3:$D$15,2,FALSE)*FX$21,FX51&gt;VLOOKUP($C50,$C$3:$D$15,2,FALSE)*FX$21),VLOOKUP($C50,$C$3:$D$15,2,FALSE)*FX$21-FW52)))</f>
        <v>0</v>
      </c>
      <c r="FY50" s="644">
        <f t="shared" ref="FY50" si="2026" xml:space="preserve">
IF(FX52&gt;=VLOOKUP($C50,$C$3:$D$15,2,FALSE)*FY$21,0,
IF(AND(FX52&lt;VLOOKUP($C50,$C$3:$D$15,2,FALSE)*FY$21,FY51&lt;=VLOOKUP($C50,$C$3:$D$15,2,FALSE)*FY$21),IF(FY51-FX52&lt;0,0,FY51-FX52),
IF(AND(FX52&lt;VLOOKUP($C50,$C$3:$D$15,2,FALSE)*FY$21,FY51&gt;VLOOKUP($C50,$C$3:$D$15,2,FALSE)*FY$21),VLOOKUP($C50,$C$3:$D$15,2,FALSE)*FY$21-FX52)))</f>
        <v>0</v>
      </c>
      <c r="FZ50" s="644">
        <f t="shared" ref="FZ50" si="2027" xml:space="preserve">
IF(FY52&gt;=VLOOKUP($C50,$C$3:$D$15,2,FALSE)*FZ$21,0,
IF(AND(FY52&lt;VLOOKUP($C50,$C$3:$D$15,2,FALSE)*FZ$21,FZ51&lt;=VLOOKUP($C50,$C$3:$D$15,2,FALSE)*FZ$21),IF(FZ51-FY52&lt;0,0,FZ51-FY52),
IF(AND(FY52&lt;VLOOKUP($C50,$C$3:$D$15,2,FALSE)*FZ$21,FZ51&gt;VLOOKUP($C50,$C$3:$D$15,2,FALSE)*FZ$21),VLOOKUP($C50,$C$3:$D$15,2,FALSE)*FZ$21-FY52)))</f>
        <v>0</v>
      </c>
      <c r="GA50" s="644">
        <f t="shared" ref="GA50" si="2028" xml:space="preserve">
IF(FZ52&gt;=VLOOKUP($C50,$C$3:$D$15,2,FALSE)*GA$21,0,
IF(AND(FZ52&lt;VLOOKUP($C50,$C$3:$D$15,2,FALSE)*GA$21,GA51&lt;=VLOOKUP($C50,$C$3:$D$15,2,FALSE)*GA$21),IF(GA51-FZ52&lt;0,0,GA51-FZ52),
IF(AND(FZ52&lt;VLOOKUP($C50,$C$3:$D$15,2,FALSE)*GA$21,GA51&gt;VLOOKUP($C50,$C$3:$D$15,2,FALSE)*GA$21),VLOOKUP($C50,$C$3:$D$15,2,FALSE)*GA$21-FZ52)))</f>
        <v>0</v>
      </c>
      <c r="GB50" s="644">
        <f t="shared" ref="GB50" si="2029" xml:space="preserve">
IF(GA52&gt;=VLOOKUP($C50,$C$3:$D$15,2,FALSE)*GB$21,0,
IF(AND(GA52&lt;VLOOKUP($C50,$C$3:$D$15,2,FALSE)*GB$21,GB51&lt;=VLOOKUP($C50,$C$3:$D$15,2,FALSE)*GB$21),IF(GB51-GA52&lt;0,0,GB51-GA52),
IF(AND(GA52&lt;VLOOKUP($C50,$C$3:$D$15,2,FALSE)*GB$21,GB51&gt;VLOOKUP($C50,$C$3:$D$15,2,FALSE)*GB$21),VLOOKUP($C50,$C$3:$D$15,2,FALSE)*GB$21-GA52)))</f>
        <v>0</v>
      </c>
      <c r="GC50" s="644">
        <f t="shared" ref="GC50" si="2030" xml:space="preserve">
IF(GB52&gt;=VLOOKUP($C50,$C$3:$D$15,2,FALSE)*GC$21,0,
IF(AND(GB52&lt;VLOOKUP($C50,$C$3:$D$15,2,FALSE)*GC$21,GC51&lt;=VLOOKUP($C50,$C$3:$D$15,2,FALSE)*GC$21),IF(GC51-GB52&lt;0,0,GC51-GB52),
IF(AND(GB52&lt;VLOOKUP($C50,$C$3:$D$15,2,FALSE)*GC$21,GC51&gt;VLOOKUP($C50,$C$3:$D$15,2,FALSE)*GC$21),VLOOKUP($C50,$C$3:$D$15,2,FALSE)*GC$21-GB52)))</f>
        <v>0</v>
      </c>
      <c r="GD50" s="644">
        <f t="shared" ref="GD50" si="2031" xml:space="preserve">
IF(GC52&gt;=VLOOKUP($C50,$C$3:$D$15,2,FALSE)*GD$21,0,
IF(AND(GC52&lt;VLOOKUP($C50,$C$3:$D$15,2,FALSE)*GD$21,GD51&lt;=VLOOKUP($C50,$C$3:$D$15,2,FALSE)*GD$21),IF(GD51-GC52&lt;0,0,GD51-GC52),
IF(AND(GC52&lt;VLOOKUP($C50,$C$3:$D$15,2,FALSE)*GD$21,GD51&gt;VLOOKUP($C50,$C$3:$D$15,2,FALSE)*GD$21),VLOOKUP($C50,$C$3:$D$15,2,FALSE)*GD$21-GC52)))</f>
        <v>0</v>
      </c>
      <c r="GE50" s="644">
        <f t="shared" ref="GE50" si="2032" xml:space="preserve">
IF(GD52&gt;=VLOOKUP($C50,$C$3:$D$15,2,FALSE)*GE$21,0,
IF(AND(GD52&lt;VLOOKUP($C50,$C$3:$D$15,2,FALSE)*GE$21,GE51&lt;=VLOOKUP($C50,$C$3:$D$15,2,FALSE)*GE$21),IF(GE51-GD52&lt;0,0,GE51-GD52),
IF(AND(GD52&lt;VLOOKUP($C50,$C$3:$D$15,2,FALSE)*GE$21,GE51&gt;VLOOKUP($C50,$C$3:$D$15,2,FALSE)*GE$21),VLOOKUP($C50,$C$3:$D$15,2,FALSE)*GE$21-GD52)))</f>
        <v>0</v>
      </c>
      <c r="GF50" s="644">
        <f t="shared" ref="GF50" si="2033" xml:space="preserve">
IF(GE52&gt;=VLOOKUP($C50,$C$3:$D$15,2,FALSE)*GF$21,0,
IF(AND(GE52&lt;VLOOKUP($C50,$C$3:$D$15,2,FALSE)*GF$21,GF51&lt;=VLOOKUP($C50,$C$3:$D$15,2,FALSE)*GF$21),IF(GF51-GE52&lt;0,0,GF51-GE52),
IF(AND(GE52&lt;VLOOKUP($C50,$C$3:$D$15,2,FALSE)*GF$21,GF51&gt;VLOOKUP($C50,$C$3:$D$15,2,FALSE)*GF$21),VLOOKUP($C50,$C$3:$D$15,2,FALSE)*GF$21-GE52)))</f>
        <v>0</v>
      </c>
      <c r="GG50" s="644">
        <f t="shared" ref="GG50" si="2034" xml:space="preserve">
IF(GF52&gt;=VLOOKUP($C50,$C$3:$D$15,2,FALSE)*GG$21,0,
IF(AND(GF52&lt;VLOOKUP($C50,$C$3:$D$15,2,FALSE)*GG$21,GG51&lt;=VLOOKUP($C50,$C$3:$D$15,2,FALSE)*GG$21),IF(GG51-GF52&lt;0,0,GG51-GF52),
IF(AND(GF52&lt;VLOOKUP($C50,$C$3:$D$15,2,FALSE)*GG$21,GG51&gt;VLOOKUP($C50,$C$3:$D$15,2,FALSE)*GG$21),VLOOKUP($C50,$C$3:$D$15,2,FALSE)*GG$21-GF52)))</f>
        <v>0</v>
      </c>
      <c r="GH50" s="644">
        <f t="shared" ref="GH50" si="2035" xml:space="preserve">
IF(GG52&gt;=VLOOKUP($C50,$C$3:$D$15,2,FALSE)*GH$21,0,
IF(AND(GG52&lt;VLOOKUP($C50,$C$3:$D$15,2,FALSE)*GH$21,GH51&lt;=VLOOKUP($C50,$C$3:$D$15,2,FALSE)*GH$21),IF(GH51-GG52&lt;0,0,GH51-GG52),
IF(AND(GG52&lt;VLOOKUP($C50,$C$3:$D$15,2,FALSE)*GH$21,GH51&gt;VLOOKUP($C50,$C$3:$D$15,2,FALSE)*GH$21),VLOOKUP($C50,$C$3:$D$15,2,FALSE)*GH$21-GG52)))</f>
        <v>0</v>
      </c>
      <c r="GI50" s="644">
        <f t="shared" ref="GI50" si="2036" xml:space="preserve">
IF(GH52&gt;=VLOOKUP($C50,$C$3:$D$15,2,FALSE)*GI$21,0,
IF(AND(GH52&lt;VLOOKUP($C50,$C$3:$D$15,2,FALSE)*GI$21,GI51&lt;=VLOOKUP($C50,$C$3:$D$15,2,FALSE)*GI$21),IF(GI51-GH52&lt;0,0,GI51-GH52),
IF(AND(GH52&lt;VLOOKUP($C50,$C$3:$D$15,2,FALSE)*GI$21,GI51&gt;VLOOKUP($C50,$C$3:$D$15,2,FALSE)*GI$21),VLOOKUP($C50,$C$3:$D$15,2,FALSE)*GI$21-GH52)))</f>
        <v>0</v>
      </c>
      <c r="GJ50" s="644">
        <f t="shared" ref="GJ50" si="2037" xml:space="preserve">
IF(GI52&gt;=VLOOKUP($C50,$C$3:$D$15,2,FALSE)*GJ$21,0,
IF(AND(GI52&lt;VLOOKUP($C50,$C$3:$D$15,2,FALSE)*GJ$21,GJ51&lt;=VLOOKUP($C50,$C$3:$D$15,2,FALSE)*GJ$21),IF(GJ51-GI52&lt;0,0,GJ51-GI52),
IF(AND(GI52&lt;VLOOKUP($C50,$C$3:$D$15,2,FALSE)*GJ$21,GJ51&gt;VLOOKUP($C50,$C$3:$D$15,2,FALSE)*GJ$21),VLOOKUP($C50,$C$3:$D$15,2,FALSE)*GJ$21-GI52)))</f>
        <v>0</v>
      </c>
    </row>
    <row r="51" spans="2:192" s="645" customFormat="1">
      <c r="B51" s="654"/>
      <c r="C51" s="643"/>
      <c r="D51" s="769" t="s">
        <v>1467</v>
      </c>
      <c r="E51" s="774"/>
      <c r="F51" s="707"/>
      <c r="G51" s="644">
        <f>SUMIF(防護具!$Y$30:$Y$212,G$17&amp;$C50,防護具!$Q$30:$Q$212)</f>
        <v>0</v>
      </c>
      <c r="H51" s="644">
        <f>IFERROR(
SUM(G51,SUMIF(防護具!$Y$30:$Y$212,H$17&amp;$C50,防護具!$Q$30:$Q$212))-G50,0)</f>
        <v>0</v>
      </c>
      <c r="I51" s="644">
        <f>IFERROR(
SUM(H51,SUMIF(防護具!$Y$30:$Y$212,I$17&amp;$C50,防護具!$Q$30:$Q$212))-H50,0)</f>
        <v>0</v>
      </c>
      <c r="J51" s="644">
        <f>IFERROR(
SUM(I51,SUMIF(防護具!$Y$30:$Y$212,J$17&amp;$C50,防護具!$Q$30:$Q$212))-I50,0)</f>
        <v>0</v>
      </c>
      <c r="K51" s="644">
        <f>IFERROR(
SUM(J51,SUMIF(防護具!$Y$30:$Y$212,K$17&amp;$C50,防護具!$Q$30:$Q$212))-J50,0)</f>
        <v>0</v>
      </c>
      <c r="L51" s="644">
        <f>IFERROR(
SUM(K51,SUMIF(防護具!$Y$30:$Y$212,L$17&amp;$C50,防護具!$Q$30:$Q$212))-K50,0)</f>
        <v>0</v>
      </c>
      <c r="M51" s="644">
        <f>IFERROR(
SUM(L51,SUMIF(防護具!$Y$30:$Y$212,M$17&amp;$C50,防護具!$Q$30:$Q$212))-L50,0)</f>
        <v>0</v>
      </c>
      <c r="N51" s="644">
        <f>IFERROR(
SUM(M51,SUMIF(防護具!$Y$30:$Y$212,N$17&amp;$C50,防護具!$Q$30:$Q$212))-M50,0)</f>
        <v>0</v>
      </c>
      <c r="O51" s="644">
        <f>IFERROR(
SUM(N51,SUMIF(防護具!$Y$30:$Y$212,O$17&amp;$C50,防護具!$Q$30:$Q$212))-N50,0)</f>
        <v>0</v>
      </c>
      <c r="P51" s="644">
        <f>IFERROR(
SUM(O51,SUMIF(防護具!$Y$30:$Y$212,P$17&amp;$C50,防護具!$Q$30:$Q$212))-O50,0)</f>
        <v>0</v>
      </c>
      <c r="Q51" s="644">
        <f>IFERROR(
SUM(P51,SUMIF(防護具!$Y$30:$Y$212,Q$17&amp;$C50,防護具!$Q$30:$Q$212))-P50,0)</f>
        <v>0</v>
      </c>
      <c r="R51" s="644">
        <f>IFERROR(
SUM(Q51,SUMIF(防護具!$Y$30:$Y$212,R$17&amp;$C50,防護具!$Q$30:$Q$212))-Q50,0)</f>
        <v>0</v>
      </c>
      <c r="S51" s="644">
        <f>IFERROR(
SUM(R51,SUMIF(防護具!$Y$30:$Y$212,S$17&amp;$C50,防護具!$Q$30:$Q$212))-R50,0)</f>
        <v>0</v>
      </c>
      <c r="T51" s="644">
        <f>IFERROR(
SUM(S51,SUMIF(防護具!$Y$30:$Y$212,T$17&amp;$C50,防護具!$Q$30:$Q$212))-S50,0)</f>
        <v>0</v>
      </c>
      <c r="U51" s="644">
        <f>IFERROR(
SUM(T51,SUMIF(防護具!$Y$30:$Y$212,U$17&amp;$C50,防護具!$Q$30:$Q$212))-T50,0)</f>
        <v>0</v>
      </c>
      <c r="V51" s="644">
        <f>IFERROR(
SUM(U51,SUMIF(防護具!$Y$30:$Y$212,V$17&amp;$C50,防護具!$Q$30:$Q$212))-U50,0)</f>
        <v>0</v>
      </c>
      <c r="W51" s="644">
        <f>IFERROR(
SUM(V51,SUMIF(防護具!$Y$30:$Y$212,W$17&amp;$C50,防護具!$Q$30:$Q$212))-V50,0)</f>
        <v>0</v>
      </c>
      <c r="X51" s="644">
        <f>IFERROR(
SUM(W51,SUMIF(防護具!$Y$30:$Y$212,X$17&amp;$C50,防護具!$Q$30:$Q$212))-W50,0)</f>
        <v>0</v>
      </c>
      <c r="Y51" s="644">
        <f>IFERROR(
SUM(X51,SUMIF(防護具!$Y$30:$Y$212,Y$17&amp;$C50,防護具!$Q$30:$Q$212))-X50,0)</f>
        <v>0</v>
      </c>
      <c r="Z51" s="644">
        <f>IFERROR(
SUM(Y51,SUMIF(防護具!$Y$30:$Y$212,Z$17&amp;$C50,防護具!$Q$30:$Q$212))-Y50,0)</f>
        <v>0</v>
      </c>
      <c r="AA51" s="644">
        <f>IFERROR(
SUM(Z51,SUMIF(防護具!$Y$30:$Y$212,AA$17&amp;$C50,防護具!$Q$30:$Q$212))-Z50,0)</f>
        <v>0</v>
      </c>
      <c r="AB51" s="644">
        <f>IFERROR(
SUM(AA51,SUMIF(防護具!$Y$30:$Y$212,AB$17&amp;$C50,防護具!$Q$30:$Q$212))-AA50,0)</f>
        <v>0</v>
      </c>
      <c r="AC51" s="644">
        <f>IFERROR(
SUM(AB51,SUMIF(防護具!$Y$30:$Y$212,AC$17&amp;$C50,防護具!$Q$30:$Q$212))-AB50,0)</f>
        <v>0</v>
      </c>
      <c r="AD51" s="644">
        <f>IFERROR(
SUM(AC51,SUMIF(防護具!$Y$30:$Y$212,AD$17&amp;$C50,防護具!$Q$30:$Q$212))-AC50,0)</f>
        <v>0</v>
      </c>
      <c r="AE51" s="644">
        <f>IFERROR(
SUM(AD51,SUMIF(防護具!$Y$30:$Y$212,AE$17&amp;$C50,防護具!$Q$30:$Q$212))-AD50,0)</f>
        <v>0</v>
      </c>
      <c r="AF51" s="644">
        <f>IFERROR(
SUM(AE51,SUMIF(防護具!$Y$30:$Y$212,AF$17&amp;$C50,防護具!$Q$30:$Q$212))-AE50,0)</f>
        <v>0</v>
      </c>
      <c r="AG51" s="644">
        <f>IFERROR(
SUM(AF51,SUMIF(防護具!$Y$30:$Y$212,AG$17&amp;$C50,防護具!$Q$30:$Q$212))-AF50,0)</f>
        <v>0</v>
      </c>
      <c r="AH51" s="644">
        <f>IFERROR(
SUM(AG51,SUMIF(防護具!$Y$30:$Y$212,AH$17&amp;$C50,防護具!$Q$30:$Q$212))-AG50,0)</f>
        <v>0</v>
      </c>
      <c r="AI51" s="644">
        <f>IFERROR(
SUM(AH51,SUMIF(防護具!$Y$30:$Y$212,AI$17&amp;$C50,防護具!$Q$30:$Q$212))-AH50,0)</f>
        <v>0</v>
      </c>
      <c r="AJ51" s="644">
        <f>IFERROR(
SUM(AI51,SUMIF(防護具!$Y$30:$Y$212,AJ$17&amp;$C50,防護具!$Q$30:$Q$212))-AI50,0)</f>
        <v>0</v>
      </c>
      <c r="AK51" s="644">
        <f>IFERROR(
SUM(AJ51,SUMIF(防護具!$Y$30:$Y$212,AK$17&amp;$C50,防護具!$Q$30:$Q$212))-AJ50,0)</f>
        <v>0</v>
      </c>
      <c r="AL51" s="644">
        <f>IFERROR(
SUM(AK51,SUMIF(防護具!$Y$30:$Y$212,AL$17&amp;$C50,防護具!$Q$30:$Q$212))-AK50,0)</f>
        <v>0</v>
      </c>
      <c r="AM51" s="644">
        <f>IFERROR(
SUM(AL51,SUMIF(防護具!$Y$30:$Y$212,AM$17&amp;$C50,防護具!$Q$30:$Q$212))-AL50,0)</f>
        <v>0</v>
      </c>
      <c r="AN51" s="644">
        <f>IFERROR(
SUM(AM51,SUMIF(防護具!$Y$30:$Y$212,AN$17&amp;$C50,防護具!$Q$30:$Q$212))-AM50,0)</f>
        <v>0</v>
      </c>
      <c r="AO51" s="644">
        <f>IFERROR(
SUM(AN51,SUMIF(防護具!$Y$30:$Y$212,AO$17&amp;$C50,防護具!$Q$30:$Q$212))-AN50,0)</f>
        <v>0</v>
      </c>
      <c r="AP51" s="644">
        <f>IFERROR(
SUM(AO51,SUMIF(防護具!$Y$30:$Y$212,AP$17&amp;$C50,防護具!$Q$30:$Q$212))-AO50,0)</f>
        <v>0</v>
      </c>
      <c r="AQ51" s="644">
        <f>IFERROR(
SUM(AP51,SUMIF(防護具!$Y$30:$Y$212,AQ$17&amp;$C50,防護具!$Q$30:$Q$212))-AP50,0)</f>
        <v>0</v>
      </c>
      <c r="AR51" s="644">
        <f>IFERROR(
SUM(AQ51,SUMIF(防護具!$Y$30:$Y$212,AR$17&amp;$C50,防護具!$Q$30:$Q$212))-AQ50,0)</f>
        <v>0</v>
      </c>
      <c r="AS51" s="644">
        <f>IFERROR(
SUM(AR51,SUMIF(防護具!$Y$30:$Y$212,AS$17&amp;$C50,防護具!$Q$30:$Q$212))-AR50,0)</f>
        <v>0</v>
      </c>
      <c r="AT51" s="644">
        <f>IFERROR(
SUM(AS51,SUMIF(防護具!$Y$30:$Y$212,AT$17&amp;$C50,防護具!$Q$30:$Q$212))-AS50,0)</f>
        <v>0</v>
      </c>
      <c r="AU51" s="644">
        <f>IFERROR(
SUM(AT51,SUMIF(防護具!$Y$30:$Y$212,AU$17&amp;$C50,防護具!$Q$30:$Q$212))-AT50,0)</f>
        <v>0</v>
      </c>
      <c r="AV51" s="644">
        <f>IFERROR(
SUM(AU51,SUMIF(防護具!$Y$30:$Y$212,AV$17&amp;$C50,防護具!$Q$30:$Q$212))-AU50,0)</f>
        <v>0</v>
      </c>
      <c r="AW51" s="644">
        <f>IFERROR(
SUM(AV51,SUMIF(防護具!$Y$30:$Y$212,AW$17&amp;$C50,防護具!$Q$30:$Q$212))-AV50,0)</f>
        <v>0</v>
      </c>
      <c r="AX51" s="644">
        <f>IFERROR(
SUM(AW51,SUMIF(防護具!$Y$30:$Y$212,AX$17&amp;$C50,防護具!$Q$30:$Q$212))-AW50,0)</f>
        <v>0</v>
      </c>
      <c r="AY51" s="644">
        <f>IFERROR(
SUM(AX51,SUMIF(防護具!$Y$30:$Y$212,AY$17&amp;$C50,防護具!$Q$30:$Q$212))-AX50,0)</f>
        <v>0</v>
      </c>
      <c r="AZ51" s="644">
        <f>IFERROR(
SUM(AY51,SUMIF(防護具!$Y$30:$Y$212,AZ$17&amp;$C50,防護具!$Q$30:$Q$212))-AY50,0)</f>
        <v>0</v>
      </c>
      <c r="BA51" s="644">
        <f>IFERROR(
SUM(AZ51,SUMIF(防護具!$Y$30:$Y$212,BA$17&amp;$C50,防護具!$Q$30:$Q$212))-AZ50,0)</f>
        <v>0</v>
      </c>
      <c r="BB51" s="644">
        <f>IFERROR(
SUM(BA51,SUMIF(防護具!$Y$30:$Y$212,BB$17&amp;$C50,防護具!$Q$30:$Q$212))-BA50,0)</f>
        <v>0</v>
      </c>
      <c r="BC51" s="644">
        <f>IFERROR(
SUM(BB51,SUMIF(防護具!$Y$30:$Y$212,BC$17&amp;$C50,防護具!$Q$30:$Q$212))-BB50,0)</f>
        <v>0</v>
      </c>
      <c r="BD51" s="644">
        <f>IFERROR(
SUM(BC51,SUMIF(防護具!$Y$30:$Y$212,BD$17&amp;$C50,防護具!$Q$30:$Q$212))-BC50,0)</f>
        <v>0</v>
      </c>
      <c r="BE51" s="644">
        <f>IFERROR(
SUM(BD51,SUMIF(防護具!$Y$30:$Y$212,BE$17&amp;$C50,防護具!$Q$30:$Q$212))-BD50,0)</f>
        <v>0</v>
      </c>
      <c r="BF51" s="644">
        <f>IFERROR(
SUM(BE51,SUMIF(防護具!$Y$30:$Y$212,BF$17&amp;$C50,防護具!$Q$30:$Q$212))-BE50,0)</f>
        <v>0</v>
      </c>
      <c r="BG51" s="644">
        <f>IFERROR(
SUM(BF51,SUMIF(防護具!$Y$30:$Y$212,BG$17&amp;$C50,防護具!$Q$30:$Q$212))-BF50,0)</f>
        <v>0</v>
      </c>
      <c r="BH51" s="644">
        <f>IFERROR(
SUM(BG51,SUMIF(防護具!$Y$30:$Y$212,BH$17&amp;$C50,防護具!$Q$30:$Q$212))-BG50,0)</f>
        <v>0</v>
      </c>
      <c r="BI51" s="644">
        <f>IFERROR(
SUM(BH51,SUMIF(防護具!$Y$30:$Y$212,BI$17&amp;$C50,防護具!$Q$30:$Q$212))-BH50,0)</f>
        <v>0</v>
      </c>
      <c r="BJ51" s="644">
        <f>IFERROR(
SUM(BI51,SUMIF(防護具!$Y$30:$Y$212,BJ$17&amp;$C50,防護具!$Q$30:$Q$212))-BI50,0)</f>
        <v>0</v>
      </c>
      <c r="BK51" s="644">
        <f>IFERROR(
SUM(BJ51,SUMIF(防護具!$Y$30:$Y$212,BK$17&amp;$C50,防護具!$Q$30:$Q$212))-BJ50,0)</f>
        <v>0</v>
      </c>
      <c r="BL51" s="644">
        <f>IFERROR(
SUM(BK51,SUMIF(防護具!$Y$30:$Y$212,BL$17&amp;$C50,防護具!$Q$30:$Q$212))-BK50,0)</f>
        <v>0</v>
      </c>
      <c r="BM51" s="644">
        <f>IFERROR(
SUM(BL51,SUMIF(防護具!$Y$30:$Y$212,BM$17&amp;$C50,防護具!$Q$30:$Q$212))-BL50,0)</f>
        <v>0</v>
      </c>
      <c r="BN51" s="644">
        <f>IFERROR(
SUM(BM51,SUMIF(防護具!$Y$30:$Y$212,BN$17&amp;$C50,防護具!$Q$30:$Q$212))-BM50,0)</f>
        <v>0</v>
      </c>
      <c r="BO51" s="644">
        <f>IFERROR(
SUM(BN51,SUMIF(防護具!$Y$30:$Y$212,BO$17&amp;$C50,防護具!$Q$30:$Q$212))-BN50,0)</f>
        <v>0</v>
      </c>
      <c r="BP51" s="644">
        <f>IFERROR(
SUM(BO51,SUMIF(防護具!$Y$30:$Y$212,BP$17&amp;$C50,防護具!$Q$30:$Q$212))-BO50,0)</f>
        <v>0</v>
      </c>
      <c r="BQ51" s="644">
        <f>IFERROR(
SUM(BP51,SUMIF(防護具!$Y$30:$Y$212,BQ$17&amp;$C50,防護具!$Q$30:$Q$212))-BP50,0)</f>
        <v>0</v>
      </c>
      <c r="BR51" s="644">
        <f>IFERROR(
SUM(BQ51,SUMIF(防護具!$Y$30:$Y$212,BR$17&amp;$C50,防護具!$Q$30:$Q$212))-BQ50,0)</f>
        <v>0</v>
      </c>
      <c r="BS51" s="644">
        <f>IFERROR(
SUM(BR51,SUMIF(防護具!$Y$30:$Y$212,BS$17&amp;$C50,防護具!$Q$30:$Q$212))-BR50,0)</f>
        <v>0</v>
      </c>
      <c r="BT51" s="644">
        <f>IFERROR(
SUM(BS51,SUMIF(防護具!$Y$30:$Y$212,BT$17&amp;$C50,防護具!$Q$30:$Q$212))-BS50,0)</f>
        <v>0</v>
      </c>
      <c r="BU51" s="644">
        <f>IFERROR(
SUM(BT51,SUMIF(防護具!$Y$30:$Y$212,BU$17&amp;$C50,防護具!$Q$30:$Q$212))-BT50,0)</f>
        <v>0</v>
      </c>
      <c r="BV51" s="644">
        <f>IFERROR(
SUM(BU51,SUMIF(防護具!$Y$30:$Y$212,BV$17&amp;$C50,防護具!$Q$30:$Q$212))-BU50,0)</f>
        <v>0</v>
      </c>
      <c r="BW51" s="644">
        <f>IFERROR(
SUM(BV51,SUMIF(防護具!$Y$30:$Y$212,BW$17&amp;$C50,防護具!$Q$30:$Q$212))-BV50,0)</f>
        <v>0</v>
      </c>
      <c r="BX51" s="644">
        <f>IFERROR(
SUM(BW51,SUMIF(防護具!$Y$30:$Y$212,BX$17&amp;$C50,防護具!$Q$30:$Q$212))-BW50,0)</f>
        <v>0</v>
      </c>
      <c r="BY51" s="644">
        <f>IFERROR(
SUM(BX51,SUMIF(防護具!$Y$30:$Y$212,BY$17&amp;$C50,防護具!$Q$30:$Q$212))-BX50,0)</f>
        <v>0</v>
      </c>
      <c r="BZ51" s="644">
        <f>IFERROR(
SUM(BY51,SUMIF(防護具!$Y$30:$Y$212,BZ$17&amp;$C50,防護具!$Q$30:$Q$212))-BY50,0)</f>
        <v>0</v>
      </c>
      <c r="CA51" s="644">
        <f>IFERROR(
SUM(BZ51,SUMIF(防護具!$Y$30:$Y$212,CA$17&amp;$C50,防護具!$Q$30:$Q$212))-BZ50,0)</f>
        <v>0</v>
      </c>
      <c r="CB51" s="644">
        <f>IFERROR(
SUM(CA51,SUMIF(防護具!$Y$30:$Y$212,CB$17&amp;$C50,防護具!$Q$30:$Q$212))-CA50,0)</f>
        <v>0</v>
      </c>
      <c r="CC51" s="644">
        <f>IFERROR(
SUM(CB51,SUMIF(防護具!$Y$30:$Y$212,CC$17&amp;$C50,防護具!$Q$30:$Q$212))-CB50,0)</f>
        <v>0</v>
      </c>
      <c r="CD51" s="644">
        <f>IFERROR(
SUM(CC51,SUMIF(防護具!$Y$30:$Y$212,CD$17&amp;$C50,防護具!$Q$30:$Q$212))-CC50,0)</f>
        <v>0</v>
      </c>
      <c r="CE51" s="644">
        <f>IFERROR(
SUM(CD51,SUMIF(防護具!$Y$30:$Y$212,CE$17&amp;$C50,防護具!$Q$30:$Q$212))-CD50,0)</f>
        <v>0</v>
      </c>
      <c r="CF51" s="644">
        <f>IFERROR(
SUM(CE51,SUMIF(防護具!$Y$30:$Y$212,CF$17&amp;$C50,防護具!$Q$30:$Q$212))-CE50,0)</f>
        <v>0</v>
      </c>
      <c r="CG51" s="644">
        <f>IFERROR(
SUM(CF51,SUMIF(防護具!$Y$30:$Y$212,CG$17&amp;$C50,防護具!$Q$30:$Q$212))-CF50,0)</f>
        <v>0</v>
      </c>
      <c r="CH51" s="644">
        <f>IFERROR(
SUM(CG51,SUMIF(防護具!$Y$30:$Y$212,CH$17&amp;$C50,防護具!$Q$30:$Q$212))-CG50,0)</f>
        <v>0</v>
      </c>
      <c r="CI51" s="644">
        <f>IFERROR(
SUM(CH51,SUMIF(防護具!$Y$30:$Y$212,CI$17&amp;$C50,防護具!$Q$30:$Q$212))-CH50,0)</f>
        <v>0</v>
      </c>
      <c r="CJ51" s="644">
        <f>IFERROR(
SUM(CI51,SUMIF(防護具!$Y$30:$Y$212,CJ$17&amp;$C50,防護具!$Q$30:$Q$212))-CI50,0)</f>
        <v>0</v>
      </c>
      <c r="CK51" s="644">
        <f>IFERROR(
SUM(CJ51,SUMIF(防護具!$Y$30:$Y$212,CK$17&amp;$C50,防護具!$Q$30:$Q$212))-CJ50,0)</f>
        <v>0</v>
      </c>
      <c r="CL51" s="644">
        <f>IFERROR(
SUM(CK51,SUMIF(防護具!$Y$30:$Y$212,CL$17&amp;$C50,防護具!$Q$30:$Q$212))-CK50,0)</f>
        <v>0</v>
      </c>
      <c r="CM51" s="644">
        <f>IFERROR(
SUM(CL51,SUMIF(防護具!$Y$30:$Y$212,CM$17&amp;$C50,防護具!$Q$30:$Q$212))-CL50,0)</f>
        <v>0</v>
      </c>
      <c r="CN51" s="644">
        <f>IFERROR(
SUM(CM51,SUMIF(防護具!$Y$30:$Y$212,CN$17&amp;$C50,防護具!$Q$30:$Q$212))-CM50,0)</f>
        <v>0</v>
      </c>
      <c r="CO51" s="644">
        <f>IFERROR(
SUM(CN51,SUMIF(防護具!$Y$30:$Y$212,CO$17&amp;$C50,防護具!$Q$30:$Q$212))-CN50,0)</f>
        <v>0</v>
      </c>
      <c r="CP51" s="644">
        <f>IFERROR(
SUM(CO51,SUMIF(防護具!$Y$30:$Y$212,CP$17&amp;$C50,防護具!$Q$30:$Q$212))-CO50,0)</f>
        <v>0</v>
      </c>
      <c r="CQ51" s="644">
        <f>IFERROR(
SUM(CP51,SUMIF(防護具!$Y$30:$Y$212,CQ$17&amp;$C50,防護具!$Q$30:$Q$212))-CP50,0)</f>
        <v>0</v>
      </c>
      <c r="CR51" s="644">
        <f>IFERROR(
SUM(CQ51,SUMIF(防護具!$Y$30:$Y$212,CR$17&amp;$C50,防護具!$Q$30:$Q$212))-CQ50,0)</f>
        <v>0</v>
      </c>
      <c r="CS51" s="644">
        <f>IFERROR(
SUM(CR51,SUMIF(防護具!$Y$30:$Y$212,CS$17&amp;$C50,防護具!$Q$30:$Q$212))-CR50,0)</f>
        <v>0</v>
      </c>
      <c r="CT51" s="644">
        <f>IFERROR(
SUM(CS51,SUMIF(防護具!$Y$30:$Y$212,CT$17&amp;$C50,防護具!$Q$30:$Q$212))-CS50,0)</f>
        <v>0</v>
      </c>
      <c r="CU51" s="644">
        <f>IFERROR(
SUM(CT51,SUMIF(防護具!$Y$30:$Y$212,CU$17&amp;$C50,防護具!$Q$30:$Q$212))-CT50,0)</f>
        <v>0</v>
      </c>
      <c r="CV51" s="644">
        <f>IFERROR(
SUM(CU51,SUMIF(防護具!$Y$30:$Y$212,CV$17&amp;$C50,防護具!$Q$30:$Q$212))-CU50,0)</f>
        <v>0</v>
      </c>
      <c r="CW51" s="644">
        <f>IFERROR(
SUM(CV51,SUMIF(防護具!$Y$30:$Y$212,CW$17&amp;$C50,防護具!$Q$30:$Q$212))-CV50,0)</f>
        <v>0</v>
      </c>
      <c r="CX51" s="644">
        <f>IFERROR(
SUM(CW51,SUMIF(防護具!$Y$30:$Y$212,CX$17&amp;$C50,防護具!$Q$30:$Q$212))-CW50,0)</f>
        <v>0</v>
      </c>
      <c r="CY51" s="644">
        <f>IFERROR(
SUM(CX51,SUMIF(防護具!$Y$30:$Y$212,CY$17&amp;$C50,防護具!$Q$30:$Q$212))-CX50,0)</f>
        <v>0</v>
      </c>
      <c r="CZ51" s="644">
        <f>IFERROR(
SUM(CY51,SUMIF(防護具!$Y$30:$Y$212,CZ$17&amp;$C50,防護具!$Q$30:$Q$212))-CY50,0)</f>
        <v>0</v>
      </c>
      <c r="DA51" s="644">
        <f>IFERROR(
SUM(CZ51,SUMIF(防護具!$Y$30:$Y$212,DA$17&amp;$C50,防護具!$Q$30:$Q$212))-CZ50,0)</f>
        <v>0</v>
      </c>
      <c r="DB51" s="644">
        <f>IFERROR(
SUM(DA51,SUMIF(防護具!$Y$30:$Y$212,DB$17&amp;$C50,防護具!$Q$30:$Q$212))-DA50,0)</f>
        <v>0</v>
      </c>
      <c r="DC51" s="644">
        <f>IFERROR(
SUM(DB51,SUMIF(防護具!$Y$30:$Y$212,DC$17&amp;$C50,防護具!$Q$30:$Q$212))-DB50,0)</f>
        <v>0</v>
      </c>
      <c r="DD51" s="644">
        <f>IFERROR(
SUM(DC51,SUMIF(防護具!$Y$30:$Y$212,DD$17&amp;$C50,防護具!$Q$30:$Q$212))-DC50,0)</f>
        <v>0</v>
      </c>
      <c r="DE51" s="644">
        <f>IFERROR(
SUM(DD51,SUMIF(防護具!$Y$30:$Y$212,DE$17&amp;$C50,防護具!$Q$30:$Q$212))-DD50,0)</f>
        <v>0</v>
      </c>
      <c r="DF51" s="644">
        <f>IFERROR(
SUM(DE51,SUMIF(防護具!$Y$30:$Y$212,DF$17&amp;$C50,防護具!$Q$30:$Q$212))-DE50,0)</f>
        <v>0</v>
      </c>
      <c r="DG51" s="644">
        <f>IFERROR(
SUM(DF51,SUMIF(防護具!$Y$30:$Y$212,DG$17&amp;$C50,防護具!$Q$30:$Q$212))-DF50,0)</f>
        <v>0</v>
      </c>
      <c r="DH51" s="644">
        <f>IFERROR(
SUM(DG51,SUMIF(防護具!$Y$30:$Y$212,DH$17&amp;$C50,防護具!$Q$30:$Q$212))-DG50,0)</f>
        <v>0</v>
      </c>
      <c r="DI51" s="644">
        <f>IFERROR(
SUM(DH51,SUMIF(防護具!$Y$30:$Y$212,DI$17&amp;$C50,防護具!$Q$30:$Q$212))-DH50,0)</f>
        <v>0</v>
      </c>
      <c r="DJ51" s="644">
        <f>IFERROR(
SUM(DI51,SUMIF(防護具!$Y$30:$Y$212,DJ$17&amp;$C50,防護具!$Q$30:$Q$212))-DI50,0)</f>
        <v>0</v>
      </c>
      <c r="DK51" s="644">
        <f>IFERROR(
SUM(DJ51,SUMIF(防護具!$Y$30:$Y$212,DK$17&amp;$C50,防護具!$Q$30:$Q$212))-DJ50,0)</f>
        <v>0</v>
      </c>
      <c r="DL51" s="644">
        <f>IFERROR(
SUM(DK51,SUMIF(防護具!$Y$30:$Y$212,DL$17&amp;$C50,防護具!$Q$30:$Q$212))-DK50,0)</f>
        <v>0</v>
      </c>
      <c r="DM51" s="644">
        <f>IFERROR(
SUM(DL51,SUMIF(防護具!$Y$30:$Y$212,DM$17&amp;$C50,防護具!$Q$30:$Q$212))-DL50,0)</f>
        <v>0</v>
      </c>
      <c r="DN51" s="644">
        <f>IFERROR(
SUM(DM51,SUMIF(防護具!$Y$30:$Y$212,DN$17&amp;$C50,防護具!$Q$30:$Q$212))-DM50,0)</f>
        <v>0</v>
      </c>
      <c r="DO51" s="644">
        <f>IFERROR(
SUM(DN51,SUMIF(防護具!$Y$30:$Y$212,DO$17&amp;$C50,防護具!$Q$30:$Q$212))-DN50,0)</f>
        <v>0</v>
      </c>
      <c r="DP51" s="644">
        <f>IFERROR(
SUM(DO51,SUMIF(防護具!$Y$30:$Y$212,DP$17&amp;$C50,防護具!$Q$30:$Q$212))-DO50,0)</f>
        <v>0</v>
      </c>
      <c r="DQ51" s="644">
        <f>IFERROR(
SUM(DP51,SUMIF(防護具!$Y$30:$Y$212,DQ$17&amp;$C50,防護具!$Q$30:$Q$212))-DP50,0)</f>
        <v>0</v>
      </c>
      <c r="DR51" s="644">
        <f>IFERROR(
SUM(DQ51,SUMIF(防護具!$Y$30:$Y$212,DR$17&amp;$C50,防護具!$Q$30:$Q$212))-DQ50,0)</f>
        <v>0</v>
      </c>
      <c r="DS51" s="644">
        <f>IFERROR(
SUM(DR51,SUMIF(防護具!$Y$30:$Y$212,DS$17&amp;$C50,防護具!$Q$30:$Q$212))-DR50,0)</f>
        <v>0</v>
      </c>
      <c r="DT51" s="644">
        <f>IFERROR(
SUM(DS51,SUMIF(防護具!$Y$30:$Y$212,DT$17&amp;$C50,防護具!$Q$30:$Q$212))-DS50,0)</f>
        <v>0</v>
      </c>
      <c r="DU51" s="644">
        <f>IFERROR(
SUM(DT51,SUMIF(防護具!$Y$30:$Y$212,DU$17&amp;$C50,防護具!$Q$30:$Q$212))-DT50,0)</f>
        <v>0</v>
      </c>
      <c r="DV51" s="644">
        <f>IFERROR(
SUM(DU51,SUMIF(防護具!$Y$30:$Y$212,DV$17&amp;$C50,防護具!$Q$30:$Q$212))-DU50,0)</f>
        <v>0</v>
      </c>
      <c r="DW51" s="644">
        <f>IFERROR(
SUM(DV51,SUMIF(防護具!$Y$30:$Y$212,DW$17&amp;$C50,防護具!$Q$30:$Q$212))-DV50,0)</f>
        <v>0</v>
      </c>
      <c r="DX51" s="644">
        <f>IFERROR(
SUM(DW51,SUMIF(防護具!$Y$30:$Y$212,DX$17&amp;$C50,防護具!$Q$30:$Q$212))-DW50,0)</f>
        <v>0</v>
      </c>
      <c r="DY51" s="644">
        <f>IFERROR(
SUM(DX51,SUMIF(防護具!$Y$30:$Y$212,DY$17&amp;$C50,防護具!$Q$30:$Q$212))-DX50,0)</f>
        <v>0</v>
      </c>
      <c r="DZ51" s="644">
        <f>IFERROR(
SUM(DY51,SUMIF(防護具!$Y$30:$Y$212,DZ$17&amp;$C50,防護具!$Q$30:$Q$212))-DY50,0)</f>
        <v>0</v>
      </c>
      <c r="EA51" s="644">
        <f>IFERROR(
SUM(DZ51,SUMIF(防護具!$Y$30:$Y$212,EA$17&amp;$C50,防護具!$Q$30:$Q$212))-DZ50,0)</f>
        <v>0</v>
      </c>
      <c r="EB51" s="644">
        <f>IFERROR(
SUM(EA51,SUMIF(防護具!$Y$30:$Y$212,EB$17&amp;$C50,防護具!$Q$30:$Q$212))-EA50,0)</f>
        <v>0</v>
      </c>
      <c r="EC51" s="644">
        <f>IFERROR(
SUM(EB51,SUMIF(防護具!$Y$30:$Y$212,EC$17&amp;$C50,防護具!$Q$30:$Q$212))-EB50,0)</f>
        <v>0</v>
      </c>
      <c r="ED51" s="644">
        <f>IFERROR(
SUM(EC51,SUMIF(防護具!$Y$30:$Y$212,ED$17&amp;$C50,防護具!$Q$30:$Q$212))-EC50,0)</f>
        <v>0</v>
      </c>
      <c r="EE51" s="644">
        <f>IFERROR(
SUM(ED51,SUMIF(防護具!$Y$30:$Y$212,EE$17&amp;$C50,防護具!$Q$30:$Q$212))-ED50,0)</f>
        <v>0</v>
      </c>
      <c r="EF51" s="644">
        <f>IFERROR(
SUM(EE51,SUMIF(防護具!$Y$30:$Y$212,EF$17&amp;$C50,防護具!$Q$30:$Q$212))-EE50,0)</f>
        <v>0</v>
      </c>
      <c r="EG51" s="644">
        <f>IFERROR(
SUM(EF51,SUMIF(防護具!$Y$30:$Y$212,EG$17&amp;$C50,防護具!$Q$30:$Q$212))-EF50,0)</f>
        <v>0</v>
      </c>
      <c r="EH51" s="644">
        <f>IFERROR(
SUM(EG51,SUMIF(防護具!$Y$30:$Y$212,EH$17&amp;$C50,防護具!$Q$30:$Q$212))-EG50,0)</f>
        <v>0</v>
      </c>
      <c r="EI51" s="644">
        <f>IFERROR(
SUM(EH51,SUMIF(防護具!$Y$30:$Y$212,EI$17&amp;$C50,防護具!$Q$30:$Q$212))-EH50,0)</f>
        <v>0</v>
      </c>
      <c r="EJ51" s="644">
        <f>IFERROR(
SUM(EI51,SUMIF(防護具!$Y$30:$Y$212,EJ$17&amp;$C50,防護具!$Q$30:$Q$212))-EI50,0)</f>
        <v>0</v>
      </c>
      <c r="EK51" s="644">
        <f>IFERROR(
SUM(EJ51,SUMIF(防護具!$Y$30:$Y$212,EK$17&amp;$C50,防護具!$Q$30:$Q$212))-EJ50,0)</f>
        <v>0</v>
      </c>
      <c r="EL51" s="644">
        <f>IFERROR(
SUM(EK51,SUMIF(防護具!$Y$30:$Y$212,EL$17&amp;$C50,防護具!$Q$30:$Q$212))-EK50,0)</f>
        <v>0</v>
      </c>
      <c r="EM51" s="644">
        <f>IFERROR(
SUM(EL51,SUMIF(防護具!$Y$30:$Y$212,EM$17&amp;$C50,防護具!$Q$30:$Q$212))-EL50,0)</f>
        <v>0</v>
      </c>
      <c r="EN51" s="644">
        <f>IFERROR(
SUM(EM51,SUMIF(防護具!$Y$30:$Y$212,EN$17&amp;$C50,防護具!$Q$30:$Q$212))-EM50,0)</f>
        <v>0</v>
      </c>
      <c r="EO51" s="644">
        <f>IFERROR(
SUM(EN51,SUMIF(防護具!$Y$30:$Y$212,EO$17&amp;$C50,防護具!$Q$30:$Q$212))-EN50,0)</f>
        <v>0</v>
      </c>
      <c r="EP51" s="644">
        <f>IFERROR(
SUM(EO51,SUMIF(防護具!$Y$30:$Y$212,EP$17&amp;$C50,防護具!$Q$30:$Q$212))-EO50,0)</f>
        <v>0</v>
      </c>
      <c r="EQ51" s="644">
        <f>IFERROR(
SUM(EP51,SUMIF(防護具!$Y$30:$Y$212,EQ$17&amp;$C50,防護具!$Q$30:$Q$212))-EP50,0)</f>
        <v>0</v>
      </c>
      <c r="ER51" s="644">
        <f>IFERROR(
SUM(EQ51,SUMIF(防護具!$Y$30:$Y$212,ER$17&amp;$C50,防護具!$Q$30:$Q$212))-EQ50,0)</f>
        <v>0</v>
      </c>
      <c r="ES51" s="644">
        <f>IFERROR(
SUM(ER51,SUMIF(防護具!$Y$30:$Y$212,ES$17&amp;$C50,防護具!$Q$30:$Q$212))-ER50,0)</f>
        <v>0</v>
      </c>
      <c r="ET51" s="644">
        <f>IFERROR(
SUM(ES51,SUMIF(防護具!$Y$30:$Y$212,ET$17&amp;$C50,防護具!$Q$30:$Q$212))-ES50,0)</f>
        <v>0</v>
      </c>
      <c r="EU51" s="644">
        <f>IFERROR(
SUM(ET51,SUMIF(防護具!$Y$30:$Y$212,EU$17&amp;$C50,防護具!$Q$30:$Q$212))-ET50,0)</f>
        <v>0</v>
      </c>
      <c r="EV51" s="644">
        <f>IFERROR(
SUM(EU51,SUMIF(防護具!$Y$30:$Y$212,EV$17&amp;$C50,防護具!$Q$30:$Q$212))-EU50,0)</f>
        <v>0</v>
      </c>
      <c r="EW51" s="644">
        <f>IFERROR(
SUM(EV51,SUMIF(防護具!$Y$30:$Y$212,EW$17&amp;$C50,防護具!$Q$30:$Q$212))-EV50,0)</f>
        <v>0</v>
      </c>
      <c r="EX51" s="644">
        <f>IFERROR(
SUM(EW51,SUMIF(防護具!$Y$30:$Y$212,EX$17&amp;$C50,防護具!$Q$30:$Q$212))-EW50,0)</f>
        <v>0</v>
      </c>
      <c r="EY51" s="644">
        <f>IFERROR(
SUM(EX51,SUMIF(防護具!$Y$30:$Y$212,EY$17&amp;$C50,防護具!$Q$30:$Q$212))-EX50,0)</f>
        <v>0</v>
      </c>
      <c r="EZ51" s="644">
        <f>IFERROR(
SUM(EY51,SUMIF(防護具!$Y$30:$Y$212,EZ$17&amp;$C50,防護具!$Q$30:$Q$212))-EY50,0)</f>
        <v>0</v>
      </c>
      <c r="FA51" s="644">
        <f>IFERROR(
SUM(EZ51,SUMIF(防護具!$Y$30:$Y$212,FA$17&amp;$C50,防護具!$Q$30:$Q$212))-EZ50,0)</f>
        <v>0</v>
      </c>
      <c r="FB51" s="644">
        <f>IFERROR(
SUM(FA51,SUMIF(防護具!$Y$30:$Y$212,FB$17&amp;$C50,防護具!$Q$30:$Q$212))-FA50,0)</f>
        <v>0</v>
      </c>
      <c r="FC51" s="644">
        <f>IFERROR(
SUM(FB51,SUMIF(防護具!$Y$30:$Y$212,FC$17&amp;$C50,防護具!$Q$30:$Q$212))-FB50,0)</f>
        <v>0</v>
      </c>
      <c r="FD51" s="644">
        <f>IFERROR(
SUM(FC51,SUMIF(防護具!$Y$30:$Y$212,FD$17&amp;$C50,防護具!$Q$30:$Q$212))-FC50,0)</f>
        <v>0</v>
      </c>
      <c r="FE51" s="644">
        <f>IFERROR(
SUM(FD51,SUMIF(防護具!$Y$30:$Y$212,FE$17&amp;$C50,防護具!$Q$30:$Q$212))-FD50,0)</f>
        <v>0</v>
      </c>
      <c r="FF51" s="644">
        <f>IFERROR(
SUM(FE51,SUMIF(防護具!$Y$30:$Y$212,FF$17&amp;$C50,防護具!$Q$30:$Q$212))-FE50,0)</f>
        <v>0</v>
      </c>
      <c r="FG51" s="644">
        <f>IFERROR(
SUM(FF51,SUMIF(防護具!$Y$30:$Y$212,FG$17&amp;$C50,防護具!$Q$30:$Q$212))-FF50,0)</f>
        <v>0</v>
      </c>
      <c r="FH51" s="644">
        <f>IFERROR(
SUM(FG51,SUMIF(防護具!$Y$30:$Y$212,FH$17&amp;$C50,防護具!$Q$30:$Q$212))-FG50,0)</f>
        <v>0</v>
      </c>
      <c r="FI51" s="644">
        <f>IFERROR(
SUM(FH51,SUMIF(防護具!$Y$30:$Y$212,FI$17&amp;$C50,防護具!$Q$30:$Q$212))-FH50,0)</f>
        <v>0</v>
      </c>
      <c r="FJ51" s="644">
        <f>IFERROR(
SUM(FI51,SUMIF(防護具!$Y$30:$Y$212,FJ$17&amp;$C50,防護具!$Q$30:$Q$212))-FI50,0)</f>
        <v>0</v>
      </c>
      <c r="FK51" s="644">
        <f>IFERROR(
SUM(FJ51,SUMIF(防護具!$Y$30:$Y$212,FK$17&amp;$C50,防護具!$Q$30:$Q$212))-FJ50,0)</f>
        <v>0</v>
      </c>
      <c r="FL51" s="644">
        <f>IFERROR(
SUM(FK51,SUMIF(防護具!$Y$30:$Y$212,FL$17&amp;$C50,防護具!$Q$30:$Q$212))-FK50,0)</f>
        <v>0</v>
      </c>
      <c r="FM51" s="644">
        <f>IFERROR(
SUM(FL51,SUMIF(防護具!$Y$30:$Y$212,FM$17&amp;$C50,防護具!$Q$30:$Q$212))-FL50,0)</f>
        <v>0</v>
      </c>
      <c r="FN51" s="644">
        <f>IFERROR(
SUM(FM51,SUMIF(防護具!$Y$30:$Y$212,FN$17&amp;$C50,防護具!$Q$30:$Q$212))-FM50,0)</f>
        <v>0</v>
      </c>
      <c r="FO51" s="644">
        <f>IFERROR(
SUM(FN51,SUMIF(防護具!$Y$30:$Y$212,FO$17&amp;$C50,防護具!$Q$30:$Q$212))-FN50,0)</f>
        <v>0</v>
      </c>
      <c r="FP51" s="644">
        <f>IFERROR(
SUM(FO51,SUMIF(防護具!$Y$30:$Y$212,FP$17&amp;$C50,防護具!$Q$30:$Q$212))-FO50,0)</f>
        <v>0</v>
      </c>
      <c r="FQ51" s="644">
        <f>IFERROR(
SUM(FP51,SUMIF(防護具!$Y$30:$Y$212,FQ$17&amp;$C50,防護具!$Q$30:$Q$212))-FP50,0)</f>
        <v>0</v>
      </c>
      <c r="FR51" s="644">
        <f>IFERROR(
SUM(FQ51,SUMIF(防護具!$Y$30:$Y$212,FR$17&amp;$C50,防護具!$Q$30:$Q$212))-FQ50,0)</f>
        <v>0</v>
      </c>
      <c r="FS51" s="644">
        <f>IFERROR(
SUM(FR51,SUMIF(防護具!$Y$30:$Y$212,FS$17&amp;$C50,防護具!$Q$30:$Q$212))-FR50,0)</f>
        <v>0</v>
      </c>
      <c r="FT51" s="644">
        <f>IFERROR(
SUM(FS51,SUMIF(防護具!$Y$30:$Y$212,FT$17&amp;$C50,防護具!$Q$30:$Q$212))-FS50,0)</f>
        <v>0</v>
      </c>
      <c r="FU51" s="644">
        <f>IFERROR(
SUM(FT51,SUMIF(防護具!$Y$30:$Y$212,FU$17&amp;$C50,防護具!$Q$30:$Q$212))-FT50,0)</f>
        <v>0</v>
      </c>
      <c r="FV51" s="644">
        <f>IFERROR(
SUM(FU51,SUMIF(防護具!$Y$30:$Y$212,FV$17&amp;$C50,防護具!$Q$30:$Q$212))-FU50,0)</f>
        <v>0</v>
      </c>
      <c r="FW51" s="644">
        <f>IFERROR(
SUM(FV51,SUMIF(防護具!$Y$30:$Y$212,FW$17&amp;$C50,防護具!$Q$30:$Q$212))-FV50,0)</f>
        <v>0</v>
      </c>
      <c r="FX51" s="644">
        <f>IFERROR(
SUM(FW51,SUMIF(防護具!$Y$30:$Y$212,FX$17&amp;$C50,防護具!$Q$30:$Q$212))-FW50,0)</f>
        <v>0</v>
      </c>
      <c r="FY51" s="644">
        <f>IFERROR(
SUM(FX51,SUMIF(防護具!$Y$30:$Y$212,FY$17&amp;$C50,防護具!$Q$30:$Q$212))-FX50,0)</f>
        <v>0</v>
      </c>
      <c r="FZ51" s="644">
        <f>IFERROR(
SUM(FY51,SUMIF(防護具!$Y$30:$Y$212,FZ$17&amp;$C50,防護具!$Q$30:$Q$212))-FY50,0)</f>
        <v>0</v>
      </c>
      <c r="GA51" s="644">
        <f>IFERROR(
SUM(FZ51,SUMIF(防護具!$Y$30:$Y$212,GA$17&amp;$C50,防護具!$Q$30:$Q$212))-FZ50,0)</f>
        <v>0</v>
      </c>
      <c r="GB51" s="644">
        <f>IFERROR(
SUM(GA51,SUMIF(防護具!$Y$30:$Y$212,GB$17&amp;$C50,防護具!$Q$30:$Q$212))-GA50,0)</f>
        <v>0</v>
      </c>
      <c r="GC51" s="644">
        <f>IFERROR(
SUM(GB51,SUMIF(防護具!$Y$30:$Y$212,GC$17&amp;$C50,防護具!$Q$30:$Q$212))-GB50,0)</f>
        <v>0</v>
      </c>
      <c r="GD51" s="644">
        <f>IFERROR(
SUM(GC51,SUMIF(防護具!$Y$30:$Y$212,GD$17&amp;$C50,防護具!$Q$30:$Q$212))-GC50,0)</f>
        <v>0</v>
      </c>
      <c r="GE51" s="644">
        <f>IFERROR(
SUM(GD51,SUMIF(防護具!$Y$30:$Y$212,GE$17&amp;$C50,防護具!$Q$30:$Q$212))-GD50,0)</f>
        <v>0</v>
      </c>
      <c r="GF51" s="644">
        <f>IFERROR(
SUM(GE51,SUMIF(防護具!$Y$30:$Y$212,GF$17&amp;$C50,防護具!$Q$30:$Q$212))-GE50,0)</f>
        <v>0</v>
      </c>
      <c r="GG51" s="644">
        <f>IFERROR(
SUM(GF51,SUMIF(防護具!$Y$30:$Y$212,GG$17&amp;$C50,防護具!$Q$30:$Q$212))-GF50,0)</f>
        <v>0</v>
      </c>
      <c r="GH51" s="644">
        <f>IFERROR(
SUM(GG51,SUMIF(防護具!$Y$30:$Y$212,GH$17&amp;$C50,防護具!$Q$30:$Q$212))-GG50,0)</f>
        <v>0</v>
      </c>
      <c r="GI51" s="644">
        <f>IFERROR(
SUM(GH51,SUMIF(防護具!$Y$30:$Y$212,GI$17&amp;$C50,防護具!$Q$30:$Q$212))-GH50,0)</f>
        <v>0</v>
      </c>
      <c r="GJ51" s="644">
        <f>IFERROR(
SUM(GI51,SUMIF(防護具!$Y$30:$Y$212,GJ$17&amp;$C50,防護具!$Q$30:$Q$212))-GI50,0)</f>
        <v>0</v>
      </c>
    </row>
    <row r="52" spans="2:192" s="645" customFormat="1">
      <c r="B52" s="654"/>
      <c r="C52" s="643"/>
      <c r="D52" s="769" t="s">
        <v>1468</v>
      </c>
      <c r="E52" s="774"/>
      <c r="F52" s="707"/>
      <c r="G52" s="644">
        <f>SUMIF(防護具!$Y$13:$Y$29,G$17&amp;PPE差引簿!C50,防護具!$Q$13:$Q$29)</f>
        <v>4000</v>
      </c>
      <c r="H52" s="644">
        <f xml:space="preserve">
IF(G52-VLOOKUP($C50,$C$3:$D$15,2,FALSE)*H$21&lt;0,0,G52-VLOOKUP($C50,$C$3:$D$15,2,FALSE)*H$21)</f>
        <v>4000</v>
      </c>
      <c r="I52" s="644">
        <f t="shared" ref="I52:BT52" si="2038" xml:space="preserve">
IF(H52-VLOOKUP($C50,$C$3:$D$15,2,FALSE)*I$21&lt;0,0,H52-VLOOKUP($C50,$C$3:$D$15,2,FALSE)*I$21)</f>
        <v>4000</v>
      </c>
      <c r="J52" s="644">
        <f t="shared" si="2038"/>
        <v>4000</v>
      </c>
      <c r="K52" s="644">
        <f t="shared" si="2038"/>
        <v>4000</v>
      </c>
      <c r="L52" s="644">
        <f t="shared" si="2038"/>
        <v>4000</v>
      </c>
      <c r="M52" s="644">
        <f t="shared" si="2038"/>
        <v>4000</v>
      </c>
      <c r="N52" s="644">
        <f t="shared" si="2038"/>
        <v>4000</v>
      </c>
      <c r="O52" s="644">
        <f t="shared" si="2038"/>
        <v>4000</v>
      </c>
      <c r="P52" s="644">
        <f t="shared" si="2038"/>
        <v>4000</v>
      </c>
      <c r="Q52" s="644">
        <f t="shared" si="2038"/>
        <v>4000</v>
      </c>
      <c r="R52" s="644">
        <f t="shared" si="2038"/>
        <v>4000</v>
      </c>
      <c r="S52" s="644">
        <f t="shared" si="2038"/>
        <v>4000</v>
      </c>
      <c r="T52" s="644">
        <f t="shared" si="2038"/>
        <v>4000</v>
      </c>
      <c r="U52" s="644">
        <f t="shared" si="2038"/>
        <v>4000</v>
      </c>
      <c r="V52" s="644">
        <f t="shared" si="2038"/>
        <v>4000</v>
      </c>
      <c r="W52" s="644">
        <f t="shared" si="2038"/>
        <v>4000</v>
      </c>
      <c r="X52" s="644">
        <f t="shared" si="2038"/>
        <v>4000</v>
      </c>
      <c r="Y52" s="644">
        <f t="shared" si="2038"/>
        <v>4000</v>
      </c>
      <c r="Z52" s="644">
        <f t="shared" si="2038"/>
        <v>4000</v>
      </c>
      <c r="AA52" s="644">
        <f t="shared" si="2038"/>
        <v>4000</v>
      </c>
      <c r="AB52" s="644">
        <f t="shared" si="2038"/>
        <v>4000</v>
      </c>
      <c r="AC52" s="644">
        <f t="shared" si="2038"/>
        <v>4000</v>
      </c>
      <c r="AD52" s="644">
        <f t="shared" si="2038"/>
        <v>4000</v>
      </c>
      <c r="AE52" s="644">
        <f t="shared" si="2038"/>
        <v>4000</v>
      </c>
      <c r="AF52" s="644">
        <f t="shared" si="2038"/>
        <v>4000</v>
      </c>
      <c r="AG52" s="644">
        <f t="shared" si="2038"/>
        <v>4000</v>
      </c>
      <c r="AH52" s="644">
        <f t="shared" si="2038"/>
        <v>4000</v>
      </c>
      <c r="AI52" s="644">
        <f t="shared" si="2038"/>
        <v>4000</v>
      </c>
      <c r="AJ52" s="644">
        <f t="shared" si="2038"/>
        <v>4000</v>
      </c>
      <c r="AK52" s="644">
        <f t="shared" si="2038"/>
        <v>4000</v>
      </c>
      <c r="AL52" s="644">
        <f t="shared" si="2038"/>
        <v>4000</v>
      </c>
      <c r="AM52" s="644">
        <f t="shared" si="2038"/>
        <v>4000</v>
      </c>
      <c r="AN52" s="644">
        <f t="shared" si="2038"/>
        <v>4000</v>
      </c>
      <c r="AO52" s="644">
        <f t="shared" si="2038"/>
        <v>4000</v>
      </c>
      <c r="AP52" s="644">
        <f t="shared" si="2038"/>
        <v>4000</v>
      </c>
      <c r="AQ52" s="644">
        <f t="shared" si="2038"/>
        <v>4000</v>
      </c>
      <c r="AR52" s="644">
        <f t="shared" si="2038"/>
        <v>4000</v>
      </c>
      <c r="AS52" s="644">
        <f t="shared" si="2038"/>
        <v>4000</v>
      </c>
      <c r="AT52" s="644">
        <f t="shared" si="2038"/>
        <v>4000</v>
      </c>
      <c r="AU52" s="644">
        <f t="shared" si="2038"/>
        <v>4000</v>
      </c>
      <c r="AV52" s="644">
        <f t="shared" si="2038"/>
        <v>4000</v>
      </c>
      <c r="AW52" s="644">
        <f t="shared" si="2038"/>
        <v>4000</v>
      </c>
      <c r="AX52" s="644">
        <f t="shared" si="2038"/>
        <v>4000</v>
      </c>
      <c r="AY52" s="644">
        <f t="shared" si="2038"/>
        <v>4000</v>
      </c>
      <c r="AZ52" s="644">
        <f t="shared" si="2038"/>
        <v>4000</v>
      </c>
      <c r="BA52" s="644">
        <f t="shared" si="2038"/>
        <v>4000</v>
      </c>
      <c r="BB52" s="644">
        <f t="shared" si="2038"/>
        <v>4000</v>
      </c>
      <c r="BC52" s="644">
        <f t="shared" si="2038"/>
        <v>4000</v>
      </c>
      <c r="BD52" s="644">
        <f t="shared" si="2038"/>
        <v>4000</v>
      </c>
      <c r="BE52" s="644">
        <f t="shared" si="2038"/>
        <v>4000</v>
      </c>
      <c r="BF52" s="644">
        <f t="shared" si="2038"/>
        <v>4000</v>
      </c>
      <c r="BG52" s="644">
        <f t="shared" si="2038"/>
        <v>4000</v>
      </c>
      <c r="BH52" s="644">
        <f t="shared" si="2038"/>
        <v>4000</v>
      </c>
      <c r="BI52" s="644">
        <f t="shared" si="2038"/>
        <v>4000</v>
      </c>
      <c r="BJ52" s="644">
        <f t="shared" si="2038"/>
        <v>4000</v>
      </c>
      <c r="BK52" s="644">
        <f t="shared" si="2038"/>
        <v>4000</v>
      </c>
      <c r="BL52" s="644">
        <f t="shared" si="2038"/>
        <v>4000</v>
      </c>
      <c r="BM52" s="644">
        <f t="shared" si="2038"/>
        <v>4000</v>
      </c>
      <c r="BN52" s="644">
        <f t="shared" si="2038"/>
        <v>4000</v>
      </c>
      <c r="BO52" s="644">
        <f t="shared" si="2038"/>
        <v>4000</v>
      </c>
      <c r="BP52" s="644">
        <f t="shared" si="2038"/>
        <v>4000</v>
      </c>
      <c r="BQ52" s="644">
        <f t="shared" si="2038"/>
        <v>4000</v>
      </c>
      <c r="BR52" s="644">
        <f t="shared" si="2038"/>
        <v>4000</v>
      </c>
      <c r="BS52" s="644">
        <f t="shared" si="2038"/>
        <v>4000</v>
      </c>
      <c r="BT52" s="644">
        <f t="shared" si="2038"/>
        <v>4000</v>
      </c>
      <c r="BU52" s="644">
        <f t="shared" ref="BU52:EF52" si="2039" xml:space="preserve">
IF(BT52-VLOOKUP($C50,$C$3:$D$15,2,FALSE)*BU$21&lt;0,0,BT52-VLOOKUP($C50,$C$3:$D$15,2,FALSE)*BU$21)</f>
        <v>4000</v>
      </c>
      <c r="BV52" s="644">
        <f t="shared" si="2039"/>
        <v>4000</v>
      </c>
      <c r="BW52" s="644">
        <f t="shared" si="2039"/>
        <v>4000</v>
      </c>
      <c r="BX52" s="644">
        <f t="shared" si="2039"/>
        <v>4000</v>
      </c>
      <c r="BY52" s="644">
        <f t="shared" si="2039"/>
        <v>4000</v>
      </c>
      <c r="BZ52" s="644">
        <f t="shared" si="2039"/>
        <v>4000</v>
      </c>
      <c r="CA52" s="644">
        <f t="shared" si="2039"/>
        <v>4000</v>
      </c>
      <c r="CB52" s="644">
        <f t="shared" si="2039"/>
        <v>4000</v>
      </c>
      <c r="CC52" s="644">
        <f t="shared" si="2039"/>
        <v>4000</v>
      </c>
      <c r="CD52" s="644">
        <f t="shared" si="2039"/>
        <v>4000</v>
      </c>
      <c r="CE52" s="644">
        <f t="shared" si="2039"/>
        <v>4000</v>
      </c>
      <c r="CF52" s="644">
        <f t="shared" si="2039"/>
        <v>4000</v>
      </c>
      <c r="CG52" s="644">
        <f t="shared" si="2039"/>
        <v>4000</v>
      </c>
      <c r="CH52" s="644">
        <f t="shared" si="2039"/>
        <v>4000</v>
      </c>
      <c r="CI52" s="644">
        <f t="shared" si="2039"/>
        <v>4000</v>
      </c>
      <c r="CJ52" s="644">
        <f t="shared" si="2039"/>
        <v>4000</v>
      </c>
      <c r="CK52" s="644">
        <f t="shared" si="2039"/>
        <v>4000</v>
      </c>
      <c r="CL52" s="644">
        <f t="shared" si="2039"/>
        <v>4000</v>
      </c>
      <c r="CM52" s="644">
        <f t="shared" si="2039"/>
        <v>4000</v>
      </c>
      <c r="CN52" s="644">
        <f t="shared" si="2039"/>
        <v>4000</v>
      </c>
      <c r="CO52" s="644">
        <f t="shared" si="2039"/>
        <v>4000</v>
      </c>
      <c r="CP52" s="644">
        <f t="shared" si="2039"/>
        <v>4000</v>
      </c>
      <c r="CQ52" s="644">
        <f t="shared" si="2039"/>
        <v>4000</v>
      </c>
      <c r="CR52" s="644">
        <f t="shared" si="2039"/>
        <v>4000</v>
      </c>
      <c r="CS52" s="644">
        <f t="shared" si="2039"/>
        <v>4000</v>
      </c>
      <c r="CT52" s="644">
        <f t="shared" si="2039"/>
        <v>4000</v>
      </c>
      <c r="CU52" s="644">
        <f t="shared" si="2039"/>
        <v>4000</v>
      </c>
      <c r="CV52" s="644">
        <f t="shared" si="2039"/>
        <v>4000</v>
      </c>
      <c r="CW52" s="644">
        <f t="shared" si="2039"/>
        <v>4000</v>
      </c>
      <c r="CX52" s="644">
        <f t="shared" si="2039"/>
        <v>4000</v>
      </c>
      <c r="CY52" s="644">
        <f t="shared" si="2039"/>
        <v>4000</v>
      </c>
      <c r="CZ52" s="644">
        <f t="shared" si="2039"/>
        <v>4000</v>
      </c>
      <c r="DA52" s="644">
        <f t="shared" si="2039"/>
        <v>4000</v>
      </c>
      <c r="DB52" s="644">
        <f t="shared" si="2039"/>
        <v>4000</v>
      </c>
      <c r="DC52" s="644">
        <f t="shared" si="2039"/>
        <v>4000</v>
      </c>
      <c r="DD52" s="644">
        <f t="shared" si="2039"/>
        <v>4000</v>
      </c>
      <c r="DE52" s="644">
        <f t="shared" si="2039"/>
        <v>4000</v>
      </c>
      <c r="DF52" s="644">
        <f t="shared" si="2039"/>
        <v>4000</v>
      </c>
      <c r="DG52" s="644">
        <f t="shared" si="2039"/>
        <v>4000</v>
      </c>
      <c r="DH52" s="644">
        <f t="shared" si="2039"/>
        <v>4000</v>
      </c>
      <c r="DI52" s="644">
        <f t="shared" si="2039"/>
        <v>4000</v>
      </c>
      <c r="DJ52" s="644">
        <f t="shared" si="2039"/>
        <v>4000</v>
      </c>
      <c r="DK52" s="644">
        <f t="shared" si="2039"/>
        <v>4000</v>
      </c>
      <c r="DL52" s="644">
        <f t="shared" si="2039"/>
        <v>4000</v>
      </c>
      <c r="DM52" s="644">
        <f t="shared" si="2039"/>
        <v>4000</v>
      </c>
      <c r="DN52" s="644">
        <f t="shared" si="2039"/>
        <v>4000</v>
      </c>
      <c r="DO52" s="644">
        <f t="shared" si="2039"/>
        <v>4000</v>
      </c>
      <c r="DP52" s="644">
        <f t="shared" si="2039"/>
        <v>4000</v>
      </c>
      <c r="DQ52" s="644">
        <f t="shared" si="2039"/>
        <v>4000</v>
      </c>
      <c r="DR52" s="644">
        <f t="shared" si="2039"/>
        <v>4000</v>
      </c>
      <c r="DS52" s="644">
        <f t="shared" si="2039"/>
        <v>4000</v>
      </c>
      <c r="DT52" s="644">
        <f t="shared" si="2039"/>
        <v>4000</v>
      </c>
      <c r="DU52" s="644">
        <f t="shared" si="2039"/>
        <v>4000</v>
      </c>
      <c r="DV52" s="644">
        <f t="shared" si="2039"/>
        <v>4000</v>
      </c>
      <c r="DW52" s="644">
        <f t="shared" si="2039"/>
        <v>4000</v>
      </c>
      <c r="DX52" s="644">
        <f t="shared" si="2039"/>
        <v>4000</v>
      </c>
      <c r="DY52" s="644">
        <f t="shared" si="2039"/>
        <v>4000</v>
      </c>
      <c r="DZ52" s="644">
        <f t="shared" si="2039"/>
        <v>4000</v>
      </c>
      <c r="EA52" s="644">
        <f t="shared" si="2039"/>
        <v>4000</v>
      </c>
      <c r="EB52" s="644">
        <f t="shared" si="2039"/>
        <v>4000</v>
      </c>
      <c r="EC52" s="644">
        <f t="shared" si="2039"/>
        <v>4000</v>
      </c>
      <c r="ED52" s="644">
        <f t="shared" si="2039"/>
        <v>4000</v>
      </c>
      <c r="EE52" s="644">
        <f t="shared" si="2039"/>
        <v>4000</v>
      </c>
      <c r="EF52" s="644">
        <f t="shared" si="2039"/>
        <v>4000</v>
      </c>
      <c r="EG52" s="644">
        <f t="shared" ref="EG52:GJ52" si="2040" xml:space="preserve">
IF(EF52-VLOOKUP($C50,$C$3:$D$15,2,FALSE)*EG$21&lt;0,0,EF52-VLOOKUP($C50,$C$3:$D$15,2,FALSE)*EG$21)</f>
        <v>4000</v>
      </c>
      <c r="EH52" s="644">
        <f t="shared" si="2040"/>
        <v>4000</v>
      </c>
      <c r="EI52" s="644">
        <f t="shared" si="2040"/>
        <v>4000</v>
      </c>
      <c r="EJ52" s="644">
        <f t="shared" si="2040"/>
        <v>4000</v>
      </c>
      <c r="EK52" s="644">
        <f t="shared" si="2040"/>
        <v>4000</v>
      </c>
      <c r="EL52" s="644">
        <f t="shared" si="2040"/>
        <v>4000</v>
      </c>
      <c r="EM52" s="644">
        <f t="shared" si="2040"/>
        <v>4000</v>
      </c>
      <c r="EN52" s="644">
        <f t="shared" si="2040"/>
        <v>4000</v>
      </c>
      <c r="EO52" s="644">
        <f t="shared" si="2040"/>
        <v>4000</v>
      </c>
      <c r="EP52" s="644">
        <f t="shared" si="2040"/>
        <v>4000</v>
      </c>
      <c r="EQ52" s="644">
        <f t="shared" si="2040"/>
        <v>4000</v>
      </c>
      <c r="ER52" s="644">
        <f t="shared" si="2040"/>
        <v>4000</v>
      </c>
      <c r="ES52" s="644">
        <f t="shared" si="2040"/>
        <v>4000</v>
      </c>
      <c r="ET52" s="644">
        <f t="shared" si="2040"/>
        <v>4000</v>
      </c>
      <c r="EU52" s="644">
        <f t="shared" si="2040"/>
        <v>4000</v>
      </c>
      <c r="EV52" s="644">
        <f t="shared" si="2040"/>
        <v>4000</v>
      </c>
      <c r="EW52" s="644">
        <f t="shared" si="2040"/>
        <v>4000</v>
      </c>
      <c r="EX52" s="644">
        <f t="shared" si="2040"/>
        <v>4000</v>
      </c>
      <c r="EY52" s="644">
        <f t="shared" si="2040"/>
        <v>4000</v>
      </c>
      <c r="EZ52" s="644">
        <f t="shared" si="2040"/>
        <v>4000</v>
      </c>
      <c r="FA52" s="644">
        <f t="shared" si="2040"/>
        <v>4000</v>
      </c>
      <c r="FB52" s="644">
        <f t="shared" si="2040"/>
        <v>4000</v>
      </c>
      <c r="FC52" s="644">
        <f t="shared" si="2040"/>
        <v>4000</v>
      </c>
      <c r="FD52" s="644">
        <f t="shared" si="2040"/>
        <v>4000</v>
      </c>
      <c r="FE52" s="644">
        <f t="shared" si="2040"/>
        <v>4000</v>
      </c>
      <c r="FF52" s="644">
        <f t="shared" si="2040"/>
        <v>4000</v>
      </c>
      <c r="FG52" s="644">
        <f t="shared" si="2040"/>
        <v>4000</v>
      </c>
      <c r="FH52" s="644">
        <f t="shared" si="2040"/>
        <v>4000</v>
      </c>
      <c r="FI52" s="644">
        <f t="shared" si="2040"/>
        <v>4000</v>
      </c>
      <c r="FJ52" s="644">
        <f t="shared" si="2040"/>
        <v>4000</v>
      </c>
      <c r="FK52" s="644">
        <f t="shared" si="2040"/>
        <v>4000</v>
      </c>
      <c r="FL52" s="644">
        <f t="shared" si="2040"/>
        <v>4000</v>
      </c>
      <c r="FM52" s="644">
        <f t="shared" si="2040"/>
        <v>4000</v>
      </c>
      <c r="FN52" s="644">
        <f t="shared" si="2040"/>
        <v>4000</v>
      </c>
      <c r="FO52" s="644">
        <f t="shared" si="2040"/>
        <v>4000</v>
      </c>
      <c r="FP52" s="644">
        <f t="shared" si="2040"/>
        <v>4000</v>
      </c>
      <c r="FQ52" s="644">
        <f t="shared" si="2040"/>
        <v>4000</v>
      </c>
      <c r="FR52" s="644">
        <f t="shared" si="2040"/>
        <v>4000</v>
      </c>
      <c r="FS52" s="644">
        <f t="shared" si="2040"/>
        <v>4000</v>
      </c>
      <c r="FT52" s="644">
        <f t="shared" si="2040"/>
        <v>4000</v>
      </c>
      <c r="FU52" s="644">
        <f t="shared" si="2040"/>
        <v>4000</v>
      </c>
      <c r="FV52" s="644">
        <f t="shared" si="2040"/>
        <v>4000</v>
      </c>
      <c r="FW52" s="644">
        <f t="shared" si="2040"/>
        <v>4000</v>
      </c>
      <c r="FX52" s="644">
        <f t="shared" si="2040"/>
        <v>4000</v>
      </c>
      <c r="FY52" s="644">
        <f t="shared" si="2040"/>
        <v>4000</v>
      </c>
      <c r="FZ52" s="644">
        <f t="shared" si="2040"/>
        <v>4000</v>
      </c>
      <c r="GA52" s="644">
        <f t="shared" si="2040"/>
        <v>4000</v>
      </c>
      <c r="GB52" s="644">
        <f t="shared" si="2040"/>
        <v>4000</v>
      </c>
      <c r="GC52" s="644">
        <f t="shared" si="2040"/>
        <v>4000</v>
      </c>
      <c r="GD52" s="644">
        <f t="shared" si="2040"/>
        <v>4000</v>
      </c>
      <c r="GE52" s="644">
        <f t="shared" si="2040"/>
        <v>4000</v>
      </c>
      <c r="GF52" s="644">
        <f t="shared" si="2040"/>
        <v>4000</v>
      </c>
      <c r="GG52" s="644">
        <f t="shared" si="2040"/>
        <v>4000</v>
      </c>
      <c r="GH52" s="644">
        <f t="shared" si="2040"/>
        <v>4000</v>
      </c>
      <c r="GI52" s="644">
        <f t="shared" si="2040"/>
        <v>4000</v>
      </c>
      <c r="GJ52" s="644">
        <f t="shared" si="2040"/>
        <v>4000</v>
      </c>
    </row>
    <row r="53" spans="2:192" s="655" customFormat="1">
      <c r="B53" s="656"/>
      <c r="C53" s="641" t="s">
        <v>1267</v>
      </c>
      <c r="D53" s="768" t="s">
        <v>1466</v>
      </c>
      <c r="E53" s="773"/>
      <c r="F53" s="706"/>
      <c r="G53" s="642">
        <f xml:space="preserve">
MIN(G54,
IF((VLOOKUP($C53,$C$3:$D$15,2,FALSE)*G$21-G55)&lt;0,0,VLOOKUP($C53,$C$3:$D$15,2,FALSE)*G$21-G55))</f>
        <v>0</v>
      </c>
      <c r="H53" s="642">
        <f t="shared" ref="H53" si="2041" xml:space="preserve">
IF(G55&gt;=VLOOKUP($C53,$C$3:$D$15,2,FALSE)*H$21,0,
IF(AND(G55&lt;VLOOKUP($C53,$C$3:$D$15,2,FALSE)*H$21,H54&lt;=VLOOKUP($C53,$C$3:$D$15,2,FALSE)*H$21),IF(H54-G55&lt;0,0,H54-G55),
IF(AND(G55&lt;VLOOKUP($C53,$C$3:$D$15,2,FALSE)*H$21,H54&gt;VLOOKUP($C53,$C$3:$D$15,2,FALSE)*H$21),VLOOKUP($C53,$C$3:$D$15,2,FALSE)*H$21-G55)))</f>
        <v>0</v>
      </c>
      <c r="I53" s="642">
        <f t="shared" ref="I53" si="2042" xml:space="preserve">
IF(H55&gt;=VLOOKUP($C53,$C$3:$D$15,2,FALSE)*I$21,0,
IF(AND(H55&lt;VLOOKUP($C53,$C$3:$D$15,2,FALSE)*I$21,I54&lt;=VLOOKUP($C53,$C$3:$D$15,2,FALSE)*I$21),IF(I54-H55&lt;0,0,I54-H55),
IF(AND(H55&lt;VLOOKUP($C53,$C$3:$D$15,2,FALSE)*I$21,I54&gt;VLOOKUP($C53,$C$3:$D$15,2,FALSE)*I$21),VLOOKUP($C53,$C$3:$D$15,2,FALSE)*I$21-H55)))</f>
        <v>0</v>
      </c>
      <c r="J53" s="642">
        <f t="shared" ref="J53" si="2043" xml:space="preserve">
IF(I55&gt;=VLOOKUP($C53,$C$3:$D$15,2,FALSE)*J$21,0,
IF(AND(I55&lt;VLOOKUP($C53,$C$3:$D$15,2,FALSE)*J$21,J54&lt;=VLOOKUP($C53,$C$3:$D$15,2,FALSE)*J$21),IF(J54-I55&lt;0,0,J54-I55),
IF(AND(I55&lt;VLOOKUP($C53,$C$3:$D$15,2,FALSE)*J$21,J54&gt;VLOOKUP($C53,$C$3:$D$15,2,FALSE)*J$21),VLOOKUP($C53,$C$3:$D$15,2,FALSE)*J$21-I55)))</f>
        <v>0</v>
      </c>
      <c r="K53" s="642">
        <f t="shared" ref="K53" si="2044" xml:space="preserve">
IF(J55&gt;=VLOOKUP($C53,$C$3:$D$15,2,FALSE)*K$21,0,
IF(AND(J55&lt;VLOOKUP($C53,$C$3:$D$15,2,FALSE)*K$21,K54&lt;=VLOOKUP($C53,$C$3:$D$15,2,FALSE)*K$21),IF(K54-J55&lt;0,0,K54-J55),
IF(AND(J55&lt;VLOOKUP($C53,$C$3:$D$15,2,FALSE)*K$21,K54&gt;VLOOKUP($C53,$C$3:$D$15,2,FALSE)*K$21),VLOOKUP($C53,$C$3:$D$15,2,FALSE)*K$21-J55)))</f>
        <v>0</v>
      </c>
      <c r="L53" s="642">
        <f t="shared" ref="L53" si="2045" xml:space="preserve">
IF(K55&gt;=VLOOKUP($C53,$C$3:$D$15,2,FALSE)*L$21,0,
IF(AND(K55&lt;VLOOKUP($C53,$C$3:$D$15,2,FALSE)*L$21,L54&lt;=VLOOKUP($C53,$C$3:$D$15,2,FALSE)*L$21),IF(L54-K55&lt;0,0,L54-K55),
IF(AND(K55&lt;VLOOKUP($C53,$C$3:$D$15,2,FALSE)*L$21,L54&gt;VLOOKUP($C53,$C$3:$D$15,2,FALSE)*L$21),VLOOKUP($C53,$C$3:$D$15,2,FALSE)*L$21-K55)))</f>
        <v>0</v>
      </c>
      <c r="M53" s="642">
        <f t="shared" ref="M53" si="2046" xml:space="preserve">
IF(L55&gt;=VLOOKUP($C53,$C$3:$D$15,2,FALSE)*M$21,0,
IF(AND(L55&lt;VLOOKUP($C53,$C$3:$D$15,2,FALSE)*M$21,M54&lt;=VLOOKUP($C53,$C$3:$D$15,2,FALSE)*M$21),IF(M54-L55&lt;0,0,M54-L55),
IF(AND(L55&lt;VLOOKUP($C53,$C$3:$D$15,2,FALSE)*M$21,M54&gt;VLOOKUP($C53,$C$3:$D$15,2,FALSE)*M$21),VLOOKUP($C53,$C$3:$D$15,2,FALSE)*M$21-L55)))</f>
        <v>0</v>
      </c>
      <c r="N53" s="642">
        <f t="shared" ref="N53" si="2047" xml:space="preserve">
IF(M55&gt;=VLOOKUP($C53,$C$3:$D$15,2,FALSE)*N$21,0,
IF(AND(M55&lt;VLOOKUP($C53,$C$3:$D$15,2,FALSE)*N$21,N54&lt;=VLOOKUP($C53,$C$3:$D$15,2,FALSE)*N$21),IF(N54-M55&lt;0,0,N54-M55),
IF(AND(M55&lt;VLOOKUP($C53,$C$3:$D$15,2,FALSE)*N$21,N54&gt;VLOOKUP($C53,$C$3:$D$15,2,FALSE)*N$21),VLOOKUP($C53,$C$3:$D$15,2,FALSE)*N$21-M55)))</f>
        <v>0</v>
      </c>
      <c r="O53" s="642">
        <f t="shared" ref="O53" si="2048" xml:space="preserve">
IF(N55&gt;=VLOOKUP($C53,$C$3:$D$15,2,FALSE)*O$21,0,
IF(AND(N55&lt;VLOOKUP($C53,$C$3:$D$15,2,FALSE)*O$21,O54&lt;=VLOOKUP($C53,$C$3:$D$15,2,FALSE)*O$21),IF(O54-N55&lt;0,0,O54-N55),
IF(AND(N55&lt;VLOOKUP($C53,$C$3:$D$15,2,FALSE)*O$21,O54&gt;VLOOKUP($C53,$C$3:$D$15,2,FALSE)*O$21),VLOOKUP($C53,$C$3:$D$15,2,FALSE)*O$21-N55)))</f>
        <v>0</v>
      </c>
      <c r="P53" s="642">
        <f t="shared" ref="P53" si="2049" xml:space="preserve">
IF(O55&gt;=VLOOKUP($C53,$C$3:$D$15,2,FALSE)*P$21,0,
IF(AND(O55&lt;VLOOKUP($C53,$C$3:$D$15,2,FALSE)*P$21,P54&lt;=VLOOKUP($C53,$C$3:$D$15,2,FALSE)*P$21),IF(P54-O55&lt;0,0,P54-O55),
IF(AND(O55&lt;VLOOKUP($C53,$C$3:$D$15,2,FALSE)*P$21,P54&gt;VLOOKUP($C53,$C$3:$D$15,2,FALSE)*P$21),VLOOKUP($C53,$C$3:$D$15,2,FALSE)*P$21-O55)))</f>
        <v>0</v>
      </c>
      <c r="Q53" s="642">
        <f t="shared" ref="Q53" si="2050" xml:space="preserve">
IF(P55&gt;=VLOOKUP($C53,$C$3:$D$15,2,FALSE)*Q$21,0,
IF(AND(P55&lt;VLOOKUP($C53,$C$3:$D$15,2,FALSE)*Q$21,Q54&lt;=VLOOKUP($C53,$C$3:$D$15,2,FALSE)*Q$21),IF(Q54-P55&lt;0,0,Q54-P55),
IF(AND(P55&lt;VLOOKUP($C53,$C$3:$D$15,2,FALSE)*Q$21,Q54&gt;VLOOKUP($C53,$C$3:$D$15,2,FALSE)*Q$21),VLOOKUP($C53,$C$3:$D$15,2,FALSE)*Q$21-P55)))</f>
        <v>0</v>
      </c>
      <c r="R53" s="642">
        <f t="shared" ref="R53" si="2051" xml:space="preserve">
IF(Q55&gt;=VLOOKUP($C53,$C$3:$D$15,2,FALSE)*R$21,0,
IF(AND(Q55&lt;VLOOKUP($C53,$C$3:$D$15,2,FALSE)*R$21,R54&lt;=VLOOKUP($C53,$C$3:$D$15,2,FALSE)*R$21),IF(R54-Q55&lt;0,0,R54-Q55),
IF(AND(Q55&lt;VLOOKUP($C53,$C$3:$D$15,2,FALSE)*R$21,R54&gt;VLOOKUP($C53,$C$3:$D$15,2,FALSE)*R$21),VLOOKUP($C53,$C$3:$D$15,2,FALSE)*R$21-Q55)))</f>
        <v>0</v>
      </c>
      <c r="S53" s="642">
        <f t="shared" ref="S53" si="2052" xml:space="preserve">
IF(R55&gt;=VLOOKUP($C53,$C$3:$D$15,2,FALSE)*S$21,0,
IF(AND(R55&lt;VLOOKUP($C53,$C$3:$D$15,2,FALSE)*S$21,S54&lt;=VLOOKUP($C53,$C$3:$D$15,2,FALSE)*S$21),IF(S54-R55&lt;0,0,S54-R55),
IF(AND(R55&lt;VLOOKUP($C53,$C$3:$D$15,2,FALSE)*S$21,S54&gt;VLOOKUP($C53,$C$3:$D$15,2,FALSE)*S$21),VLOOKUP($C53,$C$3:$D$15,2,FALSE)*S$21-R55)))</f>
        <v>0</v>
      </c>
      <c r="T53" s="642">
        <f t="shared" ref="T53" si="2053" xml:space="preserve">
IF(S55&gt;=VLOOKUP($C53,$C$3:$D$15,2,FALSE)*T$21,0,
IF(AND(S55&lt;VLOOKUP($C53,$C$3:$D$15,2,FALSE)*T$21,T54&lt;=VLOOKUP($C53,$C$3:$D$15,2,FALSE)*T$21),IF(T54-S55&lt;0,0,T54-S55),
IF(AND(S55&lt;VLOOKUP($C53,$C$3:$D$15,2,FALSE)*T$21,T54&gt;VLOOKUP($C53,$C$3:$D$15,2,FALSE)*T$21),VLOOKUP($C53,$C$3:$D$15,2,FALSE)*T$21-S55)))</f>
        <v>0</v>
      </c>
      <c r="U53" s="642">
        <f t="shared" ref="U53" si="2054" xml:space="preserve">
IF(T55&gt;=VLOOKUP($C53,$C$3:$D$15,2,FALSE)*U$21,0,
IF(AND(T55&lt;VLOOKUP($C53,$C$3:$D$15,2,FALSE)*U$21,U54&lt;=VLOOKUP($C53,$C$3:$D$15,2,FALSE)*U$21),IF(U54-T55&lt;0,0,U54-T55),
IF(AND(T55&lt;VLOOKUP($C53,$C$3:$D$15,2,FALSE)*U$21,U54&gt;VLOOKUP($C53,$C$3:$D$15,2,FALSE)*U$21),VLOOKUP($C53,$C$3:$D$15,2,FALSE)*U$21-T55)))</f>
        <v>0</v>
      </c>
      <c r="V53" s="642">
        <f t="shared" ref="V53" si="2055" xml:space="preserve">
IF(U55&gt;=VLOOKUP($C53,$C$3:$D$15,2,FALSE)*V$21,0,
IF(AND(U55&lt;VLOOKUP($C53,$C$3:$D$15,2,FALSE)*V$21,V54&lt;=VLOOKUP($C53,$C$3:$D$15,2,FALSE)*V$21),IF(V54-U55&lt;0,0,V54-U55),
IF(AND(U55&lt;VLOOKUP($C53,$C$3:$D$15,2,FALSE)*V$21,V54&gt;VLOOKUP($C53,$C$3:$D$15,2,FALSE)*V$21),VLOOKUP($C53,$C$3:$D$15,2,FALSE)*V$21-U55)))</f>
        <v>0</v>
      </c>
      <c r="W53" s="642">
        <f t="shared" ref="W53" si="2056" xml:space="preserve">
IF(V55&gt;=VLOOKUP($C53,$C$3:$D$15,2,FALSE)*W$21,0,
IF(AND(V55&lt;VLOOKUP($C53,$C$3:$D$15,2,FALSE)*W$21,W54&lt;=VLOOKUP($C53,$C$3:$D$15,2,FALSE)*W$21),IF(W54-V55&lt;0,0,W54-V55),
IF(AND(V55&lt;VLOOKUP($C53,$C$3:$D$15,2,FALSE)*W$21,W54&gt;VLOOKUP($C53,$C$3:$D$15,2,FALSE)*W$21),VLOOKUP($C53,$C$3:$D$15,2,FALSE)*W$21-V55)))</f>
        <v>0</v>
      </c>
      <c r="X53" s="642">
        <f t="shared" ref="X53" si="2057" xml:space="preserve">
IF(W55&gt;=VLOOKUP($C53,$C$3:$D$15,2,FALSE)*X$21,0,
IF(AND(W55&lt;VLOOKUP($C53,$C$3:$D$15,2,FALSE)*X$21,X54&lt;=VLOOKUP($C53,$C$3:$D$15,2,FALSE)*X$21),IF(X54-W55&lt;0,0,X54-W55),
IF(AND(W55&lt;VLOOKUP($C53,$C$3:$D$15,2,FALSE)*X$21,X54&gt;VLOOKUP($C53,$C$3:$D$15,2,FALSE)*X$21),VLOOKUP($C53,$C$3:$D$15,2,FALSE)*X$21-W55)))</f>
        <v>0</v>
      </c>
      <c r="Y53" s="642">
        <f t="shared" ref="Y53" si="2058" xml:space="preserve">
IF(X55&gt;=VLOOKUP($C53,$C$3:$D$15,2,FALSE)*Y$21,0,
IF(AND(X55&lt;VLOOKUP($C53,$C$3:$D$15,2,FALSE)*Y$21,Y54&lt;=VLOOKUP($C53,$C$3:$D$15,2,FALSE)*Y$21),IF(Y54-X55&lt;0,0,Y54-X55),
IF(AND(X55&lt;VLOOKUP($C53,$C$3:$D$15,2,FALSE)*Y$21,Y54&gt;VLOOKUP($C53,$C$3:$D$15,2,FALSE)*Y$21),VLOOKUP($C53,$C$3:$D$15,2,FALSE)*Y$21-X55)))</f>
        <v>0</v>
      </c>
      <c r="Z53" s="642">
        <f t="shared" ref="Z53" si="2059" xml:space="preserve">
IF(Y55&gt;=VLOOKUP($C53,$C$3:$D$15,2,FALSE)*Z$21,0,
IF(AND(Y55&lt;VLOOKUP($C53,$C$3:$D$15,2,FALSE)*Z$21,Z54&lt;=VLOOKUP($C53,$C$3:$D$15,2,FALSE)*Z$21),IF(Z54-Y55&lt;0,0,Z54-Y55),
IF(AND(Y55&lt;VLOOKUP($C53,$C$3:$D$15,2,FALSE)*Z$21,Z54&gt;VLOOKUP($C53,$C$3:$D$15,2,FALSE)*Z$21),VLOOKUP($C53,$C$3:$D$15,2,FALSE)*Z$21-Y55)))</f>
        <v>0</v>
      </c>
      <c r="AA53" s="642">
        <f t="shared" ref="AA53" si="2060" xml:space="preserve">
IF(Z55&gt;=VLOOKUP($C53,$C$3:$D$15,2,FALSE)*AA$21,0,
IF(AND(Z55&lt;VLOOKUP($C53,$C$3:$D$15,2,FALSE)*AA$21,AA54&lt;=VLOOKUP($C53,$C$3:$D$15,2,FALSE)*AA$21),IF(AA54-Z55&lt;0,0,AA54-Z55),
IF(AND(Z55&lt;VLOOKUP($C53,$C$3:$D$15,2,FALSE)*AA$21,AA54&gt;VLOOKUP($C53,$C$3:$D$15,2,FALSE)*AA$21),VLOOKUP($C53,$C$3:$D$15,2,FALSE)*AA$21-Z55)))</f>
        <v>0</v>
      </c>
      <c r="AB53" s="642">
        <f t="shared" ref="AB53" si="2061" xml:space="preserve">
IF(AA55&gt;=VLOOKUP($C53,$C$3:$D$15,2,FALSE)*AB$21,0,
IF(AND(AA55&lt;VLOOKUP($C53,$C$3:$D$15,2,FALSE)*AB$21,AB54&lt;=VLOOKUP($C53,$C$3:$D$15,2,FALSE)*AB$21),IF(AB54-AA55&lt;0,0,AB54-AA55),
IF(AND(AA55&lt;VLOOKUP($C53,$C$3:$D$15,2,FALSE)*AB$21,AB54&gt;VLOOKUP($C53,$C$3:$D$15,2,FALSE)*AB$21),VLOOKUP($C53,$C$3:$D$15,2,FALSE)*AB$21-AA55)))</f>
        <v>0</v>
      </c>
      <c r="AC53" s="642">
        <f t="shared" ref="AC53" si="2062" xml:space="preserve">
IF(AB55&gt;=VLOOKUP($C53,$C$3:$D$15,2,FALSE)*AC$21,0,
IF(AND(AB55&lt;VLOOKUP($C53,$C$3:$D$15,2,FALSE)*AC$21,AC54&lt;=VLOOKUP($C53,$C$3:$D$15,2,FALSE)*AC$21),IF(AC54-AB55&lt;0,0,AC54-AB55),
IF(AND(AB55&lt;VLOOKUP($C53,$C$3:$D$15,2,FALSE)*AC$21,AC54&gt;VLOOKUP($C53,$C$3:$D$15,2,FALSE)*AC$21),VLOOKUP($C53,$C$3:$D$15,2,FALSE)*AC$21-AB55)))</f>
        <v>0</v>
      </c>
      <c r="AD53" s="642">
        <f t="shared" ref="AD53" si="2063" xml:space="preserve">
IF(AC55&gt;=VLOOKUP($C53,$C$3:$D$15,2,FALSE)*AD$21,0,
IF(AND(AC55&lt;VLOOKUP($C53,$C$3:$D$15,2,FALSE)*AD$21,AD54&lt;=VLOOKUP($C53,$C$3:$D$15,2,FALSE)*AD$21),IF(AD54-AC55&lt;0,0,AD54-AC55),
IF(AND(AC55&lt;VLOOKUP($C53,$C$3:$D$15,2,FALSE)*AD$21,AD54&gt;VLOOKUP($C53,$C$3:$D$15,2,FALSE)*AD$21),VLOOKUP($C53,$C$3:$D$15,2,FALSE)*AD$21-AC55)))</f>
        <v>0</v>
      </c>
      <c r="AE53" s="642">
        <f t="shared" ref="AE53" si="2064" xml:space="preserve">
IF(AD55&gt;=VLOOKUP($C53,$C$3:$D$15,2,FALSE)*AE$21,0,
IF(AND(AD55&lt;VLOOKUP($C53,$C$3:$D$15,2,FALSE)*AE$21,AE54&lt;=VLOOKUP($C53,$C$3:$D$15,2,FALSE)*AE$21),IF(AE54-AD55&lt;0,0,AE54-AD55),
IF(AND(AD55&lt;VLOOKUP($C53,$C$3:$D$15,2,FALSE)*AE$21,AE54&gt;VLOOKUP($C53,$C$3:$D$15,2,FALSE)*AE$21),VLOOKUP($C53,$C$3:$D$15,2,FALSE)*AE$21-AD55)))</f>
        <v>0</v>
      </c>
      <c r="AF53" s="642">
        <f t="shared" ref="AF53" si="2065" xml:space="preserve">
IF(AE55&gt;=VLOOKUP($C53,$C$3:$D$15,2,FALSE)*AF$21,0,
IF(AND(AE55&lt;VLOOKUP($C53,$C$3:$D$15,2,FALSE)*AF$21,AF54&lt;=VLOOKUP($C53,$C$3:$D$15,2,FALSE)*AF$21),IF(AF54-AE55&lt;0,0,AF54-AE55),
IF(AND(AE55&lt;VLOOKUP($C53,$C$3:$D$15,2,FALSE)*AF$21,AF54&gt;VLOOKUP($C53,$C$3:$D$15,2,FALSE)*AF$21),VLOOKUP($C53,$C$3:$D$15,2,FALSE)*AF$21-AE55)))</f>
        <v>0</v>
      </c>
      <c r="AG53" s="642">
        <f t="shared" ref="AG53" si="2066" xml:space="preserve">
IF(AF55&gt;=VLOOKUP($C53,$C$3:$D$15,2,FALSE)*AG$21,0,
IF(AND(AF55&lt;VLOOKUP($C53,$C$3:$D$15,2,FALSE)*AG$21,AG54&lt;=VLOOKUP($C53,$C$3:$D$15,2,FALSE)*AG$21),IF(AG54-AF55&lt;0,0,AG54-AF55),
IF(AND(AF55&lt;VLOOKUP($C53,$C$3:$D$15,2,FALSE)*AG$21,AG54&gt;VLOOKUP($C53,$C$3:$D$15,2,FALSE)*AG$21),VLOOKUP($C53,$C$3:$D$15,2,FALSE)*AG$21-AF55)))</f>
        <v>0</v>
      </c>
      <c r="AH53" s="642">
        <f t="shared" ref="AH53" si="2067" xml:space="preserve">
IF(AG55&gt;=VLOOKUP($C53,$C$3:$D$15,2,FALSE)*AH$21,0,
IF(AND(AG55&lt;VLOOKUP($C53,$C$3:$D$15,2,FALSE)*AH$21,AH54&lt;=VLOOKUP($C53,$C$3:$D$15,2,FALSE)*AH$21),IF(AH54-AG55&lt;0,0,AH54-AG55),
IF(AND(AG55&lt;VLOOKUP($C53,$C$3:$D$15,2,FALSE)*AH$21,AH54&gt;VLOOKUP($C53,$C$3:$D$15,2,FALSE)*AH$21),VLOOKUP($C53,$C$3:$D$15,2,FALSE)*AH$21-AG55)))</f>
        <v>0</v>
      </c>
      <c r="AI53" s="642">
        <f t="shared" ref="AI53" si="2068" xml:space="preserve">
IF(AH55&gt;=VLOOKUP($C53,$C$3:$D$15,2,FALSE)*AI$21,0,
IF(AND(AH55&lt;VLOOKUP($C53,$C$3:$D$15,2,FALSE)*AI$21,AI54&lt;=VLOOKUP($C53,$C$3:$D$15,2,FALSE)*AI$21),IF(AI54-AH55&lt;0,0,AI54-AH55),
IF(AND(AH55&lt;VLOOKUP($C53,$C$3:$D$15,2,FALSE)*AI$21,AI54&gt;VLOOKUP($C53,$C$3:$D$15,2,FALSE)*AI$21),VLOOKUP($C53,$C$3:$D$15,2,FALSE)*AI$21-AH55)))</f>
        <v>0</v>
      </c>
      <c r="AJ53" s="642">
        <f t="shared" ref="AJ53" si="2069" xml:space="preserve">
IF(AI55&gt;=VLOOKUP($C53,$C$3:$D$15,2,FALSE)*AJ$21,0,
IF(AND(AI55&lt;VLOOKUP($C53,$C$3:$D$15,2,FALSE)*AJ$21,AJ54&lt;=VLOOKUP($C53,$C$3:$D$15,2,FALSE)*AJ$21),IF(AJ54-AI55&lt;0,0,AJ54-AI55),
IF(AND(AI55&lt;VLOOKUP($C53,$C$3:$D$15,2,FALSE)*AJ$21,AJ54&gt;VLOOKUP($C53,$C$3:$D$15,2,FALSE)*AJ$21),VLOOKUP($C53,$C$3:$D$15,2,FALSE)*AJ$21-AI55)))</f>
        <v>0</v>
      </c>
      <c r="AK53" s="642">
        <f t="shared" ref="AK53" si="2070" xml:space="preserve">
IF(AJ55&gt;=VLOOKUP($C53,$C$3:$D$15,2,FALSE)*AK$21,0,
IF(AND(AJ55&lt;VLOOKUP($C53,$C$3:$D$15,2,FALSE)*AK$21,AK54&lt;=VLOOKUP($C53,$C$3:$D$15,2,FALSE)*AK$21),IF(AK54-AJ55&lt;0,0,AK54-AJ55),
IF(AND(AJ55&lt;VLOOKUP($C53,$C$3:$D$15,2,FALSE)*AK$21,AK54&gt;VLOOKUP($C53,$C$3:$D$15,2,FALSE)*AK$21),VLOOKUP($C53,$C$3:$D$15,2,FALSE)*AK$21-AJ55)))</f>
        <v>0</v>
      </c>
      <c r="AL53" s="642">
        <f t="shared" ref="AL53" si="2071" xml:space="preserve">
IF(AK55&gt;=VLOOKUP($C53,$C$3:$D$15,2,FALSE)*AL$21,0,
IF(AND(AK55&lt;VLOOKUP($C53,$C$3:$D$15,2,FALSE)*AL$21,AL54&lt;=VLOOKUP($C53,$C$3:$D$15,2,FALSE)*AL$21),IF(AL54-AK55&lt;0,0,AL54-AK55),
IF(AND(AK55&lt;VLOOKUP($C53,$C$3:$D$15,2,FALSE)*AL$21,AL54&gt;VLOOKUP($C53,$C$3:$D$15,2,FALSE)*AL$21),VLOOKUP($C53,$C$3:$D$15,2,FALSE)*AL$21-AK55)))</f>
        <v>0</v>
      </c>
      <c r="AM53" s="642">
        <f t="shared" ref="AM53" si="2072" xml:space="preserve">
IF(AL55&gt;=VLOOKUP($C53,$C$3:$D$15,2,FALSE)*AM$21,0,
IF(AND(AL55&lt;VLOOKUP($C53,$C$3:$D$15,2,FALSE)*AM$21,AM54&lt;=VLOOKUP($C53,$C$3:$D$15,2,FALSE)*AM$21),IF(AM54-AL55&lt;0,0,AM54-AL55),
IF(AND(AL55&lt;VLOOKUP($C53,$C$3:$D$15,2,FALSE)*AM$21,AM54&gt;VLOOKUP($C53,$C$3:$D$15,2,FALSE)*AM$21),VLOOKUP($C53,$C$3:$D$15,2,FALSE)*AM$21-AL55)))</f>
        <v>0</v>
      </c>
      <c r="AN53" s="642">
        <f t="shared" ref="AN53" si="2073" xml:space="preserve">
IF(AM55&gt;=VLOOKUP($C53,$C$3:$D$15,2,FALSE)*AN$21,0,
IF(AND(AM55&lt;VLOOKUP($C53,$C$3:$D$15,2,FALSE)*AN$21,AN54&lt;=VLOOKUP($C53,$C$3:$D$15,2,FALSE)*AN$21),IF(AN54-AM55&lt;0,0,AN54-AM55),
IF(AND(AM55&lt;VLOOKUP($C53,$C$3:$D$15,2,FALSE)*AN$21,AN54&gt;VLOOKUP($C53,$C$3:$D$15,2,FALSE)*AN$21),VLOOKUP($C53,$C$3:$D$15,2,FALSE)*AN$21-AM55)))</f>
        <v>0</v>
      </c>
      <c r="AO53" s="642">
        <f t="shared" ref="AO53" si="2074" xml:space="preserve">
IF(AN55&gt;=VLOOKUP($C53,$C$3:$D$15,2,FALSE)*AO$21,0,
IF(AND(AN55&lt;VLOOKUP($C53,$C$3:$D$15,2,FALSE)*AO$21,AO54&lt;=VLOOKUP($C53,$C$3:$D$15,2,FALSE)*AO$21),IF(AO54-AN55&lt;0,0,AO54-AN55),
IF(AND(AN55&lt;VLOOKUP($C53,$C$3:$D$15,2,FALSE)*AO$21,AO54&gt;VLOOKUP($C53,$C$3:$D$15,2,FALSE)*AO$21),VLOOKUP($C53,$C$3:$D$15,2,FALSE)*AO$21-AN55)))</f>
        <v>0</v>
      </c>
      <c r="AP53" s="642">
        <f t="shared" ref="AP53" si="2075" xml:space="preserve">
IF(AO55&gt;=VLOOKUP($C53,$C$3:$D$15,2,FALSE)*AP$21,0,
IF(AND(AO55&lt;VLOOKUP($C53,$C$3:$D$15,2,FALSE)*AP$21,AP54&lt;=VLOOKUP($C53,$C$3:$D$15,2,FALSE)*AP$21),IF(AP54-AO55&lt;0,0,AP54-AO55),
IF(AND(AO55&lt;VLOOKUP($C53,$C$3:$D$15,2,FALSE)*AP$21,AP54&gt;VLOOKUP($C53,$C$3:$D$15,2,FALSE)*AP$21),VLOOKUP($C53,$C$3:$D$15,2,FALSE)*AP$21-AO55)))</f>
        <v>0</v>
      </c>
      <c r="AQ53" s="642">
        <f t="shared" ref="AQ53" si="2076" xml:space="preserve">
IF(AP55&gt;=VLOOKUP($C53,$C$3:$D$15,2,FALSE)*AQ$21,0,
IF(AND(AP55&lt;VLOOKUP($C53,$C$3:$D$15,2,FALSE)*AQ$21,AQ54&lt;=VLOOKUP($C53,$C$3:$D$15,2,FALSE)*AQ$21),IF(AQ54-AP55&lt;0,0,AQ54-AP55),
IF(AND(AP55&lt;VLOOKUP($C53,$C$3:$D$15,2,FALSE)*AQ$21,AQ54&gt;VLOOKUP($C53,$C$3:$D$15,2,FALSE)*AQ$21),VLOOKUP($C53,$C$3:$D$15,2,FALSE)*AQ$21-AP55)))</f>
        <v>0</v>
      </c>
      <c r="AR53" s="642">
        <f t="shared" ref="AR53" si="2077" xml:space="preserve">
IF(AQ55&gt;=VLOOKUP($C53,$C$3:$D$15,2,FALSE)*AR$21,0,
IF(AND(AQ55&lt;VLOOKUP($C53,$C$3:$D$15,2,FALSE)*AR$21,AR54&lt;=VLOOKUP($C53,$C$3:$D$15,2,FALSE)*AR$21),IF(AR54-AQ55&lt;0,0,AR54-AQ55),
IF(AND(AQ55&lt;VLOOKUP($C53,$C$3:$D$15,2,FALSE)*AR$21,AR54&gt;VLOOKUP($C53,$C$3:$D$15,2,FALSE)*AR$21),VLOOKUP($C53,$C$3:$D$15,2,FALSE)*AR$21-AQ55)))</f>
        <v>0</v>
      </c>
      <c r="AS53" s="642">
        <f t="shared" ref="AS53" si="2078" xml:space="preserve">
IF(AR55&gt;=VLOOKUP($C53,$C$3:$D$15,2,FALSE)*AS$21,0,
IF(AND(AR55&lt;VLOOKUP($C53,$C$3:$D$15,2,FALSE)*AS$21,AS54&lt;=VLOOKUP($C53,$C$3:$D$15,2,FALSE)*AS$21),IF(AS54-AR55&lt;0,0,AS54-AR55),
IF(AND(AR55&lt;VLOOKUP($C53,$C$3:$D$15,2,FALSE)*AS$21,AS54&gt;VLOOKUP($C53,$C$3:$D$15,2,FALSE)*AS$21),VLOOKUP($C53,$C$3:$D$15,2,FALSE)*AS$21-AR55)))</f>
        <v>0</v>
      </c>
      <c r="AT53" s="642">
        <f t="shared" ref="AT53" si="2079" xml:space="preserve">
IF(AS55&gt;=VLOOKUP($C53,$C$3:$D$15,2,FALSE)*AT$21,0,
IF(AND(AS55&lt;VLOOKUP($C53,$C$3:$D$15,2,FALSE)*AT$21,AT54&lt;=VLOOKUP($C53,$C$3:$D$15,2,FALSE)*AT$21),IF(AT54-AS55&lt;0,0,AT54-AS55),
IF(AND(AS55&lt;VLOOKUP($C53,$C$3:$D$15,2,FALSE)*AT$21,AT54&gt;VLOOKUP($C53,$C$3:$D$15,2,FALSE)*AT$21),VLOOKUP($C53,$C$3:$D$15,2,FALSE)*AT$21-AS55)))</f>
        <v>0</v>
      </c>
      <c r="AU53" s="642">
        <f t="shared" ref="AU53" si="2080" xml:space="preserve">
IF(AT55&gt;=VLOOKUP($C53,$C$3:$D$15,2,FALSE)*AU$21,0,
IF(AND(AT55&lt;VLOOKUP($C53,$C$3:$D$15,2,FALSE)*AU$21,AU54&lt;=VLOOKUP($C53,$C$3:$D$15,2,FALSE)*AU$21),IF(AU54-AT55&lt;0,0,AU54-AT55),
IF(AND(AT55&lt;VLOOKUP($C53,$C$3:$D$15,2,FALSE)*AU$21,AU54&gt;VLOOKUP($C53,$C$3:$D$15,2,FALSE)*AU$21),VLOOKUP($C53,$C$3:$D$15,2,FALSE)*AU$21-AT55)))</f>
        <v>0</v>
      </c>
      <c r="AV53" s="642">
        <f t="shared" ref="AV53" si="2081" xml:space="preserve">
IF(AU55&gt;=VLOOKUP($C53,$C$3:$D$15,2,FALSE)*AV$21,0,
IF(AND(AU55&lt;VLOOKUP($C53,$C$3:$D$15,2,FALSE)*AV$21,AV54&lt;=VLOOKUP($C53,$C$3:$D$15,2,FALSE)*AV$21),IF(AV54-AU55&lt;0,0,AV54-AU55),
IF(AND(AU55&lt;VLOOKUP($C53,$C$3:$D$15,2,FALSE)*AV$21,AV54&gt;VLOOKUP($C53,$C$3:$D$15,2,FALSE)*AV$21),VLOOKUP($C53,$C$3:$D$15,2,FALSE)*AV$21-AU55)))</f>
        <v>0</v>
      </c>
      <c r="AW53" s="642">
        <f t="shared" ref="AW53" si="2082" xml:space="preserve">
IF(AV55&gt;=VLOOKUP($C53,$C$3:$D$15,2,FALSE)*AW$21,0,
IF(AND(AV55&lt;VLOOKUP($C53,$C$3:$D$15,2,FALSE)*AW$21,AW54&lt;=VLOOKUP($C53,$C$3:$D$15,2,FALSE)*AW$21),IF(AW54-AV55&lt;0,0,AW54-AV55),
IF(AND(AV55&lt;VLOOKUP($C53,$C$3:$D$15,2,FALSE)*AW$21,AW54&gt;VLOOKUP($C53,$C$3:$D$15,2,FALSE)*AW$21),VLOOKUP($C53,$C$3:$D$15,2,FALSE)*AW$21-AV55)))</f>
        <v>0</v>
      </c>
      <c r="AX53" s="642">
        <f t="shared" ref="AX53" si="2083" xml:space="preserve">
IF(AW55&gt;=VLOOKUP($C53,$C$3:$D$15,2,FALSE)*AX$21,0,
IF(AND(AW55&lt;VLOOKUP($C53,$C$3:$D$15,2,FALSE)*AX$21,AX54&lt;=VLOOKUP($C53,$C$3:$D$15,2,FALSE)*AX$21),IF(AX54-AW55&lt;0,0,AX54-AW55),
IF(AND(AW55&lt;VLOOKUP($C53,$C$3:$D$15,2,FALSE)*AX$21,AX54&gt;VLOOKUP($C53,$C$3:$D$15,2,FALSE)*AX$21),VLOOKUP($C53,$C$3:$D$15,2,FALSE)*AX$21-AW55)))</f>
        <v>0</v>
      </c>
      <c r="AY53" s="642">
        <f t="shared" ref="AY53" si="2084" xml:space="preserve">
IF(AX55&gt;=VLOOKUP($C53,$C$3:$D$15,2,FALSE)*AY$21,0,
IF(AND(AX55&lt;VLOOKUP($C53,$C$3:$D$15,2,FALSE)*AY$21,AY54&lt;=VLOOKUP($C53,$C$3:$D$15,2,FALSE)*AY$21),IF(AY54-AX55&lt;0,0,AY54-AX55),
IF(AND(AX55&lt;VLOOKUP($C53,$C$3:$D$15,2,FALSE)*AY$21,AY54&gt;VLOOKUP($C53,$C$3:$D$15,2,FALSE)*AY$21),VLOOKUP($C53,$C$3:$D$15,2,FALSE)*AY$21-AX55)))</f>
        <v>0</v>
      </c>
      <c r="AZ53" s="642">
        <f t="shared" ref="AZ53" si="2085" xml:space="preserve">
IF(AY55&gt;=VLOOKUP($C53,$C$3:$D$15,2,FALSE)*AZ$21,0,
IF(AND(AY55&lt;VLOOKUP($C53,$C$3:$D$15,2,FALSE)*AZ$21,AZ54&lt;=VLOOKUP($C53,$C$3:$D$15,2,FALSE)*AZ$21),IF(AZ54-AY55&lt;0,0,AZ54-AY55),
IF(AND(AY55&lt;VLOOKUP($C53,$C$3:$D$15,2,FALSE)*AZ$21,AZ54&gt;VLOOKUP($C53,$C$3:$D$15,2,FALSE)*AZ$21),VLOOKUP($C53,$C$3:$D$15,2,FALSE)*AZ$21-AY55)))</f>
        <v>0</v>
      </c>
      <c r="BA53" s="642">
        <f t="shared" ref="BA53" si="2086" xml:space="preserve">
IF(AZ55&gt;=VLOOKUP($C53,$C$3:$D$15,2,FALSE)*BA$21,0,
IF(AND(AZ55&lt;VLOOKUP($C53,$C$3:$D$15,2,FALSE)*BA$21,BA54&lt;=VLOOKUP($C53,$C$3:$D$15,2,FALSE)*BA$21),IF(BA54-AZ55&lt;0,0,BA54-AZ55),
IF(AND(AZ55&lt;VLOOKUP($C53,$C$3:$D$15,2,FALSE)*BA$21,BA54&gt;VLOOKUP($C53,$C$3:$D$15,2,FALSE)*BA$21),VLOOKUP($C53,$C$3:$D$15,2,FALSE)*BA$21-AZ55)))</f>
        <v>0</v>
      </c>
      <c r="BB53" s="642">
        <f t="shared" ref="BB53" si="2087" xml:space="preserve">
IF(BA55&gt;=VLOOKUP($C53,$C$3:$D$15,2,FALSE)*BB$21,0,
IF(AND(BA55&lt;VLOOKUP($C53,$C$3:$D$15,2,FALSE)*BB$21,BB54&lt;=VLOOKUP($C53,$C$3:$D$15,2,FALSE)*BB$21),IF(BB54-BA55&lt;0,0,BB54-BA55),
IF(AND(BA55&lt;VLOOKUP($C53,$C$3:$D$15,2,FALSE)*BB$21,BB54&gt;VLOOKUP($C53,$C$3:$D$15,2,FALSE)*BB$21),VLOOKUP($C53,$C$3:$D$15,2,FALSE)*BB$21-BA55)))</f>
        <v>0</v>
      </c>
      <c r="BC53" s="642">
        <f t="shared" ref="BC53" si="2088" xml:space="preserve">
IF(BB55&gt;=VLOOKUP($C53,$C$3:$D$15,2,FALSE)*BC$21,0,
IF(AND(BB55&lt;VLOOKUP($C53,$C$3:$D$15,2,FALSE)*BC$21,BC54&lt;=VLOOKUP($C53,$C$3:$D$15,2,FALSE)*BC$21),IF(BC54-BB55&lt;0,0,BC54-BB55),
IF(AND(BB55&lt;VLOOKUP($C53,$C$3:$D$15,2,FALSE)*BC$21,BC54&gt;VLOOKUP($C53,$C$3:$D$15,2,FALSE)*BC$21),VLOOKUP($C53,$C$3:$D$15,2,FALSE)*BC$21-BB55)))</f>
        <v>0</v>
      </c>
      <c r="BD53" s="642">
        <f t="shared" ref="BD53" si="2089" xml:space="preserve">
IF(BC55&gt;=VLOOKUP($C53,$C$3:$D$15,2,FALSE)*BD$21,0,
IF(AND(BC55&lt;VLOOKUP($C53,$C$3:$D$15,2,FALSE)*BD$21,BD54&lt;=VLOOKUP($C53,$C$3:$D$15,2,FALSE)*BD$21),IF(BD54-BC55&lt;0,0,BD54-BC55),
IF(AND(BC55&lt;VLOOKUP($C53,$C$3:$D$15,2,FALSE)*BD$21,BD54&gt;VLOOKUP($C53,$C$3:$D$15,2,FALSE)*BD$21),VLOOKUP($C53,$C$3:$D$15,2,FALSE)*BD$21-BC55)))</f>
        <v>0</v>
      </c>
      <c r="BE53" s="642">
        <f t="shared" ref="BE53" si="2090" xml:space="preserve">
IF(BD55&gt;=VLOOKUP($C53,$C$3:$D$15,2,FALSE)*BE$21,0,
IF(AND(BD55&lt;VLOOKUP($C53,$C$3:$D$15,2,FALSE)*BE$21,BE54&lt;=VLOOKUP($C53,$C$3:$D$15,2,FALSE)*BE$21),IF(BE54-BD55&lt;0,0,BE54-BD55),
IF(AND(BD55&lt;VLOOKUP($C53,$C$3:$D$15,2,FALSE)*BE$21,BE54&gt;VLOOKUP($C53,$C$3:$D$15,2,FALSE)*BE$21),VLOOKUP($C53,$C$3:$D$15,2,FALSE)*BE$21-BD55)))</f>
        <v>0</v>
      </c>
      <c r="BF53" s="642">
        <f t="shared" ref="BF53" si="2091" xml:space="preserve">
IF(BE55&gt;=VLOOKUP($C53,$C$3:$D$15,2,FALSE)*BF$21,0,
IF(AND(BE55&lt;VLOOKUP($C53,$C$3:$D$15,2,FALSE)*BF$21,BF54&lt;=VLOOKUP($C53,$C$3:$D$15,2,FALSE)*BF$21),IF(BF54-BE55&lt;0,0,BF54-BE55),
IF(AND(BE55&lt;VLOOKUP($C53,$C$3:$D$15,2,FALSE)*BF$21,BF54&gt;VLOOKUP($C53,$C$3:$D$15,2,FALSE)*BF$21),VLOOKUP($C53,$C$3:$D$15,2,FALSE)*BF$21-BE55)))</f>
        <v>0</v>
      </c>
      <c r="BG53" s="642">
        <f t="shared" ref="BG53" si="2092" xml:space="preserve">
IF(BF55&gt;=VLOOKUP($C53,$C$3:$D$15,2,FALSE)*BG$21,0,
IF(AND(BF55&lt;VLOOKUP($C53,$C$3:$D$15,2,FALSE)*BG$21,BG54&lt;=VLOOKUP($C53,$C$3:$D$15,2,FALSE)*BG$21),IF(BG54-BF55&lt;0,0,BG54-BF55),
IF(AND(BF55&lt;VLOOKUP($C53,$C$3:$D$15,2,FALSE)*BG$21,BG54&gt;VLOOKUP($C53,$C$3:$D$15,2,FALSE)*BG$21),VLOOKUP($C53,$C$3:$D$15,2,FALSE)*BG$21-BF55)))</f>
        <v>0</v>
      </c>
      <c r="BH53" s="642">
        <f t="shared" ref="BH53" si="2093" xml:space="preserve">
IF(BG55&gt;=VLOOKUP($C53,$C$3:$D$15,2,FALSE)*BH$21,0,
IF(AND(BG55&lt;VLOOKUP($C53,$C$3:$D$15,2,FALSE)*BH$21,BH54&lt;=VLOOKUP($C53,$C$3:$D$15,2,FALSE)*BH$21),IF(BH54-BG55&lt;0,0,BH54-BG55),
IF(AND(BG55&lt;VLOOKUP($C53,$C$3:$D$15,2,FALSE)*BH$21,BH54&gt;VLOOKUP($C53,$C$3:$D$15,2,FALSE)*BH$21),VLOOKUP($C53,$C$3:$D$15,2,FALSE)*BH$21-BG55)))</f>
        <v>0</v>
      </c>
      <c r="BI53" s="642">
        <f t="shared" ref="BI53" si="2094" xml:space="preserve">
IF(BH55&gt;=VLOOKUP($C53,$C$3:$D$15,2,FALSE)*BI$21,0,
IF(AND(BH55&lt;VLOOKUP($C53,$C$3:$D$15,2,FALSE)*BI$21,BI54&lt;=VLOOKUP($C53,$C$3:$D$15,2,FALSE)*BI$21),IF(BI54-BH55&lt;0,0,BI54-BH55),
IF(AND(BH55&lt;VLOOKUP($C53,$C$3:$D$15,2,FALSE)*BI$21,BI54&gt;VLOOKUP($C53,$C$3:$D$15,2,FALSE)*BI$21),VLOOKUP($C53,$C$3:$D$15,2,FALSE)*BI$21-BH55)))</f>
        <v>0</v>
      </c>
      <c r="BJ53" s="642">
        <f t="shared" ref="BJ53" si="2095" xml:space="preserve">
IF(BI55&gt;=VLOOKUP($C53,$C$3:$D$15,2,FALSE)*BJ$21,0,
IF(AND(BI55&lt;VLOOKUP($C53,$C$3:$D$15,2,FALSE)*BJ$21,BJ54&lt;=VLOOKUP($C53,$C$3:$D$15,2,FALSE)*BJ$21),IF(BJ54-BI55&lt;0,0,BJ54-BI55),
IF(AND(BI55&lt;VLOOKUP($C53,$C$3:$D$15,2,FALSE)*BJ$21,BJ54&gt;VLOOKUP($C53,$C$3:$D$15,2,FALSE)*BJ$21),VLOOKUP($C53,$C$3:$D$15,2,FALSE)*BJ$21-BI55)))</f>
        <v>0</v>
      </c>
      <c r="BK53" s="642">
        <f t="shared" ref="BK53" si="2096" xml:space="preserve">
IF(BJ55&gt;=VLOOKUP($C53,$C$3:$D$15,2,FALSE)*BK$21,0,
IF(AND(BJ55&lt;VLOOKUP($C53,$C$3:$D$15,2,FALSE)*BK$21,BK54&lt;=VLOOKUP($C53,$C$3:$D$15,2,FALSE)*BK$21),IF(BK54-BJ55&lt;0,0,BK54-BJ55),
IF(AND(BJ55&lt;VLOOKUP($C53,$C$3:$D$15,2,FALSE)*BK$21,BK54&gt;VLOOKUP($C53,$C$3:$D$15,2,FALSE)*BK$21),VLOOKUP($C53,$C$3:$D$15,2,FALSE)*BK$21-BJ55)))</f>
        <v>0</v>
      </c>
      <c r="BL53" s="642">
        <f t="shared" ref="BL53" si="2097" xml:space="preserve">
IF(BK55&gt;=VLOOKUP($C53,$C$3:$D$15,2,FALSE)*BL$21,0,
IF(AND(BK55&lt;VLOOKUP($C53,$C$3:$D$15,2,FALSE)*BL$21,BL54&lt;=VLOOKUP($C53,$C$3:$D$15,2,FALSE)*BL$21),IF(BL54-BK55&lt;0,0,BL54-BK55),
IF(AND(BK55&lt;VLOOKUP($C53,$C$3:$D$15,2,FALSE)*BL$21,BL54&gt;VLOOKUP($C53,$C$3:$D$15,2,FALSE)*BL$21),VLOOKUP($C53,$C$3:$D$15,2,FALSE)*BL$21-BK55)))</f>
        <v>0</v>
      </c>
      <c r="BM53" s="642">
        <f t="shared" ref="BM53" si="2098" xml:space="preserve">
IF(BL55&gt;=VLOOKUP($C53,$C$3:$D$15,2,FALSE)*BM$21,0,
IF(AND(BL55&lt;VLOOKUP($C53,$C$3:$D$15,2,FALSE)*BM$21,BM54&lt;=VLOOKUP($C53,$C$3:$D$15,2,FALSE)*BM$21),IF(BM54-BL55&lt;0,0,BM54-BL55),
IF(AND(BL55&lt;VLOOKUP($C53,$C$3:$D$15,2,FALSE)*BM$21,BM54&gt;VLOOKUP($C53,$C$3:$D$15,2,FALSE)*BM$21),VLOOKUP($C53,$C$3:$D$15,2,FALSE)*BM$21-BL55)))</f>
        <v>0</v>
      </c>
      <c r="BN53" s="642">
        <f t="shared" ref="BN53" si="2099" xml:space="preserve">
IF(BM55&gt;=VLOOKUP($C53,$C$3:$D$15,2,FALSE)*BN$21,0,
IF(AND(BM55&lt;VLOOKUP($C53,$C$3:$D$15,2,FALSE)*BN$21,BN54&lt;=VLOOKUP($C53,$C$3:$D$15,2,FALSE)*BN$21),IF(BN54-BM55&lt;0,0,BN54-BM55),
IF(AND(BM55&lt;VLOOKUP($C53,$C$3:$D$15,2,FALSE)*BN$21,BN54&gt;VLOOKUP($C53,$C$3:$D$15,2,FALSE)*BN$21),VLOOKUP($C53,$C$3:$D$15,2,FALSE)*BN$21-BM55)))</f>
        <v>0</v>
      </c>
      <c r="BO53" s="642">
        <f t="shared" ref="BO53" si="2100" xml:space="preserve">
IF(BN55&gt;=VLOOKUP($C53,$C$3:$D$15,2,FALSE)*BO$21,0,
IF(AND(BN55&lt;VLOOKUP($C53,$C$3:$D$15,2,FALSE)*BO$21,BO54&lt;=VLOOKUP($C53,$C$3:$D$15,2,FALSE)*BO$21),IF(BO54-BN55&lt;0,0,BO54-BN55),
IF(AND(BN55&lt;VLOOKUP($C53,$C$3:$D$15,2,FALSE)*BO$21,BO54&gt;VLOOKUP($C53,$C$3:$D$15,2,FALSE)*BO$21),VLOOKUP($C53,$C$3:$D$15,2,FALSE)*BO$21-BN55)))</f>
        <v>0</v>
      </c>
      <c r="BP53" s="642">
        <f t="shared" ref="BP53" si="2101" xml:space="preserve">
IF(BO55&gt;=VLOOKUP($C53,$C$3:$D$15,2,FALSE)*BP$21,0,
IF(AND(BO55&lt;VLOOKUP($C53,$C$3:$D$15,2,FALSE)*BP$21,BP54&lt;=VLOOKUP($C53,$C$3:$D$15,2,FALSE)*BP$21),IF(BP54-BO55&lt;0,0,BP54-BO55),
IF(AND(BO55&lt;VLOOKUP($C53,$C$3:$D$15,2,FALSE)*BP$21,BP54&gt;VLOOKUP($C53,$C$3:$D$15,2,FALSE)*BP$21),VLOOKUP($C53,$C$3:$D$15,2,FALSE)*BP$21-BO55)))</f>
        <v>0</v>
      </c>
      <c r="BQ53" s="642">
        <f t="shared" ref="BQ53" si="2102" xml:space="preserve">
IF(BP55&gt;=VLOOKUP($C53,$C$3:$D$15,2,FALSE)*BQ$21,0,
IF(AND(BP55&lt;VLOOKUP($C53,$C$3:$D$15,2,FALSE)*BQ$21,BQ54&lt;=VLOOKUP($C53,$C$3:$D$15,2,FALSE)*BQ$21),IF(BQ54-BP55&lt;0,0,BQ54-BP55),
IF(AND(BP55&lt;VLOOKUP($C53,$C$3:$D$15,2,FALSE)*BQ$21,BQ54&gt;VLOOKUP($C53,$C$3:$D$15,2,FALSE)*BQ$21),VLOOKUP($C53,$C$3:$D$15,2,FALSE)*BQ$21-BP55)))</f>
        <v>0</v>
      </c>
      <c r="BR53" s="642">
        <f t="shared" ref="BR53" si="2103" xml:space="preserve">
IF(BQ55&gt;=VLOOKUP($C53,$C$3:$D$15,2,FALSE)*BR$21,0,
IF(AND(BQ55&lt;VLOOKUP($C53,$C$3:$D$15,2,FALSE)*BR$21,BR54&lt;=VLOOKUP($C53,$C$3:$D$15,2,FALSE)*BR$21),IF(BR54-BQ55&lt;0,0,BR54-BQ55),
IF(AND(BQ55&lt;VLOOKUP($C53,$C$3:$D$15,2,FALSE)*BR$21,BR54&gt;VLOOKUP($C53,$C$3:$D$15,2,FALSE)*BR$21),VLOOKUP($C53,$C$3:$D$15,2,FALSE)*BR$21-BQ55)))</f>
        <v>0</v>
      </c>
      <c r="BS53" s="642">
        <f t="shared" ref="BS53" si="2104" xml:space="preserve">
IF(BR55&gt;=VLOOKUP($C53,$C$3:$D$15,2,FALSE)*BS$21,0,
IF(AND(BR55&lt;VLOOKUP($C53,$C$3:$D$15,2,FALSE)*BS$21,BS54&lt;=VLOOKUP($C53,$C$3:$D$15,2,FALSE)*BS$21),IF(BS54-BR55&lt;0,0,BS54-BR55),
IF(AND(BR55&lt;VLOOKUP($C53,$C$3:$D$15,2,FALSE)*BS$21,BS54&gt;VLOOKUP($C53,$C$3:$D$15,2,FALSE)*BS$21),VLOOKUP($C53,$C$3:$D$15,2,FALSE)*BS$21-BR55)))</f>
        <v>0</v>
      </c>
      <c r="BT53" s="642">
        <f t="shared" ref="BT53" si="2105" xml:space="preserve">
IF(BS55&gt;=VLOOKUP($C53,$C$3:$D$15,2,FALSE)*BT$21,0,
IF(AND(BS55&lt;VLOOKUP($C53,$C$3:$D$15,2,FALSE)*BT$21,BT54&lt;=VLOOKUP($C53,$C$3:$D$15,2,FALSE)*BT$21),IF(BT54-BS55&lt;0,0,BT54-BS55),
IF(AND(BS55&lt;VLOOKUP($C53,$C$3:$D$15,2,FALSE)*BT$21,BT54&gt;VLOOKUP($C53,$C$3:$D$15,2,FALSE)*BT$21),VLOOKUP($C53,$C$3:$D$15,2,FALSE)*BT$21-BS55)))</f>
        <v>0</v>
      </c>
      <c r="BU53" s="642">
        <f t="shared" ref="BU53" si="2106" xml:space="preserve">
IF(BT55&gt;=VLOOKUP($C53,$C$3:$D$15,2,FALSE)*BU$21,0,
IF(AND(BT55&lt;VLOOKUP($C53,$C$3:$D$15,2,FALSE)*BU$21,BU54&lt;=VLOOKUP($C53,$C$3:$D$15,2,FALSE)*BU$21),IF(BU54-BT55&lt;0,0,BU54-BT55),
IF(AND(BT55&lt;VLOOKUP($C53,$C$3:$D$15,2,FALSE)*BU$21,BU54&gt;VLOOKUP($C53,$C$3:$D$15,2,FALSE)*BU$21),VLOOKUP($C53,$C$3:$D$15,2,FALSE)*BU$21-BT55)))</f>
        <v>0</v>
      </c>
      <c r="BV53" s="642">
        <f t="shared" ref="BV53" si="2107" xml:space="preserve">
IF(BU55&gt;=VLOOKUP($C53,$C$3:$D$15,2,FALSE)*BV$21,0,
IF(AND(BU55&lt;VLOOKUP($C53,$C$3:$D$15,2,FALSE)*BV$21,BV54&lt;=VLOOKUP($C53,$C$3:$D$15,2,FALSE)*BV$21),IF(BV54-BU55&lt;0,0,BV54-BU55),
IF(AND(BU55&lt;VLOOKUP($C53,$C$3:$D$15,2,FALSE)*BV$21,BV54&gt;VLOOKUP($C53,$C$3:$D$15,2,FALSE)*BV$21),VLOOKUP($C53,$C$3:$D$15,2,FALSE)*BV$21-BU55)))</f>
        <v>0</v>
      </c>
      <c r="BW53" s="642">
        <f t="shared" ref="BW53" si="2108" xml:space="preserve">
IF(BV55&gt;=VLOOKUP($C53,$C$3:$D$15,2,FALSE)*BW$21,0,
IF(AND(BV55&lt;VLOOKUP($C53,$C$3:$D$15,2,FALSE)*BW$21,BW54&lt;=VLOOKUP($C53,$C$3:$D$15,2,FALSE)*BW$21),IF(BW54-BV55&lt;0,0,BW54-BV55),
IF(AND(BV55&lt;VLOOKUP($C53,$C$3:$D$15,2,FALSE)*BW$21,BW54&gt;VLOOKUP($C53,$C$3:$D$15,2,FALSE)*BW$21),VLOOKUP($C53,$C$3:$D$15,2,FALSE)*BW$21-BV55)))</f>
        <v>0</v>
      </c>
      <c r="BX53" s="642">
        <f t="shared" ref="BX53" si="2109" xml:space="preserve">
IF(BW55&gt;=VLOOKUP($C53,$C$3:$D$15,2,FALSE)*BX$21,0,
IF(AND(BW55&lt;VLOOKUP($C53,$C$3:$D$15,2,FALSE)*BX$21,BX54&lt;=VLOOKUP($C53,$C$3:$D$15,2,FALSE)*BX$21),IF(BX54-BW55&lt;0,0,BX54-BW55),
IF(AND(BW55&lt;VLOOKUP($C53,$C$3:$D$15,2,FALSE)*BX$21,BX54&gt;VLOOKUP($C53,$C$3:$D$15,2,FALSE)*BX$21),VLOOKUP($C53,$C$3:$D$15,2,FALSE)*BX$21-BW55)))</f>
        <v>0</v>
      </c>
      <c r="BY53" s="642">
        <f t="shared" ref="BY53" si="2110" xml:space="preserve">
IF(BX55&gt;=VLOOKUP($C53,$C$3:$D$15,2,FALSE)*BY$21,0,
IF(AND(BX55&lt;VLOOKUP($C53,$C$3:$D$15,2,FALSE)*BY$21,BY54&lt;=VLOOKUP($C53,$C$3:$D$15,2,FALSE)*BY$21),IF(BY54-BX55&lt;0,0,BY54-BX55),
IF(AND(BX55&lt;VLOOKUP($C53,$C$3:$D$15,2,FALSE)*BY$21,BY54&gt;VLOOKUP($C53,$C$3:$D$15,2,FALSE)*BY$21),VLOOKUP($C53,$C$3:$D$15,2,FALSE)*BY$21-BX55)))</f>
        <v>0</v>
      </c>
      <c r="BZ53" s="642">
        <f t="shared" ref="BZ53" si="2111" xml:space="preserve">
IF(BY55&gt;=VLOOKUP($C53,$C$3:$D$15,2,FALSE)*BZ$21,0,
IF(AND(BY55&lt;VLOOKUP($C53,$C$3:$D$15,2,FALSE)*BZ$21,BZ54&lt;=VLOOKUP($C53,$C$3:$D$15,2,FALSE)*BZ$21),IF(BZ54-BY55&lt;0,0,BZ54-BY55),
IF(AND(BY55&lt;VLOOKUP($C53,$C$3:$D$15,2,FALSE)*BZ$21,BZ54&gt;VLOOKUP($C53,$C$3:$D$15,2,FALSE)*BZ$21),VLOOKUP($C53,$C$3:$D$15,2,FALSE)*BZ$21-BY55)))</f>
        <v>0</v>
      </c>
      <c r="CA53" s="642">
        <f t="shared" ref="CA53" si="2112" xml:space="preserve">
IF(BZ55&gt;=VLOOKUP($C53,$C$3:$D$15,2,FALSE)*CA$21,0,
IF(AND(BZ55&lt;VLOOKUP($C53,$C$3:$D$15,2,FALSE)*CA$21,CA54&lt;=VLOOKUP($C53,$C$3:$D$15,2,FALSE)*CA$21),IF(CA54-BZ55&lt;0,0,CA54-BZ55),
IF(AND(BZ55&lt;VLOOKUP($C53,$C$3:$D$15,2,FALSE)*CA$21,CA54&gt;VLOOKUP($C53,$C$3:$D$15,2,FALSE)*CA$21),VLOOKUP($C53,$C$3:$D$15,2,FALSE)*CA$21-BZ55)))</f>
        <v>0</v>
      </c>
      <c r="CB53" s="642">
        <f t="shared" ref="CB53" si="2113" xml:space="preserve">
IF(CA55&gt;=VLOOKUP($C53,$C$3:$D$15,2,FALSE)*CB$21,0,
IF(AND(CA55&lt;VLOOKUP($C53,$C$3:$D$15,2,FALSE)*CB$21,CB54&lt;=VLOOKUP($C53,$C$3:$D$15,2,FALSE)*CB$21),IF(CB54-CA55&lt;0,0,CB54-CA55),
IF(AND(CA55&lt;VLOOKUP($C53,$C$3:$D$15,2,FALSE)*CB$21,CB54&gt;VLOOKUP($C53,$C$3:$D$15,2,FALSE)*CB$21),VLOOKUP($C53,$C$3:$D$15,2,FALSE)*CB$21-CA55)))</f>
        <v>0</v>
      </c>
      <c r="CC53" s="642">
        <f t="shared" ref="CC53" si="2114" xml:space="preserve">
IF(CB55&gt;=VLOOKUP($C53,$C$3:$D$15,2,FALSE)*CC$21,0,
IF(AND(CB55&lt;VLOOKUP($C53,$C$3:$D$15,2,FALSE)*CC$21,CC54&lt;=VLOOKUP($C53,$C$3:$D$15,2,FALSE)*CC$21),IF(CC54-CB55&lt;0,0,CC54-CB55),
IF(AND(CB55&lt;VLOOKUP($C53,$C$3:$D$15,2,FALSE)*CC$21,CC54&gt;VLOOKUP($C53,$C$3:$D$15,2,FALSE)*CC$21),VLOOKUP($C53,$C$3:$D$15,2,FALSE)*CC$21-CB55)))</f>
        <v>0</v>
      </c>
      <c r="CD53" s="642">
        <f t="shared" ref="CD53" si="2115" xml:space="preserve">
IF(CC55&gt;=VLOOKUP($C53,$C$3:$D$15,2,FALSE)*CD$21,0,
IF(AND(CC55&lt;VLOOKUP($C53,$C$3:$D$15,2,FALSE)*CD$21,CD54&lt;=VLOOKUP($C53,$C$3:$D$15,2,FALSE)*CD$21),IF(CD54-CC55&lt;0,0,CD54-CC55),
IF(AND(CC55&lt;VLOOKUP($C53,$C$3:$D$15,2,FALSE)*CD$21,CD54&gt;VLOOKUP($C53,$C$3:$D$15,2,FALSE)*CD$21),VLOOKUP($C53,$C$3:$D$15,2,FALSE)*CD$21-CC55)))</f>
        <v>0</v>
      </c>
      <c r="CE53" s="642">
        <f t="shared" ref="CE53" si="2116" xml:space="preserve">
IF(CD55&gt;=VLOOKUP($C53,$C$3:$D$15,2,FALSE)*CE$21,0,
IF(AND(CD55&lt;VLOOKUP($C53,$C$3:$D$15,2,FALSE)*CE$21,CE54&lt;=VLOOKUP($C53,$C$3:$D$15,2,FALSE)*CE$21),IF(CE54-CD55&lt;0,0,CE54-CD55),
IF(AND(CD55&lt;VLOOKUP($C53,$C$3:$D$15,2,FALSE)*CE$21,CE54&gt;VLOOKUP($C53,$C$3:$D$15,2,FALSE)*CE$21),VLOOKUP($C53,$C$3:$D$15,2,FALSE)*CE$21-CD55)))</f>
        <v>0</v>
      </c>
      <c r="CF53" s="642">
        <f t="shared" ref="CF53" si="2117" xml:space="preserve">
IF(CE55&gt;=VLOOKUP($C53,$C$3:$D$15,2,FALSE)*CF$21,0,
IF(AND(CE55&lt;VLOOKUP($C53,$C$3:$D$15,2,FALSE)*CF$21,CF54&lt;=VLOOKUP($C53,$C$3:$D$15,2,FALSE)*CF$21),IF(CF54-CE55&lt;0,0,CF54-CE55),
IF(AND(CE55&lt;VLOOKUP($C53,$C$3:$D$15,2,FALSE)*CF$21,CF54&gt;VLOOKUP($C53,$C$3:$D$15,2,FALSE)*CF$21),VLOOKUP($C53,$C$3:$D$15,2,FALSE)*CF$21-CE55)))</f>
        <v>0</v>
      </c>
      <c r="CG53" s="642">
        <f t="shared" ref="CG53" si="2118" xml:space="preserve">
IF(CF55&gt;=VLOOKUP($C53,$C$3:$D$15,2,FALSE)*CG$21,0,
IF(AND(CF55&lt;VLOOKUP($C53,$C$3:$D$15,2,FALSE)*CG$21,CG54&lt;=VLOOKUP($C53,$C$3:$D$15,2,FALSE)*CG$21),IF(CG54-CF55&lt;0,0,CG54-CF55),
IF(AND(CF55&lt;VLOOKUP($C53,$C$3:$D$15,2,FALSE)*CG$21,CG54&gt;VLOOKUP($C53,$C$3:$D$15,2,FALSE)*CG$21),VLOOKUP($C53,$C$3:$D$15,2,FALSE)*CG$21-CF55)))</f>
        <v>0</v>
      </c>
      <c r="CH53" s="642">
        <f t="shared" ref="CH53" si="2119" xml:space="preserve">
IF(CG55&gt;=VLOOKUP($C53,$C$3:$D$15,2,FALSE)*CH$21,0,
IF(AND(CG55&lt;VLOOKUP($C53,$C$3:$D$15,2,FALSE)*CH$21,CH54&lt;=VLOOKUP($C53,$C$3:$D$15,2,FALSE)*CH$21),IF(CH54-CG55&lt;0,0,CH54-CG55),
IF(AND(CG55&lt;VLOOKUP($C53,$C$3:$D$15,2,FALSE)*CH$21,CH54&gt;VLOOKUP($C53,$C$3:$D$15,2,FALSE)*CH$21),VLOOKUP($C53,$C$3:$D$15,2,FALSE)*CH$21-CG55)))</f>
        <v>0</v>
      </c>
      <c r="CI53" s="642">
        <f t="shared" ref="CI53" si="2120" xml:space="preserve">
IF(CH55&gt;=VLOOKUP($C53,$C$3:$D$15,2,FALSE)*CI$21,0,
IF(AND(CH55&lt;VLOOKUP($C53,$C$3:$D$15,2,FALSE)*CI$21,CI54&lt;=VLOOKUP($C53,$C$3:$D$15,2,FALSE)*CI$21),IF(CI54-CH55&lt;0,0,CI54-CH55),
IF(AND(CH55&lt;VLOOKUP($C53,$C$3:$D$15,2,FALSE)*CI$21,CI54&gt;VLOOKUP($C53,$C$3:$D$15,2,FALSE)*CI$21),VLOOKUP($C53,$C$3:$D$15,2,FALSE)*CI$21-CH55)))</f>
        <v>0</v>
      </c>
      <c r="CJ53" s="642">
        <f t="shared" ref="CJ53" si="2121" xml:space="preserve">
IF(CI55&gt;=VLOOKUP($C53,$C$3:$D$15,2,FALSE)*CJ$21,0,
IF(AND(CI55&lt;VLOOKUP($C53,$C$3:$D$15,2,FALSE)*CJ$21,CJ54&lt;=VLOOKUP($C53,$C$3:$D$15,2,FALSE)*CJ$21),IF(CJ54-CI55&lt;0,0,CJ54-CI55),
IF(AND(CI55&lt;VLOOKUP($C53,$C$3:$D$15,2,FALSE)*CJ$21,CJ54&gt;VLOOKUP($C53,$C$3:$D$15,2,FALSE)*CJ$21),VLOOKUP($C53,$C$3:$D$15,2,FALSE)*CJ$21-CI55)))</f>
        <v>0</v>
      </c>
      <c r="CK53" s="642">
        <f t="shared" ref="CK53" si="2122" xml:space="preserve">
IF(CJ55&gt;=VLOOKUP($C53,$C$3:$D$15,2,FALSE)*CK$21,0,
IF(AND(CJ55&lt;VLOOKUP($C53,$C$3:$D$15,2,FALSE)*CK$21,CK54&lt;=VLOOKUP($C53,$C$3:$D$15,2,FALSE)*CK$21),IF(CK54-CJ55&lt;0,0,CK54-CJ55),
IF(AND(CJ55&lt;VLOOKUP($C53,$C$3:$D$15,2,FALSE)*CK$21,CK54&gt;VLOOKUP($C53,$C$3:$D$15,2,FALSE)*CK$21),VLOOKUP($C53,$C$3:$D$15,2,FALSE)*CK$21-CJ55)))</f>
        <v>0</v>
      </c>
      <c r="CL53" s="642">
        <f t="shared" ref="CL53" si="2123" xml:space="preserve">
IF(CK55&gt;=VLOOKUP($C53,$C$3:$D$15,2,FALSE)*CL$21,0,
IF(AND(CK55&lt;VLOOKUP($C53,$C$3:$D$15,2,FALSE)*CL$21,CL54&lt;=VLOOKUP($C53,$C$3:$D$15,2,FALSE)*CL$21),IF(CL54-CK55&lt;0,0,CL54-CK55),
IF(AND(CK55&lt;VLOOKUP($C53,$C$3:$D$15,2,FALSE)*CL$21,CL54&gt;VLOOKUP($C53,$C$3:$D$15,2,FALSE)*CL$21),VLOOKUP($C53,$C$3:$D$15,2,FALSE)*CL$21-CK55)))</f>
        <v>0</v>
      </c>
      <c r="CM53" s="642">
        <f t="shared" ref="CM53" si="2124" xml:space="preserve">
IF(CL55&gt;=VLOOKUP($C53,$C$3:$D$15,2,FALSE)*CM$21,0,
IF(AND(CL55&lt;VLOOKUP($C53,$C$3:$D$15,2,FALSE)*CM$21,CM54&lt;=VLOOKUP($C53,$C$3:$D$15,2,FALSE)*CM$21),IF(CM54-CL55&lt;0,0,CM54-CL55),
IF(AND(CL55&lt;VLOOKUP($C53,$C$3:$D$15,2,FALSE)*CM$21,CM54&gt;VLOOKUP($C53,$C$3:$D$15,2,FALSE)*CM$21),VLOOKUP($C53,$C$3:$D$15,2,FALSE)*CM$21-CL55)))</f>
        <v>0</v>
      </c>
      <c r="CN53" s="642">
        <f t="shared" ref="CN53" si="2125" xml:space="preserve">
IF(CM55&gt;=VLOOKUP($C53,$C$3:$D$15,2,FALSE)*CN$21,0,
IF(AND(CM55&lt;VLOOKUP($C53,$C$3:$D$15,2,FALSE)*CN$21,CN54&lt;=VLOOKUP($C53,$C$3:$D$15,2,FALSE)*CN$21),IF(CN54-CM55&lt;0,0,CN54-CM55),
IF(AND(CM55&lt;VLOOKUP($C53,$C$3:$D$15,2,FALSE)*CN$21,CN54&gt;VLOOKUP($C53,$C$3:$D$15,2,FALSE)*CN$21),VLOOKUP($C53,$C$3:$D$15,2,FALSE)*CN$21-CM55)))</f>
        <v>0</v>
      </c>
      <c r="CO53" s="642">
        <f t="shared" ref="CO53" si="2126" xml:space="preserve">
IF(CN55&gt;=VLOOKUP($C53,$C$3:$D$15,2,FALSE)*CO$21,0,
IF(AND(CN55&lt;VLOOKUP($C53,$C$3:$D$15,2,FALSE)*CO$21,CO54&lt;=VLOOKUP($C53,$C$3:$D$15,2,FALSE)*CO$21),IF(CO54-CN55&lt;0,0,CO54-CN55),
IF(AND(CN55&lt;VLOOKUP($C53,$C$3:$D$15,2,FALSE)*CO$21,CO54&gt;VLOOKUP($C53,$C$3:$D$15,2,FALSE)*CO$21),VLOOKUP($C53,$C$3:$D$15,2,FALSE)*CO$21-CN55)))</f>
        <v>0</v>
      </c>
      <c r="CP53" s="642">
        <f t="shared" ref="CP53" si="2127" xml:space="preserve">
IF(CO55&gt;=VLOOKUP($C53,$C$3:$D$15,2,FALSE)*CP$21,0,
IF(AND(CO55&lt;VLOOKUP($C53,$C$3:$D$15,2,FALSE)*CP$21,CP54&lt;=VLOOKUP($C53,$C$3:$D$15,2,FALSE)*CP$21),IF(CP54-CO55&lt;0,0,CP54-CO55),
IF(AND(CO55&lt;VLOOKUP($C53,$C$3:$D$15,2,FALSE)*CP$21,CP54&gt;VLOOKUP($C53,$C$3:$D$15,2,FALSE)*CP$21),VLOOKUP($C53,$C$3:$D$15,2,FALSE)*CP$21-CO55)))</f>
        <v>0</v>
      </c>
      <c r="CQ53" s="642">
        <f t="shared" ref="CQ53" si="2128" xml:space="preserve">
IF(CP55&gt;=VLOOKUP($C53,$C$3:$D$15,2,FALSE)*CQ$21,0,
IF(AND(CP55&lt;VLOOKUP($C53,$C$3:$D$15,2,FALSE)*CQ$21,CQ54&lt;=VLOOKUP($C53,$C$3:$D$15,2,FALSE)*CQ$21),IF(CQ54-CP55&lt;0,0,CQ54-CP55),
IF(AND(CP55&lt;VLOOKUP($C53,$C$3:$D$15,2,FALSE)*CQ$21,CQ54&gt;VLOOKUP($C53,$C$3:$D$15,2,FALSE)*CQ$21),VLOOKUP($C53,$C$3:$D$15,2,FALSE)*CQ$21-CP55)))</f>
        <v>0</v>
      </c>
      <c r="CR53" s="642">
        <f t="shared" ref="CR53" si="2129" xml:space="preserve">
IF(CQ55&gt;=VLOOKUP($C53,$C$3:$D$15,2,FALSE)*CR$21,0,
IF(AND(CQ55&lt;VLOOKUP($C53,$C$3:$D$15,2,FALSE)*CR$21,CR54&lt;=VLOOKUP($C53,$C$3:$D$15,2,FALSE)*CR$21),IF(CR54-CQ55&lt;0,0,CR54-CQ55),
IF(AND(CQ55&lt;VLOOKUP($C53,$C$3:$D$15,2,FALSE)*CR$21,CR54&gt;VLOOKUP($C53,$C$3:$D$15,2,FALSE)*CR$21),VLOOKUP($C53,$C$3:$D$15,2,FALSE)*CR$21-CQ55)))</f>
        <v>0</v>
      </c>
      <c r="CS53" s="642">
        <f t="shared" ref="CS53" si="2130" xml:space="preserve">
IF(CR55&gt;=VLOOKUP($C53,$C$3:$D$15,2,FALSE)*CS$21,0,
IF(AND(CR55&lt;VLOOKUP($C53,$C$3:$D$15,2,FALSE)*CS$21,CS54&lt;=VLOOKUP($C53,$C$3:$D$15,2,FALSE)*CS$21),IF(CS54-CR55&lt;0,0,CS54-CR55),
IF(AND(CR55&lt;VLOOKUP($C53,$C$3:$D$15,2,FALSE)*CS$21,CS54&gt;VLOOKUP($C53,$C$3:$D$15,2,FALSE)*CS$21),VLOOKUP($C53,$C$3:$D$15,2,FALSE)*CS$21-CR55)))</f>
        <v>0</v>
      </c>
      <c r="CT53" s="642">
        <f t="shared" ref="CT53" si="2131" xml:space="preserve">
IF(CS55&gt;=VLOOKUP($C53,$C$3:$D$15,2,FALSE)*CT$21,0,
IF(AND(CS55&lt;VLOOKUP($C53,$C$3:$D$15,2,FALSE)*CT$21,CT54&lt;=VLOOKUP($C53,$C$3:$D$15,2,FALSE)*CT$21),IF(CT54-CS55&lt;0,0,CT54-CS55),
IF(AND(CS55&lt;VLOOKUP($C53,$C$3:$D$15,2,FALSE)*CT$21,CT54&gt;VLOOKUP($C53,$C$3:$D$15,2,FALSE)*CT$21),VLOOKUP($C53,$C$3:$D$15,2,FALSE)*CT$21-CS55)))</f>
        <v>0</v>
      </c>
      <c r="CU53" s="642">
        <f t="shared" ref="CU53" si="2132" xml:space="preserve">
IF(CT55&gt;=VLOOKUP($C53,$C$3:$D$15,2,FALSE)*CU$21,0,
IF(AND(CT55&lt;VLOOKUP($C53,$C$3:$D$15,2,FALSE)*CU$21,CU54&lt;=VLOOKUP($C53,$C$3:$D$15,2,FALSE)*CU$21),IF(CU54-CT55&lt;0,0,CU54-CT55),
IF(AND(CT55&lt;VLOOKUP($C53,$C$3:$D$15,2,FALSE)*CU$21,CU54&gt;VLOOKUP($C53,$C$3:$D$15,2,FALSE)*CU$21),VLOOKUP($C53,$C$3:$D$15,2,FALSE)*CU$21-CT55)))</f>
        <v>0</v>
      </c>
      <c r="CV53" s="642">
        <f t="shared" ref="CV53" si="2133" xml:space="preserve">
IF(CU55&gt;=VLOOKUP($C53,$C$3:$D$15,2,FALSE)*CV$21,0,
IF(AND(CU55&lt;VLOOKUP($C53,$C$3:$D$15,2,FALSE)*CV$21,CV54&lt;=VLOOKUP($C53,$C$3:$D$15,2,FALSE)*CV$21),IF(CV54-CU55&lt;0,0,CV54-CU55),
IF(AND(CU55&lt;VLOOKUP($C53,$C$3:$D$15,2,FALSE)*CV$21,CV54&gt;VLOOKUP($C53,$C$3:$D$15,2,FALSE)*CV$21),VLOOKUP($C53,$C$3:$D$15,2,FALSE)*CV$21-CU55)))</f>
        <v>0</v>
      </c>
      <c r="CW53" s="642">
        <f t="shared" ref="CW53" si="2134" xml:space="preserve">
IF(CV55&gt;=VLOOKUP($C53,$C$3:$D$15,2,FALSE)*CW$21,0,
IF(AND(CV55&lt;VLOOKUP($C53,$C$3:$D$15,2,FALSE)*CW$21,CW54&lt;=VLOOKUP($C53,$C$3:$D$15,2,FALSE)*CW$21),IF(CW54-CV55&lt;0,0,CW54-CV55),
IF(AND(CV55&lt;VLOOKUP($C53,$C$3:$D$15,2,FALSE)*CW$21,CW54&gt;VLOOKUP($C53,$C$3:$D$15,2,FALSE)*CW$21),VLOOKUP($C53,$C$3:$D$15,2,FALSE)*CW$21-CV55)))</f>
        <v>0</v>
      </c>
      <c r="CX53" s="642">
        <f t="shared" ref="CX53" si="2135" xml:space="preserve">
IF(CW55&gt;=VLOOKUP($C53,$C$3:$D$15,2,FALSE)*CX$21,0,
IF(AND(CW55&lt;VLOOKUP($C53,$C$3:$D$15,2,FALSE)*CX$21,CX54&lt;=VLOOKUP($C53,$C$3:$D$15,2,FALSE)*CX$21),IF(CX54-CW55&lt;0,0,CX54-CW55),
IF(AND(CW55&lt;VLOOKUP($C53,$C$3:$D$15,2,FALSE)*CX$21,CX54&gt;VLOOKUP($C53,$C$3:$D$15,2,FALSE)*CX$21),VLOOKUP($C53,$C$3:$D$15,2,FALSE)*CX$21-CW55)))</f>
        <v>0</v>
      </c>
      <c r="CY53" s="642">
        <f t="shared" ref="CY53" si="2136" xml:space="preserve">
IF(CX55&gt;=VLOOKUP($C53,$C$3:$D$15,2,FALSE)*CY$21,0,
IF(AND(CX55&lt;VLOOKUP($C53,$C$3:$D$15,2,FALSE)*CY$21,CY54&lt;=VLOOKUP($C53,$C$3:$D$15,2,FALSE)*CY$21),IF(CY54-CX55&lt;0,0,CY54-CX55),
IF(AND(CX55&lt;VLOOKUP($C53,$C$3:$D$15,2,FALSE)*CY$21,CY54&gt;VLOOKUP($C53,$C$3:$D$15,2,FALSE)*CY$21),VLOOKUP($C53,$C$3:$D$15,2,FALSE)*CY$21-CX55)))</f>
        <v>0</v>
      </c>
      <c r="CZ53" s="642">
        <f t="shared" ref="CZ53" si="2137" xml:space="preserve">
IF(CY55&gt;=VLOOKUP($C53,$C$3:$D$15,2,FALSE)*CZ$21,0,
IF(AND(CY55&lt;VLOOKUP($C53,$C$3:$D$15,2,FALSE)*CZ$21,CZ54&lt;=VLOOKUP($C53,$C$3:$D$15,2,FALSE)*CZ$21),IF(CZ54-CY55&lt;0,0,CZ54-CY55),
IF(AND(CY55&lt;VLOOKUP($C53,$C$3:$D$15,2,FALSE)*CZ$21,CZ54&gt;VLOOKUP($C53,$C$3:$D$15,2,FALSE)*CZ$21),VLOOKUP($C53,$C$3:$D$15,2,FALSE)*CZ$21-CY55)))</f>
        <v>0</v>
      </c>
      <c r="DA53" s="642">
        <f t="shared" ref="DA53" si="2138" xml:space="preserve">
IF(CZ55&gt;=VLOOKUP($C53,$C$3:$D$15,2,FALSE)*DA$21,0,
IF(AND(CZ55&lt;VLOOKUP($C53,$C$3:$D$15,2,FALSE)*DA$21,DA54&lt;=VLOOKUP($C53,$C$3:$D$15,2,FALSE)*DA$21),IF(DA54-CZ55&lt;0,0,DA54-CZ55),
IF(AND(CZ55&lt;VLOOKUP($C53,$C$3:$D$15,2,FALSE)*DA$21,DA54&gt;VLOOKUP($C53,$C$3:$D$15,2,FALSE)*DA$21),VLOOKUP($C53,$C$3:$D$15,2,FALSE)*DA$21-CZ55)))</f>
        <v>0</v>
      </c>
      <c r="DB53" s="642">
        <f t="shared" ref="DB53" si="2139" xml:space="preserve">
IF(DA55&gt;=VLOOKUP($C53,$C$3:$D$15,2,FALSE)*DB$21,0,
IF(AND(DA55&lt;VLOOKUP($C53,$C$3:$D$15,2,FALSE)*DB$21,DB54&lt;=VLOOKUP($C53,$C$3:$D$15,2,FALSE)*DB$21),IF(DB54-DA55&lt;0,0,DB54-DA55),
IF(AND(DA55&lt;VLOOKUP($C53,$C$3:$D$15,2,FALSE)*DB$21,DB54&gt;VLOOKUP($C53,$C$3:$D$15,2,FALSE)*DB$21),VLOOKUP($C53,$C$3:$D$15,2,FALSE)*DB$21-DA55)))</f>
        <v>0</v>
      </c>
      <c r="DC53" s="642">
        <f t="shared" ref="DC53" si="2140" xml:space="preserve">
IF(DB55&gt;=VLOOKUP($C53,$C$3:$D$15,2,FALSE)*DC$21,0,
IF(AND(DB55&lt;VLOOKUP($C53,$C$3:$D$15,2,FALSE)*DC$21,DC54&lt;=VLOOKUP($C53,$C$3:$D$15,2,FALSE)*DC$21),IF(DC54-DB55&lt;0,0,DC54-DB55),
IF(AND(DB55&lt;VLOOKUP($C53,$C$3:$D$15,2,FALSE)*DC$21,DC54&gt;VLOOKUP($C53,$C$3:$D$15,2,FALSE)*DC$21),VLOOKUP($C53,$C$3:$D$15,2,FALSE)*DC$21-DB55)))</f>
        <v>0</v>
      </c>
      <c r="DD53" s="642">
        <f t="shared" ref="DD53" si="2141" xml:space="preserve">
IF(DC55&gt;=VLOOKUP($C53,$C$3:$D$15,2,FALSE)*DD$21,0,
IF(AND(DC55&lt;VLOOKUP($C53,$C$3:$D$15,2,FALSE)*DD$21,DD54&lt;=VLOOKUP($C53,$C$3:$D$15,2,FALSE)*DD$21),IF(DD54-DC55&lt;0,0,DD54-DC55),
IF(AND(DC55&lt;VLOOKUP($C53,$C$3:$D$15,2,FALSE)*DD$21,DD54&gt;VLOOKUP($C53,$C$3:$D$15,2,FALSE)*DD$21),VLOOKUP($C53,$C$3:$D$15,2,FALSE)*DD$21-DC55)))</f>
        <v>0</v>
      </c>
      <c r="DE53" s="642">
        <f t="shared" ref="DE53" si="2142" xml:space="preserve">
IF(DD55&gt;=VLOOKUP($C53,$C$3:$D$15,2,FALSE)*DE$21,0,
IF(AND(DD55&lt;VLOOKUP($C53,$C$3:$D$15,2,FALSE)*DE$21,DE54&lt;=VLOOKUP($C53,$C$3:$D$15,2,FALSE)*DE$21),IF(DE54-DD55&lt;0,0,DE54-DD55),
IF(AND(DD55&lt;VLOOKUP($C53,$C$3:$D$15,2,FALSE)*DE$21,DE54&gt;VLOOKUP($C53,$C$3:$D$15,2,FALSE)*DE$21),VLOOKUP($C53,$C$3:$D$15,2,FALSE)*DE$21-DD55)))</f>
        <v>0</v>
      </c>
      <c r="DF53" s="642">
        <f t="shared" ref="DF53" si="2143" xml:space="preserve">
IF(DE55&gt;=VLOOKUP($C53,$C$3:$D$15,2,FALSE)*DF$21,0,
IF(AND(DE55&lt;VLOOKUP($C53,$C$3:$D$15,2,FALSE)*DF$21,DF54&lt;=VLOOKUP($C53,$C$3:$D$15,2,FALSE)*DF$21),IF(DF54-DE55&lt;0,0,DF54-DE55),
IF(AND(DE55&lt;VLOOKUP($C53,$C$3:$D$15,2,FALSE)*DF$21,DF54&gt;VLOOKUP($C53,$C$3:$D$15,2,FALSE)*DF$21),VLOOKUP($C53,$C$3:$D$15,2,FALSE)*DF$21-DE55)))</f>
        <v>0</v>
      </c>
      <c r="DG53" s="642">
        <f t="shared" ref="DG53" si="2144" xml:space="preserve">
IF(DF55&gt;=VLOOKUP($C53,$C$3:$D$15,2,FALSE)*DG$21,0,
IF(AND(DF55&lt;VLOOKUP($C53,$C$3:$D$15,2,FALSE)*DG$21,DG54&lt;=VLOOKUP($C53,$C$3:$D$15,2,FALSE)*DG$21),IF(DG54-DF55&lt;0,0,DG54-DF55),
IF(AND(DF55&lt;VLOOKUP($C53,$C$3:$D$15,2,FALSE)*DG$21,DG54&gt;VLOOKUP($C53,$C$3:$D$15,2,FALSE)*DG$21),VLOOKUP($C53,$C$3:$D$15,2,FALSE)*DG$21-DF55)))</f>
        <v>0</v>
      </c>
      <c r="DH53" s="642">
        <f t="shared" ref="DH53" si="2145" xml:space="preserve">
IF(DG55&gt;=VLOOKUP($C53,$C$3:$D$15,2,FALSE)*DH$21,0,
IF(AND(DG55&lt;VLOOKUP($C53,$C$3:$D$15,2,FALSE)*DH$21,DH54&lt;=VLOOKUP($C53,$C$3:$D$15,2,FALSE)*DH$21),IF(DH54-DG55&lt;0,0,DH54-DG55),
IF(AND(DG55&lt;VLOOKUP($C53,$C$3:$D$15,2,FALSE)*DH$21,DH54&gt;VLOOKUP($C53,$C$3:$D$15,2,FALSE)*DH$21),VLOOKUP($C53,$C$3:$D$15,2,FALSE)*DH$21-DG55)))</f>
        <v>0</v>
      </c>
      <c r="DI53" s="642">
        <f t="shared" ref="DI53" si="2146" xml:space="preserve">
IF(DH55&gt;=VLOOKUP($C53,$C$3:$D$15,2,FALSE)*DI$21,0,
IF(AND(DH55&lt;VLOOKUP($C53,$C$3:$D$15,2,FALSE)*DI$21,DI54&lt;=VLOOKUP($C53,$C$3:$D$15,2,FALSE)*DI$21),IF(DI54-DH55&lt;0,0,DI54-DH55),
IF(AND(DH55&lt;VLOOKUP($C53,$C$3:$D$15,2,FALSE)*DI$21,DI54&gt;VLOOKUP($C53,$C$3:$D$15,2,FALSE)*DI$21),VLOOKUP($C53,$C$3:$D$15,2,FALSE)*DI$21-DH55)))</f>
        <v>0</v>
      </c>
      <c r="DJ53" s="642">
        <f t="shared" ref="DJ53" si="2147" xml:space="preserve">
IF(DI55&gt;=VLOOKUP($C53,$C$3:$D$15,2,FALSE)*DJ$21,0,
IF(AND(DI55&lt;VLOOKUP($C53,$C$3:$D$15,2,FALSE)*DJ$21,DJ54&lt;=VLOOKUP($C53,$C$3:$D$15,2,FALSE)*DJ$21),IF(DJ54-DI55&lt;0,0,DJ54-DI55),
IF(AND(DI55&lt;VLOOKUP($C53,$C$3:$D$15,2,FALSE)*DJ$21,DJ54&gt;VLOOKUP($C53,$C$3:$D$15,2,FALSE)*DJ$21),VLOOKUP($C53,$C$3:$D$15,2,FALSE)*DJ$21-DI55)))</f>
        <v>0</v>
      </c>
      <c r="DK53" s="642">
        <f t="shared" ref="DK53" si="2148" xml:space="preserve">
IF(DJ55&gt;=VLOOKUP($C53,$C$3:$D$15,2,FALSE)*DK$21,0,
IF(AND(DJ55&lt;VLOOKUP($C53,$C$3:$D$15,2,FALSE)*DK$21,DK54&lt;=VLOOKUP($C53,$C$3:$D$15,2,FALSE)*DK$21),IF(DK54-DJ55&lt;0,0,DK54-DJ55),
IF(AND(DJ55&lt;VLOOKUP($C53,$C$3:$D$15,2,FALSE)*DK$21,DK54&gt;VLOOKUP($C53,$C$3:$D$15,2,FALSE)*DK$21),VLOOKUP($C53,$C$3:$D$15,2,FALSE)*DK$21-DJ55)))</f>
        <v>0</v>
      </c>
      <c r="DL53" s="642">
        <f t="shared" ref="DL53" si="2149" xml:space="preserve">
IF(DK55&gt;=VLOOKUP($C53,$C$3:$D$15,2,FALSE)*DL$21,0,
IF(AND(DK55&lt;VLOOKUP($C53,$C$3:$D$15,2,FALSE)*DL$21,DL54&lt;=VLOOKUP($C53,$C$3:$D$15,2,FALSE)*DL$21),IF(DL54-DK55&lt;0,0,DL54-DK55),
IF(AND(DK55&lt;VLOOKUP($C53,$C$3:$D$15,2,FALSE)*DL$21,DL54&gt;VLOOKUP($C53,$C$3:$D$15,2,FALSE)*DL$21),VLOOKUP($C53,$C$3:$D$15,2,FALSE)*DL$21-DK55)))</f>
        <v>0</v>
      </c>
      <c r="DM53" s="642">
        <f t="shared" ref="DM53" si="2150" xml:space="preserve">
IF(DL55&gt;=VLOOKUP($C53,$C$3:$D$15,2,FALSE)*DM$21,0,
IF(AND(DL55&lt;VLOOKUP($C53,$C$3:$D$15,2,FALSE)*DM$21,DM54&lt;=VLOOKUP($C53,$C$3:$D$15,2,FALSE)*DM$21),IF(DM54-DL55&lt;0,0,DM54-DL55),
IF(AND(DL55&lt;VLOOKUP($C53,$C$3:$D$15,2,FALSE)*DM$21,DM54&gt;VLOOKUP($C53,$C$3:$D$15,2,FALSE)*DM$21),VLOOKUP($C53,$C$3:$D$15,2,FALSE)*DM$21-DL55)))</f>
        <v>0</v>
      </c>
      <c r="DN53" s="642">
        <f t="shared" ref="DN53" si="2151" xml:space="preserve">
IF(DM55&gt;=VLOOKUP($C53,$C$3:$D$15,2,FALSE)*DN$21,0,
IF(AND(DM55&lt;VLOOKUP($C53,$C$3:$D$15,2,FALSE)*DN$21,DN54&lt;=VLOOKUP($C53,$C$3:$D$15,2,FALSE)*DN$21),IF(DN54-DM55&lt;0,0,DN54-DM55),
IF(AND(DM55&lt;VLOOKUP($C53,$C$3:$D$15,2,FALSE)*DN$21,DN54&gt;VLOOKUP($C53,$C$3:$D$15,2,FALSE)*DN$21),VLOOKUP($C53,$C$3:$D$15,2,FALSE)*DN$21-DM55)))</f>
        <v>0</v>
      </c>
      <c r="DO53" s="642">
        <f t="shared" ref="DO53" si="2152" xml:space="preserve">
IF(DN55&gt;=VLOOKUP($C53,$C$3:$D$15,2,FALSE)*DO$21,0,
IF(AND(DN55&lt;VLOOKUP($C53,$C$3:$D$15,2,FALSE)*DO$21,DO54&lt;=VLOOKUP($C53,$C$3:$D$15,2,FALSE)*DO$21),IF(DO54-DN55&lt;0,0,DO54-DN55),
IF(AND(DN55&lt;VLOOKUP($C53,$C$3:$D$15,2,FALSE)*DO$21,DO54&gt;VLOOKUP($C53,$C$3:$D$15,2,FALSE)*DO$21),VLOOKUP($C53,$C$3:$D$15,2,FALSE)*DO$21-DN55)))</f>
        <v>0</v>
      </c>
      <c r="DP53" s="642">
        <f t="shared" ref="DP53" si="2153" xml:space="preserve">
IF(DO55&gt;=VLOOKUP($C53,$C$3:$D$15,2,FALSE)*DP$21,0,
IF(AND(DO55&lt;VLOOKUP($C53,$C$3:$D$15,2,FALSE)*DP$21,DP54&lt;=VLOOKUP($C53,$C$3:$D$15,2,FALSE)*DP$21),IF(DP54-DO55&lt;0,0,DP54-DO55),
IF(AND(DO55&lt;VLOOKUP($C53,$C$3:$D$15,2,FALSE)*DP$21,DP54&gt;VLOOKUP($C53,$C$3:$D$15,2,FALSE)*DP$21),VLOOKUP($C53,$C$3:$D$15,2,FALSE)*DP$21-DO55)))</f>
        <v>0</v>
      </c>
      <c r="DQ53" s="642">
        <f t="shared" ref="DQ53" si="2154" xml:space="preserve">
IF(DP55&gt;=VLOOKUP($C53,$C$3:$D$15,2,FALSE)*DQ$21,0,
IF(AND(DP55&lt;VLOOKUP($C53,$C$3:$D$15,2,FALSE)*DQ$21,DQ54&lt;=VLOOKUP($C53,$C$3:$D$15,2,FALSE)*DQ$21),IF(DQ54-DP55&lt;0,0,DQ54-DP55),
IF(AND(DP55&lt;VLOOKUP($C53,$C$3:$D$15,2,FALSE)*DQ$21,DQ54&gt;VLOOKUP($C53,$C$3:$D$15,2,FALSE)*DQ$21),VLOOKUP($C53,$C$3:$D$15,2,FALSE)*DQ$21-DP55)))</f>
        <v>0</v>
      </c>
      <c r="DR53" s="642">
        <f t="shared" ref="DR53" si="2155" xml:space="preserve">
IF(DQ55&gt;=VLOOKUP($C53,$C$3:$D$15,2,FALSE)*DR$21,0,
IF(AND(DQ55&lt;VLOOKUP($C53,$C$3:$D$15,2,FALSE)*DR$21,DR54&lt;=VLOOKUP($C53,$C$3:$D$15,2,FALSE)*DR$21),IF(DR54-DQ55&lt;0,0,DR54-DQ55),
IF(AND(DQ55&lt;VLOOKUP($C53,$C$3:$D$15,2,FALSE)*DR$21,DR54&gt;VLOOKUP($C53,$C$3:$D$15,2,FALSE)*DR$21),VLOOKUP($C53,$C$3:$D$15,2,FALSE)*DR$21-DQ55)))</f>
        <v>0</v>
      </c>
      <c r="DS53" s="642">
        <f t="shared" ref="DS53" si="2156" xml:space="preserve">
IF(DR55&gt;=VLOOKUP($C53,$C$3:$D$15,2,FALSE)*DS$21,0,
IF(AND(DR55&lt;VLOOKUP($C53,$C$3:$D$15,2,FALSE)*DS$21,DS54&lt;=VLOOKUP($C53,$C$3:$D$15,2,FALSE)*DS$21),IF(DS54-DR55&lt;0,0,DS54-DR55),
IF(AND(DR55&lt;VLOOKUP($C53,$C$3:$D$15,2,FALSE)*DS$21,DS54&gt;VLOOKUP($C53,$C$3:$D$15,2,FALSE)*DS$21),VLOOKUP($C53,$C$3:$D$15,2,FALSE)*DS$21-DR55)))</f>
        <v>0</v>
      </c>
      <c r="DT53" s="642">
        <f t="shared" ref="DT53" si="2157" xml:space="preserve">
IF(DS55&gt;=VLOOKUP($C53,$C$3:$D$15,2,FALSE)*DT$21,0,
IF(AND(DS55&lt;VLOOKUP($C53,$C$3:$D$15,2,FALSE)*DT$21,DT54&lt;=VLOOKUP($C53,$C$3:$D$15,2,FALSE)*DT$21),IF(DT54-DS55&lt;0,0,DT54-DS55),
IF(AND(DS55&lt;VLOOKUP($C53,$C$3:$D$15,2,FALSE)*DT$21,DT54&gt;VLOOKUP($C53,$C$3:$D$15,2,FALSE)*DT$21),VLOOKUP($C53,$C$3:$D$15,2,FALSE)*DT$21-DS55)))</f>
        <v>0</v>
      </c>
      <c r="DU53" s="642">
        <f t="shared" ref="DU53" si="2158" xml:space="preserve">
IF(DT55&gt;=VLOOKUP($C53,$C$3:$D$15,2,FALSE)*DU$21,0,
IF(AND(DT55&lt;VLOOKUP($C53,$C$3:$D$15,2,FALSE)*DU$21,DU54&lt;=VLOOKUP($C53,$C$3:$D$15,2,FALSE)*DU$21),IF(DU54-DT55&lt;0,0,DU54-DT55),
IF(AND(DT55&lt;VLOOKUP($C53,$C$3:$D$15,2,FALSE)*DU$21,DU54&gt;VLOOKUP($C53,$C$3:$D$15,2,FALSE)*DU$21),VLOOKUP($C53,$C$3:$D$15,2,FALSE)*DU$21-DT55)))</f>
        <v>0</v>
      </c>
      <c r="DV53" s="642">
        <f t="shared" ref="DV53" si="2159" xml:space="preserve">
IF(DU55&gt;=VLOOKUP($C53,$C$3:$D$15,2,FALSE)*DV$21,0,
IF(AND(DU55&lt;VLOOKUP($C53,$C$3:$D$15,2,FALSE)*DV$21,DV54&lt;=VLOOKUP($C53,$C$3:$D$15,2,FALSE)*DV$21),IF(DV54-DU55&lt;0,0,DV54-DU55),
IF(AND(DU55&lt;VLOOKUP($C53,$C$3:$D$15,2,FALSE)*DV$21,DV54&gt;VLOOKUP($C53,$C$3:$D$15,2,FALSE)*DV$21),VLOOKUP($C53,$C$3:$D$15,2,FALSE)*DV$21-DU55)))</f>
        <v>0</v>
      </c>
      <c r="DW53" s="642">
        <f t="shared" ref="DW53" si="2160" xml:space="preserve">
IF(DV55&gt;=VLOOKUP($C53,$C$3:$D$15,2,FALSE)*DW$21,0,
IF(AND(DV55&lt;VLOOKUP($C53,$C$3:$D$15,2,FALSE)*DW$21,DW54&lt;=VLOOKUP($C53,$C$3:$D$15,2,FALSE)*DW$21),IF(DW54-DV55&lt;0,0,DW54-DV55),
IF(AND(DV55&lt;VLOOKUP($C53,$C$3:$D$15,2,FALSE)*DW$21,DW54&gt;VLOOKUP($C53,$C$3:$D$15,2,FALSE)*DW$21),VLOOKUP($C53,$C$3:$D$15,2,FALSE)*DW$21-DV55)))</f>
        <v>0</v>
      </c>
      <c r="DX53" s="642">
        <f t="shared" ref="DX53" si="2161" xml:space="preserve">
IF(DW55&gt;=VLOOKUP($C53,$C$3:$D$15,2,FALSE)*DX$21,0,
IF(AND(DW55&lt;VLOOKUP($C53,$C$3:$D$15,2,FALSE)*DX$21,DX54&lt;=VLOOKUP($C53,$C$3:$D$15,2,FALSE)*DX$21),IF(DX54-DW55&lt;0,0,DX54-DW55),
IF(AND(DW55&lt;VLOOKUP($C53,$C$3:$D$15,2,FALSE)*DX$21,DX54&gt;VLOOKUP($C53,$C$3:$D$15,2,FALSE)*DX$21),VLOOKUP($C53,$C$3:$D$15,2,FALSE)*DX$21-DW55)))</f>
        <v>0</v>
      </c>
      <c r="DY53" s="642">
        <f t="shared" ref="DY53" si="2162" xml:space="preserve">
IF(DX55&gt;=VLOOKUP($C53,$C$3:$D$15,2,FALSE)*DY$21,0,
IF(AND(DX55&lt;VLOOKUP($C53,$C$3:$D$15,2,FALSE)*DY$21,DY54&lt;=VLOOKUP($C53,$C$3:$D$15,2,FALSE)*DY$21),IF(DY54-DX55&lt;0,0,DY54-DX55),
IF(AND(DX55&lt;VLOOKUP($C53,$C$3:$D$15,2,FALSE)*DY$21,DY54&gt;VLOOKUP($C53,$C$3:$D$15,2,FALSE)*DY$21),VLOOKUP($C53,$C$3:$D$15,2,FALSE)*DY$21-DX55)))</f>
        <v>0</v>
      </c>
      <c r="DZ53" s="642">
        <f t="shared" ref="DZ53" si="2163" xml:space="preserve">
IF(DY55&gt;=VLOOKUP($C53,$C$3:$D$15,2,FALSE)*DZ$21,0,
IF(AND(DY55&lt;VLOOKUP($C53,$C$3:$D$15,2,FALSE)*DZ$21,DZ54&lt;=VLOOKUP($C53,$C$3:$D$15,2,FALSE)*DZ$21),IF(DZ54-DY55&lt;0,0,DZ54-DY55),
IF(AND(DY55&lt;VLOOKUP($C53,$C$3:$D$15,2,FALSE)*DZ$21,DZ54&gt;VLOOKUP($C53,$C$3:$D$15,2,FALSE)*DZ$21),VLOOKUP($C53,$C$3:$D$15,2,FALSE)*DZ$21-DY55)))</f>
        <v>0</v>
      </c>
      <c r="EA53" s="642">
        <f t="shared" ref="EA53" si="2164" xml:space="preserve">
IF(DZ55&gt;=VLOOKUP($C53,$C$3:$D$15,2,FALSE)*EA$21,0,
IF(AND(DZ55&lt;VLOOKUP($C53,$C$3:$D$15,2,FALSE)*EA$21,EA54&lt;=VLOOKUP($C53,$C$3:$D$15,2,FALSE)*EA$21),IF(EA54-DZ55&lt;0,0,EA54-DZ55),
IF(AND(DZ55&lt;VLOOKUP($C53,$C$3:$D$15,2,FALSE)*EA$21,EA54&gt;VLOOKUP($C53,$C$3:$D$15,2,FALSE)*EA$21),VLOOKUP($C53,$C$3:$D$15,2,FALSE)*EA$21-DZ55)))</f>
        <v>0</v>
      </c>
      <c r="EB53" s="642">
        <f t="shared" ref="EB53" si="2165" xml:space="preserve">
IF(EA55&gt;=VLOOKUP($C53,$C$3:$D$15,2,FALSE)*EB$21,0,
IF(AND(EA55&lt;VLOOKUP($C53,$C$3:$D$15,2,FALSE)*EB$21,EB54&lt;=VLOOKUP($C53,$C$3:$D$15,2,FALSE)*EB$21),IF(EB54-EA55&lt;0,0,EB54-EA55),
IF(AND(EA55&lt;VLOOKUP($C53,$C$3:$D$15,2,FALSE)*EB$21,EB54&gt;VLOOKUP($C53,$C$3:$D$15,2,FALSE)*EB$21),VLOOKUP($C53,$C$3:$D$15,2,FALSE)*EB$21-EA55)))</f>
        <v>0</v>
      </c>
      <c r="EC53" s="642">
        <f t="shared" ref="EC53" si="2166" xml:space="preserve">
IF(EB55&gt;=VLOOKUP($C53,$C$3:$D$15,2,FALSE)*EC$21,0,
IF(AND(EB55&lt;VLOOKUP($C53,$C$3:$D$15,2,FALSE)*EC$21,EC54&lt;=VLOOKUP($C53,$C$3:$D$15,2,FALSE)*EC$21),IF(EC54-EB55&lt;0,0,EC54-EB55),
IF(AND(EB55&lt;VLOOKUP($C53,$C$3:$D$15,2,FALSE)*EC$21,EC54&gt;VLOOKUP($C53,$C$3:$D$15,2,FALSE)*EC$21),VLOOKUP($C53,$C$3:$D$15,2,FALSE)*EC$21-EB55)))</f>
        <v>0</v>
      </c>
      <c r="ED53" s="642">
        <f t="shared" ref="ED53" si="2167" xml:space="preserve">
IF(EC55&gt;=VLOOKUP($C53,$C$3:$D$15,2,FALSE)*ED$21,0,
IF(AND(EC55&lt;VLOOKUP($C53,$C$3:$D$15,2,FALSE)*ED$21,ED54&lt;=VLOOKUP($C53,$C$3:$D$15,2,FALSE)*ED$21),IF(ED54-EC55&lt;0,0,ED54-EC55),
IF(AND(EC55&lt;VLOOKUP($C53,$C$3:$D$15,2,FALSE)*ED$21,ED54&gt;VLOOKUP($C53,$C$3:$D$15,2,FALSE)*ED$21),VLOOKUP($C53,$C$3:$D$15,2,FALSE)*ED$21-EC55)))</f>
        <v>0</v>
      </c>
      <c r="EE53" s="642">
        <f t="shared" ref="EE53" si="2168" xml:space="preserve">
IF(ED55&gt;=VLOOKUP($C53,$C$3:$D$15,2,FALSE)*EE$21,0,
IF(AND(ED55&lt;VLOOKUP($C53,$C$3:$D$15,2,FALSE)*EE$21,EE54&lt;=VLOOKUP($C53,$C$3:$D$15,2,FALSE)*EE$21),IF(EE54-ED55&lt;0,0,EE54-ED55),
IF(AND(ED55&lt;VLOOKUP($C53,$C$3:$D$15,2,FALSE)*EE$21,EE54&gt;VLOOKUP($C53,$C$3:$D$15,2,FALSE)*EE$21),VLOOKUP($C53,$C$3:$D$15,2,FALSE)*EE$21-ED55)))</f>
        <v>0</v>
      </c>
      <c r="EF53" s="642">
        <f t="shared" ref="EF53" si="2169" xml:space="preserve">
IF(EE55&gt;=VLOOKUP($C53,$C$3:$D$15,2,FALSE)*EF$21,0,
IF(AND(EE55&lt;VLOOKUP($C53,$C$3:$D$15,2,FALSE)*EF$21,EF54&lt;=VLOOKUP($C53,$C$3:$D$15,2,FALSE)*EF$21),IF(EF54-EE55&lt;0,0,EF54-EE55),
IF(AND(EE55&lt;VLOOKUP($C53,$C$3:$D$15,2,FALSE)*EF$21,EF54&gt;VLOOKUP($C53,$C$3:$D$15,2,FALSE)*EF$21),VLOOKUP($C53,$C$3:$D$15,2,FALSE)*EF$21-EE55)))</f>
        <v>0</v>
      </c>
      <c r="EG53" s="642">
        <f t="shared" ref="EG53" si="2170" xml:space="preserve">
IF(EF55&gt;=VLOOKUP($C53,$C$3:$D$15,2,FALSE)*EG$21,0,
IF(AND(EF55&lt;VLOOKUP($C53,$C$3:$D$15,2,FALSE)*EG$21,EG54&lt;=VLOOKUP($C53,$C$3:$D$15,2,FALSE)*EG$21),IF(EG54-EF55&lt;0,0,EG54-EF55),
IF(AND(EF55&lt;VLOOKUP($C53,$C$3:$D$15,2,FALSE)*EG$21,EG54&gt;VLOOKUP($C53,$C$3:$D$15,2,FALSE)*EG$21),VLOOKUP($C53,$C$3:$D$15,2,FALSE)*EG$21-EF55)))</f>
        <v>0</v>
      </c>
      <c r="EH53" s="642">
        <f t="shared" ref="EH53" si="2171" xml:space="preserve">
IF(EG55&gt;=VLOOKUP($C53,$C$3:$D$15,2,FALSE)*EH$21,0,
IF(AND(EG55&lt;VLOOKUP($C53,$C$3:$D$15,2,FALSE)*EH$21,EH54&lt;=VLOOKUP($C53,$C$3:$D$15,2,FALSE)*EH$21),IF(EH54-EG55&lt;0,0,EH54-EG55),
IF(AND(EG55&lt;VLOOKUP($C53,$C$3:$D$15,2,FALSE)*EH$21,EH54&gt;VLOOKUP($C53,$C$3:$D$15,2,FALSE)*EH$21),VLOOKUP($C53,$C$3:$D$15,2,FALSE)*EH$21-EG55)))</f>
        <v>0</v>
      </c>
      <c r="EI53" s="642">
        <f t="shared" ref="EI53" si="2172" xml:space="preserve">
IF(EH55&gt;=VLOOKUP($C53,$C$3:$D$15,2,FALSE)*EI$21,0,
IF(AND(EH55&lt;VLOOKUP($C53,$C$3:$D$15,2,FALSE)*EI$21,EI54&lt;=VLOOKUP($C53,$C$3:$D$15,2,FALSE)*EI$21),IF(EI54-EH55&lt;0,0,EI54-EH55),
IF(AND(EH55&lt;VLOOKUP($C53,$C$3:$D$15,2,FALSE)*EI$21,EI54&gt;VLOOKUP($C53,$C$3:$D$15,2,FALSE)*EI$21),VLOOKUP($C53,$C$3:$D$15,2,FALSE)*EI$21-EH55)))</f>
        <v>0</v>
      </c>
      <c r="EJ53" s="642">
        <f t="shared" ref="EJ53" si="2173" xml:space="preserve">
IF(EI55&gt;=VLOOKUP($C53,$C$3:$D$15,2,FALSE)*EJ$21,0,
IF(AND(EI55&lt;VLOOKUP($C53,$C$3:$D$15,2,FALSE)*EJ$21,EJ54&lt;=VLOOKUP($C53,$C$3:$D$15,2,FALSE)*EJ$21),IF(EJ54-EI55&lt;0,0,EJ54-EI55),
IF(AND(EI55&lt;VLOOKUP($C53,$C$3:$D$15,2,FALSE)*EJ$21,EJ54&gt;VLOOKUP($C53,$C$3:$D$15,2,FALSE)*EJ$21),VLOOKUP($C53,$C$3:$D$15,2,FALSE)*EJ$21-EI55)))</f>
        <v>0</v>
      </c>
      <c r="EK53" s="642">
        <f t="shared" ref="EK53" si="2174" xml:space="preserve">
IF(EJ55&gt;=VLOOKUP($C53,$C$3:$D$15,2,FALSE)*EK$21,0,
IF(AND(EJ55&lt;VLOOKUP($C53,$C$3:$D$15,2,FALSE)*EK$21,EK54&lt;=VLOOKUP($C53,$C$3:$D$15,2,FALSE)*EK$21),IF(EK54-EJ55&lt;0,0,EK54-EJ55),
IF(AND(EJ55&lt;VLOOKUP($C53,$C$3:$D$15,2,FALSE)*EK$21,EK54&gt;VLOOKUP($C53,$C$3:$D$15,2,FALSE)*EK$21),VLOOKUP($C53,$C$3:$D$15,2,FALSE)*EK$21-EJ55)))</f>
        <v>0</v>
      </c>
      <c r="EL53" s="642">
        <f t="shared" ref="EL53" si="2175" xml:space="preserve">
IF(EK55&gt;=VLOOKUP($C53,$C$3:$D$15,2,FALSE)*EL$21,0,
IF(AND(EK55&lt;VLOOKUP($C53,$C$3:$D$15,2,FALSE)*EL$21,EL54&lt;=VLOOKUP($C53,$C$3:$D$15,2,FALSE)*EL$21),IF(EL54-EK55&lt;0,0,EL54-EK55),
IF(AND(EK55&lt;VLOOKUP($C53,$C$3:$D$15,2,FALSE)*EL$21,EL54&gt;VLOOKUP($C53,$C$3:$D$15,2,FALSE)*EL$21),VLOOKUP($C53,$C$3:$D$15,2,FALSE)*EL$21-EK55)))</f>
        <v>0</v>
      </c>
      <c r="EM53" s="642">
        <f t="shared" ref="EM53" si="2176" xml:space="preserve">
IF(EL55&gt;=VLOOKUP($C53,$C$3:$D$15,2,FALSE)*EM$21,0,
IF(AND(EL55&lt;VLOOKUP($C53,$C$3:$D$15,2,FALSE)*EM$21,EM54&lt;=VLOOKUP($C53,$C$3:$D$15,2,FALSE)*EM$21),IF(EM54-EL55&lt;0,0,EM54-EL55),
IF(AND(EL55&lt;VLOOKUP($C53,$C$3:$D$15,2,FALSE)*EM$21,EM54&gt;VLOOKUP($C53,$C$3:$D$15,2,FALSE)*EM$21),VLOOKUP($C53,$C$3:$D$15,2,FALSE)*EM$21-EL55)))</f>
        <v>0</v>
      </c>
      <c r="EN53" s="642">
        <f t="shared" ref="EN53" si="2177" xml:space="preserve">
IF(EM55&gt;=VLOOKUP($C53,$C$3:$D$15,2,FALSE)*EN$21,0,
IF(AND(EM55&lt;VLOOKUP($C53,$C$3:$D$15,2,FALSE)*EN$21,EN54&lt;=VLOOKUP($C53,$C$3:$D$15,2,FALSE)*EN$21),IF(EN54-EM55&lt;0,0,EN54-EM55),
IF(AND(EM55&lt;VLOOKUP($C53,$C$3:$D$15,2,FALSE)*EN$21,EN54&gt;VLOOKUP($C53,$C$3:$D$15,2,FALSE)*EN$21),VLOOKUP($C53,$C$3:$D$15,2,FALSE)*EN$21-EM55)))</f>
        <v>0</v>
      </c>
      <c r="EO53" s="642">
        <f t="shared" ref="EO53" si="2178" xml:space="preserve">
IF(EN55&gt;=VLOOKUP($C53,$C$3:$D$15,2,FALSE)*EO$21,0,
IF(AND(EN55&lt;VLOOKUP($C53,$C$3:$D$15,2,FALSE)*EO$21,EO54&lt;=VLOOKUP($C53,$C$3:$D$15,2,FALSE)*EO$21),IF(EO54-EN55&lt;0,0,EO54-EN55),
IF(AND(EN55&lt;VLOOKUP($C53,$C$3:$D$15,2,FALSE)*EO$21,EO54&gt;VLOOKUP($C53,$C$3:$D$15,2,FALSE)*EO$21),VLOOKUP($C53,$C$3:$D$15,2,FALSE)*EO$21-EN55)))</f>
        <v>0</v>
      </c>
      <c r="EP53" s="642">
        <f t="shared" ref="EP53" si="2179" xml:space="preserve">
IF(EO55&gt;=VLOOKUP($C53,$C$3:$D$15,2,FALSE)*EP$21,0,
IF(AND(EO55&lt;VLOOKUP($C53,$C$3:$D$15,2,FALSE)*EP$21,EP54&lt;=VLOOKUP($C53,$C$3:$D$15,2,FALSE)*EP$21),IF(EP54-EO55&lt;0,0,EP54-EO55),
IF(AND(EO55&lt;VLOOKUP($C53,$C$3:$D$15,2,FALSE)*EP$21,EP54&gt;VLOOKUP($C53,$C$3:$D$15,2,FALSE)*EP$21),VLOOKUP($C53,$C$3:$D$15,2,FALSE)*EP$21-EO55)))</f>
        <v>0</v>
      </c>
      <c r="EQ53" s="642">
        <f t="shared" ref="EQ53" si="2180" xml:space="preserve">
IF(EP55&gt;=VLOOKUP($C53,$C$3:$D$15,2,FALSE)*EQ$21,0,
IF(AND(EP55&lt;VLOOKUP($C53,$C$3:$D$15,2,FALSE)*EQ$21,EQ54&lt;=VLOOKUP($C53,$C$3:$D$15,2,FALSE)*EQ$21),IF(EQ54-EP55&lt;0,0,EQ54-EP55),
IF(AND(EP55&lt;VLOOKUP($C53,$C$3:$D$15,2,FALSE)*EQ$21,EQ54&gt;VLOOKUP($C53,$C$3:$D$15,2,FALSE)*EQ$21),VLOOKUP($C53,$C$3:$D$15,2,FALSE)*EQ$21-EP55)))</f>
        <v>0</v>
      </c>
      <c r="ER53" s="642">
        <f t="shared" ref="ER53" si="2181" xml:space="preserve">
IF(EQ55&gt;=VLOOKUP($C53,$C$3:$D$15,2,FALSE)*ER$21,0,
IF(AND(EQ55&lt;VLOOKUP($C53,$C$3:$D$15,2,FALSE)*ER$21,ER54&lt;=VLOOKUP($C53,$C$3:$D$15,2,FALSE)*ER$21),IF(ER54-EQ55&lt;0,0,ER54-EQ55),
IF(AND(EQ55&lt;VLOOKUP($C53,$C$3:$D$15,2,FALSE)*ER$21,ER54&gt;VLOOKUP($C53,$C$3:$D$15,2,FALSE)*ER$21),VLOOKUP($C53,$C$3:$D$15,2,FALSE)*ER$21-EQ55)))</f>
        <v>0</v>
      </c>
      <c r="ES53" s="642">
        <f t="shared" ref="ES53" si="2182" xml:space="preserve">
IF(ER55&gt;=VLOOKUP($C53,$C$3:$D$15,2,FALSE)*ES$21,0,
IF(AND(ER55&lt;VLOOKUP($C53,$C$3:$D$15,2,FALSE)*ES$21,ES54&lt;=VLOOKUP($C53,$C$3:$D$15,2,FALSE)*ES$21),IF(ES54-ER55&lt;0,0,ES54-ER55),
IF(AND(ER55&lt;VLOOKUP($C53,$C$3:$D$15,2,FALSE)*ES$21,ES54&gt;VLOOKUP($C53,$C$3:$D$15,2,FALSE)*ES$21),VLOOKUP($C53,$C$3:$D$15,2,FALSE)*ES$21-ER55)))</f>
        <v>0</v>
      </c>
      <c r="ET53" s="642">
        <f t="shared" ref="ET53" si="2183" xml:space="preserve">
IF(ES55&gt;=VLOOKUP($C53,$C$3:$D$15,2,FALSE)*ET$21,0,
IF(AND(ES55&lt;VLOOKUP($C53,$C$3:$D$15,2,FALSE)*ET$21,ET54&lt;=VLOOKUP($C53,$C$3:$D$15,2,FALSE)*ET$21),IF(ET54-ES55&lt;0,0,ET54-ES55),
IF(AND(ES55&lt;VLOOKUP($C53,$C$3:$D$15,2,FALSE)*ET$21,ET54&gt;VLOOKUP($C53,$C$3:$D$15,2,FALSE)*ET$21),VLOOKUP($C53,$C$3:$D$15,2,FALSE)*ET$21-ES55)))</f>
        <v>0</v>
      </c>
      <c r="EU53" s="642">
        <f t="shared" ref="EU53" si="2184" xml:space="preserve">
IF(ET55&gt;=VLOOKUP($C53,$C$3:$D$15,2,FALSE)*EU$21,0,
IF(AND(ET55&lt;VLOOKUP($C53,$C$3:$D$15,2,FALSE)*EU$21,EU54&lt;=VLOOKUP($C53,$C$3:$D$15,2,FALSE)*EU$21),IF(EU54-ET55&lt;0,0,EU54-ET55),
IF(AND(ET55&lt;VLOOKUP($C53,$C$3:$D$15,2,FALSE)*EU$21,EU54&gt;VLOOKUP($C53,$C$3:$D$15,2,FALSE)*EU$21),VLOOKUP($C53,$C$3:$D$15,2,FALSE)*EU$21-ET55)))</f>
        <v>0</v>
      </c>
      <c r="EV53" s="642">
        <f t="shared" ref="EV53" si="2185" xml:space="preserve">
IF(EU55&gt;=VLOOKUP($C53,$C$3:$D$15,2,FALSE)*EV$21,0,
IF(AND(EU55&lt;VLOOKUP($C53,$C$3:$D$15,2,FALSE)*EV$21,EV54&lt;=VLOOKUP($C53,$C$3:$D$15,2,FALSE)*EV$21),IF(EV54-EU55&lt;0,0,EV54-EU55),
IF(AND(EU55&lt;VLOOKUP($C53,$C$3:$D$15,2,FALSE)*EV$21,EV54&gt;VLOOKUP($C53,$C$3:$D$15,2,FALSE)*EV$21),VLOOKUP($C53,$C$3:$D$15,2,FALSE)*EV$21-EU55)))</f>
        <v>0</v>
      </c>
      <c r="EW53" s="642">
        <f t="shared" ref="EW53" si="2186" xml:space="preserve">
IF(EV55&gt;=VLOOKUP($C53,$C$3:$D$15,2,FALSE)*EW$21,0,
IF(AND(EV55&lt;VLOOKUP($C53,$C$3:$D$15,2,FALSE)*EW$21,EW54&lt;=VLOOKUP($C53,$C$3:$D$15,2,FALSE)*EW$21),IF(EW54-EV55&lt;0,0,EW54-EV55),
IF(AND(EV55&lt;VLOOKUP($C53,$C$3:$D$15,2,FALSE)*EW$21,EW54&gt;VLOOKUP($C53,$C$3:$D$15,2,FALSE)*EW$21),VLOOKUP($C53,$C$3:$D$15,2,FALSE)*EW$21-EV55)))</f>
        <v>0</v>
      </c>
      <c r="EX53" s="642">
        <f t="shared" ref="EX53" si="2187" xml:space="preserve">
IF(EW55&gt;=VLOOKUP($C53,$C$3:$D$15,2,FALSE)*EX$21,0,
IF(AND(EW55&lt;VLOOKUP($C53,$C$3:$D$15,2,FALSE)*EX$21,EX54&lt;=VLOOKUP($C53,$C$3:$D$15,2,FALSE)*EX$21),IF(EX54-EW55&lt;0,0,EX54-EW55),
IF(AND(EW55&lt;VLOOKUP($C53,$C$3:$D$15,2,FALSE)*EX$21,EX54&gt;VLOOKUP($C53,$C$3:$D$15,2,FALSE)*EX$21),VLOOKUP($C53,$C$3:$D$15,2,FALSE)*EX$21-EW55)))</f>
        <v>0</v>
      </c>
      <c r="EY53" s="642">
        <f t="shared" ref="EY53" si="2188" xml:space="preserve">
IF(EX55&gt;=VLOOKUP($C53,$C$3:$D$15,2,FALSE)*EY$21,0,
IF(AND(EX55&lt;VLOOKUP($C53,$C$3:$D$15,2,FALSE)*EY$21,EY54&lt;=VLOOKUP($C53,$C$3:$D$15,2,FALSE)*EY$21),IF(EY54-EX55&lt;0,0,EY54-EX55),
IF(AND(EX55&lt;VLOOKUP($C53,$C$3:$D$15,2,FALSE)*EY$21,EY54&gt;VLOOKUP($C53,$C$3:$D$15,2,FALSE)*EY$21),VLOOKUP($C53,$C$3:$D$15,2,FALSE)*EY$21-EX55)))</f>
        <v>0</v>
      </c>
      <c r="EZ53" s="642">
        <f t="shared" ref="EZ53" si="2189" xml:space="preserve">
IF(EY55&gt;=VLOOKUP($C53,$C$3:$D$15,2,FALSE)*EZ$21,0,
IF(AND(EY55&lt;VLOOKUP($C53,$C$3:$D$15,2,FALSE)*EZ$21,EZ54&lt;=VLOOKUP($C53,$C$3:$D$15,2,FALSE)*EZ$21),IF(EZ54-EY55&lt;0,0,EZ54-EY55),
IF(AND(EY55&lt;VLOOKUP($C53,$C$3:$D$15,2,FALSE)*EZ$21,EZ54&gt;VLOOKUP($C53,$C$3:$D$15,2,FALSE)*EZ$21),VLOOKUP($C53,$C$3:$D$15,2,FALSE)*EZ$21-EY55)))</f>
        <v>0</v>
      </c>
      <c r="FA53" s="642">
        <f t="shared" ref="FA53" si="2190" xml:space="preserve">
IF(EZ55&gt;=VLOOKUP($C53,$C$3:$D$15,2,FALSE)*FA$21,0,
IF(AND(EZ55&lt;VLOOKUP($C53,$C$3:$D$15,2,FALSE)*FA$21,FA54&lt;=VLOOKUP($C53,$C$3:$D$15,2,FALSE)*FA$21),IF(FA54-EZ55&lt;0,0,FA54-EZ55),
IF(AND(EZ55&lt;VLOOKUP($C53,$C$3:$D$15,2,FALSE)*FA$21,FA54&gt;VLOOKUP($C53,$C$3:$D$15,2,FALSE)*FA$21),VLOOKUP($C53,$C$3:$D$15,2,FALSE)*FA$21-EZ55)))</f>
        <v>0</v>
      </c>
      <c r="FB53" s="642">
        <f t="shared" ref="FB53" si="2191" xml:space="preserve">
IF(FA55&gt;=VLOOKUP($C53,$C$3:$D$15,2,FALSE)*FB$21,0,
IF(AND(FA55&lt;VLOOKUP($C53,$C$3:$D$15,2,FALSE)*FB$21,FB54&lt;=VLOOKUP($C53,$C$3:$D$15,2,FALSE)*FB$21),IF(FB54-FA55&lt;0,0,FB54-FA55),
IF(AND(FA55&lt;VLOOKUP($C53,$C$3:$D$15,2,FALSE)*FB$21,FB54&gt;VLOOKUP($C53,$C$3:$D$15,2,FALSE)*FB$21),VLOOKUP($C53,$C$3:$D$15,2,FALSE)*FB$21-FA55)))</f>
        <v>0</v>
      </c>
      <c r="FC53" s="642">
        <f t="shared" ref="FC53" si="2192" xml:space="preserve">
IF(FB55&gt;=VLOOKUP($C53,$C$3:$D$15,2,FALSE)*FC$21,0,
IF(AND(FB55&lt;VLOOKUP($C53,$C$3:$D$15,2,FALSE)*FC$21,FC54&lt;=VLOOKUP($C53,$C$3:$D$15,2,FALSE)*FC$21),IF(FC54-FB55&lt;0,0,FC54-FB55),
IF(AND(FB55&lt;VLOOKUP($C53,$C$3:$D$15,2,FALSE)*FC$21,FC54&gt;VLOOKUP($C53,$C$3:$D$15,2,FALSE)*FC$21),VLOOKUP($C53,$C$3:$D$15,2,FALSE)*FC$21-FB55)))</f>
        <v>0</v>
      </c>
      <c r="FD53" s="642">
        <f t="shared" ref="FD53" si="2193" xml:space="preserve">
IF(FC55&gt;=VLOOKUP($C53,$C$3:$D$15,2,FALSE)*FD$21,0,
IF(AND(FC55&lt;VLOOKUP($C53,$C$3:$D$15,2,FALSE)*FD$21,FD54&lt;=VLOOKUP($C53,$C$3:$D$15,2,FALSE)*FD$21),IF(FD54-FC55&lt;0,0,FD54-FC55),
IF(AND(FC55&lt;VLOOKUP($C53,$C$3:$D$15,2,FALSE)*FD$21,FD54&gt;VLOOKUP($C53,$C$3:$D$15,2,FALSE)*FD$21),VLOOKUP($C53,$C$3:$D$15,2,FALSE)*FD$21-FC55)))</f>
        <v>0</v>
      </c>
      <c r="FE53" s="642">
        <f t="shared" ref="FE53" si="2194" xml:space="preserve">
IF(FD55&gt;=VLOOKUP($C53,$C$3:$D$15,2,FALSE)*FE$21,0,
IF(AND(FD55&lt;VLOOKUP($C53,$C$3:$D$15,2,FALSE)*FE$21,FE54&lt;=VLOOKUP($C53,$C$3:$D$15,2,FALSE)*FE$21),IF(FE54-FD55&lt;0,0,FE54-FD55),
IF(AND(FD55&lt;VLOOKUP($C53,$C$3:$D$15,2,FALSE)*FE$21,FE54&gt;VLOOKUP($C53,$C$3:$D$15,2,FALSE)*FE$21),VLOOKUP($C53,$C$3:$D$15,2,FALSE)*FE$21-FD55)))</f>
        <v>0</v>
      </c>
      <c r="FF53" s="642">
        <f t="shared" ref="FF53" si="2195" xml:space="preserve">
IF(FE55&gt;=VLOOKUP($C53,$C$3:$D$15,2,FALSE)*FF$21,0,
IF(AND(FE55&lt;VLOOKUP($C53,$C$3:$D$15,2,FALSE)*FF$21,FF54&lt;=VLOOKUP($C53,$C$3:$D$15,2,FALSE)*FF$21),IF(FF54-FE55&lt;0,0,FF54-FE55),
IF(AND(FE55&lt;VLOOKUP($C53,$C$3:$D$15,2,FALSE)*FF$21,FF54&gt;VLOOKUP($C53,$C$3:$D$15,2,FALSE)*FF$21),VLOOKUP($C53,$C$3:$D$15,2,FALSE)*FF$21-FE55)))</f>
        <v>0</v>
      </c>
      <c r="FG53" s="642">
        <f t="shared" ref="FG53" si="2196" xml:space="preserve">
IF(FF55&gt;=VLOOKUP($C53,$C$3:$D$15,2,FALSE)*FG$21,0,
IF(AND(FF55&lt;VLOOKUP($C53,$C$3:$D$15,2,FALSE)*FG$21,FG54&lt;=VLOOKUP($C53,$C$3:$D$15,2,FALSE)*FG$21),IF(FG54-FF55&lt;0,0,FG54-FF55),
IF(AND(FF55&lt;VLOOKUP($C53,$C$3:$D$15,2,FALSE)*FG$21,FG54&gt;VLOOKUP($C53,$C$3:$D$15,2,FALSE)*FG$21),VLOOKUP($C53,$C$3:$D$15,2,FALSE)*FG$21-FF55)))</f>
        <v>0</v>
      </c>
      <c r="FH53" s="642">
        <f t="shared" ref="FH53" si="2197" xml:space="preserve">
IF(FG55&gt;=VLOOKUP($C53,$C$3:$D$15,2,FALSE)*FH$21,0,
IF(AND(FG55&lt;VLOOKUP($C53,$C$3:$D$15,2,FALSE)*FH$21,FH54&lt;=VLOOKUP($C53,$C$3:$D$15,2,FALSE)*FH$21),IF(FH54-FG55&lt;0,0,FH54-FG55),
IF(AND(FG55&lt;VLOOKUP($C53,$C$3:$D$15,2,FALSE)*FH$21,FH54&gt;VLOOKUP($C53,$C$3:$D$15,2,FALSE)*FH$21),VLOOKUP($C53,$C$3:$D$15,2,FALSE)*FH$21-FG55)))</f>
        <v>0</v>
      </c>
      <c r="FI53" s="642">
        <f t="shared" ref="FI53" si="2198" xml:space="preserve">
IF(FH55&gt;=VLOOKUP($C53,$C$3:$D$15,2,FALSE)*FI$21,0,
IF(AND(FH55&lt;VLOOKUP($C53,$C$3:$D$15,2,FALSE)*FI$21,FI54&lt;=VLOOKUP($C53,$C$3:$D$15,2,FALSE)*FI$21),IF(FI54-FH55&lt;0,0,FI54-FH55),
IF(AND(FH55&lt;VLOOKUP($C53,$C$3:$D$15,2,FALSE)*FI$21,FI54&gt;VLOOKUP($C53,$C$3:$D$15,2,FALSE)*FI$21),VLOOKUP($C53,$C$3:$D$15,2,FALSE)*FI$21-FH55)))</f>
        <v>0</v>
      </c>
      <c r="FJ53" s="642">
        <f t="shared" ref="FJ53" si="2199" xml:space="preserve">
IF(FI55&gt;=VLOOKUP($C53,$C$3:$D$15,2,FALSE)*FJ$21,0,
IF(AND(FI55&lt;VLOOKUP($C53,$C$3:$D$15,2,FALSE)*FJ$21,FJ54&lt;=VLOOKUP($C53,$C$3:$D$15,2,FALSE)*FJ$21),IF(FJ54-FI55&lt;0,0,FJ54-FI55),
IF(AND(FI55&lt;VLOOKUP($C53,$C$3:$D$15,2,FALSE)*FJ$21,FJ54&gt;VLOOKUP($C53,$C$3:$D$15,2,FALSE)*FJ$21),VLOOKUP($C53,$C$3:$D$15,2,FALSE)*FJ$21-FI55)))</f>
        <v>0</v>
      </c>
      <c r="FK53" s="642">
        <f t="shared" ref="FK53" si="2200" xml:space="preserve">
IF(FJ55&gt;=VLOOKUP($C53,$C$3:$D$15,2,FALSE)*FK$21,0,
IF(AND(FJ55&lt;VLOOKUP($C53,$C$3:$D$15,2,FALSE)*FK$21,FK54&lt;=VLOOKUP($C53,$C$3:$D$15,2,FALSE)*FK$21),IF(FK54-FJ55&lt;0,0,FK54-FJ55),
IF(AND(FJ55&lt;VLOOKUP($C53,$C$3:$D$15,2,FALSE)*FK$21,FK54&gt;VLOOKUP($C53,$C$3:$D$15,2,FALSE)*FK$21),VLOOKUP($C53,$C$3:$D$15,2,FALSE)*FK$21-FJ55)))</f>
        <v>0</v>
      </c>
      <c r="FL53" s="642">
        <f t="shared" ref="FL53" si="2201" xml:space="preserve">
IF(FK55&gt;=VLOOKUP($C53,$C$3:$D$15,2,FALSE)*FL$21,0,
IF(AND(FK55&lt;VLOOKUP($C53,$C$3:$D$15,2,FALSE)*FL$21,FL54&lt;=VLOOKUP($C53,$C$3:$D$15,2,FALSE)*FL$21),IF(FL54-FK55&lt;0,0,FL54-FK55),
IF(AND(FK55&lt;VLOOKUP($C53,$C$3:$D$15,2,FALSE)*FL$21,FL54&gt;VLOOKUP($C53,$C$3:$D$15,2,FALSE)*FL$21),VLOOKUP($C53,$C$3:$D$15,2,FALSE)*FL$21-FK55)))</f>
        <v>0</v>
      </c>
      <c r="FM53" s="642">
        <f t="shared" ref="FM53" si="2202" xml:space="preserve">
IF(FL55&gt;=VLOOKUP($C53,$C$3:$D$15,2,FALSE)*FM$21,0,
IF(AND(FL55&lt;VLOOKUP($C53,$C$3:$D$15,2,FALSE)*FM$21,FM54&lt;=VLOOKUP($C53,$C$3:$D$15,2,FALSE)*FM$21),IF(FM54-FL55&lt;0,0,FM54-FL55),
IF(AND(FL55&lt;VLOOKUP($C53,$C$3:$D$15,2,FALSE)*FM$21,FM54&gt;VLOOKUP($C53,$C$3:$D$15,2,FALSE)*FM$21),VLOOKUP($C53,$C$3:$D$15,2,FALSE)*FM$21-FL55)))</f>
        <v>0</v>
      </c>
      <c r="FN53" s="642">
        <f t="shared" ref="FN53" si="2203" xml:space="preserve">
IF(FM55&gt;=VLOOKUP($C53,$C$3:$D$15,2,FALSE)*FN$21,0,
IF(AND(FM55&lt;VLOOKUP($C53,$C$3:$D$15,2,FALSE)*FN$21,FN54&lt;=VLOOKUP($C53,$C$3:$D$15,2,FALSE)*FN$21),IF(FN54-FM55&lt;0,0,FN54-FM55),
IF(AND(FM55&lt;VLOOKUP($C53,$C$3:$D$15,2,FALSE)*FN$21,FN54&gt;VLOOKUP($C53,$C$3:$D$15,2,FALSE)*FN$21),VLOOKUP($C53,$C$3:$D$15,2,FALSE)*FN$21-FM55)))</f>
        <v>0</v>
      </c>
      <c r="FO53" s="642">
        <f t="shared" ref="FO53" si="2204" xml:space="preserve">
IF(FN55&gt;=VLOOKUP($C53,$C$3:$D$15,2,FALSE)*FO$21,0,
IF(AND(FN55&lt;VLOOKUP($C53,$C$3:$D$15,2,FALSE)*FO$21,FO54&lt;=VLOOKUP($C53,$C$3:$D$15,2,FALSE)*FO$21),IF(FO54-FN55&lt;0,0,FO54-FN55),
IF(AND(FN55&lt;VLOOKUP($C53,$C$3:$D$15,2,FALSE)*FO$21,FO54&gt;VLOOKUP($C53,$C$3:$D$15,2,FALSE)*FO$21),VLOOKUP($C53,$C$3:$D$15,2,FALSE)*FO$21-FN55)))</f>
        <v>0</v>
      </c>
      <c r="FP53" s="642">
        <f t="shared" ref="FP53" si="2205" xml:space="preserve">
IF(FO55&gt;=VLOOKUP($C53,$C$3:$D$15,2,FALSE)*FP$21,0,
IF(AND(FO55&lt;VLOOKUP($C53,$C$3:$D$15,2,FALSE)*FP$21,FP54&lt;=VLOOKUP($C53,$C$3:$D$15,2,FALSE)*FP$21),IF(FP54-FO55&lt;0,0,FP54-FO55),
IF(AND(FO55&lt;VLOOKUP($C53,$C$3:$D$15,2,FALSE)*FP$21,FP54&gt;VLOOKUP($C53,$C$3:$D$15,2,FALSE)*FP$21),VLOOKUP($C53,$C$3:$D$15,2,FALSE)*FP$21-FO55)))</f>
        <v>0</v>
      </c>
      <c r="FQ53" s="642">
        <f t="shared" ref="FQ53" si="2206" xml:space="preserve">
IF(FP55&gt;=VLOOKUP($C53,$C$3:$D$15,2,FALSE)*FQ$21,0,
IF(AND(FP55&lt;VLOOKUP($C53,$C$3:$D$15,2,FALSE)*FQ$21,FQ54&lt;=VLOOKUP($C53,$C$3:$D$15,2,FALSE)*FQ$21),IF(FQ54-FP55&lt;0,0,FQ54-FP55),
IF(AND(FP55&lt;VLOOKUP($C53,$C$3:$D$15,2,FALSE)*FQ$21,FQ54&gt;VLOOKUP($C53,$C$3:$D$15,2,FALSE)*FQ$21),VLOOKUP($C53,$C$3:$D$15,2,FALSE)*FQ$21-FP55)))</f>
        <v>0</v>
      </c>
      <c r="FR53" s="642">
        <f t="shared" ref="FR53" si="2207" xml:space="preserve">
IF(FQ55&gt;=VLOOKUP($C53,$C$3:$D$15,2,FALSE)*FR$21,0,
IF(AND(FQ55&lt;VLOOKUP($C53,$C$3:$D$15,2,FALSE)*FR$21,FR54&lt;=VLOOKUP($C53,$C$3:$D$15,2,FALSE)*FR$21),IF(FR54-FQ55&lt;0,0,FR54-FQ55),
IF(AND(FQ55&lt;VLOOKUP($C53,$C$3:$D$15,2,FALSE)*FR$21,FR54&gt;VLOOKUP($C53,$C$3:$D$15,2,FALSE)*FR$21),VLOOKUP($C53,$C$3:$D$15,2,FALSE)*FR$21-FQ55)))</f>
        <v>0</v>
      </c>
      <c r="FS53" s="642">
        <f t="shared" ref="FS53" si="2208" xml:space="preserve">
IF(FR55&gt;=VLOOKUP($C53,$C$3:$D$15,2,FALSE)*FS$21,0,
IF(AND(FR55&lt;VLOOKUP($C53,$C$3:$D$15,2,FALSE)*FS$21,FS54&lt;=VLOOKUP($C53,$C$3:$D$15,2,FALSE)*FS$21),IF(FS54-FR55&lt;0,0,FS54-FR55),
IF(AND(FR55&lt;VLOOKUP($C53,$C$3:$D$15,2,FALSE)*FS$21,FS54&gt;VLOOKUP($C53,$C$3:$D$15,2,FALSE)*FS$21),VLOOKUP($C53,$C$3:$D$15,2,FALSE)*FS$21-FR55)))</f>
        <v>0</v>
      </c>
      <c r="FT53" s="642">
        <f t="shared" ref="FT53" si="2209" xml:space="preserve">
IF(FS55&gt;=VLOOKUP($C53,$C$3:$D$15,2,FALSE)*FT$21,0,
IF(AND(FS55&lt;VLOOKUP($C53,$C$3:$D$15,2,FALSE)*FT$21,FT54&lt;=VLOOKUP($C53,$C$3:$D$15,2,FALSE)*FT$21),IF(FT54-FS55&lt;0,0,FT54-FS55),
IF(AND(FS55&lt;VLOOKUP($C53,$C$3:$D$15,2,FALSE)*FT$21,FT54&gt;VLOOKUP($C53,$C$3:$D$15,2,FALSE)*FT$21),VLOOKUP($C53,$C$3:$D$15,2,FALSE)*FT$21-FS55)))</f>
        <v>0</v>
      </c>
      <c r="FU53" s="642">
        <f t="shared" ref="FU53" si="2210" xml:space="preserve">
IF(FT55&gt;=VLOOKUP($C53,$C$3:$D$15,2,FALSE)*FU$21,0,
IF(AND(FT55&lt;VLOOKUP($C53,$C$3:$D$15,2,FALSE)*FU$21,FU54&lt;=VLOOKUP($C53,$C$3:$D$15,2,FALSE)*FU$21),IF(FU54-FT55&lt;0,0,FU54-FT55),
IF(AND(FT55&lt;VLOOKUP($C53,$C$3:$D$15,2,FALSE)*FU$21,FU54&gt;VLOOKUP($C53,$C$3:$D$15,2,FALSE)*FU$21),VLOOKUP($C53,$C$3:$D$15,2,FALSE)*FU$21-FT55)))</f>
        <v>0</v>
      </c>
      <c r="FV53" s="642">
        <f t="shared" ref="FV53" si="2211" xml:space="preserve">
IF(FU55&gt;=VLOOKUP($C53,$C$3:$D$15,2,FALSE)*FV$21,0,
IF(AND(FU55&lt;VLOOKUP($C53,$C$3:$D$15,2,FALSE)*FV$21,FV54&lt;=VLOOKUP($C53,$C$3:$D$15,2,FALSE)*FV$21),IF(FV54-FU55&lt;0,0,FV54-FU55),
IF(AND(FU55&lt;VLOOKUP($C53,$C$3:$D$15,2,FALSE)*FV$21,FV54&gt;VLOOKUP($C53,$C$3:$D$15,2,FALSE)*FV$21),VLOOKUP($C53,$C$3:$D$15,2,FALSE)*FV$21-FU55)))</f>
        <v>0</v>
      </c>
      <c r="FW53" s="642">
        <f t="shared" ref="FW53" si="2212" xml:space="preserve">
IF(FV55&gt;=VLOOKUP($C53,$C$3:$D$15,2,FALSE)*FW$21,0,
IF(AND(FV55&lt;VLOOKUP($C53,$C$3:$D$15,2,FALSE)*FW$21,FW54&lt;=VLOOKUP($C53,$C$3:$D$15,2,FALSE)*FW$21),IF(FW54-FV55&lt;0,0,FW54-FV55),
IF(AND(FV55&lt;VLOOKUP($C53,$C$3:$D$15,2,FALSE)*FW$21,FW54&gt;VLOOKUP($C53,$C$3:$D$15,2,FALSE)*FW$21),VLOOKUP($C53,$C$3:$D$15,2,FALSE)*FW$21-FV55)))</f>
        <v>0</v>
      </c>
      <c r="FX53" s="642">
        <f t="shared" ref="FX53" si="2213" xml:space="preserve">
IF(FW55&gt;=VLOOKUP($C53,$C$3:$D$15,2,FALSE)*FX$21,0,
IF(AND(FW55&lt;VLOOKUP($C53,$C$3:$D$15,2,FALSE)*FX$21,FX54&lt;=VLOOKUP($C53,$C$3:$D$15,2,FALSE)*FX$21),IF(FX54-FW55&lt;0,0,FX54-FW55),
IF(AND(FW55&lt;VLOOKUP($C53,$C$3:$D$15,2,FALSE)*FX$21,FX54&gt;VLOOKUP($C53,$C$3:$D$15,2,FALSE)*FX$21),VLOOKUP($C53,$C$3:$D$15,2,FALSE)*FX$21-FW55)))</f>
        <v>0</v>
      </c>
      <c r="FY53" s="642">
        <f t="shared" ref="FY53" si="2214" xml:space="preserve">
IF(FX55&gt;=VLOOKUP($C53,$C$3:$D$15,2,FALSE)*FY$21,0,
IF(AND(FX55&lt;VLOOKUP($C53,$C$3:$D$15,2,FALSE)*FY$21,FY54&lt;=VLOOKUP($C53,$C$3:$D$15,2,FALSE)*FY$21),IF(FY54-FX55&lt;0,0,FY54-FX55),
IF(AND(FX55&lt;VLOOKUP($C53,$C$3:$D$15,2,FALSE)*FY$21,FY54&gt;VLOOKUP($C53,$C$3:$D$15,2,FALSE)*FY$21),VLOOKUP($C53,$C$3:$D$15,2,FALSE)*FY$21-FX55)))</f>
        <v>0</v>
      </c>
      <c r="FZ53" s="642">
        <f t="shared" ref="FZ53" si="2215" xml:space="preserve">
IF(FY55&gt;=VLOOKUP($C53,$C$3:$D$15,2,FALSE)*FZ$21,0,
IF(AND(FY55&lt;VLOOKUP($C53,$C$3:$D$15,2,FALSE)*FZ$21,FZ54&lt;=VLOOKUP($C53,$C$3:$D$15,2,FALSE)*FZ$21),IF(FZ54-FY55&lt;0,0,FZ54-FY55),
IF(AND(FY55&lt;VLOOKUP($C53,$C$3:$D$15,2,FALSE)*FZ$21,FZ54&gt;VLOOKUP($C53,$C$3:$D$15,2,FALSE)*FZ$21),VLOOKUP($C53,$C$3:$D$15,2,FALSE)*FZ$21-FY55)))</f>
        <v>0</v>
      </c>
      <c r="GA53" s="642">
        <f t="shared" ref="GA53" si="2216" xml:space="preserve">
IF(FZ55&gt;=VLOOKUP($C53,$C$3:$D$15,2,FALSE)*GA$21,0,
IF(AND(FZ55&lt;VLOOKUP($C53,$C$3:$D$15,2,FALSE)*GA$21,GA54&lt;=VLOOKUP($C53,$C$3:$D$15,2,FALSE)*GA$21),IF(GA54-FZ55&lt;0,0,GA54-FZ55),
IF(AND(FZ55&lt;VLOOKUP($C53,$C$3:$D$15,2,FALSE)*GA$21,GA54&gt;VLOOKUP($C53,$C$3:$D$15,2,FALSE)*GA$21),VLOOKUP($C53,$C$3:$D$15,2,FALSE)*GA$21-FZ55)))</f>
        <v>0</v>
      </c>
      <c r="GB53" s="642">
        <f t="shared" ref="GB53" si="2217" xml:space="preserve">
IF(GA55&gt;=VLOOKUP($C53,$C$3:$D$15,2,FALSE)*GB$21,0,
IF(AND(GA55&lt;VLOOKUP($C53,$C$3:$D$15,2,FALSE)*GB$21,GB54&lt;=VLOOKUP($C53,$C$3:$D$15,2,FALSE)*GB$21),IF(GB54-GA55&lt;0,0,GB54-GA55),
IF(AND(GA55&lt;VLOOKUP($C53,$C$3:$D$15,2,FALSE)*GB$21,GB54&gt;VLOOKUP($C53,$C$3:$D$15,2,FALSE)*GB$21),VLOOKUP($C53,$C$3:$D$15,2,FALSE)*GB$21-GA55)))</f>
        <v>0</v>
      </c>
      <c r="GC53" s="642">
        <f t="shared" ref="GC53" si="2218" xml:space="preserve">
IF(GB55&gt;=VLOOKUP($C53,$C$3:$D$15,2,FALSE)*GC$21,0,
IF(AND(GB55&lt;VLOOKUP($C53,$C$3:$D$15,2,FALSE)*GC$21,GC54&lt;=VLOOKUP($C53,$C$3:$D$15,2,FALSE)*GC$21),IF(GC54-GB55&lt;0,0,GC54-GB55),
IF(AND(GB55&lt;VLOOKUP($C53,$C$3:$D$15,2,FALSE)*GC$21,GC54&gt;VLOOKUP($C53,$C$3:$D$15,2,FALSE)*GC$21),VLOOKUP($C53,$C$3:$D$15,2,FALSE)*GC$21-GB55)))</f>
        <v>0</v>
      </c>
      <c r="GD53" s="642">
        <f t="shared" ref="GD53" si="2219" xml:space="preserve">
IF(GC55&gt;=VLOOKUP($C53,$C$3:$D$15,2,FALSE)*GD$21,0,
IF(AND(GC55&lt;VLOOKUP($C53,$C$3:$D$15,2,FALSE)*GD$21,GD54&lt;=VLOOKUP($C53,$C$3:$D$15,2,FALSE)*GD$21),IF(GD54-GC55&lt;0,0,GD54-GC55),
IF(AND(GC55&lt;VLOOKUP($C53,$C$3:$D$15,2,FALSE)*GD$21,GD54&gt;VLOOKUP($C53,$C$3:$D$15,2,FALSE)*GD$21),VLOOKUP($C53,$C$3:$D$15,2,FALSE)*GD$21-GC55)))</f>
        <v>0</v>
      </c>
      <c r="GE53" s="642">
        <f t="shared" ref="GE53" si="2220" xml:space="preserve">
IF(GD55&gt;=VLOOKUP($C53,$C$3:$D$15,2,FALSE)*GE$21,0,
IF(AND(GD55&lt;VLOOKUP($C53,$C$3:$D$15,2,FALSE)*GE$21,GE54&lt;=VLOOKUP($C53,$C$3:$D$15,2,FALSE)*GE$21),IF(GE54-GD55&lt;0,0,GE54-GD55),
IF(AND(GD55&lt;VLOOKUP($C53,$C$3:$D$15,2,FALSE)*GE$21,GE54&gt;VLOOKUP($C53,$C$3:$D$15,2,FALSE)*GE$21),VLOOKUP($C53,$C$3:$D$15,2,FALSE)*GE$21-GD55)))</f>
        <v>0</v>
      </c>
      <c r="GF53" s="642">
        <f t="shared" ref="GF53" si="2221" xml:space="preserve">
IF(GE55&gt;=VLOOKUP($C53,$C$3:$D$15,2,FALSE)*GF$21,0,
IF(AND(GE55&lt;VLOOKUP($C53,$C$3:$D$15,2,FALSE)*GF$21,GF54&lt;=VLOOKUP($C53,$C$3:$D$15,2,FALSE)*GF$21),IF(GF54-GE55&lt;0,0,GF54-GE55),
IF(AND(GE55&lt;VLOOKUP($C53,$C$3:$D$15,2,FALSE)*GF$21,GF54&gt;VLOOKUP($C53,$C$3:$D$15,2,FALSE)*GF$21),VLOOKUP($C53,$C$3:$D$15,2,FALSE)*GF$21-GE55)))</f>
        <v>0</v>
      </c>
      <c r="GG53" s="642">
        <f t="shared" ref="GG53" si="2222" xml:space="preserve">
IF(GF55&gt;=VLOOKUP($C53,$C$3:$D$15,2,FALSE)*GG$21,0,
IF(AND(GF55&lt;VLOOKUP($C53,$C$3:$D$15,2,FALSE)*GG$21,GG54&lt;=VLOOKUP($C53,$C$3:$D$15,2,FALSE)*GG$21),IF(GG54-GF55&lt;0,0,GG54-GF55),
IF(AND(GF55&lt;VLOOKUP($C53,$C$3:$D$15,2,FALSE)*GG$21,GG54&gt;VLOOKUP($C53,$C$3:$D$15,2,FALSE)*GG$21),VLOOKUP($C53,$C$3:$D$15,2,FALSE)*GG$21-GF55)))</f>
        <v>0</v>
      </c>
      <c r="GH53" s="642">
        <f t="shared" ref="GH53" si="2223" xml:space="preserve">
IF(GG55&gt;=VLOOKUP($C53,$C$3:$D$15,2,FALSE)*GH$21,0,
IF(AND(GG55&lt;VLOOKUP($C53,$C$3:$D$15,2,FALSE)*GH$21,GH54&lt;=VLOOKUP($C53,$C$3:$D$15,2,FALSE)*GH$21),IF(GH54-GG55&lt;0,0,GH54-GG55),
IF(AND(GG55&lt;VLOOKUP($C53,$C$3:$D$15,2,FALSE)*GH$21,GH54&gt;VLOOKUP($C53,$C$3:$D$15,2,FALSE)*GH$21),VLOOKUP($C53,$C$3:$D$15,2,FALSE)*GH$21-GG55)))</f>
        <v>0</v>
      </c>
      <c r="GI53" s="642">
        <f t="shared" ref="GI53" si="2224" xml:space="preserve">
IF(GH55&gt;=VLOOKUP($C53,$C$3:$D$15,2,FALSE)*GI$21,0,
IF(AND(GH55&lt;VLOOKUP($C53,$C$3:$D$15,2,FALSE)*GI$21,GI54&lt;=VLOOKUP($C53,$C$3:$D$15,2,FALSE)*GI$21),IF(GI54-GH55&lt;0,0,GI54-GH55),
IF(AND(GH55&lt;VLOOKUP($C53,$C$3:$D$15,2,FALSE)*GI$21,GI54&gt;VLOOKUP($C53,$C$3:$D$15,2,FALSE)*GI$21),VLOOKUP($C53,$C$3:$D$15,2,FALSE)*GI$21-GH55)))</f>
        <v>0</v>
      </c>
      <c r="GJ53" s="642">
        <f t="shared" ref="GJ53" si="2225" xml:space="preserve">
IF(GI55&gt;=VLOOKUP($C53,$C$3:$D$15,2,FALSE)*GJ$21,0,
IF(AND(GI55&lt;VLOOKUP($C53,$C$3:$D$15,2,FALSE)*GJ$21,GJ54&lt;=VLOOKUP($C53,$C$3:$D$15,2,FALSE)*GJ$21),IF(GJ54-GI55&lt;0,0,GJ54-GI55),
IF(AND(GI55&lt;VLOOKUP($C53,$C$3:$D$15,2,FALSE)*GJ$21,GJ54&gt;VLOOKUP($C53,$C$3:$D$15,2,FALSE)*GJ$21),VLOOKUP($C53,$C$3:$D$15,2,FALSE)*GJ$21-GI55)))</f>
        <v>0</v>
      </c>
    </row>
    <row r="54" spans="2:192" s="655" customFormat="1">
      <c r="B54" s="656"/>
      <c r="C54" s="641"/>
      <c r="D54" s="768" t="s">
        <v>1467</v>
      </c>
      <c r="E54" s="773"/>
      <c r="F54" s="706"/>
      <c r="G54" s="642">
        <f>SUMIF(防護具!$Y$30:$Y$212,G$17&amp;$C53,防護具!$Q$30:$Q$212)</f>
        <v>0</v>
      </c>
      <c r="H54" s="642">
        <f>IFERROR(
SUM(G54,SUMIF(防護具!$Y$30:$Y$212,H$17&amp;$C53,防護具!$Q$30:$Q$212))-G53,0)</f>
        <v>0</v>
      </c>
      <c r="I54" s="642">
        <f>IFERROR(
SUM(H54,SUMIF(防護具!$Y$30:$Y$212,I$17&amp;$C53,防護具!$Q$30:$Q$212))-H53,0)</f>
        <v>0</v>
      </c>
      <c r="J54" s="642">
        <f>IFERROR(
SUM(I54,SUMIF(防護具!$Y$30:$Y$212,J$17&amp;$C53,防護具!$Q$30:$Q$212))-I53,0)</f>
        <v>0</v>
      </c>
      <c r="K54" s="642">
        <f>IFERROR(
SUM(J54,SUMIF(防護具!$Y$30:$Y$212,K$17&amp;$C53,防護具!$Q$30:$Q$212))-J53,0)</f>
        <v>0</v>
      </c>
      <c r="L54" s="642">
        <f>IFERROR(
SUM(K54,SUMIF(防護具!$Y$30:$Y$212,L$17&amp;$C53,防護具!$Q$30:$Q$212))-K53,0)</f>
        <v>0</v>
      </c>
      <c r="M54" s="642">
        <f>IFERROR(
SUM(L54,SUMIF(防護具!$Y$30:$Y$212,M$17&amp;$C53,防護具!$Q$30:$Q$212))-L53,0)</f>
        <v>0</v>
      </c>
      <c r="N54" s="642">
        <f>IFERROR(
SUM(M54,SUMIF(防護具!$Y$30:$Y$212,N$17&amp;$C53,防護具!$Q$30:$Q$212))-M53,0)</f>
        <v>0</v>
      </c>
      <c r="O54" s="642">
        <f>IFERROR(
SUM(N54,SUMIF(防護具!$Y$30:$Y$212,O$17&amp;$C53,防護具!$Q$30:$Q$212))-N53,0)</f>
        <v>0</v>
      </c>
      <c r="P54" s="642">
        <f>IFERROR(
SUM(O54,SUMIF(防護具!$Y$30:$Y$212,P$17&amp;$C53,防護具!$Q$30:$Q$212))-O53,0)</f>
        <v>0</v>
      </c>
      <c r="Q54" s="642">
        <f>IFERROR(
SUM(P54,SUMIF(防護具!$Y$30:$Y$212,Q$17&amp;$C53,防護具!$Q$30:$Q$212))-P53,0)</f>
        <v>0</v>
      </c>
      <c r="R54" s="642">
        <f>IFERROR(
SUM(Q54,SUMIF(防護具!$Y$30:$Y$212,R$17&amp;$C53,防護具!$Q$30:$Q$212))-Q53,0)</f>
        <v>0</v>
      </c>
      <c r="S54" s="642">
        <f>IFERROR(
SUM(R54,SUMIF(防護具!$Y$30:$Y$212,S$17&amp;$C53,防護具!$Q$30:$Q$212))-R53,0)</f>
        <v>0</v>
      </c>
      <c r="T54" s="642">
        <f>IFERROR(
SUM(S54,SUMIF(防護具!$Y$30:$Y$212,T$17&amp;$C53,防護具!$Q$30:$Q$212))-S53,0)</f>
        <v>0</v>
      </c>
      <c r="U54" s="642">
        <f>IFERROR(
SUM(T54,SUMIF(防護具!$Y$30:$Y$212,U$17&amp;$C53,防護具!$Q$30:$Q$212))-T53,0)</f>
        <v>0</v>
      </c>
      <c r="V54" s="642">
        <f>IFERROR(
SUM(U54,SUMIF(防護具!$Y$30:$Y$212,V$17&amp;$C53,防護具!$Q$30:$Q$212))-U53,0)</f>
        <v>0</v>
      </c>
      <c r="W54" s="642">
        <f>IFERROR(
SUM(V54,SUMIF(防護具!$Y$30:$Y$212,W$17&amp;$C53,防護具!$Q$30:$Q$212))-V53,0)</f>
        <v>0</v>
      </c>
      <c r="X54" s="642">
        <f>IFERROR(
SUM(W54,SUMIF(防護具!$Y$30:$Y$212,X$17&amp;$C53,防護具!$Q$30:$Q$212))-W53,0)</f>
        <v>0</v>
      </c>
      <c r="Y54" s="642">
        <f>IFERROR(
SUM(X54,SUMIF(防護具!$Y$30:$Y$212,Y$17&amp;$C53,防護具!$Q$30:$Q$212))-X53,0)</f>
        <v>0</v>
      </c>
      <c r="Z54" s="642">
        <f>IFERROR(
SUM(Y54,SUMIF(防護具!$Y$30:$Y$212,Z$17&amp;$C53,防護具!$Q$30:$Q$212))-Y53,0)</f>
        <v>0</v>
      </c>
      <c r="AA54" s="642">
        <f>IFERROR(
SUM(Z54,SUMIF(防護具!$Y$30:$Y$212,AA$17&amp;$C53,防護具!$Q$30:$Q$212))-Z53,0)</f>
        <v>0</v>
      </c>
      <c r="AB54" s="642">
        <f>IFERROR(
SUM(AA54,SUMIF(防護具!$Y$30:$Y$212,AB$17&amp;$C53,防護具!$Q$30:$Q$212))-AA53,0)</f>
        <v>0</v>
      </c>
      <c r="AC54" s="642">
        <f>IFERROR(
SUM(AB54,SUMIF(防護具!$Y$30:$Y$212,AC$17&amp;$C53,防護具!$Q$30:$Q$212))-AB53,0)</f>
        <v>0</v>
      </c>
      <c r="AD54" s="642">
        <f>IFERROR(
SUM(AC54,SUMIF(防護具!$Y$30:$Y$212,AD$17&amp;$C53,防護具!$Q$30:$Q$212))-AC53,0)</f>
        <v>0</v>
      </c>
      <c r="AE54" s="642">
        <f>IFERROR(
SUM(AD54,SUMIF(防護具!$Y$30:$Y$212,AE$17&amp;$C53,防護具!$Q$30:$Q$212))-AD53,0)</f>
        <v>0</v>
      </c>
      <c r="AF54" s="642">
        <f>IFERROR(
SUM(AE54,SUMIF(防護具!$Y$30:$Y$212,AF$17&amp;$C53,防護具!$Q$30:$Q$212))-AE53,0)</f>
        <v>0</v>
      </c>
      <c r="AG54" s="642">
        <f>IFERROR(
SUM(AF54,SUMIF(防護具!$Y$30:$Y$212,AG$17&amp;$C53,防護具!$Q$30:$Q$212))-AF53,0)</f>
        <v>0</v>
      </c>
      <c r="AH54" s="642">
        <f>IFERROR(
SUM(AG54,SUMIF(防護具!$Y$30:$Y$212,AH$17&amp;$C53,防護具!$Q$30:$Q$212))-AG53,0)</f>
        <v>0</v>
      </c>
      <c r="AI54" s="642">
        <f>IFERROR(
SUM(AH54,SUMIF(防護具!$Y$30:$Y$212,AI$17&amp;$C53,防護具!$Q$30:$Q$212))-AH53,0)</f>
        <v>0</v>
      </c>
      <c r="AJ54" s="642">
        <f>IFERROR(
SUM(AI54,SUMIF(防護具!$Y$30:$Y$212,AJ$17&amp;$C53,防護具!$Q$30:$Q$212))-AI53,0)</f>
        <v>0</v>
      </c>
      <c r="AK54" s="642">
        <f>IFERROR(
SUM(AJ54,SUMIF(防護具!$Y$30:$Y$212,AK$17&amp;$C53,防護具!$Q$30:$Q$212))-AJ53,0)</f>
        <v>0</v>
      </c>
      <c r="AL54" s="642">
        <f>IFERROR(
SUM(AK54,SUMIF(防護具!$Y$30:$Y$212,AL$17&amp;$C53,防護具!$Q$30:$Q$212))-AK53,0)</f>
        <v>0</v>
      </c>
      <c r="AM54" s="642">
        <f>IFERROR(
SUM(AL54,SUMIF(防護具!$Y$30:$Y$212,AM$17&amp;$C53,防護具!$Q$30:$Q$212))-AL53,0)</f>
        <v>0</v>
      </c>
      <c r="AN54" s="642">
        <f>IFERROR(
SUM(AM54,SUMIF(防護具!$Y$30:$Y$212,AN$17&amp;$C53,防護具!$Q$30:$Q$212))-AM53,0)</f>
        <v>0</v>
      </c>
      <c r="AO54" s="642">
        <f>IFERROR(
SUM(AN54,SUMIF(防護具!$Y$30:$Y$212,AO$17&amp;$C53,防護具!$Q$30:$Q$212))-AN53,0)</f>
        <v>0</v>
      </c>
      <c r="AP54" s="642">
        <f>IFERROR(
SUM(AO54,SUMIF(防護具!$Y$30:$Y$212,AP$17&amp;$C53,防護具!$Q$30:$Q$212))-AO53,0)</f>
        <v>0</v>
      </c>
      <c r="AQ54" s="642">
        <f>IFERROR(
SUM(AP54,SUMIF(防護具!$Y$30:$Y$212,AQ$17&amp;$C53,防護具!$Q$30:$Q$212))-AP53,0)</f>
        <v>0</v>
      </c>
      <c r="AR54" s="642">
        <f>IFERROR(
SUM(AQ54,SUMIF(防護具!$Y$30:$Y$212,AR$17&amp;$C53,防護具!$Q$30:$Q$212))-AQ53,0)</f>
        <v>0</v>
      </c>
      <c r="AS54" s="642">
        <f>IFERROR(
SUM(AR54,SUMIF(防護具!$Y$30:$Y$212,AS$17&amp;$C53,防護具!$Q$30:$Q$212))-AR53,0)</f>
        <v>0</v>
      </c>
      <c r="AT54" s="642">
        <f>IFERROR(
SUM(AS54,SUMIF(防護具!$Y$30:$Y$212,AT$17&amp;$C53,防護具!$Q$30:$Q$212))-AS53,0)</f>
        <v>0</v>
      </c>
      <c r="AU54" s="642">
        <f>IFERROR(
SUM(AT54,SUMIF(防護具!$Y$30:$Y$212,AU$17&amp;$C53,防護具!$Q$30:$Q$212))-AT53,0)</f>
        <v>0</v>
      </c>
      <c r="AV54" s="642">
        <f>IFERROR(
SUM(AU54,SUMIF(防護具!$Y$30:$Y$212,AV$17&amp;$C53,防護具!$Q$30:$Q$212))-AU53,0)</f>
        <v>0</v>
      </c>
      <c r="AW54" s="642">
        <f>IFERROR(
SUM(AV54,SUMIF(防護具!$Y$30:$Y$212,AW$17&amp;$C53,防護具!$Q$30:$Q$212))-AV53,0)</f>
        <v>0</v>
      </c>
      <c r="AX54" s="642">
        <f>IFERROR(
SUM(AW54,SUMIF(防護具!$Y$30:$Y$212,AX$17&amp;$C53,防護具!$Q$30:$Q$212))-AW53,0)</f>
        <v>0</v>
      </c>
      <c r="AY54" s="642">
        <f>IFERROR(
SUM(AX54,SUMIF(防護具!$Y$30:$Y$212,AY$17&amp;$C53,防護具!$Q$30:$Q$212))-AX53,0)</f>
        <v>0</v>
      </c>
      <c r="AZ54" s="642">
        <f>IFERROR(
SUM(AY54,SUMIF(防護具!$Y$30:$Y$212,AZ$17&amp;$C53,防護具!$Q$30:$Q$212))-AY53,0)</f>
        <v>0</v>
      </c>
      <c r="BA54" s="642">
        <f>IFERROR(
SUM(AZ54,SUMIF(防護具!$Y$30:$Y$212,BA$17&amp;$C53,防護具!$Q$30:$Q$212))-AZ53,0)</f>
        <v>0</v>
      </c>
      <c r="BB54" s="642">
        <f>IFERROR(
SUM(BA54,SUMIF(防護具!$Y$30:$Y$212,BB$17&amp;$C53,防護具!$Q$30:$Q$212))-BA53,0)</f>
        <v>0</v>
      </c>
      <c r="BC54" s="642">
        <f>IFERROR(
SUM(BB54,SUMIF(防護具!$Y$30:$Y$212,BC$17&amp;$C53,防護具!$Q$30:$Q$212))-BB53,0)</f>
        <v>0</v>
      </c>
      <c r="BD54" s="642">
        <f>IFERROR(
SUM(BC54,SUMIF(防護具!$Y$30:$Y$212,BD$17&amp;$C53,防護具!$Q$30:$Q$212))-BC53,0)</f>
        <v>0</v>
      </c>
      <c r="BE54" s="642">
        <f>IFERROR(
SUM(BD54,SUMIF(防護具!$Y$30:$Y$212,BE$17&amp;$C53,防護具!$Q$30:$Q$212))-BD53,0)</f>
        <v>0</v>
      </c>
      <c r="BF54" s="642">
        <f>IFERROR(
SUM(BE54,SUMIF(防護具!$Y$30:$Y$212,BF$17&amp;$C53,防護具!$Q$30:$Q$212))-BE53,0)</f>
        <v>0</v>
      </c>
      <c r="BG54" s="642">
        <f>IFERROR(
SUM(BF54,SUMIF(防護具!$Y$30:$Y$212,BG$17&amp;$C53,防護具!$Q$30:$Q$212))-BF53,0)</f>
        <v>0</v>
      </c>
      <c r="BH54" s="642">
        <f>IFERROR(
SUM(BG54,SUMIF(防護具!$Y$30:$Y$212,BH$17&amp;$C53,防護具!$Q$30:$Q$212))-BG53,0)</f>
        <v>0</v>
      </c>
      <c r="BI54" s="642">
        <f>IFERROR(
SUM(BH54,SUMIF(防護具!$Y$30:$Y$212,BI$17&amp;$C53,防護具!$Q$30:$Q$212))-BH53,0)</f>
        <v>0</v>
      </c>
      <c r="BJ54" s="642">
        <f>IFERROR(
SUM(BI54,SUMIF(防護具!$Y$30:$Y$212,BJ$17&amp;$C53,防護具!$Q$30:$Q$212))-BI53,0)</f>
        <v>0</v>
      </c>
      <c r="BK54" s="642">
        <f>IFERROR(
SUM(BJ54,SUMIF(防護具!$Y$30:$Y$212,BK$17&amp;$C53,防護具!$Q$30:$Q$212))-BJ53,0)</f>
        <v>0</v>
      </c>
      <c r="BL54" s="642">
        <f>IFERROR(
SUM(BK54,SUMIF(防護具!$Y$30:$Y$212,BL$17&amp;$C53,防護具!$Q$30:$Q$212))-BK53,0)</f>
        <v>0</v>
      </c>
      <c r="BM54" s="642">
        <f>IFERROR(
SUM(BL54,SUMIF(防護具!$Y$30:$Y$212,BM$17&amp;$C53,防護具!$Q$30:$Q$212))-BL53,0)</f>
        <v>0</v>
      </c>
      <c r="BN54" s="642">
        <f>IFERROR(
SUM(BM54,SUMIF(防護具!$Y$30:$Y$212,BN$17&amp;$C53,防護具!$Q$30:$Q$212))-BM53,0)</f>
        <v>0</v>
      </c>
      <c r="BO54" s="642">
        <f>IFERROR(
SUM(BN54,SUMIF(防護具!$Y$30:$Y$212,BO$17&amp;$C53,防護具!$Q$30:$Q$212))-BN53,0)</f>
        <v>0</v>
      </c>
      <c r="BP54" s="642">
        <f>IFERROR(
SUM(BO54,SUMIF(防護具!$Y$30:$Y$212,BP$17&amp;$C53,防護具!$Q$30:$Q$212))-BO53,0)</f>
        <v>0</v>
      </c>
      <c r="BQ54" s="642">
        <f>IFERROR(
SUM(BP54,SUMIF(防護具!$Y$30:$Y$212,BQ$17&amp;$C53,防護具!$Q$30:$Q$212))-BP53,0)</f>
        <v>0</v>
      </c>
      <c r="BR54" s="642">
        <f>IFERROR(
SUM(BQ54,SUMIF(防護具!$Y$30:$Y$212,BR$17&amp;$C53,防護具!$Q$30:$Q$212))-BQ53,0)</f>
        <v>0</v>
      </c>
      <c r="BS54" s="642">
        <f>IFERROR(
SUM(BR54,SUMIF(防護具!$Y$30:$Y$212,BS$17&amp;$C53,防護具!$Q$30:$Q$212))-BR53,0)</f>
        <v>0</v>
      </c>
      <c r="BT54" s="642">
        <f>IFERROR(
SUM(BS54,SUMIF(防護具!$Y$30:$Y$212,BT$17&amp;$C53,防護具!$Q$30:$Q$212))-BS53,0)</f>
        <v>0</v>
      </c>
      <c r="BU54" s="642">
        <f>IFERROR(
SUM(BT54,SUMIF(防護具!$Y$30:$Y$212,BU$17&amp;$C53,防護具!$Q$30:$Q$212))-BT53,0)</f>
        <v>0</v>
      </c>
      <c r="BV54" s="642">
        <f>IFERROR(
SUM(BU54,SUMIF(防護具!$Y$30:$Y$212,BV$17&amp;$C53,防護具!$Q$30:$Q$212))-BU53,0)</f>
        <v>0</v>
      </c>
      <c r="BW54" s="642">
        <f>IFERROR(
SUM(BV54,SUMIF(防護具!$Y$30:$Y$212,BW$17&amp;$C53,防護具!$Q$30:$Q$212))-BV53,0)</f>
        <v>0</v>
      </c>
      <c r="BX54" s="642">
        <f>IFERROR(
SUM(BW54,SUMIF(防護具!$Y$30:$Y$212,BX$17&amp;$C53,防護具!$Q$30:$Q$212))-BW53,0)</f>
        <v>0</v>
      </c>
      <c r="BY54" s="642">
        <f>IFERROR(
SUM(BX54,SUMIF(防護具!$Y$30:$Y$212,BY$17&amp;$C53,防護具!$Q$30:$Q$212))-BX53,0)</f>
        <v>0</v>
      </c>
      <c r="BZ54" s="642">
        <f>IFERROR(
SUM(BY54,SUMIF(防護具!$Y$30:$Y$212,BZ$17&amp;$C53,防護具!$Q$30:$Q$212))-BY53,0)</f>
        <v>0</v>
      </c>
      <c r="CA54" s="642">
        <f>IFERROR(
SUM(BZ54,SUMIF(防護具!$Y$30:$Y$212,CA$17&amp;$C53,防護具!$Q$30:$Q$212))-BZ53,0)</f>
        <v>0</v>
      </c>
      <c r="CB54" s="642">
        <f>IFERROR(
SUM(CA54,SUMIF(防護具!$Y$30:$Y$212,CB$17&amp;$C53,防護具!$Q$30:$Q$212))-CA53,0)</f>
        <v>0</v>
      </c>
      <c r="CC54" s="642">
        <f>IFERROR(
SUM(CB54,SUMIF(防護具!$Y$30:$Y$212,CC$17&amp;$C53,防護具!$Q$30:$Q$212))-CB53,0)</f>
        <v>0</v>
      </c>
      <c r="CD54" s="642">
        <f>IFERROR(
SUM(CC54,SUMIF(防護具!$Y$30:$Y$212,CD$17&amp;$C53,防護具!$Q$30:$Q$212))-CC53,0)</f>
        <v>0</v>
      </c>
      <c r="CE54" s="642">
        <f>IFERROR(
SUM(CD54,SUMIF(防護具!$Y$30:$Y$212,CE$17&amp;$C53,防護具!$Q$30:$Q$212))-CD53,0)</f>
        <v>0</v>
      </c>
      <c r="CF54" s="642">
        <f>IFERROR(
SUM(CE54,SUMIF(防護具!$Y$30:$Y$212,CF$17&amp;$C53,防護具!$Q$30:$Q$212))-CE53,0)</f>
        <v>0</v>
      </c>
      <c r="CG54" s="642">
        <f>IFERROR(
SUM(CF54,SUMIF(防護具!$Y$30:$Y$212,CG$17&amp;$C53,防護具!$Q$30:$Q$212))-CF53,0)</f>
        <v>0</v>
      </c>
      <c r="CH54" s="642">
        <f>IFERROR(
SUM(CG54,SUMIF(防護具!$Y$30:$Y$212,CH$17&amp;$C53,防護具!$Q$30:$Q$212))-CG53,0)</f>
        <v>0</v>
      </c>
      <c r="CI54" s="642">
        <f>IFERROR(
SUM(CH54,SUMIF(防護具!$Y$30:$Y$212,CI$17&amp;$C53,防護具!$Q$30:$Q$212))-CH53,0)</f>
        <v>0</v>
      </c>
      <c r="CJ54" s="642">
        <f>IFERROR(
SUM(CI54,SUMIF(防護具!$Y$30:$Y$212,CJ$17&amp;$C53,防護具!$Q$30:$Q$212))-CI53,0)</f>
        <v>0</v>
      </c>
      <c r="CK54" s="642">
        <f>IFERROR(
SUM(CJ54,SUMIF(防護具!$Y$30:$Y$212,CK$17&amp;$C53,防護具!$Q$30:$Q$212))-CJ53,0)</f>
        <v>0</v>
      </c>
      <c r="CL54" s="642">
        <f>IFERROR(
SUM(CK54,SUMIF(防護具!$Y$30:$Y$212,CL$17&amp;$C53,防護具!$Q$30:$Q$212))-CK53,0)</f>
        <v>0</v>
      </c>
      <c r="CM54" s="642">
        <f>IFERROR(
SUM(CL54,SUMIF(防護具!$Y$30:$Y$212,CM$17&amp;$C53,防護具!$Q$30:$Q$212))-CL53,0)</f>
        <v>0</v>
      </c>
      <c r="CN54" s="642">
        <f>IFERROR(
SUM(CM54,SUMIF(防護具!$Y$30:$Y$212,CN$17&amp;$C53,防護具!$Q$30:$Q$212))-CM53,0)</f>
        <v>0</v>
      </c>
      <c r="CO54" s="642">
        <f>IFERROR(
SUM(CN54,SUMIF(防護具!$Y$30:$Y$212,CO$17&amp;$C53,防護具!$Q$30:$Q$212))-CN53,0)</f>
        <v>0</v>
      </c>
      <c r="CP54" s="642">
        <f>IFERROR(
SUM(CO54,SUMIF(防護具!$Y$30:$Y$212,CP$17&amp;$C53,防護具!$Q$30:$Q$212))-CO53,0)</f>
        <v>0</v>
      </c>
      <c r="CQ54" s="642">
        <f>IFERROR(
SUM(CP54,SUMIF(防護具!$Y$30:$Y$212,CQ$17&amp;$C53,防護具!$Q$30:$Q$212))-CP53,0)</f>
        <v>0</v>
      </c>
      <c r="CR54" s="642">
        <f>IFERROR(
SUM(CQ54,SUMIF(防護具!$Y$30:$Y$212,CR$17&amp;$C53,防護具!$Q$30:$Q$212))-CQ53,0)</f>
        <v>0</v>
      </c>
      <c r="CS54" s="642">
        <f>IFERROR(
SUM(CR54,SUMIF(防護具!$Y$30:$Y$212,CS$17&amp;$C53,防護具!$Q$30:$Q$212))-CR53,0)</f>
        <v>0</v>
      </c>
      <c r="CT54" s="642">
        <f>IFERROR(
SUM(CS54,SUMIF(防護具!$Y$30:$Y$212,CT$17&amp;$C53,防護具!$Q$30:$Q$212))-CS53,0)</f>
        <v>0</v>
      </c>
      <c r="CU54" s="642">
        <f>IFERROR(
SUM(CT54,SUMIF(防護具!$Y$30:$Y$212,CU$17&amp;$C53,防護具!$Q$30:$Q$212))-CT53,0)</f>
        <v>0</v>
      </c>
      <c r="CV54" s="642">
        <f>IFERROR(
SUM(CU54,SUMIF(防護具!$Y$30:$Y$212,CV$17&amp;$C53,防護具!$Q$30:$Q$212))-CU53,0)</f>
        <v>0</v>
      </c>
      <c r="CW54" s="642">
        <f>IFERROR(
SUM(CV54,SUMIF(防護具!$Y$30:$Y$212,CW$17&amp;$C53,防護具!$Q$30:$Q$212))-CV53,0)</f>
        <v>0</v>
      </c>
      <c r="CX54" s="642">
        <f>IFERROR(
SUM(CW54,SUMIF(防護具!$Y$30:$Y$212,CX$17&amp;$C53,防護具!$Q$30:$Q$212))-CW53,0)</f>
        <v>0</v>
      </c>
      <c r="CY54" s="642">
        <f>IFERROR(
SUM(CX54,SUMIF(防護具!$Y$30:$Y$212,CY$17&amp;$C53,防護具!$Q$30:$Q$212))-CX53,0)</f>
        <v>0</v>
      </c>
      <c r="CZ54" s="642">
        <f>IFERROR(
SUM(CY54,SUMIF(防護具!$Y$30:$Y$212,CZ$17&amp;$C53,防護具!$Q$30:$Q$212))-CY53,0)</f>
        <v>0</v>
      </c>
      <c r="DA54" s="642">
        <f>IFERROR(
SUM(CZ54,SUMIF(防護具!$Y$30:$Y$212,DA$17&amp;$C53,防護具!$Q$30:$Q$212))-CZ53,0)</f>
        <v>0</v>
      </c>
      <c r="DB54" s="642">
        <f>IFERROR(
SUM(DA54,SUMIF(防護具!$Y$30:$Y$212,DB$17&amp;$C53,防護具!$Q$30:$Q$212))-DA53,0)</f>
        <v>0</v>
      </c>
      <c r="DC54" s="642">
        <f>IFERROR(
SUM(DB54,SUMIF(防護具!$Y$30:$Y$212,DC$17&amp;$C53,防護具!$Q$30:$Q$212))-DB53,0)</f>
        <v>0</v>
      </c>
      <c r="DD54" s="642">
        <f>IFERROR(
SUM(DC54,SUMIF(防護具!$Y$30:$Y$212,DD$17&amp;$C53,防護具!$Q$30:$Q$212))-DC53,0)</f>
        <v>0</v>
      </c>
      <c r="DE54" s="642">
        <f>IFERROR(
SUM(DD54,SUMIF(防護具!$Y$30:$Y$212,DE$17&amp;$C53,防護具!$Q$30:$Q$212))-DD53,0)</f>
        <v>0</v>
      </c>
      <c r="DF54" s="642">
        <f>IFERROR(
SUM(DE54,SUMIF(防護具!$Y$30:$Y$212,DF$17&amp;$C53,防護具!$Q$30:$Q$212))-DE53,0)</f>
        <v>0</v>
      </c>
      <c r="DG54" s="642">
        <f>IFERROR(
SUM(DF54,SUMIF(防護具!$Y$30:$Y$212,DG$17&amp;$C53,防護具!$Q$30:$Q$212))-DF53,0)</f>
        <v>0</v>
      </c>
      <c r="DH54" s="642">
        <f>IFERROR(
SUM(DG54,SUMIF(防護具!$Y$30:$Y$212,DH$17&amp;$C53,防護具!$Q$30:$Q$212))-DG53,0)</f>
        <v>0</v>
      </c>
      <c r="DI54" s="642">
        <f>IFERROR(
SUM(DH54,SUMIF(防護具!$Y$30:$Y$212,DI$17&amp;$C53,防護具!$Q$30:$Q$212))-DH53,0)</f>
        <v>0</v>
      </c>
      <c r="DJ54" s="642">
        <f>IFERROR(
SUM(DI54,SUMIF(防護具!$Y$30:$Y$212,DJ$17&amp;$C53,防護具!$Q$30:$Q$212))-DI53,0)</f>
        <v>0</v>
      </c>
      <c r="DK54" s="642">
        <f>IFERROR(
SUM(DJ54,SUMIF(防護具!$Y$30:$Y$212,DK$17&amp;$C53,防護具!$Q$30:$Q$212))-DJ53,0)</f>
        <v>0</v>
      </c>
      <c r="DL54" s="642">
        <f>IFERROR(
SUM(DK54,SUMIF(防護具!$Y$30:$Y$212,DL$17&amp;$C53,防護具!$Q$30:$Q$212))-DK53,0)</f>
        <v>0</v>
      </c>
      <c r="DM54" s="642">
        <f>IFERROR(
SUM(DL54,SUMIF(防護具!$Y$30:$Y$212,DM$17&amp;$C53,防護具!$Q$30:$Q$212))-DL53,0)</f>
        <v>0</v>
      </c>
      <c r="DN54" s="642">
        <f>IFERROR(
SUM(DM54,SUMIF(防護具!$Y$30:$Y$212,DN$17&amp;$C53,防護具!$Q$30:$Q$212))-DM53,0)</f>
        <v>0</v>
      </c>
      <c r="DO54" s="642">
        <f>IFERROR(
SUM(DN54,SUMIF(防護具!$Y$30:$Y$212,DO$17&amp;$C53,防護具!$Q$30:$Q$212))-DN53,0)</f>
        <v>0</v>
      </c>
      <c r="DP54" s="642">
        <f>IFERROR(
SUM(DO54,SUMIF(防護具!$Y$30:$Y$212,DP$17&amp;$C53,防護具!$Q$30:$Q$212))-DO53,0)</f>
        <v>0</v>
      </c>
      <c r="DQ54" s="642">
        <f>IFERROR(
SUM(DP54,SUMIF(防護具!$Y$30:$Y$212,DQ$17&amp;$C53,防護具!$Q$30:$Q$212))-DP53,0)</f>
        <v>0</v>
      </c>
      <c r="DR54" s="642">
        <f>IFERROR(
SUM(DQ54,SUMIF(防護具!$Y$30:$Y$212,DR$17&amp;$C53,防護具!$Q$30:$Q$212))-DQ53,0)</f>
        <v>0</v>
      </c>
      <c r="DS54" s="642">
        <f>IFERROR(
SUM(DR54,SUMIF(防護具!$Y$30:$Y$212,DS$17&amp;$C53,防護具!$Q$30:$Q$212))-DR53,0)</f>
        <v>0</v>
      </c>
      <c r="DT54" s="642">
        <f>IFERROR(
SUM(DS54,SUMIF(防護具!$Y$30:$Y$212,DT$17&amp;$C53,防護具!$Q$30:$Q$212))-DS53,0)</f>
        <v>0</v>
      </c>
      <c r="DU54" s="642">
        <f>IFERROR(
SUM(DT54,SUMIF(防護具!$Y$30:$Y$212,DU$17&amp;$C53,防護具!$Q$30:$Q$212))-DT53,0)</f>
        <v>0</v>
      </c>
      <c r="DV54" s="642">
        <f>IFERROR(
SUM(DU54,SUMIF(防護具!$Y$30:$Y$212,DV$17&amp;$C53,防護具!$Q$30:$Q$212))-DU53,0)</f>
        <v>0</v>
      </c>
      <c r="DW54" s="642">
        <f>IFERROR(
SUM(DV54,SUMIF(防護具!$Y$30:$Y$212,DW$17&amp;$C53,防護具!$Q$30:$Q$212))-DV53,0)</f>
        <v>0</v>
      </c>
      <c r="DX54" s="642">
        <f>IFERROR(
SUM(DW54,SUMIF(防護具!$Y$30:$Y$212,DX$17&amp;$C53,防護具!$Q$30:$Q$212))-DW53,0)</f>
        <v>0</v>
      </c>
      <c r="DY54" s="642">
        <f>IFERROR(
SUM(DX54,SUMIF(防護具!$Y$30:$Y$212,DY$17&amp;$C53,防護具!$Q$30:$Q$212))-DX53,0)</f>
        <v>0</v>
      </c>
      <c r="DZ54" s="642">
        <f>IFERROR(
SUM(DY54,SUMIF(防護具!$Y$30:$Y$212,DZ$17&amp;$C53,防護具!$Q$30:$Q$212))-DY53,0)</f>
        <v>0</v>
      </c>
      <c r="EA54" s="642">
        <f>IFERROR(
SUM(DZ54,SUMIF(防護具!$Y$30:$Y$212,EA$17&amp;$C53,防護具!$Q$30:$Q$212))-DZ53,0)</f>
        <v>0</v>
      </c>
      <c r="EB54" s="642">
        <f>IFERROR(
SUM(EA54,SUMIF(防護具!$Y$30:$Y$212,EB$17&amp;$C53,防護具!$Q$30:$Q$212))-EA53,0)</f>
        <v>0</v>
      </c>
      <c r="EC54" s="642">
        <f>IFERROR(
SUM(EB54,SUMIF(防護具!$Y$30:$Y$212,EC$17&amp;$C53,防護具!$Q$30:$Q$212))-EB53,0)</f>
        <v>0</v>
      </c>
      <c r="ED54" s="642">
        <f>IFERROR(
SUM(EC54,SUMIF(防護具!$Y$30:$Y$212,ED$17&amp;$C53,防護具!$Q$30:$Q$212))-EC53,0)</f>
        <v>0</v>
      </c>
      <c r="EE54" s="642">
        <f>IFERROR(
SUM(ED54,SUMIF(防護具!$Y$30:$Y$212,EE$17&amp;$C53,防護具!$Q$30:$Q$212))-ED53,0)</f>
        <v>0</v>
      </c>
      <c r="EF54" s="642">
        <f>IFERROR(
SUM(EE54,SUMIF(防護具!$Y$30:$Y$212,EF$17&amp;$C53,防護具!$Q$30:$Q$212))-EE53,0)</f>
        <v>0</v>
      </c>
      <c r="EG54" s="642">
        <f>IFERROR(
SUM(EF54,SUMIF(防護具!$Y$30:$Y$212,EG$17&amp;$C53,防護具!$Q$30:$Q$212))-EF53,0)</f>
        <v>0</v>
      </c>
      <c r="EH54" s="642">
        <f>IFERROR(
SUM(EG54,SUMIF(防護具!$Y$30:$Y$212,EH$17&amp;$C53,防護具!$Q$30:$Q$212))-EG53,0)</f>
        <v>0</v>
      </c>
      <c r="EI54" s="642">
        <f>IFERROR(
SUM(EH54,SUMIF(防護具!$Y$30:$Y$212,EI$17&amp;$C53,防護具!$Q$30:$Q$212))-EH53,0)</f>
        <v>0</v>
      </c>
      <c r="EJ54" s="642">
        <f>IFERROR(
SUM(EI54,SUMIF(防護具!$Y$30:$Y$212,EJ$17&amp;$C53,防護具!$Q$30:$Q$212))-EI53,0)</f>
        <v>0</v>
      </c>
      <c r="EK54" s="642">
        <f>IFERROR(
SUM(EJ54,SUMIF(防護具!$Y$30:$Y$212,EK$17&amp;$C53,防護具!$Q$30:$Q$212))-EJ53,0)</f>
        <v>0</v>
      </c>
      <c r="EL54" s="642">
        <f>IFERROR(
SUM(EK54,SUMIF(防護具!$Y$30:$Y$212,EL$17&amp;$C53,防護具!$Q$30:$Q$212))-EK53,0)</f>
        <v>0</v>
      </c>
      <c r="EM54" s="642">
        <f>IFERROR(
SUM(EL54,SUMIF(防護具!$Y$30:$Y$212,EM$17&amp;$C53,防護具!$Q$30:$Q$212))-EL53,0)</f>
        <v>0</v>
      </c>
      <c r="EN54" s="642">
        <f>IFERROR(
SUM(EM54,SUMIF(防護具!$Y$30:$Y$212,EN$17&amp;$C53,防護具!$Q$30:$Q$212))-EM53,0)</f>
        <v>0</v>
      </c>
      <c r="EO54" s="642">
        <f>IFERROR(
SUM(EN54,SUMIF(防護具!$Y$30:$Y$212,EO$17&amp;$C53,防護具!$Q$30:$Q$212))-EN53,0)</f>
        <v>0</v>
      </c>
      <c r="EP54" s="642">
        <f>IFERROR(
SUM(EO54,SUMIF(防護具!$Y$30:$Y$212,EP$17&amp;$C53,防護具!$Q$30:$Q$212))-EO53,0)</f>
        <v>0</v>
      </c>
      <c r="EQ54" s="642">
        <f>IFERROR(
SUM(EP54,SUMIF(防護具!$Y$30:$Y$212,EQ$17&amp;$C53,防護具!$Q$30:$Q$212))-EP53,0)</f>
        <v>0</v>
      </c>
      <c r="ER54" s="642">
        <f>IFERROR(
SUM(EQ54,SUMIF(防護具!$Y$30:$Y$212,ER$17&amp;$C53,防護具!$Q$30:$Q$212))-EQ53,0)</f>
        <v>0</v>
      </c>
      <c r="ES54" s="642">
        <f>IFERROR(
SUM(ER54,SUMIF(防護具!$Y$30:$Y$212,ES$17&amp;$C53,防護具!$Q$30:$Q$212))-ER53,0)</f>
        <v>0</v>
      </c>
      <c r="ET54" s="642">
        <f>IFERROR(
SUM(ES54,SUMIF(防護具!$Y$30:$Y$212,ET$17&amp;$C53,防護具!$Q$30:$Q$212))-ES53,0)</f>
        <v>0</v>
      </c>
      <c r="EU54" s="642">
        <f>IFERROR(
SUM(ET54,SUMIF(防護具!$Y$30:$Y$212,EU$17&amp;$C53,防護具!$Q$30:$Q$212))-ET53,0)</f>
        <v>0</v>
      </c>
      <c r="EV54" s="642">
        <f>IFERROR(
SUM(EU54,SUMIF(防護具!$Y$30:$Y$212,EV$17&amp;$C53,防護具!$Q$30:$Q$212))-EU53,0)</f>
        <v>0</v>
      </c>
      <c r="EW54" s="642">
        <f>IFERROR(
SUM(EV54,SUMIF(防護具!$Y$30:$Y$212,EW$17&amp;$C53,防護具!$Q$30:$Q$212))-EV53,0)</f>
        <v>0</v>
      </c>
      <c r="EX54" s="642">
        <f>IFERROR(
SUM(EW54,SUMIF(防護具!$Y$30:$Y$212,EX$17&amp;$C53,防護具!$Q$30:$Q$212))-EW53,0)</f>
        <v>0</v>
      </c>
      <c r="EY54" s="642">
        <f>IFERROR(
SUM(EX54,SUMIF(防護具!$Y$30:$Y$212,EY$17&amp;$C53,防護具!$Q$30:$Q$212))-EX53,0)</f>
        <v>0</v>
      </c>
      <c r="EZ54" s="642">
        <f>IFERROR(
SUM(EY54,SUMIF(防護具!$Y$30:$Y$212,EZ$17&amp;$C53,防護具!$Q$30:$Q$212))-EY53,0)</f>
        <v>0</v>
      </c>
      <c r="FA54" s="642">
        <f>IFERROR(
SUM(EZ54,SUMIF(防護具!$Y$30:$Y$212,FA$17&amp;$C53,防護具!$Q$30:$Q$212))-EZ53,0)</f>
        <v>0</v>
      </c>
      <c r="FB54" s="642">
        <f>IFERROR(
SUM(FA54,SUMIF(防護具!$Y$30:$Y$212,FB$17&amp;$C53,防護具!$Q$30:$Q$212))-FA53,0)</f>
        <v>0</v>
      </c>
      <c r="FC54" s="642">
        <f>IFERROR(
SUM(FB54,SUMIF(防護具!$Y$30:$Y$212,FC$17&amp;$C53,防護具!$Q$30:$Q$212))-FB53,0)</f>
        <v>0</v>
      </c>
      <c r="FD54" s="642">
        <f>IFERROR(
SUM(FC54,SUMIF(防護具!$Y$30:$Y$212,FD$17&amp;$C53,防護具!$Q$30:$Q$212))-FC53,0)</f>
        <v>0</v>
      </c>
      <c r="FE54" s="642">
        <f>IFERROR(
SUM(FD54,SUMIF(防護具!$Y$30:$Y$212,FE$17&amp;$C53,防護具!$Q$30:$Q$212))-FD53,0)</f>
        <v>0</v>
      </c>
      <c r="FF54" s="642">
        <f>IFERROR(
SUM(FE54,SUMIF(防護具!$Y$30:$Y$212,FF$17&amp;$C53,防護具!$Q$30:$Q$212))-FE53,0)</f>
        <v>0</v>
      </c>
      <c r="FG54" s="642">
        <f>IFERROR(
SUM(FF54,SUMIF(防護具!$Y$30:$Y$212,FG$17&amp;$C53,防護具!$Q$30:$Q$212))-FF53,0)</f>
        <v>0</v>
      </c>
      <c r="FH54" s="642">
        <f>IFERROR(
SUM(FG54,SUMIF(防護具!$Y$30:$Y$212,FH$17&amp;$C53,防護具!$Q$30:$Q$212))-FG53,0)</f>
        <v>0</v>
      </c>
      <c r="FI54" s="642">
        <f>IFERROR(
SUM(FH54,SUMIF(防護具!$Y$30:$Y$212,FI$17&amp;$C53,防護具!$Q$30:$Q$212))-FH53,0)</f>
        <v>0</v>
      </c>
      <c r="FJ54" s="642">
        <f>IFERROR(
SUM(FI54,SUMIF(防護具!$Y$30:$Y$212,FJ$17&amp;$C53,防護具!$Q$30:$Q$212))-FI53,0)</f>
        <v>0</v>
      </c>
      <c r="FK54" s="642">
        <f>IFERROR(
SUM(FJ54,SUMIF(防護具!$Y$30:$Y$212,FK$17&amp;$C53,防護具!$Q$30:$Q$212))-FJ53,0)</f>
        <v>0</v>
      </c>
      <c r="FL54" s="642">
        <f>IFERROR(
SUM(FK54,SUMIF(防護具!$Y$30:$Y$212,FL$17&amp;$C53,防護具!$Q$30:$Q$212))-FK53,0)</f>
        <v>0</v>
      </c>
      <c r="FM54" s="642">
        <f>IFERROR(
SUM(FL54,SUMIF(防護具!$Y$30:$Y$212,FM$17&amp;$C53,防護具!$Q$30:$Q$212))-FL53,0)</f>
        <v>0</v>
      </c>
      <c r="FN54" s="642">
        <f>IFERROR(
SUM(FM54,SUMIF(防護具!$Y$30:$Y$212,FN$17&amp;$C53,防護具!$Q$30:$Q$212))-FM53,0)</f>
        <v>0</v>
      </c>
      <c r="FO54" s="642">
        <f>IFERROR(
SUM(FN54,SUMIF(防護具!$Y$30:$Y$212,FO$17&amp;$C53,防護具!$Q$30:$Q$212))-FN53,0)</f>
        <v>0</v>
      </c>
      <c r="FP54" s="642">
        <f>IFERROR(
SUM(FO54,SUMIF(防護具!$Y$30:$Y$212,FP$17&amp;$C53,防護具!$Q$30:$Q$212))-FO53,0)</f>
        <v>0</v>
      </c>
      <c r="FQ54" s="642">
        <f>IFERROR(
SUM(FP54,SUMIF(防護具!$Y$30:$Y$212,FQ$17&amp;$C53,防護具!$Q$30:$Q$212))-FP53,0)</f>
        <v>0</v>
      </c>
      <c r="FR54" s="642">
        <f>IFERROR(
SUM(FQ54,SUMIF(防護具!$Y$30:$Y$212,FR$17&amp;$C53,防護具!$Q$30:$Q$212))-FQ53,0)</f>
        <v>0</v>
      </c>
      <c r="FS54" s="642">
        <f>IFERROR(
SUM(FR54,SUMIF(防護具!$Y$30:$Y$212,FS$17&amp;$C53,防護具!$Q$30:$Q$212))-FR53,0)</f>
        <v>0</v>
      </c>
      <c r="FT54" s="642">
        <f>IFERROR(
SUM(FS54,SUMIF(防護具!$Y$30:$Y$212,FT$17&amp;$C53,防護具!$Q$30:$Q$212))-FS53,0)</f>
        <v>0</v>
      </c>
      <c r="FU54" s="642">
        <f>IFERROR(
SUM(FT54,SUMIF(防護具!$Y$30:$Y$212,FU$17&amp;$C53,防護具!$Q$30:$Q$212))-FT53,0)</f>
        <v>0</v>
      </c>
      <c r="FV54" s="642">
        <f>IFERROR(
SUM(FU54,SUMIF(防護具!$Y$30:$Y$212,FV$17&amp;$C53,防護具!$Q$30:$Q$212))-FU53,0)</f>
        <v>0</v>
      </c>
      <c r="FW54" s="642">
        <f>IFERROR(
SUM(FV54,SUMIF(防護具!$Y$30:$Y$212,FW$17&amp;$C53,防護具!$Q$30:$Q$212))-FV53,0)</f>
        <v>0</v>
      </c>
      <c r="FX54" s="642">
        <f>IFERROR(
SUM(FW54,SUMIF(防護具!$Y$30:$Y$212,FX$17&amp;$C53,防護具!$Q$30:$Q$212))-FW53,0)</f>
        <v>0</v>
      </c>
      <c r="FY54" s="642">
        <f>IFERROR(
SUM(FX54,SUMIF(防護具!$Y$30:$Y$212,FY$17&amp;$C53,防護具!$Q$30:$Q$212))-FX53,0)</f>
        <v>0</v>
      </c>
      <c r="FZ54" s="642">
        <f>IFERROR(
SUM(FY54,SUMIF(防護具!$Y$30:$Y$212,FZ$17&amp;$C53,防護具!$Q$30:$Q$212))-FY53,0)</f>
        <v>0</v>
      </c>
      <c r="GA54" s="642">
        <f>IFERROR(
SUM(FZ54,SUMIF(防護具!$Y$30:$Y$212,GA$17&amp;$C53,防護具!$Q$30:$Q$212))-FZ53,0)</f>
        <v>0</v>
      </c>
      <c r="GB54" s="642">
        <f>IFERROR(
SUM(GA54,SUMIF(防護具!$Y$30:$Y$212,GB$17&amp;$C53,防護具!$Q$30:$Q$212))-GA53,0)</f>
        <v>0</v>
      </c>
      <c r="GC54" s="642">
        <f>IFERROR(
SUM(GB54,SUMIF(防護具!$Y$30:$Y$212,GC$17&amp;$C53,防護具!$Q$30:$Q$212))-GB53,0)</f>
        <v>0</v>
      </c>
      <c r="GD54" s="642">
        <f>IFERROR(
SUM(GC54,SUMIF(防護具!$Y$30:$Y$212,GD$17&amp;$C53,防護具!$Q$30:$Q$212))-GC53,0)</f>
        <v>0</v>
      </c>
      <c r="GE54" s="642">
        <f>IFERROR(
SUM(GD54,SUMIF(防護具!$Y$30:$Y$212,GE$17&amp;$C53,防護具!$Q$30:$Q$212))-GD53,0)</f>
        <v>0</v>
      </c>
      <c r="GF54" s="642">
        <f>IFERROR(
SUM(GE54,SUMIF(防護具!$Y$30:$Y$212,GF$17&amp;$C53,防護具!$Q$30:$Q$212))-GE53,0)</f>
        <v>0</v>
      </c>
      <c r="GG54" s="642">
        <f>IFERROR(
SUM(GF54,SUMIF(防護具!$Y$30:$Y$212,GG$17&amp;$C53,防護具!$Q$30:$Q$212))-GF53,0)</f>
        <v>0</v>
      </c>
      <c r="GH54" s="642">
        <f>IFERROR(
SUM(GG54,SUMIF(防護具!$Y$30:$Y$212,GH$17&amp;$C53,防護具!$Q$30:$Q$212))-GG53,0)</f>
        <v>0</v>
      </c>
      <c r="GI54" s="642">
        <f>IFERROR(
SUM(GH54,SUMIF(防護具!$Y$30:$Y$212,GI$17&amp;$C53,防護具!$Q$30:$Q$212))-GH53,0)</f>
        <v>0</v>
      </c>
      <c r="GJ54" s="642">
        <f>IFERROR(
SUM(GI54,SUMIF(防護具!$Y$30:$Y$212,GJ$17&amp;$C53,防護具!$Q$30:$Q$212))-GI53,0)</f>
        <v>0</v>
      </c>
    </row>
    <row r="55" spans="2:192" s="655" customFormat="1">
      <c r="B55" s="656"/>
      <c r="C55" s="641"/>
      <c r="D55" s="768" t="s">
        <v>1468</v>
      </c>
      <c r="E55" s="773"/>
      <c r="F55" s="706"/>
      <c r="G55" s="642">
        <f>SUMIF(防護具!$Y$13:$Y$29,G$17&amp;PPE差引簿!C53,防護具!$Q$13:$Q$29)</f>
        <v>3000</v>
      </c>
      <c r="H55" s="642">
        <f xml:space="preserve">
IF(G55-VLOOKUP($C53,$C$3:$D$15,2,FALSE)*H$21&lt;0,0,G55-VLOOKUP($C53,$C$3:$D$15,2,FALSE)*H$21)</f>
        <v>3000</v>
      </c>
      <c r="I55" s="642">
        <f t="shared" ref="I55:BT55" si="2226" xml:space="preserve">
IF(H55-VLOOKUP($C53,$C$3:$D$15,2,FALSE)*I$21&lt;0,0,H55-VLOOKUP($C53,$C$3:$D$15,2,FALSE)*I$21)</f>
        <v>3000</v>
      </c>
      <c r="J55" s="642">
        <f t="shared" si="2226"/>
        <v>3000</v>
      </c>
      <c r="K55" s="642">
        <f t="shared" si="2226"/>
        <v>3000</v>
      </c>
      <c r="L55" s="642">
        <f t="shared" si="2226"/>
        <v>3000</v>
      </c>
      <c r="M55" s="642">
        <f t="shared" si="2226"/>
        <v>3000</v>
      </c>
      <c r="N55" s="642">
        <f t="shared" si="2226"/>
        <v>3000</v>
      </c>
      <c r="O55" s="642">
        <f t="shared" si="2226"/>
        <v>3000</v>
      </c>
      <c r="P55" s="642">
        <f t="shared" si="2226"/>
        <v>3000</v>
      </c>
      <c r="Q55" s="642">
        <f t="shared" si="2226"/>
        <v>3000</v>
      </c>
      <c r="R55" s="642">
        <f t="shared" si="2226"/>
        <v>3000</v>
      </c>
      <c r="S55" s="642">
        <f t="shared" si="2226"/>
        <v>3000</v>
      </c>
      <c r="T55" s="642">
        <f t="shared" si="2226"/>
        <v>3000</v>
      </c>
      <c r="U55" s="642">
        <f t="shared" si="2226"/>
        <v>3000</v>
      </c>
      <c r="V55" s="642">
        <f t="shared" si="2226"/>
        <v>3000</v>
      </c>
      <c r="W55" s="642">
        <f t="shared" si="2226"/>
        <v>3000</v>
      </c>
      <c r="X55" s="642">
        <f t="shared" si="2226"/>
        <v>3000</v>
      </c>
      <c r="Y55" s="642">
        <f t="shared" si="2226"/>
        <v>3000</v>
      </c>
      <c r="Z55" s="642">
        <f t="shared" si="2226"/>
        <v>3000</v>
      </c>
      <c r="AA55" s="642">
        <f t="shared" si="2226"/>
        <v>3000</v>
      </c>
      <c r="AB55" s="642">
        <f t="shared" si="2226"/>
        <v>3000</v>
      </c>
      <c r="AC55" s="642">
        <f t="shared" si="2226"/>
        <v>3000</v>
      </c>
      <c r="AD55" s="642">
        <f t="shared" si="2226"/>
        <v>3000</v>
      </c>
      <c r="AE55" s="642">
        <f t="shared" si="2226"/>
        <v>3000</v>
      </c>
      <c r="AF55" s="642">
        <f t="shared" si="2226"/>
        <v>3000</v>
      </c>
      <c r="AG55" s="642">
        <f t="shared" si="2226"/>
        <v>3000</v>
      </c>
      <c r="AH55" s="642">
        <f t="shared" si="2226"/>
        <v>3000</v>
      </c>
      <c r="AI55" s="642">
        <f t="shared" si="2226"/>
        <v>3000</v>
      </c>
      <c r="AJ55" s="642">
        <f t="shared" si="2226"/>
        <v>3000</v>
      </c>
      <c r="AK55" s="642">
        <f t="shared" si="2226"/>
        <v>3000</v>
      </c>
      <c r="AL55" s="642">
        <f t="shared" si="2226"/>
        <v>3000</v>
      </c>
      <c r="AM55" s="642">
        <f t="shared" si="2226"/>
        <v>3000</v>
      </c>
      <c r="AN55" s="642">
        <f t="shared" si="2226"/>
        <v>3000</v>
      </c>
      <c r="AO55" s="642">
        <f t="shared" si="2226"/>
        <v>3000</v>
      </c>
      <c r="AP55" s="642">
        <f t="shared" si="2226"/>
        <v>3000</v>
      </c>
      <c r="AQ55" s="642">
        <f t="shared" si="2226"/>
        <v>3000</v>
      </c>
      <c r="AR55" s="642">
        <f t="shared" si="2226"/>
        <v>3000</v>
      </c>
      <c r="AS55" s="642">
        <f t="shared" si="2226"/>
        <v>3000</v>
      </c>
      <c r="AT55" s="642">
        <f t="shared" si="2226"/>
        <v>3000</v>
      </c>
      <c r="AU55" s="642">
        <f t="shared" si="2226"/>
        <v>3000</v>
      </c>
      <c r="AV55" s="642">
        <f t="shared" si="2226"/>
        <v>3000</v>
      </c>
      <c r="AW55" s="642">
        <f t="shared" si="2226"/>
        <v>3000</v>
      </c>
      <c r="AX55" s="642">
        <f t="shared" si="2226"/>
        <v>3000</v>
      </c>
      <c r="AY55" s="642">
        <f t="shared" si="2226"/>
        <v>3000</v>
      </c>
      <c r="AZ55" s="642">
        <f t="shared" si="2226"/>
        <v>3000</v>
      </c>
      <c r="BA55" s="642">
        <f t="shared" si="2226"/>
        <v>3000</v>
      </c>
      <c r="BB55" s="642">
        <f t="shared" si="2226"/>
        <v>3000</v>
      </c>
      <c r="BC55" s="642">
        <f t="shared" si="2226"/>
        <v>3000</v>
      </c>
      <c r="BD55" s="642">
        <f t="shared" si="2226"/>
        <v>3000</v>
      </c>
      <c r="BE55" s="642">
        <f t="shared" si="2226"/>
        <v>3000</v>
      </c>
      <c r="BF55" s="642">
        <f t="shared" si="2226"/>
        <v>3000</v>
      </c>
      <c r="BG55" s="642">
        <f t="shared" si="2226"/>
        <v>3000</v>
      </c>
      <c r="BH55" s="642">
        <f t="shared" si="2226"/>
        <v>3000</v>
      </c>
      <c r="BI55" s="642">
        <f t="shared" si="2226"/>
        <v>3000</v>
      </c>
      <c r="BJ55" s="642">
        <f t="shared" si="2226"/>
        <v>3000</v>
      </c>
      <c r="BK55" s="642">
        <f t="shared" si="2226"/>
        <v>3000</v>
      </c>
      <c r="BL55" s="642">
        <f t="shared" si="2226"/>
        <v>3000</v>
      </c>
      <c r="BM55" s="642">
        <f t="shared" si="2226"/>
        <v>3000</v>
      </c>
      <c r="BN55" s="642">
        <f t="shared" si="2226"/>
        <v>3000</v>
      </c>
      <c r="BO55" s="642">
        <f t="shared" si="2226"/>
        <v>3000</v>
      </c>
      <c r="BP55" s="642">
        <f t="shared" si="2226"/>
        <v>3000</v>
      </c>
      <c r="BQ55" s="642">
        <f t="shared" si="2226"/>
        <v>3000</v>
      </c>
      <c r="BR55" s="642">
        <f t="shared" si="2226"/>
        <v>3000</v>
      </c>
      <c r="BS55" s="642">
        <f t="shared" si="2226"/>
        <v>3000</v>
      </c>
      <c r="BT55" s="642">
        <f t="shared" si="2226"/>
        <v>3000</v>
      </c>
      <c r="BU55" s="642">
        <f t="shared" ref="BU55:EF55" si="2227" xml:space="preserve">
IF(BT55-VLOOKUP($C53,$C$3:$D$15,2,FALSE)*BU$21&lt;0,0,BT55-VLOOKUP($C53,$C$3:$D$15,2,FALSE)*BU$21)</f>
        <v>3000</v>
      </c>
      <c r="BV55" s="642">
        <f t="shared" si="2227"/>
        <v>3000</v>
      </c>
      <c r="BW55" s="642">
        <f t="shared" si="2227"/>
        <v>3000</v>
      </c>
      <c r="BX55" s="642">
        <f t="shared" si="2227"/>
        <v>3000</v>
      </c>
      <c r="BY55" s="642">
        <f t="shared" si="2227"/>
        <v>3000</v>
      </c>
      <c r="BZ55" s="642">
        <f t="shared" si="2227"/>
        <v>3000</v>
      </c>
      <c r="CA55" s="642">
        <f t="shared" si="2227"/>
        <v>3000</v>
      </c>
      <c r="CB55" s="642">
        <f t="shared" si="2227"/>
        <v>3000</v>
      </c>
      <c r="CC55" s="642">
        <f t="shared" si="2227"/>
        <v>3000</v>
      </c>
      <c r="CD55" s="642">
        <f t="shared" si="2227"/>
        <v>3000</v>
      </c>
      <c r="CE55" s="642">
        <f t="shared" si="2227"/>
        <v>3000</v>
      </c>
      <c r="CF55" s="642">
        <f t="shared" si="2227"/>
        <v>3000</v>
      </c>
      <c r="CG55" s="642">
        <f t="shared" si="2227"/>
        <v>3000</v>
      </c>
      <c r="CH55" s="642">
        <f t="shared" si="2227"/>
        <v>3000</v>
      </c>
      <c r="CI55" s="642">
        <f t="shared" si="2227"/>
        <v>3000</v>
      </c>
      <c r="CJ55" s="642">
        <f t="shared" si="2227"/>
        <v>3000</v>
      </c>
      <c r="CK55" s="642">
        <f t="shared" si="2227"/>
        <v>3000</v>
      </c>
      <c r="CL55" s="642">
        <f t="shared" si="2227"/>
        <v>3000</v>
      </c>
      <c r="CM55" s="642">
        <f t="shared" si="2227"/>
        <v>3000</v>
      </c>
      <c r="CN55" s="642">
        <f t="shared" si="2227"/>
        <v>3000</v>
      </c>
      <c r="CO55" s="642">
        <f t="shared" si="2227"/>
        <v>3000</v>
      </c>
      <c r="CP55" s="642">
        <f t="shared" si="2227"/>
        <v>3000</v>
      </c>
      <c r="CQ55" s="642">
        <f t="shared" si="2227"/>
        <v>3000</v>
      </c>
      <c r="CR55" s="642">
        <f t="shared" si="2227"/>
        <v>3000</v>
      </c>
      <c r="CS55" s="642">
        <f t="shared" si="2227"/>
        <v>3000</v>
      </c>
      <c r="CT55" s="642">
        <f t="shared" si="2227"/>
        <v>3000</v>
      </c>
      <c r="CU55" s="642">
        <f t="shared" si="2227"/>
        <v>3000</v>
      </c>
      <c r="CV55" s="642">
        <f t="shared" si="2227"/>
        <v>3000</v>
      </c>
      <c r="CW55" s="642">
        <f t="shared" si="2227"/>
        <v>3000</v>
      </c>
      <c r="CX55" s="642">
        <f t="shared" si="2227"/>
        <v>3000</v>
      </c>
      <c r="CY55" s="642">
        <f t="shared" si="2227"/>
        <v>3000</v>
      </c>
      <c r="CZ55" s="642">
        <f t="shared" si="2227"/>
        <v>3000</v>
      </c>
      <c r="DA55" s="642">
        <f t="shared" si="2227"/>
        <v>3000</v>
      </c>
      <c r="DB55" s="642">
        <f t="shared" si="2227"/>
        <v>3000</v>
      </c>
      <c r="DC55" s="642">
        <f t="shared" si="2227"/>
        <v>3000</v>
      </c>
      <c r="DD55" s="642">
        <f t="shared" si="2227"/>
        <v>3000</v>
      </c>
      <c r="DE55" s="642">
        <f t="shared" si="2227"/>
        <v>3000</v>
      </c>
      <c r="DF55" s="642">
        <f t="shared" si="2227"/>
        <v>3000</v>
      </c>
      <c r="DG55" s="642">
        <f t="shared" si="2227"/>
        <v>3000</v>
      </c>
      <c r="DH55" s="642">
        <f t="shared" si="2227"/>
        <v>3000</v>
      </c>
      <c r="DI55" s="642">
        <f t="shared" si="2227"/>
        <v>3000</v>
      </c>
      <c r="DJ55" s="642">
        <f t="shared" si="2227"/>
        <v>3000</v>
      </c>
      <c r="DK55" s="642">
        <f t="shared" si="2227"/>
        <v>3000</v>
      </c>
      <c r="DL55" s="642">
        <f t="shared" si="2227"/>
        <v>3000</v>
      </c>
      <c r="DM55" s="642">
        <f t="shared" si="2227"/>
        <v>3000</v>
      </c>
      <c r="DN55" s="642">
        <f t="shared" si="2227"/>
        <v>3000</v>
      </c>
      <c r="DO55" s="642">
        <f t="shared" si="2227"/>
        <v>3000</v>
      </c>
      <c r="DP55" s="642">
        <f t="shared" si="2227"/>
        <v>3000</v>
      </c>
      <c r="DQ55" s="642">
        <f t="shared" si="2227"/>
        <v>3000</v>
      </c>
      <c r="DR55" s="642">
        <f t="shared" si="2227"/>
        <v>3000</v>
      </c>
      <c r="DS55" s="642">
        <f t="shared" si="2227"/>
        <v>3000</v>
      </c>
      <c r="DT55" s="642">
        <f t="shared" si="2227"/>
        <v>3000</v>
      </c>
      <c r="DU55" s="642">
        <f t="shared" si="2227"/>
        <v>3000</v>
      </c>
      <c r="DV55" s="642">
        <f t="shared" si="2227"/>
        <v>3000</v>
      </c>
      <c r="DW55" s="642">
        <f t="shared" si="2227"/>
        <v>3000</v>
      </c>
      <c r="DX55" s="642">
        <f t="shared" si="2227"/>
        <v>3000</v>
      </c>
      <c r="DY55" s="642">
        <f t="shared" si="2227"/>
        <v>3000</v>
      </c>
      <c r="DZ55" s="642">
        <f t="shared" si="2227"/>
        <v>3000</v>
      </c>
      <c r="EA55" s="642">
        <f t="shared" si="2227"/>
        <v>3000</v>
      </c>
      <c r="EB55" s="642">
        <f t="shared" si="2227"/>
        <v>3000</v>
      </c>
      <c r="EC55" s="642">
        <f t="shared" si="2227"/>
        <v>3000</v>
      </c>
      <c r="ED55" s="642">
        <f t="shared" si="2227"/>
        <v>3000</v>
      </c>
      <c r="EE55" s="642">
        <f t="shared" si="2227"/>
        <v>3000</v>
      </c>
      <c r="EF55" s="642">
        <f t="shared" si="2227"/>
        <v>3000</v>
      </c>
      <c r="EG55" s="642">
        <f t="shared" ref="EG55:GJ55" si="2228" xml:space="preserve">
IF(EF55-VLOOKUP($C53,$C$3:$D$15,2,FALSE)*EG$21&lt;0,0,EF55-VLOOKUP($C53,$C$3:$D$15,2,FALSE)*EG$21)</f>
        <v>3000</v>
      </c>
      <c r="EH55" s="642">
        <f t="shared" si="2228"/>
        <v>3000</v>
      </c>
      <c r="EI55" s="642">
        <f t="shared" si="2228"/>
        <v>3000</v>
      </c>
      <c r="EJ55" s="642">
        <f t="shared" si="2228"/>
        <v>3000</v>
      </c>
      <c r="EK55" s="642">
        <f t="shared" si="2228"/>
        <v>3000</v>
      </c>
      <c r="EL55" s="642">
        <f t="shared" si="2228"/>
        <v>3000</v>
      </c>
      <c r="EM55" s="642">
        <f t="shared" si="2228"/>
        <v>3000</v>
      </c>
      <c r="EN55" s="642">
        <f t="shared" si="2228"/>
        <v>3000</v>
      </c>
      <c r="EO55" s="642">
        <f t="shared" si="2228"/>
        <v>3000</v>
      </c>
      <c r="EP55" s="642">
        <f t="shared" si="2228"/>
        <v>3000</v>
      </c>
      <c r="EQ55" s="642">
        <f t="shared" si="2228"/>
        <v>3000</v>
      </c>
      <c r="ER55" s="642">
        <f t="shared" si="2228"/>
        <v>3000</v>
      </c>
      <c r="ES55" s="642">
        <f t="shared" si="2228"/>
        <v>3000</v>
      </c>
      <c r="ET55" s="642">
        <f t="shared" si="2228"/>
        <v>3000</v>
      </c>
      <c r="EU55" s="642">
        <f t="shared" si="2228"/>
        <v>3000</v>
      </c>
      <c r="EV55" s="642">
        <f t="shared" si="2228"/>
        <v>3000</v>
      </c>
      <c r="EW55" s="642">
        <f t="shared" si="2228"/>
        <v>3000</v>
      </c>
      <c r="EX55" s="642">
        <f t="shared" si="2228"/>
        <v>3000</v>
      </c>
      <c r="EY55" s="642">
        <f t="shared" si="2228"/>
        <v>3000</v>
      </c>
      <c r="EZ55" s="642">
        <f t="shared" si="2228"/>
        <v>3000</v>
      </c>
      <c r="FA55" s="642">
        <f t="shared" si="2228"/>
        <v>3000</v>
      </c>
      <c r="FB55" s="642">
        <f t="shared" si="2228"/>
        <v>3000</v>
      </c>
      <c r="FC55" s="642">
        <f t="shared" si="2228"/>
        <v>3000</v>
      </c>
      <c r="FD55" s="642">
        <f t="shared" si="2228"/>
        <v>3000</v>
      </c>
      <c r="FE55" s="642">
        <f t="shared" si="2228"/>
        <v>3000</v>
      </c>
      <c r="FF55" s="642">
        <f t="shared" si="2228"/>
        <v>3000</v>
      </c>
      <c r="FG55" s="642">
        <f t="shared" si="2228"/>
        <v>3000</v>
      </c>
      <c r="FH55" s="642">
        <f t="shared" si="2228"/>
        <v>3000</v>
      </c>
      <c r="FI55" s="642">
        <f t="shared" si="2228"/>
        <v>3000</v>
      </c>
      <c r="FJ55" s="642">
        <f t="shared" si="2228"/>
        <v>3000</v>
      </c>
      <c r="FK55" s="642">
        <f t="shared" si="2228"/>
        <v>3000</v>
      </c>
      <c r="FL55" s="642">
        <f t="shared" si="2228"/>
        <v>3000</v>
      </c>
      <c r="FM55" s="642">
        <f t="shared" si="2228"/>
        <v>3000</v>
      </c>
      <c r="FN55" s="642">
        <f t="shared" si="2228"/>
        <v>3000</v>
      </c>
      <c r="FO55" s="642">
        <f t="shared" si="2228"/>
        <v>3000</v>
      </c>
      <c r="FP55" s="642">
        <f t="shared" si="2228"/>
        <v>3000</v>
      </c>
      <c r="FQ55" s="642">
        <f t="shared" si="2228"/>
        <v>3000</v>
      </c>
      <c r="FR55" s="642">
        <f t="shared" si="2228"/>
        <v>3000</v>
      </c>
      <c r="FS55" s="642">
        <f t="shared" si="2228"/>
        <v>3000</v>
      </c>
      <c r="FT55" s="642">
        <f t="shared" si="2228"/>
        <v>3000</v>
      </c>
      <c r="FU55" s="642">
        <f t="shared" si="2228"/>
        <v>3000</v>
      </c>
      <c r="FV55" s="642">
        <f t="shared" si="2228"/>
        <v>3000</v>
      </c>
      <c r="FW55" s="642">
        <f t="shared" si="2228"/>
        <v>3000</v>
      </c>
      <c r="FX55" s="642">
        <f t="shared" si="2228"/>
        <v>3000</v>
      </c>
      <c r="FY55" s="642">
        <f t="shared" si="2228"/>
        <v>3000</v>
      </c>
      <c r="FZ55" s="642">
        <f t="shared" si="2228"/>
        <v>3000</v>
      </c>
      <c r="GA55" s="642">
        <f t="shared" si="2228"/>
        <v>3000</v>
      </c>
      <c r="GB55" s="642">
        <f t="shared" si="2228"/>
        <v>3000</v>
      </c>
      <c r="GC55" s="642">
        <f t="shared" si="2228"/>
        <v>3000</v>
      </c>
      <c r="GD55" s="642">
        <f t="shared" si="2228"/>
        <v>3000</v>
      </c>
      <c r="GE55" s="642">
        <f t="shared" si="2228"/>
        <v>3000</v>
      </c>
      <c r="GF55" s="642">
        <f t="shared" si="2228"/>
        <v>3000</v>
      </c>
      <c r="GG55" s="642">
        <f t="shared" si="2228"/>
        <v>3000</v>
      </c>
      <c r="GH55" s="642">
        <f t="shared" si="2228"/>
        <v>3000</v>
      </c>
      <c r="GI55" s="642">
        <f t="shared" si="2228"/>
        <v>3000</v>
      </c>
      <c r="GJ55" s="642">
        <f t="shared" si="2228"/>
        <v>3000</v>
      </c>
    </row>
    <row r="56" spans="2:192" s="645" customFormat="1">
      <c r="B56" s="654"/>
      <c r="C56" s="643" t="s">
        <v>1101</v>
      </c>
      <c r="D56" s="769" t="s">
        <v>1466</v>
      </c>
      <c r="E56" s="774"/>
      <c r="F56" s="707"/>
      <c r="G56" s="644">
        <f xml:space="preserve">
MIN(G57,
IF((VLOOKUP($C56,$C$3:$D$15,2,FALSE)*G$21-G58)&lt;0,0,VLOOKUP($C56,$C$3:$D$15,2,FALSE)*G$21-G58))</f>
        <v>0</v>
      </c>
      <c r="H56" s="644">
        <f t="shared" ref="H56" si="2229" xml:space="preserve">
IF(G58&gt;=VLOOKUP($C56,$C$3:$D$15,2,FALSE)*H$21,0,
IF(AND(G58&lt;VLOOKUP($C56,$C$3:$D$15,2,FALSE)*H$21,H57&lt;=VLOOKUP($C56,$C$3:$D$15,2,FALSE)*H$21),IF(H57-G58&lt;0,0,H57-G58),
IF(AND(G58&lt;VLOOKUP($C56,$C$3:$D$15,2,FALSE)*H$21,H57&gt;VLOOKUP($C56,$C$3:$D$15,2,FALSE)*H$21),VLOOKUP($C56,$C$3:$D$15,2,FALSE)*H$21-G58)))</f>
        <v>0</v>
      </c>
      <c r="I56" s="644">
        <f t="shared" ref="I56" si="2230" xml:space="preserve">
IF(H58&gt;=VLOOKUP($C56,$C$3:$D$15,2,FALSE)*I$21,0,
IF(AND(H58&lt;VLOOKUP($C56,$C$3:$D$15,2,FALSE)*I$21,I57&lt;=VLOOKUP($C56,$C$3:$D$15,2,FALSE)*I$21),IF(I57-H58&lt;0,0,I57-H58),
IF(AND(H58&lt;VLOOKUP($C56,$C$3:$D$15,2,FALSE)*I$21,I57&gt;VLOOKUP($C56,$C$3:$D$15,2,FALSE)*I$21),VLOOKUP($C56,$C$3:$D$15,2,FALSE)*I$21-H58)))</f>
        <v>0</v>
      </c>
      <c r="J56" s="644">
        <f t="shared" ref="J56" si="2231" xml:space="preserve">
IF(I58&gt;=VLOOKUP($C56,$C$3:$D$15,2,FALSE)*J$21,0,
IF(AND(I58&lt;VLOOKUP($C56,$C$3:$D$15,2,FALSE)*J$21,J57&lt;=VLOOKUP($C56,$C$3:$D$15,2,FALSE)*J$21),IF(J57-I58&lt;0,0,J57-I58),
IF(AND(I58&lt;VLOOKUP($C56,$C$3:$D$15,2,FALSE)*J$21,J57&gt;VLOOKUP($C56,$C$3:$D$15,2,FALSE)*J$21),VLOOKUP($C56,$C$3:$D$15,2,FALSE)*J$21-I58)))</f>
        <v>0</v>
      </c>
      <c r="K56" s="644">
        <f t="shared" ref="K56" si="2232" xml:space="preserve">
IF(J58&gt;=VLOOKUP($C56,$C$3:$D$15,2,FALSE)*K$21,0,
IF(AND(J58&lt;VLOOKUP($C56,$C$3:$D$15,2,FALSE)*K$21,K57&lt;=VLOOKUP($C56,$C$3:$D$15,2,FALSE)*K$21),IF(K57-J58&lt;0,0,K57-J58),
IF(AND(J58&lt;VLOOKUP($C56,$C$3:$D$15,2,FALSE)*K$21,K57&gt;VLOOKUP($C56,$C$3:$D$15,2,FALSE)*K$21),VLOOKUP($C56,$C$3:$D$15,2,FALSE)*K$21-J58)))</f>
        <v>0</v>
      </c>
      <c r="L56" s="644">
        <f t="shared" ref="L56" si="2233" xml:space="preserve">
IF(K58&gt;=VLOOKUP($C56,$C$3:$D$15,2,FALSE)*L$21,0,
IF(AND(K58&lt;VLOOKUP($C56,$C$3:$D$15,2,FALSE)*L$21,L57&lt;=VLOOKUP($C56,$C$3:$D$15,2,FALSE)*L$21),IF(L57-K58&lt;0,0,L57-K58),
IF(AND(K58&lt;VLOOKUP($C56,$C$3:$D$15,2,FALSE)*L$21,L57&gt;VLOOKUP($C56,$C$3:$D$15,2,FALSE)*L$21),VLOOKUP($C56,$C$3:$D$15,2,FALSE)*L$21-K58)))</f>
        <v>0</v>
      </c>
      <c r="M56" s="644">
        <f t="shared" ref="M56" si="2234" xml:space="preserve">
IF(L58&gt;=VLOOKUP($C56,$C$3:$D$15,2,FALSE)*M$21,0,
IF(AND(L58&lt;VLOOKUP($C56,$C$3:$D$15,2,FALSE)*M$21,M57&lt;=VLOOKUP($C56,$C$3:$D$15,2,FALSE)*M$21),IF(M57-L58&lt;0,0,M57-L58),
IF(AND(L58&lt;VLOOKUP($C56,$C$3:$D$15,2,FALSE)*M$21,M57&gt;VLOOKUP($C56,$C$3:$D$15,2,FALSE)*M$21),VLOOKUP($C56,$C$3:$D$15,2,FALSE)*M$21-L58)))</f>
        <v>0</v>
      </c>
      <c r="N56" s="644">
        <f t="shared" ref="N56" si="2235" xml:space="preserve">
IF(M58&gt;=VLOOKUP($C56,$C$3:$D$15,2,FALSE)*N$21,0,
IF(AND(M58&lt;VLOOKUP($C56,$C$3:$D$15,2,FALSE)*N$21,N57&lt;=VLOOKUP($C56,$C$3:$D$15,2,FALSE)*N$21),IF(N57-M58&lt;0,0,N57-M58),
IF(AND(M58&lt;VLOOKUP($C56,$C$3:$D$15,2,FALSE)*N$21,N57&gt;VLOOKUP($C56,$C$3:$D$15,2,FALSE)*N$21),VLOOKUP($C56,$C$3:$D$15,2,FALSE)*N$21-M58)))</f>
        <v>0</v>
      </c>
      <c r="O56" s="644">
        <f t="shared" ref="O56" si="2236" xml:space="preserve">
IF(N58&gt;=VLOOKUP($C56,$C$3:$D$15,2,FALSE)*O$21,0,
IF(AND(N58&lt;VLOOKUP($C56,$C$3:$D$15,2,FALSE)*O$21,O57&lt;=VLOOKUP($C56,$C$3:$D$15,2,FALSE)*O$21),IF(O57-N58&lt;0,0,O57-N58),
IF(AND(N58&lt;VLOOKUP($C56,$C$3:$D$15,2,FALSE)*O$21,O57&gt;VLOOKUP($C56,$C$3:$D$15,2,FALSE)*O$21),VLOOKUP($C56,$C$3:$D$15,2,FALSE)*O$21-N58)))</f>
        <v>0</v>
      </c>
      <c r="P56" s="644">
        <f t="shared" ref="P56" si="2237" xml:space="preserve">
IF(O58&gt;=VLOOKUP($C56,$C$3:$D$15,2,FALSE)*P$21,0,
IF(AND(O58&lt;VLOOKUP($C56,$C$3:$D$15,2,FALSE)*P$21,P57&lt;=VLOOKUP($C56,$C$3:$D$15,2,FALSE)*P$21),IF(P57-O58&lt;0,0,P57-O58),
IF(AND(O58&lt;VLOOKUP($C56,$C$3:$D$15,2,FALSE)*P$21,P57&gt;VLOOKUP($C56,$C$3:$D$15,2,FALSE)*P$21),VLOOKUP($C56,$C$3:$D$15,2,FALSE)*P$21-O58)))</f>
        <v>0</v>
      </c>
      <c r="Q56" s="644">
        <f t="shared" ref="Q56" si="2238" xml:space="preserve">
IF(P58&gt;=VLOOKUP($C56,$C$3:$D$15,2,FALSE)*Q$21,0,
IF(AND(P58&lt;VLOOKUP($C56,$C$3:$D$15,2,FALSE)*Q$21,Q57&lt;=VLOOKUP($C56,$C$3:$D$15,2,FALSE)*Q$21),IF(Q57-P58&lt;0,0,Q57-P58),
IF(AND(P58&lt;VLOOKUP($C56,$C$3:$D$15,2,FALSE)*Q$21,Q57&gt;VLOOKUP($C56,$C$3:$D$15,2,FALSE)*Q$21),VLOOKUP($C56,$C$3:$D$15,2,FALSE)*Q$21-P58)))</f>
        <v>0</v>
      </c>
      <c r="R56" s="644">
        <f t="shared" ref="R56" si="2239" xml:space="preserve">
IF(Q58&gt;=VLOOKUP($C56,$C$3:$D$15,2,FALSE)*R$21,0,
IF(AND(Q58&lt;VLOOKUP($C56,$C$3:$D$15,2,FALSE)*R$21,R57&lt;=VLOOKUP($C56,$C$3:$D$15,2,FALSE)*R$21),IF(R57-Q58&lt;0,0,R57-Q58),
IF(AND(Q58&lt;VLOOKUP($C56,$C$3:$D$15,2,FALSE)*R$21,R57&gt;VLOOKUP($C56,$C$3:$D$15,2,FALSE)*R$21),VLOOKUP($C56,$C$3:$D$15,2,FALSE)*R$21-Q58)))</f>
        <v>0</v>
      </c>
      <c r="S56" s="644">
        <f t="shared" ref="S56" si="2240" xml:space="preserve">
IF(R58&gt;=VLOOKUP($C56,$C$3:$D$15,2,FALSE)*S$21,0,
IF(AND(R58&lt;VLOOKUP($C56,$C$3:$D$15,2,FALSE)*S$21,S57&lt;=VLOOKUP($C56,$C$3:$D$15,2,FALSE)*S$21),IF(S57-R58&lt;0,0,S57-R58),
IF(AND(R58&lt;VLOOKUP($C56,$C$3:$D$15,2,FALSE)*S$21,S57&gt;VLOOKUP($C56,$C$3:$D$15,2,FALSE)*S$21),VLOOKUP($C56,$C$3:$D$15,2,FALSE)*S$21-R58)))</f>
        <v>0</v>
      </c>
      <c r="T56" s="644">
        <f t="shared" ref="T56" si="2241" xml:space="preserve">
IF(S58&gt;=VLOOKUP($C56,$C$3:$D$15,2,FALSE)*T$21,0,
IF(AND(S58&lt;VLOOKUP($C56,$C$3:$D$15,2,FALSE)*T$21,T57&lt;=VLOOKUP($C56,$C$3:$D$15,2,FALSE)*T$21),IF(T57-S58&lt;0,0,T57-S58),
IF(AND(S58&lt;VLOOKUP($C56,$C$3:$D$15,2,FALSE)*T$21,T57&gt;VLOOKUP($C56,$C$3:$D$15,2,FALSE)*T$21),VLOOKUP($C56,$C$3:$D$15,2,FALSE)*T$21-S58)))</f>
        <v>0</v>
      </c>
      <c r="U56" s="644">
        <f t="shared" ref="U56" si="2242" xml:space="preserve">
IF(T58&gt;=VLOOKUP($C56,$C$3:$D$15,2,FALSE)*U$21,0,
IF(AND(T58&lt;VLOOKUP($C56,$C$3:$D$15,2,FALSE)*U$21,U57&lt;=VLOOKUP($C56,$C$3:$D$15,2,FALSE)*U$21),IF(U57-T58&lt;0,0,U57-T58),
IF(AND(T58&lt;VLOOKUP($C56,$C$3:$D$15,2,FALSE)*U$21,U57&gt;VLOOKUP($C56,$C$3:$D$15,2,FALSE)*U$21),VLOOKUP($C56,$C$3:$D$15,2,FALSE)*U$21-T58)))</f>
        <v>0</v>
      </c>
      <c r="V56" s="644">
        <f t="shared" ref="V56" si="2243" xml:space="preserve">
IF(U58&gt;=VLOOKUP($C56,$C$3:$D$15,2,FALSE)*V$21,0,
IF(AND(U58&lt;VLOOKUP($C56,$C$3:$D$15,2,FALSE)*V$21,V57&lt;=VLOOKUP($C56,$C$3:$D$15,2,FALSE)*V$21),IF(V57-U58&lt;0,0,V57-U58),
IF(AND(U58&lt;VLOOKUP($C56,$C$3:$D$15,2,FALSE)*V$21,V57&gt;VLOOKUP($C56,$C$3:$D$15,2,FALSE)*V$21),VLOOKUP($C56,$C$3:$D$15,2,FALSE)*V$21-U58)))</f>
        <v>0</v>
      </c>
      <c r="W56" s="644">
        <f t="shared" ref="W56" si="2244" xml:space="preserve">
IF(V58&gt;=VLOOKUP($C56,$C$3:$D$15,2,FALSE)*W$21,0,
IF(AND(V58&lt;VLOOKUP($C56,$C$3:$D$15,2,FALSE)*W$21,W57&lt;=VLOOKUP($C56,$C$3:$D$15,2,FALSE)*W$21),IF(W57-V58&lt;0,0,W57-V58),
IF(AND(V58&lt;VLOOKUP($C56,$C$3:$D$15,2,FALSE)*W$21,W57&gt;VLOOKUP($C56,$C$3:$D$15,2,FALSE)*W$21),VLOOKUP($C56,$C$3:$D$15,2,FALSE)*W$21-V58)))</f>
        <v>0</v>
      </c>
      <c r="X56" s="644">
        <f t="shared" ref="X56" si="2245" xml:space="preserve">
IF(W58&gt;=VLOOKUP($C56,$C$3:$D$15,2,FALSE)*X$21,0,
IF(AND(W58&lt;VLOOKUP($C56,$C$3:$D$15,2,FALSE)*X$21,X57&lt;=VLOOKUP($C56,$C$3:$D$15,2,FALSE)*X$21),IF(X57-W58&lt;0,0,X57-W58),
IF(AND(W58&lt;VLOOKUP($C56,$C$3:$D$15,2,FALSE)*X$21,X57&gt;VLOOKUP($C56,$C$3:$D$15,2,FALSE)*X$21),VLOOKUP($C56,$C$3:$D$15,2,FALSE)*X$21-W58)))</f>
        <v>0</v>
      </c>
      <c r="Y56" s="644">
        <f t="shared" ref="Y56" si="2246" xml:space="preserve">
IF(X58&gt;=VLOOKUP($C56,$C$3:$D$15,2,FALSE)*Y$21,0,
IF(AND(X58&lt;VLOOKUP($C56,$C$3:$D$15,2,FALSE)*Y$21,Y57&lt;=VLOOKUP($C56,$C$3:$D$15,2,FALSE)*Y$21),IF(Y57-X58&lt;0,0,Y57-X58),
IF(AND(X58&lt;VLOOKUP($C56,$C$3:$D$15,2,FALSE)*Y$21,Y57&gt;VLOOKUP($C56,$C$3:$D$15,2,FALSE)*Y$21),VLOOKUP($C56,$C$3:$D$15,2,FALSE)*Y$21-X58)))</f>
        <v>0</v>
      </c>
      <c r="Z56" s="644">
        <f t="shared" ref="Z56" si="2247" xml:space="preserve">
IF(Y58&gt;=VLOOKUP($C56,$C$3:$D$15,2,FALSE)*Z$21,0,
IF(AND(Y58&lt;VLOOKUP($C56,$C$3:$D$15,2,FALSE)*Z$21,Z57&lt;=VLOOKUP($C56,$C$3:$D$15,2,FALSE)*Z$21),IF(Z57-Y58&lt;0,0,Z57-Y58),
IF(AND(Y58&lt;VLOOKUP($C56,$C$3:$D$15,2,FALSE)*Z$21,Z57&gt;VLOOKUP($C56,$C$3:$D$15,2,FALSE)*Z$21),VLOOKUP($C56,$C$3:$D$15,2,FALSE)*Z$21-Y58)))</f>
        <v>0</v>
      </c>
      <c r="AA56" s="644">
        <f t="shared" ref="AA56" si="2248" xml:space="preserve">
IF(Z58&gt;=VLOOKUP($C56,$C$3:$D$15,2,FALSE)*AA$21,0,
IF(AND(Z58&lt;VLOOKUP($C56,$C$3:$D$15,2,FALSE)*AA$21,AA57&lt;=VLOOKUP($C56,$C$3:$D$15,2,FALSE)*AA$21),IF(AA57-Z58&lt;0,0,AA57-Z58),
IF(AND(Z58&lt;VLOOKUP($C56,$C$3:$D$15,2,FALSE)*AA$21,AA57&gt;VLOOKUP($C56,$C$3:$D$15,2,FALSE)*AA$21),VLOOKUP($C56,$C$3:$D$15,2,FALSE)*AA$21-Z58)))</f>
        <v>0</v>
      </c>
      <c r="AB56" s="644">
        <f t="shared" ref="AB56" si="2249" xml:space="preserve">
IF(AA58&gt;=VLOOKUP($C56,$C$3:$D$15,2,FALSE)*AB$21,0,
IF(AND(AA58&lt;VLOOKUP($C56,$C$3:$D$15,2,FALSE)*AB$21,AB57&lt;=VLOOKUP($C56,$C$3:$D$15,2,FALSE)*AB$21),IF(AB57-AA58&lt;0,0,AB57-AA58),
IF(AND(AA58&lt;VLOOKUP($C56,$C$3:$D$15,2,FALSE)*AB$21,AB57&gt;VLOOKUP($C56,$C$3:$D$15,2,FALSE)*AB$21),VLOOKUP($C56,$C$3:$D$15,2,FALSE)*AB$21-AA58)))</f>
        <v>0</v>
      </c>
      <c r="AC56" s="644">
        <f t="shared" ref="AC56" si="2250" xml:space="preserve">
IF(AB58&gt;=VLOOKUP($C56,$C$3:$D$15,2,FALSE)*AC$21,0,
IF(AND(AB58&lt;VLOOKUP($C56,$C$3:$D$15,2,FALSE)*AC$21,AC57&lt;=VLOOKUP($C56,$C$3:$D$15,2,FALSE)*AC$21),IF(AC57-AB58&lt;0,0,AC57-AB58),
IF(AND(AB58&lt;VLOOKUP($C56,$C$3:$D$15,2,FALSE)*AC$21,AC57&gt;VLOOKUP($C56,$C$3:$D$15,2,FALSE)*AC$21),VLOOKUP($C56,$C$3:$D$15,2,FALSE)*AC$21-AB58)))</f>
        <v>0</v>
      </c>
      <c r="AD56" s="644">
        <f t="shared" ref="AD56" si="2251" xml:space="preserve">
IF(AC58&gt;=VLOOKUP($C56,$C$3:$D$15,2,FALSE)*AD$21,0,
IF(AND(AC58&lt;VLOOKUP($C56,$C$3:$D$15,2,FALSE)*AD$21,AD57&lt;=VLOOKUP($C56,$C$3:$D$15,2,FALSE)*AD$21),IF(AD57-AC58&lt;0,0,AD57-AC58),
IF(AND(AC58&lt;VLOOKUP($C56,$C$3:$D$15,2,FALSE)*AD$21,AD57&gt;VLOOKUP($C56,$C$3:$D$15,2,FALSE)*AD$21),VLOOKUP($C56,$C$3:$D$15,2,FALSE)*AD$21-AC58)))</f>
        <v>0</v>
      </c>
      <c r="AE56" s="644">
        <f t="shared" ref="AE56" si="2252" xml:space="preserve">
IF(AD58&gt;=VLOOKUP($C56,$C$3:$D$15,2,FALSE)*AE$21,0,
IF(AND(AD58&lt;VLOOKUP($C56,$C$3:$D$15,2,FALSE)*AE$21,AE57&lt;=VLOOKUP($C56,$C$3:$D$15,2,FALSE)*AE$21),IF(AE57-AD58&lt;0,0,AE57-AD58),
IF(AND(AD58&lt;VLOOKUP($C56,$C$3:$D$15,2,FALSE)*AE$21,AE57&gt;VLOOKUP($C56,$C$3:$D$15,2,FALSE)*AE$21),VLOOKUP($C56,$C$3:$D$15,2,FALSE)*AE$21-AD58)))</f>
        <v>0</v>
      </c>
      <c r="AF56" s="644">
        <f t="shared" ref="AF56" si="2253" xml:space="preserve">
IF(AE58&gt;=VLOOKUP($C56,$C$3:$D$15,2,FALSE)*AF$21,0,
IF(AND(AE58&lt;VLOOKUP($C56,$C$3:$D$15,2,FALSE)*AF$21,AF57&lt;=VLOOKUP($C56,$C$3:$D$15,2,FALSE)*AF$21),IF(AF57-AE58&lt;0,0,AF57-AE58),
IF(AND(AE58&lt;VLOOKUP($C56,$C$3:$D$15,2,FALSE)*AF$21,AF57&gt;VLOOKUP($C56,$C$3:$D$15,2,FALSE)*AF$21),VLOOKUP($C56,$C$3:$D$15,2,FALSE)*AF$21-AE58)))</f>
        <v>0</v>
      </c>
      <c r="AG56" s="644">
        <f t="shared" ref="AG56" si="2254" xml:space="preserve">
IF(AF58&gt;=VLOOKUP($C56,$C$3:$D$15,2,FALSE)*AG$21,0,
IF(AND(AF58&lt;VLOOKUP($C56,$C$3:$D$15,2,FALSE)*AG$21,AG57&lt;=VLOOKUP($C56,$C$3:$D$15,2,FALSE)*AG$21),IF(AG57-AF58&lt;0,0,AG57-AF58),
IF(AND(AF58&lt;VLOOKUP($C56,$C$3:$D$15,2,FALSE)*AG$21,AG57&gt;VLOOKUP($C56,$C$3:$D$15,2,FALSE)*AG$21),VLOOKUP($C56,$C$3:$D$15,2,FALSE)*AG$21-AF58)))</f>
        <v>0</v>
      </c>
      <c r="AH56" s="644">
        <f t="shared" ref="AH56" si="2255" xml:space="preserve">
IF(AG58&gt;=VLOOKUP($C56,$C$3:$D$15,2,FALSE)*AH$21,0,
IF(AND(AG58&lt;VLOOKUP($C56,$C$3:$D$15,2,FALSE)*AH$21,AH57&lt;=VLOOKUP($C56,$C$3:$D$15,2,FALSE)*AH$21),IF(AH57-AG58&lt;0,0,AH57-AG58),
IF(AND(AG58&lt;VLOOKUP($C56,$C$3:$D$15,2,FALSE)*AH$21,AH57&gt;VLOOKUP($C56,$C$3:$D$15,2,FALSE)*AH$21),VLOOKUP($C56,$C$3:$D$15,2,FALSE)*AH$21-AG58)))</f>
        <v>0</v>
      </c>
      <c r="AI56" s="644">
        <f t="shared" ref="AI56" si="2256" xml:space="preserve">
IF(AH58&gt;=VLOOKUP($C56,$C$3:$D$15,2,FALSE)*AI$21,0,
IF(AND(AH58&lt;VLOOKUP($C56,$C$3:$D$15,2,FALSE)*AI$21,AI57&lt;=VLOOKUP($C56,$C$3:$D$15,2,FALSE)*AI$21),IF(AI57-AH58&lt;0,0,AI57-AH58),
IF(AND(AH58&lt;VLOOKUP($C56,$C$3:$D$15,2,FALSE)*AI$21,AI57&gt;VLOOKUP($C56,$C$3:$D$15,2,FALSE)*AI$21),VLOOKUP($C56,$C$3:$D$15,2,FALSE)*AI$21-AH58)))</f>
        <v>0</v>
      </c>
      <c r="AJ56" s="644">
        <f t="shared" ref="AJ56" si="2257" xml:space="preserve">
IF(AI58&gt;=VLOOKUP($C56,$C$3:$D$15,2,FALSE)*AJ$21,0,
IF(AND(AI58&lt;VLOOKUP($C56,$C$3:$D$15,2,FALSE)*AJ$21,AJ57&lt;=VLOOKUP($C56,$C$3:$D$15,2,FALSE)*AJ$21),IF(AJ57-AI58&lt;0,0,AJ57-AI58),
IF(AND(AI58&lt;VLOOKUP($C56,$C$3:$D$15,2,FALSE)*AJ$21,AJ57&gt;VLOOKUP($C56,$C$3:$D$15,2,FALSE)*AJ$21),VLOOKUP($C56,$C$3:$D$15,2,FALSE)*AJ$21-AI58)))</f>
        <v>0</v>
      </c>
      <c r="AK56" s="644">
        <f t="shared" ref="AK56" si="2258" xml:space="preserve">
IF(AJ58&gt;=VLOOKUP($C56,$C$3:$D$15,2,FALSE)*AK$21,0,
IF(AND(AJ58&lt;VLOOKUP($C56,$C$3:$D$15,2,FALSE)*AK$21,AK57&lt;=VLOOKUP($C56,$C$3:$D$15,2,FALSE)*AK$21),IF(AK57-AJ58&lt;0,0,AK57-AJ58),
IF(AND(AJ58&lt;VLOOKUP($C56,$C$3:$D$15,2,FALSE)*AK$21,AK57&gt;VLOOKUP($C56,$C$3:$D$15,2,FALSE)*AK$21),VLOOKUP($C56,$C$3:$D$15,2,FALSE)*AK$21-AJ58)))</f>
        <v>0</v>
      </c>
      <c r="AL56" s="644">
        <f t="shared" ref="AL56" si="2259" xml:space="preserve">
IF(AK58&gt;=VLOOKUP($C56,$C$3:$D$15,2,FALSE)*AL$21,0,
IF(AND(AK58&lt;VLOOKUP($C56,$C$3:$D$15,2,FALSE)*AL$21,AL57&lt;=VLOOKUP($C56,$C$3:$D$15,2,FALSE)*AL$21),IF(AL57-AK58&lt;0,0,AL57-AK58),
IF(AND(AK58&lt;VLOOKUP($C56,$C$3:$D$15,2,FALSE)*AL$21,AL57&gt;VLOOKUP($C56,$C$3:$D$15,2,FALSE)*AL$21),VLOOKUP($C56,$C$3:$D$15,2,FALSE)*AL$21-AK58)))</f>
        <v>0</v>
      </c>
      <c r="AM56" s="644">
        <f t="shared" ref="AM56" si="2260" xml:space="preserve">
IF(AL58&gt;=VLOOKUP($C56,$C$3:$D$15,2,FALSE)*AM$21,0,
IF(AND(AL58&lt;VLOOKUP($C56,$C$3:$D$15,2,FALSE)*AM$21,AM57&lt;=VLOOKUP($C56,$C$3:$D$15,2,FALSE)*AM$21),IF(AM57-AL58&lt;0,0,AM57-AL58),
IF(AND(AL58&lt;VLOOKUP($C56,$C$3:$D$15,2,FALSE)*AM$21,AM57&gt;VLOOKUP($C56,$C$3:$D$15,2,FALSE)*AM$21),VLOOKUP($C56,$C$3:$D$15,2,FALSE)*AM$21-AL58)))</f>
        <v>0</v>
      </c>
      <c r="AN56" s="644">
        <f t="shared" ref="AN56" si="2261" xml:space="preserve">
IF(AM58&gt;=VLOOKUP($C56,$C$3:$D$15,2,FALSE)*AN$21,0,
IF(AND(AM58&lt;VLOOKUP($C56,$C$3:$D$15,2,FALSE)*AN$21,AN57&lt;=VLOOKUP($C56,$C$3:$D$15,2,FALSE)*AN$21),IF(AN57-AM58&lt;0,0,AN57-AM58),
IF(AND(AM58&lt;VLOOKUP($C56,$C$3:$D$15,2,FALSE)*AN$21,AN57&gt;VLOOKUP($C56,$C$3:$D$15,2,FALSE)*AN$21),VLOOKUP($C56,$C$3:$D$15,2,FALSE)*AN$21-AM58)))</f>
        <v>0</v>
      </c>
      <c r="AO56" s="644">
        <f t="shared" ref="AO56" si="2262" xml:space="preserve">
IF(AN58&gt;=VLOOKUP($C56,$C$3:$D$15,2,FALSE)*AO$21,0,
IF(AND(AN58&lt;VLOOKUP($C56,$C$3:$D$15,2,FALSE)*AO$21,AO57&lt;=VLOOKUP($C56,$C$3:$D$15,2,FALSE)*AO$21),IF(AO57-AN58&lt;0,0,AO57-AN58),
IF(AND(AN58&lt;VLOOKUP($C56,$C$3:$D$15,2,FALSE)*AO$21,AO57&gt;VLOOKUP($C56,$C$3:$D$15,2,FALSE)*AO$21),VLOOKUP($C56,$C$3:$D$15,2,FALSE)*AO$21-AN58)))</f>
        <v>0</v>
      </c>
      <c r="AP56" s="644">
        <f t="shared" ref="AP56" si="2263" xml:space="preserve">
IF(AO58&gt;=VLOOKUP($C56,$C$3:$D$15,2,FALSE)*AP$21,0,
IF(AND(AO58&lt;VLOOKUP($C56,$C$3:$D$15,2,FALSE)*AP$21,AP57&lt;=VLOOKUP($C56,$C$3:$D$15,2,FALSE)*AP$21),IF(AP57-AO58&lt;0,0,AP57-AO58),
IF(AND(AO58&lt;VLOOKUP($C56,$C$3:$D$15,2,FALSE)*AP$21,AP57&gt;VLOOKUP($C56,$C$3:$D$15,2,FALSE)*AP$21),VLOOKUP($C56,$C$3:$D$15,2,FALSE)*AP$21-AO58)))</f>
        <v>0</v>
      </c>
      <c r="AQ56" s="644">
        <f t="shared" ref="AQ56" si="2264" xml:space="preserve">
IF(AP58&gt;=VLOOKUP($C56,$C$3:$D$15,2,FALSE)*AQ$21,0,
IF(AND(AP58&lt;VLOOKUP($C56,$C$3:$D$15,2,FALSE)*AQ$21,AQ57&lt;=VLOOKUP($C56,$C$3:$D$15,2,FALSE)*AQ$21),IF(AQ57-AP58&lt;0,0,AQ57-AP58),
IF(AND(AP58&lt;VLOOKUP($C56,$C$3:$D$15,2,FALSE)*AQ$21,AQ57&gt;VLOOKUP($C56,$C$3:$D$15,2,FALSE)*AQ$21),VLOOKUP($C56,$C$3:$D$15,2,FALSE)*AQ$21-AP58)))</f>
        <v>0</v>
      </c>
      <c r="AR56" s="644">
        <f t="shared" ref="AR56" si="2265" xml:space="preserve">
IF(AQ58&gt;=VLOOKUP($C56,$C$3:$D$15,2,FALSE)*AR$21,0,
IF(AND(AQ58&lt;VLOOKUP($C56,$C$3:$D$15,2,FALSE)*AR$21,AR57&lt;=VLOOKUP($C56,$C$3:$D$15,2,FALSE)*AR$21),IF(AR57-AQ58&lt;0,0,AR57-AQ58),
IF(AND(AQ58&lt;VLOOKUP($C56,$C$3:$D$15,2,FALSE)*AR$21,AR57&gt;VLOOKUP($C56,$C$3:$D$15,2,FALSE)*AR$21),VLOOKUP($C56,$C$3:$D$15,2,FALSE)*AR$21-AQ58)))</f>
        <v>0</v>
      </c>
      <c r="AS56" s="644">
        <f t="shared" ref="AS56" si="2266" xml:space="preserve">
IF(AR58&gt;=VLOOKUP($C56,$C$3:$D$15,2,FALSE)*AS$21,0,
IF(AND(AR58&lt;VLOOKUP($C56,$C$3:$D$15,2,FALSE)*AS$21,AS57&lt;=VLOOKUP($C56,$C$3:$D$15,2,FALSE)*AS$21),IF(AS57-AR58&lt;0,0,AS57-AR58),
IF(AND(AR58&lt;VLOOKUP($C56,$C$3:$D$15,2,FALSE)*AS$21,AS57&gt;VLOOKUP($C56,$C$3:$D$15,2,FALSE)*AS$21),VLOOKUP($C56,$C$3:$D$15,2,FALSE)*AS$21-AR58)))</f>
        <v>0</v>
      </c>
      <c r="AT56" s="644">
        <f t="shared" ref="AT56" si="2267" xml:space="preserve">
IF(AS58&gt;=VLOOKUP($C56,$C$3:$D$15,2,FALSE)*AT$21,0,
IF(AND(AS58&lt;VLOOKUP($C56,$C$3:$D$15,2,FALSE)*AT$21,AT57&lt;=VLOOKUP($C56,$C$3:$D$15,2,FALSE)*AT$21),IF(AT57-AS58&lt;0,0,AT57-AS58),
IF(AND(AS58&lt;VLOOKUP($C56,$C$3:$D$15,2,FALSE)*AT$21,AT57&gt;VLOOKUP($C56,$C$3:$D$15,2,FALSE)*AT$21),VLOOKUP($C56,$C$3:$D$15,2,FALSE)*AT$21-AS58)))</f>
        <v>0</v>
      </c>
      <c r="AU56" s="644">
        <f t="shared" ref="AU56" si="2268" xml:space="preserve">
IF(AT58&gt;=VLOOKUP($C56,$C$3:$D$15,2,FALSE)*AU$21,0,
IF(AND(AT58&lt;VLOOKUP($C56,$C$3:$D$15,2,FALSE)*AU$21,AU57&lt;=VLOOKUP($C56,$C$3:$D$15,2,FALSE)*AU$21),IF(AU57-AT58&lt;0,0,AU57-AT58),
IF(AND(AT58&lt;VLOOKUP($C56,$C$3:$D$15,2,FALSE)*AU$21,AU57&gt;VLOOKUP($C56,$C$3:$D$15,2,FALSE)*AU$21),VLOOKUP($C56,$C$3:$D$15,2,FALSE)*AU$21-AT58)))</f>
        <v>0</v>
      </c>
      <c r="AV56" s="644">
        <f t="shared" ref="AV56" si="2269" xml:space="preserve">
IF(AU58&gt;=VLOOKUP($C56,$C$3:$D$15,2,FALSE)*AV$21,0,
IF(AND(AU58&lt;VLOOKUP($C56,$C$3:$D$15,2,FALSE)*AV$21,AV57&lt;=VLOOKUP($C56,$C$3:$D$15,2,FALSE)*AV$21),IF(AV57-AU58&lt;0,0,AV57-AU58),
IF(AND(AU58&lt;VLOOKUP($C56,$C$3:$D$15,2,FALSE)*AV$21,AV57&gt;VLOOKUP($C56,$C$3:$D$15,2,FALSE)*AV$21),VLOOKUP($C56,$C$3:$D$15,2,FALSE)*AV$21-AU58)))</f>
        <v>0</v>
      </c>
      <c r="AW56" s="644">
        <f t="shared" ref="AW56" si="2270" xml:space="preserve">
IF(AV58&gt;=VLOOKUP($C56,$C$3:$D$15,2,FALSE)*AW$21,0,
IF(AND(AV58&lt;VLOOKUP($C56,$C$3:$D$15,2,FALSE)*AW$21,AW57&lt;=VLOOKUP($C56,$C$3:$D$15,2,FALSE)*AW$21),IF(AW57-AV58&lt;0,0,AW57-AV58),
IF(AND(AV58&lt;VLOOKUP($C56,$C$3:$D$15,2,FALSE)*AW$21,AW57&gt;VLOOKUP($C56,$C$3:$D$15,2,FALSE)*AW$21),VLOOKUP($C56,$C$3:$D$15,2,FALSE)*AW$21-AV58)))</f>
        <v>0</v>
      </c>
      <c r="AX56" s="644">
        <f t="shared" ref="AX56" si="2271" xml:space="preserve">
IF(AW58&gt;=VLOOKUP($C56,$C$3:$D$15,2,FALSE)*AX$21,0,
IF(AND(AW58&lt;VLOOKUP($C56,$C$3:$D$15,2,FALSE)*AX$21,AX57&lt;=VLOOKUP($C56,$C$3:$D$15,2,FALSE)*AX$21),IF(AX57-AW58&lt;0,0,AX57-AW58),
IF(AND(AW58&lt;VLOOKUP($C56,$C$3:$D$15,2,FALSE)*AX$21,AX57&gt;VLOOKUP($C56,$C$3:$D$15,2,FALSE)*AX$21),VLOOKUP($C56,$C$3:$D$15,2,FALSE)*AX$21-AW58)))</f>
        <v>0</v>
      </c>
      <c r="AY56" s="644">
        <f t="shared" ref="AY56" si="2272" xml:space="preserve">
IF(AX58&gt;=VLOOKUP($C56,$C$3:$D$15,2,FALSE)*AY$21,0,
IF(AND(AX58&lt;VLOOKUP($C56,$C$3:$D$15,2,FALSE)*AY$21,AY57&lt;=VLOOKUP($C56,$C$3:$D$15,2,FALSE)*AY$21),IF(AY57-AX58&lt;0,0,AY57-AX58),
IF(AND(AX58&lt;VLOOKUP($C56,$C$3:$D$15,2,FALSE)*AY$21,AY57&gt;VLOOKUP($C56,$C$3:$D$15,2,FALSE)*AY$21),VLOOKUP($C56,$C$3:$D$15,2,FALSE)*AY$21-AX58)))</f>
        <v>0</v>
      </c>
      <c r="AZ56" s="644">
        <f t="shared" ref="AZ56" si="2273" xml:space="preserve">
IF(AY58&gt;=VLOOKUP($C56,$C$3:$D$15,2,FALSE)*AZ$21,0,
IF(AND(AY58&lt;VLOOKUP($C56,$C$3:$D$15,2,FALSE)*AZ$21,AZ57&lt;=VLOOKUP($C56,$C$3:$D$15,2,FALSE)*AZ$21),IF(AZ57-AY58&lt;0,0,AZ57-AY58),
IF(AND(AY58&lt;VLOOKUP($C56,$C$3:$D$15,2,FALSE)*AZ$21,AZ57&gt;VLOOKUP($C56,$C$3:$D$15,2,FALSE)*AZ$21),VLOOKUP($C56,$C$3:$D$15,2,FALSE)*AZ$21-AY58)))</f>
        <v>0</v>
      </c>
      <c r="BA56" s="644">
        <f t="shared" ref="BA56" si="2274" xml:space="preserve">
IF(AZ58&gt;=VLOOKUP($C56,$C$3:$D$15,2,FALSE)*BA$21,0,
IF(AND(AZ58&lt;VLOOKUP($C56,$C$3:$D$15,2,FALSE)*BA$21,BA57&lt;=VLOOKUP($C56,$C$3:$D$15,2,FALSE)*BA$21),IF(BA57-AZ58&lt;0,0,BA57-AZ58),
IF(AND(AZ58&lt;VLOOKUP($C56,$C$3:$D$15,2,FALSE)*BA$21,BA57&gt;VLOOKUP($C56,$C$3:$D$15,2,FALSE)*BA$21),VLOOKUP($C56,$C$3:$D$15,2,FALSE)*BA$21-AZ58)))</f>
        <v>0</v>
      </c>
      <c r="BB56" s="644">
        <f t="shared" ref="BB56" si="2275" xml:space="preserve">
IF(BA58&gt;=VLOOKUP($C56,$C$3:$D$15,2,FALSE)*BB$21,0,
IF(AND(BA58&lt;VLOOKUP($C56,$C$3:$D$15,2,FALSE)*BB$21,BB57&lt;=VLOOKUP($C56,$C$3:$D$15,2,FALSE)*BB$21),IF(BB57-BA58&lt;0,0,BB57-BA58),
IF(AND(BA58&lt;VLOOKUP($C56,$C$3:$D$15,2,FALSE)*BB$21,BB57&gt;VLOOKUP($C56,$C$3:$D$15,2,FALSE)*BB$21),VLOOKUP($C56,$C$3:$D$15,2,FALSE)*BB$21-BA58)))</f>
        <v>0</v>
      </c>
      <c r="BC56" s="644">
        <f t="shared" ref="BC56" si="2276" xml:space="preserve">
IF(BB58&gt;=VLOOKUP($C56,$C$3:$D$15,2,FALSE)*BC$21,0,
IF(AND(BB58&lt;VLOOKUP($C56,$C$3:$D$15,2,FALSE)*BC$21,BC57&lt;=VLOOKUP($C56,$C$3:$D$15,2,FALSE)*BC$21),IF(BC57-BB58&lt;0,0,BC57-BB58),
IF(AND(BB58&lt;VLOOKUP($C56,$C$3:$D$15,2,FALSE)*BC$21,BC57&gt;VLOOKUP($C56,$C$3:$D$15,2,FALSE)*BC$21),VLOOKUP($C56,$C$3:$D$15,2,FALSE)*BC$21-BB58)))</f>
        <v>0</v>
      </c>
      <c r="BD56" s="644">
        <f t="shared" ref="BD56" si="2277" xml:space="preserve">
IF(BC58&gt;=VLOOKUP($C56,$C$3:$D$15,2,FALSE)*BD$21,0,
IF(AND(BC58&lt;VLOOKUP($C56,$C$3:$D$15,2,FALSE)*BD$21,BD57&lt;=VLOOKUP($C56,$C$3:$D$15,2,FALSE)*BD$21),IF(BD57-BC58&lt;0,0,BD57-BC58),
IF(AND(BC58&lt;VLOOKUP($C56,$C$3:$D$15,2,FALSE)*BD$21,BD57&gt;VLOOKUP($C56,$C$3:$D$15,2,FALSE)*BD$21),VLOOKUP($C56,$C$3:$D$15,2,FALSE)*BD$21-BC58)))</f>
        <v>0</v>
      </c>
      <c r="BE56" s="644">
        <f t="shared" ref="BE56" si="2278" xml:space="preserve">
IF(BD58&gt;=VLOOKUP($C56,$C$3:$D$15,2,FALSE)*BE$21,0,
IF(AND(BD58&lt;VLOOKUP($C56,$C$3:$D$15,2,FALSE)*BE$21,BE57&lt;=VLOOKUP($C56,$C$3:$D$15,2,FALSE)*BE$21),IF(BE57-BD58&lt;0,0,BE57-BD58),
IF(AND(BD58&lt;VLOOKUP($C56,$C$3:$D$15,2,FALSE)*BE$21,BE57&gt;VLOOKUP($C56,$C$3:$D$15,2,FALSE)*BE$21),VLOOKUP($C56,$C$3:$D$15,2,FALSE)*BE$21-BD58)))</f>
        <v>0</v>
      </c>
      <c r="BF56" s="644">
        <f t="shared" ref="BF56" si="2279" xml:space="preserve">
IF(BE58&gt;=VLOOKUP($C56,$C$3:$D$15,2,FALSE)*BF$21,0,
IF(AND(BE58&lt;VLOOKUP($C56,$C$3:$D$15,2,FALSE)*BF$21,BF57&lt;=VLOOKUP($C56,$C$3:$D$15,2,FALSE)*BF$21),IF(BF57-BE58&lt;0,0,BF57-BE58),
IF(AND(BE58&lt;VLOOKUP($C56,$C$3:$D$15,2,FALSE)*BF$21,BF57&gt;VLOOKUP($C56,$C$3:$D$15,2,FALSE)*BF$21),VLOOKUP($C56,$C$3:$D$15,2,FALSE)*BF$21-BE58)))</f>
        <v>0</v>
      </c>
      <c r="BG56" s="644">
        <f t="shared" ref="BG56" si="2280" xml:space="preserve">
IF(BF58&gt;=VLOOKUP($C56,$C$3:$D$15,2,FALSE)*BG$21,0,
IF(AND(BF58&lt;VLOOKUP($C56,$C$3:$D$15,2,FALSE)*BG$21,BG57&lt;=VLOOKUP($C56,$C$3:$D$15,2,FALSE)*BG$21),IF(BG57-BF58&lt;0,0,BG57-BF58),
IF(AND(BF58&lt;VLOOKUP($C56,$C$3:$D$15,2,FALSE)*BG$21,BG57&gt;VLOOKUP($C56,$C$3:$D$15,2,FALSE)*BG$21),VLOOKUP($C56,$C$3:$D$15,2,FALSE)*BG$21-BF58)))</f>
        <v>0</v>
      </c>
      <c r="BH56" s="644">
        <f t="shared" ref="BH56" si="2281" xml:space="preserve">
IF(BG58&gt;=VLOOKUP($C56,$C$3:$D$15,2,FALSE)*BH$21,0,
IF(AND(BG58&lt;VLOOKUP($C56,$C$3:$D$15,2,FALSE)*BH$21,BH57&lt;=VLOOKUP($C56,$C$3:$D$15,2,FALSE)*BH$21),IF(BH57-BG58&lt;0,0,BH57-BG58),
IF(AND(BG58&lt;VLOOKUP($C56,$C$3:$D$15,2,FALSE)*BH$21,BH57&gt;VLOOKUP($C56,$C$3:$D$15,2,FALSE)*BH$21),VLOOKUP($C56,$C$3:$D$15,2,FALSE)*BH$21-BG58)))</f>
        <v>0</v>
      </c>
      <c r="BI56" s="644">
        <f t="shared" ref="BI56" si="2282" xml:space="preserve">
IF(BH58&gt;=VLOOKUP($C56,$C$3:$D$15,2,FALSE)*BI$21,0,
IF(AND(BH58&lt;VLOOKUP($C56,$C$3:$D$15,2,FALSE)*BI$21,BI57&lt;=VLOOKUP($C56,$C$3:$D$15,2,FALSE)*BI$21),IF(BI57-BH58&lt;0,0,BI57-BH58),
IF(AND(BH58&lt;VLOOKUP($C56,$C$3:$D$15,2,FALSE)*BI$21,BI57&gt;VLOOKUP($C56,$C$3:$D$15,2,FALSE)*BI$21),VLOOKUP($C56,$C$3:$D$15,2,FALSE)*BI$21-BH58)))</f>
        <v>0</v>
      </c>
      <c r="BJ56" s="644">
        <f t="shared" ref="BJ56" si="2283" xml:space="preserve">
IF(BI58&gt;=VLOOKUP($C56,$C$3:$D$15,2,FALSE)*BJ$21,0,
IF(AND(BI58&lt;VLOOKUP($C56,$C$3:$D$15,2,FALSE)*BJ$21,BJ57&lt;=VLOOKUP($C56,$C$3:$D$15,2,FALSE)*BJ$21),IF(BJ57-BI58&lt;0,0,BJ57-BI58),
IF(AND(BI58&lt;VLOOKUP($C56,$C$3:$D$15,2,FALSE)*BJ$21,BJ57&gt;VLOOKUP($C56,$C$3:$D$15,2,FALSE)*BJ$21),VLOOKUP($C56,$C$3:$D$15,2,FALSE)*BJ$21-BI58)))</f>
        <v>0</v>
      </c>
      <c r="BK56" s="644">
        <f t="shared" ref="BK56" si="2284" xml:space="preserve">
IF(BJ58&gt;=VLOOKUP($C56,$C$3:$D$15,2,FALSE)*BK$21,0,
IF(AND(BJ58&lt;VLOOKUP($C56,$C$3:$D$15,2,FALSE)*BK$21,BK57&lt;=VLOOKUP($C56,$C$3:$D$15,2,FALSE)*BK$21),IF(BK57-BJ58&lt;0,0,BK57-BJ58),
IF(AND(BJ58&lt;VLOOKUP($C56,$C$3:$D$15,2,FALSE)*BK$21,BK57&gt;VLOOKUP($C56,$C$3:$D$15,2,FALSE)*BK$21),VLOOKUP($C56,$C$3:$D$15,2,FALSE)*BK$21-BJ58)))</f>
        <v>0</v>
      </c>
      <c r="BL56" s="644">
        <f t="shared" ref="BL56" si="2285" xml:space="preserve">
IF(BK58&gt;=VLOOKUP($C56,$C$3:$D$15,2,FALSE)*BL$21,0,
IF(AND(BK58&lt;VLOOKUP($C56,$C$3:$D$15,2,FALSE)*BL$21,BL57&lt;=VLOOKUP($C56,$C$3:$D$15,2,FALSE)*BL$21),IF(BL57-BK58&lt;0,0,BL57-BK58),
IF(AND(BK58&lt;VLOOKUP($C56,$C$3:$D$15,2,FALSE)*BL$21,BL57&gt;VLOOKUP($C56,$C$3:$D$15,2,FALSE)*BL$21),VLOOKUP($C56,$C$3:$D$15,2,FALSE)*BL$21-BK58)))</f>
        <v>0</v>
      </c>
      <c r="BM56" s="644">
        <f t="shared" ref="BM56" si="2286" xml:space="preserve">
IF(BL58&gt;=VLOOKUP($C56,$C$3:$D$15,2,FALSE)*BM$21,0,
IF(AND(BL58&lt;VLOOKUP($C56,$C$3:$D$15,2,FALSE)*BM$21,BM57&lt;=VLOOKUP($C56,$C$3:$D$15,2,FALSE)*BM$21),IF(BM57-BL58&lt;0,0,BM57-BL58),
IF(AND(BL58&lt;VLOOKUP($C56,$C$3:$D$15,2,FALSE)*BM$21,BM57&gt;VLOOKUP($C56,$C$3:$D$15,2,FALSE)*BM$21),VLOOKUP($C56,$C$3:$D$15,2,FALSE)*BM$21-BL58)))</f>
        <v>0</v>
      </c>
      <c r="BN56" s="644">
        <f t="shared" ref="BN56" si="2287" xml:space="preserve">
IF(BM58&gt;=VLOOKUP($C56,$C$3:$D$15,2,FALSE)*BN$21,0,
IF(AND(BM58&lt;VLOOKUP($C56,$C$3:$D$15,2,FALSE)*BN$21,BN57&lt;=VLOOKUP($C56,$C$3:$D$15,2,FALSE)*BN$21),IF(BN57-BM58&lt;0,0,BN57-BM58),
IF(AND(BM58&lt;VLOOKUP($C56,$C$3:$D$15,2,FALSE)*BN$21,BN57&gt;VLOOKUP($C56,$C$3:$D$15,2,FALSE)*BN$21),VLOOKUP($C56,$C$3:$D$15,2,FALSE)*BN$21-BM58)))</f>
        <v>0</v>
      </c>
      <c r="BO56" s="644">
        <f t="shared" ref="BO56" si="2288" xml:space="preserve">
IF(BN58&gt;=VLOOKUP($C56,$C$3:$D$15,2,FALSE)*BO$21,0,
IF(AND(BN58&lt;VLOOKUP($C56,$C$3:$D$15,2,FALSE)*BO$21,BO57&lt;=VLOOKUP($C56,$C$3:$D$15,2,FALSE)*BO$21),IF(BO57-BN58&lt;0,0,BO57-BN58),
IF(AND(BN58&lt;VLOOKUP($C56,$C$3:$D$15,2,FALSE)*BO$21,BO57&gt;VLOOKUP($C56,$C$3:$D$15,2,FALSE)*BO$21),VLOOKUP($C56,$C$3:$D$15,2,FALSE)*BO$21-BN58)))</f>
        <v>0</v>
      </c>
      <c r="BP56" s="644">
        <f t="shared" ref="BP56" si="2289" xml:space="preserve">
IF(BO58&gt;=VLOOKUP($C56,$C$3:$D$15,2,FALSE)*BP$21,0,
IF(AND(BO58&lt;VLOOKUP($C56,$C$3:$D$15,2,FALSE)*BP$21,BP57&lt;=VLOOKUP($C56,$C$3:$D$15,2,FALSE)*BP$21),IF(BP57-BO58&lt;0,0,BP57-BO58),
IF(AND(BO58&lt;VLOOKUP($C56,$C$3:$D$15,2,FALSE)*BP$21,BP57&gt;VLOOKUP($C56,$C$3:$D$15,2,FALSE)*BP$21),VLOOKUP($C56,$C$3:$D$15,2,FALSE)*BP$21-BO58)))</f>
        <v>0</v>
      </c>
      <c r="BQ56" s="644">
        <f t="shared" ref="BQ56" si="2290" xml:space="preserve">
IF(BP58&gt;=VLOOKUP($C56,$C$3:$D$15,2,FALSE)*BQ$21,0,
IF(AND(BP58&lt;VLOOKUP($C56,$C$3:$D$15,2,FALSE)*BQ$21,BQ57&lt;=VLOOKUP($C56,$C$3:$D$15,2,FALSE)*BQ$21),IF(BQ57-BP58&lt;0,0,BQ57-BP58),
IF(AND(BP58&lt;VLOOKUP($C56,$C$3:$D$15,2,FALSE)*BQ$21,BQ57&gt;VLOOKUP($C56,$C$3:$D$15,2,FALSE)*BQ$21),VLOOKUP($C56,$C$3:$D$15,2,FALSE)*BQ$21-BP58)))</f>
        <v>0</v>
      </c>
      <c r="BR56" s="644">
        <f t="shared" ref="BR56" si="2291" xml:space="preserve">
IF(BQ58&gt;=VLOOKUP($C56,$C$3:$D$15,2,FALSE)*BR$21,0,
IF(AND(BQ58&lt;VLOOKUP($C56,$C$3:$D$15,2,FALSE)*BR$21,BR57&lt;=VLOOKUP($C56,$C$3:$D$15,2,FALSE)*BR$21),IF(BR57-BQ58&lt;0,0,BR57-BQ58),
IF(AND(BQ58&lt;VLOOKUP($C56,$C$3:$D$15,2,FALSE)*BR$21,BR57&gt;VLOOKUP($C56,$C$3:$D$15,2,FALSE)*BR$21),VLOOKUP($C56,$C$3:$D$15,2,FALSE)*BR$21-BQ58)))</f>
        <v>0</v>
      </c>
      <c r="BS56" s="644">
        <f t="shared" ref="BS56" si="2292" xml:space="preserve">
IF(BR58&gt;=VLOOKUP($C56,$C$3:$D$15,2,FALSE)*BS$21,0,
IF(AND(BR58&lt;VLOOKUP($C56,$C$3:$D$15,2,FALSE)*BS$21,BS57&lt;=VLOOKUP($C56,$C$3:$D$15,2,FALSE)*BS$21),IF(BS57-BR58&lt;0,0,BS57-BR58),
IF(AND(BR58&lt;VLOOKUP($C56,$C$3:$D$15,2,FALSE)*BS$21,BS57&gt;VLOOKUP($C56,$C$3:$D$15,2,FALSE)*BS$21),VLOOKUP($C56,$C$3:$D$15,2,FALSE)*BS$21-BR58)))</f>
        <v>0</v>
      </c>
      <c r="BT56" s="644">
        <f t="shared" ref="BT56" si="2293" xml:space="preserve">
IF(BS58&gt;=VLOOKUP($C56,$C$3:$D$15,2,FALSE)*BT$21,0,
IF(AND(BS58&lt;VLOOKUP($C56,$C$3:$D$15,2,FALSE)*BT$21,BT57&lt;=VLOOKUP($C56,$C$3:$D$15,2,FALSE)*BT$21),IF(BT57-BS58&lt;0,0,BT57-BS58),
IF(AND(BS58&lt;VLOOKUP($C56,$C$3:$D$15,2,FALSE)*BT$21,BT57&gt;VLOOKUP($C56,$C$3:$D$15,2,FALSE)*BT$21),VLOOKUP($C56,$C$3:$D$15,2,FALSE)*BT$21-BS58)))</f>
        <v>0</v>
      </c>
      <c r="BU56" s="644">
        <f t="shared" ref="BU56" si="2294" xml:space="preserve">
IF(BT58&gt;=VLOOKUP($C56,$C$3:$D$15,2,FALSE)*BU$21,0,
IF(AND(BT58&lt;VLOOKUP($C56,$C$3:$D$15,2,FALSE)*BU$21,BU57&lt;=VLOOKUP($C56,$C$3:$D$15,2,FALSE)*BU$21),IF(BU57-BT58&lt;0,0,BU57-BT58),
IF(AND(BT58&lt;VLOOKUP($C56,$C$3:$D$15,2,FALSE)*BU$21,BU57&gt;VLOOKUP($C56,$C$3:$D$15,2,FALSE)*BU$21),VLOOKUP($C56,$C$3:$D$15,2,FALSE)*BU$21-BT58)))</f>
        <v>0</v>
      </c>
      <c r="BV56" s="644">
        <f t="shared" ref="BV56" si="2295" xml:space="preserve">
IF(BU58&gt;=VLOOKUP($C56,$C$3:$D$15,2,FALSE)*BV$21,0,
IF(AND(BU58&lt;VLOOKUP($C56,$C$3:$D$15,2,FALSE)*BV$21,BV57&lt;=VLOOKUP($C56,$C$3:$D$15,2,FALSE)*BV$21),IF(BV57-BU58&lt;0,0,BV57-BU58),
IF(AND(BU58&lt;VLOOKUP($C56,$C$3:$D$15,2,FALSE)*BV$21,BV57&gt;VLOOKUP($C56,$C$3:$D$15,2,FALSE)*BV$21),VLOOKUP($C56,$C$3:$D$15,2,FALSE)*BV$21-BU58)))</f>
        <v>0</v>
      </c>
      <c r="BW56" s="644">
        <f t="shared" ref="BW56" si="2296" xml:space="preserve">
IF(BV58&gt;=VLOOKUP($C56,$C$3:$D$15,2,FALSE)*BW$21,0,
IF(AND(BV58&lt;VLOOKUP($C56,$C$3:$D$15,2,FALSE)*BW$21,BW57&lt;=VLOOKUP($C56,$C$3:$D$15,2,FALSE)*BW$21),IF(BW57-BV58&lt;0,0,BW57-BV58),
IF(AND(BV58&lt;VLOOKUP($C56,$C$3:$D$15,2,FALSE)*BW$21,BW57&gt;VLOOKUP($C56,$C$3:$D$15,2,FALSE)*BW$21),VLOOKUP($C56,$C$3:$D$15,2,FALSE)*BW$21-BV58)))</f>
        <v>0</v>
      </c>
      <c r="BX56" s="644">
        <f t="shared" ref="BX56" si="2297" xml:space="preserve">
IF(BW58&gt;=VLOOKUP($C56,$C$3:$D$15,2,FALSE)*BX$21,0,
IF(AND(BW58&lt;VLOOKUP($C56,$C$3:$D$15,2,FALSE)*BX$21,BX57&lt;=VLOOKUP($C56,$C$3:$D$15,2,FALSE)*BX$21),IF(BX57-BW58&lt;0,0,BX57-BW58),
IF(AND(BW58&lt;VLOOKUP($C56,$C$3:$D$15,2,FALSE)*BX$21,BX57&gt;VLOOKUP($C56,$C$3:$D$15,2,FALSE)*BX$21),VLOOKUP($C56,$C$3:$D$15,2,FALSE)*BX$21-BW58)))</f>
        <v>0</v>
      </c>
      <c r="BY56" s="644">
        <f t="shared" ref="BY56" si="2298" xml:space="preserve">
IF(BX58&gt;=VLOOKUP($C56,$C$3:$D$15,2,FALSE)*BY$21,0,
IF(AND(BX58&lt;VLOOKUP($C56,$C$3:$D$15,2,FALSE)*BY$21,BY57&lt;=VLOOKUP($C56,$C$3:$D$15,2,FALSE)*BY$21),IF(BY57-BX58&lt;0,0,BY57-BX58),
IF(AND(BX58&lt;VLOOKUP($C56,$C$3:$D$15,2,FALSE)*BY$21,BY57&gt;VLOOKUP($C56,$C$3:$D$15,2,FALSE)*BY$21),VLOOKUP($C56,$C$3:$D$15,2,FALSE)*BY$21-BX58)))</f>
        <v>0</v>
      </c>
      <c r="BZ56" s="644">
        <f t="shared" ref="BZ56" si="2299" xml:space="preserve">
IF(BY58&gt;=VLOOKUP($C56,$C$3:$D$15,2,FALSE)*BZ$21,0,
IF(AND(BY58&lt;VLOOKUP($C56,$C$3:$D$15,2,FALSE)*BZ$21,BZ57&lt;=VLOOKUP($C56,$C$3:$D$15,2,FALSE)*BZ$21),IF(BZ57-BY58&lt;0,0,BZ57-BY58),
IF(AND(BY58&lt;VLOOKUP($C56,$C$3:$D$15,2,FALSE)*BZ$21,BZ57&gt;VLOOKUP($C56,$C$3:$D$15,2,FALSE)*BZ$21),VLOOKUP($C56,$C$3:$D$15,2,FALSE)*BZ$21-BY58)))</f>
        <v>0</v>
      </c>
      <c r="CA56" s="644">
        <f t="shared" ref="CA56" si="2300" xml:space="preserve">
IF(BZ58&gt;=VLOOKUP($C56,$C$3:$D$15,2,FALSE)*CA$21,0,
IF(AND(BZ58&lt;VLOOKUP($C56,$C$3:$D$15,2,FALSE)*CA$21,CA57&lt;=VLOOKUP($C56,$C$3:$D$15,2,FALSE)*CA$21),IF(CA57-BZ58&lt;0,0,CA57-BZ58),
IF(AND(BZ58&lt;VLOOKUP($C56,$C$3:$D$15,2,FALSE)*CA$21,CA57&gt;VLOOKUP($C56,$C$3:$D$15,2,FALSE)*CA$21),VLOOKUP($C56,$C$3:$D$15,2,FALSE)*CA$21-BZ58)))</f>
        <v>0</v>
      </c>
      <c r="CB56" s="644">
        <f t="shared" ref="CB56" si="2301" xml:space="preserve">
IF(CA58&gt;=VLOOKUP($C56,$C$3:$D$15,2,FALSE)*CB$21,0,
IF(AND(CA58&lt;VLOOKUP($C56,$C$3:$D$15,2,FALSE)*CB$21,CB57&lt;=VLOOKUP($C56,$C$3:$D$15,2,FALSE)*CB$21),IF(CB57-CA58&lt;0,0,CB57-CA58),
IF(AND(CA58&lt;VLOOKUP($C56,$C$3:$D$15,2,FALSE)*CB$21,CB57&gt;VLOOKUP($C56,$C$3:$D$15,2,FALSE)*CB$21),VLOOKUP($C56,$C$3:$D$15,2,FALSE)*CB$21-CA58)))</f>
        <v>0</v>
      </c>
      <c r="CC56" s="644">
        <f t="shared" ref="CC56" si="2302" xml:space="preserve">
IF(CB58&gt;=VLOOKUP($C56,$C$3:$D$15,2,FALSE)*CC$21,0,
IF(AND(CB58&lt;VLOOKUP($C56,$C$3:$D$15,2,FALSE)*CC$21,CC57&lt;=VLOOKUP($C56,$C$3:$D$15,2,FALSE)*CC$21),IF(CC57-CB58&lt;0,0,CC57-CB58),
IF(AND(CB58&lt;VLOOKUP($C56,$C$3:$D$15,2,FALSE)*CC$21,CC57&gt;VLOOKUP($C56,$C$3:$D$15,2,FALSE)*CC$21),VLOOKUP($C56,$C$3:$D$15,2,FALSE)*CC$21-CB58)))</f>
        <v>0</v>
      </c>
      <c r="CD56" s="644">
        <f t="shared" ref="CD56" si="2303" xml:space="preserve">
IF(CC58&gt;=VLOOKUP($C56,$C$3:$D$15,2,FALSE)*CD$21,0,
IF(AND(CC58&lt;VLOOKUP($C56,$C$3:$D$15,2,FALSE)*CD$21,CD57&lt;=VLOOKUP($C56,$C$3:$D$15,2,FALSE)*CD$21),IF(CD57-CC58&lt;0,0,CD57-CC58),
IF(AND(CC58&lt;VLOOKUP($C56,$C$3:$D$15,2,FALSE)*CD$21,CD57&gt;VLOOKUP($C56,$C$3:$D$15,2,FALSE)*CD$21),VLOOKUP($C56,$C$3:$D$15,2,FALSE)*CD$21-CC58)))</f>
        <v>0</v>
      </c>
      <c r="CE56" s="644">
        <f t="shared" ref="CE56" si="2304" xml:space="preserve">
IF(CD58&gt;=VLOOKUP($C56,$C$3:$D$15,2,FALSE)*CE$21,0,
IF(AND(CD58&lt;VLOOKUP($C56,$C$3:$D$15,2,FALSE)*CE$21,CE57&lt;=VLOOKUP($C56,$C$3:$D$15,2,FALSE)*CE$21),IF(CE57-CD58&lt;0,0,CE57-CD58),
IF(AND(CD58&lt;VLOOKUP($C56,$C$3:$D$15,2,FALSE)*CE$21,CE57&gt;VLOOKUP($C56,$C$3:$D$15,2,FALSE)*CE$21),VLOOKUP($C56,$C$3:$D$15,2,FALSE)*CE$21-CD58)))</f>
        <v>0</v>
      </c>
      <c r="CF56" s="644">
        <f t="shared" ref="CF56" si="2305" xml:space="preserve">
IF(CE58&gt;=VLOOKUP($C56,$C$3:$D$15,2,FALSE)*CF$21,0,
IF(AND(CE58&lt;VLOOKUP($C56,$C$3:$D$15,2,FALSE)*CF$21,CF57&lt;=VLOOKUP($C56,$C$3:$D$15,2,FALSE)*CF$21),IF(CF57-CE58&lt;0,0,CF57-CE58),
IF(AND(CE58&lt;VLOOKUP($C56,$C$3:$D$15,2,FALSE)*CF$21,CF57&gt;VLOOKUP($C56,$C$3:$D$15,2,FALSE)*CF$21),VLOOKUP($C56,$C$3:$D$15,2,FALSE)*CF$21-CE58)))</f>
        <v>0</v>
      </c>
      <c r="CG56" s="644">
        <f t="shared" ref="CG56" si="2306" xml:space="preserve">
IF(CF58&gt;=VLOOKUP($C56,$C$3:$D$15,2,FALSE)*CG$21,0,
IF(AND(CF58&lt;VLOOKUP($C56,$C$3:$D$15,2,FALSE)*CG$21,CG57&lt;=VLOOKUP($C56,$C$3:$D$15,2,FALSE)*CG$21),IF(CG57-CF58&lt;0,0,CG57-CF58),
IF(AND(CF58&lt;VLOOKUP($C56,$C$3:$D$15,2,FALSE)*CG$21,CG57&gt;VLOOKUP($C56,$C$3:$D$15,2,FALSE)*CG$21),VLOOKUP($C56,$C$3:$D$15,2,FALSE)*CG$21-CF58)))</f>
        <v>0</v>
      </c>
      <c r="CH56" s="644">
        <f t="shared" ref="CH56" si="2307" xml:space="preserve">
IF(CG58&gt;=VLOOKUP($C56,$C$3:$D$15,2,FALSE)*CH$21,0,
IF(AND(CG58&lt;VLOOKUP($C56,$C$3:$D$15,2,FALSE)*CH$21,CH57&lt;=VLOOKUP($C56,$C$3:$D$15,2,FALSE)*CH$21),IF(CH57-CG58&lt;0,0,CH57-CG58),
IF(AND(CG58&lt;VLOOKUP($C56,$C$3:$D$15,2,FALSE)*CH$21,CH57&gt;VLOOKUP($C56,$C$3:$D$15,2,FALSE)*CH$21),VLOOKUP($C56,$C$3:$D$15,2,FALSE)*CH$21-CG58)))</f>
        <v>0</v>
      </c>
      <c r="CI56" s="644">
        <f t="shared" ref="CI56" si="2308" xml:space="preserve">
IF(CH58&gt;=VLOOKUP($C56,$C$3:$D$15,2,FALSE)*CI$21,0,
IF(AND(CH58&lt;VLOOKUP($C56,$C$3:$D$15,2,FALSE)*CI$21,CI57&lt;=VLOOKUP($C56,$C$3:$D$15,2,FALSE)*CI$21),IF(CI57-CH58&lt;0,0,CI57-CH58),
IF(AND(CH58&lt;VLOOKUP($C56,$C$3:$D$15,2,FALSE)*CI$21,CI57&gt;VLOOKUP($C56,$C$3:$D$15,2,FALSE)*CI$21),VLOOKUP($C56,$C$3:$D$15,2,FALSE)*CI$21-CH58)))</f>
        <v>0</v>
      </c>
      <c r="CJ56" s="644">
        <f t="shared" ref="CJ56" si="2309" xml:space="preserve">
IF(CI58&gt;=VLOOKUP($C56,$C$3:$D$15,2,FALSE)*CJ$21,0,
IF(AND(CI58&lt;VLOOKUP($C56,$C$3:$D$15,2,FALSE)*CJ$21,CJ57&lt;=VLOOKUP($C56,$C$3:$D$15,2,FALSE)*CJ$21),IF(CJ57-CI58&lt;0,0,CJ57-CI58),
IF(AND(CI58&lt;VLOOKUP($C56,$C$3:$D$15,2,FALSE)*CJ$21,CJ57&gt;VLOOKUP($C56,$C$3:$D$15,2,FALSE)*CJ$21),VLOOKUP($C56,$C$3:$D$15,2,FALSE)*CJ$21-CI58)))</f>
        <v>0</v>
      </c>
      <c r="CK56" s="644">
        <f t="shared" ref="CK56" si="2310" xml:space="preserve">
IF(CJ58&gt;=VLOOKUP($C56,$C$3:$D$15,2,FALSE)*CK$21,0,
IF(AND(CJ58&lt;VLOOKUP($C56,$C$3:$D$15,2,FALSE)*CK$21,CK57&lt;=VLOOKUP($C56,$C$3:$D$15,2,FALSE)*CK$21),IF(CK57-CJ58&lt;0,0,CK57-CJ58),
IF(AND(CJ58&lt;VLOOKUP($C56,$C$3:$D$15,2,FALSE)*CK$21,CK57&gt;VLOOKUP($C56,$C$3:$D$15,2,FALSE)*CK$21),VLOOKUP($C56,$C$3:$D$15,2,FALSE)*CK$21-CJ58)))</f>
        <v>0</v>
      </c>
      <c r="CL56" s="644">
        <f t="shared" ref="CL56" si="2311" xml:space="preserve">
IF(CK58&gt;=VLOOKUP($C56,$C$3:$D$15,2,FALSE)*CL$21,0,
IF(AND(CK58&lt;VLOOKUP($C56,$C$3:$D$15,2,FALSE)*CL$21,CL57&lt;=VLOOKUP($C56,$C$3:$D$15,2,FALSE)*CL$21),IF(CL57-CK58&lt;0,0,CL57-CK58),
IF(AND(CK58&lt;VLOOKUP($C56,$C$3:$D$15,2,FALSE)*CL$21,CL57&gt;VLOOKUP($C56,$C$3:$D$15,2,FALSE)*CL$21),VLOOKUP($C56,$C$3:$D$15,2,FALSE)*CL$21-CK58)))</f>
        <v>0</v>
      </c>
      <c r="CM56" s="644">
        <f t="shared" ref="CM56" si="2312" xml:space="preserve">
IF(CL58&gt;=VLOOKUP($C56,$C$3:$D$15,2,FALSE)*CM$21,0,
IF(AND(CL58&lt;VLOOKUP($C56,$C$3:$D$15,2,FALSE)*CM$21,CM57&lt;=VLOOKUP($C56,$C$3:$D$15,2,FALSE)*CM$21),IF(CM57-CL58&lt;0,0,CM57-CL58),
IF(AND(CL58&lt;VLOOKUP($C56,$C$3:$D$15,2,FALSE)*CM$21,CM57&gt;VLOOKUP($C56,$C$3:$D$15,2,FALSE)*CM$21),VLOOKUP($C56,$C$3:$D$15,2,FALSE)*CM$21-CL58)))</f>
        <v>0</v>
      </c>
      <c r="CN56" s="644">
        <f t="shared" ref="CN56" si="2313" xml:space="preserve">
IF(CM58&gt;=VLOOKUP($C56,$C$3:$D$15,2,FALSE)*CN$21,0,
IF(AND(CM58&lt;VLOOKUP($C56,$C$3:$D$15,2,FALSE)*CN$21,CN57&lt;=VLOOKUP($C56,$C$3:$D$15,2,FALSE)*CN$21),IF(CN57-CM58&lt;0,0,CN57-CM58),
IF(AND(CM58&lt;VLOOKUP($C56,$C$3:$D$15,2,FALSE)*CN$21,CN57&gt;VLOOKUP($C56,$C$3:$D$15,2,FALSE)*CN$21),VLOOKUP($C56,$C$3:$D$15,2,FALSE)*CN$21-CM58)))</f>
        <v>0</v>
      </c>
      <c r="CO56" s="644">
        <f t="shared" ref="CO56" si="2314" xml:space="preserve">
IF(CN58&gt;=VLOOKUP($C56,$C$3:$D$15,2,FALSE)*CO$21,0,
IF(AND(CN58&lt;VLOOKUP($C56,$C$3:$D$15,2,FALSE)*CO$21,CO57&lt;=VLOOKUP($C56,$C$3:$D$15,2,FALSE)*CO$21),IF(CO57-CN58&lt;0,0,CO57-CN58),
IF(AND(CN58&lt;VLOOKUP($C56,$C$3:$D$15,2,FALSE)*CO$21,CO57&gt;VLOOKUP($C56,$C$3:$D$15,2,FALSE)*CO$21),VLOOKUP($C56,$C$3:$D$15,2,FALSE)*CO$21-CN58)))</f>
        <v>0</v>
      </c>
      <c r="CP56" s="644">
        <f t="shared" ref="CP56" si="2315" xml:space="preserve">
IF(CO58&gt;=VLOOKUP($C56,$C$3:$D$15,2,FALSE)*CP$21,0,
IF(AND(CO58&lt;VLOOKUP($C56,$C$3:$D$15,2,FALSE)*CP$21,CP57&lt;=VLOOKUP($C56,$C$3:$D$15,2,FALSE)*CP$21),IF(CP57-CO58&lt;0,0,CP57-CO58),
IF(AND(CO58&lt;VLOOKUP($C56,$C$3:$D$15,2,FALSE)*CP$21,CP57&gt;VLOOKUP($C56,$C$3:$D$15,2,FALSE)*CP$21),VLOOKUP($C56,$C$3:$D$15,2,FALSE)*CP$21-CO58)))</f>
        <v>0</v>
      </c>
      <c r="CQ56" s="644">
        <f t="shared" ref="CQ56" si="2316" xml:space="preserve">
IF(CP58&gt;=VLOOKUP($C56,$C$3:$D$15,2,FALSE)*CQ$21,0,
IF(AND(CP58&lt;VLOOKUP($C56,$C$3:$D$15,2,FALSE)*CQ$21,CQ57&lt;=VLOOKUP($C56,$C$3:$D$15,2,FALSE)*CQ$21),IF(CQ57-CP58&lt;0,0,CQ57-CP58),
IF(AND(CP58&lt;VLOOKUP($C56,$C$3:$D$15,2,FALSE)*CQ$21,CQ57&gt;VLOOKUP($C56,$C$3:$D$15,2,FALSE)*CQ$21),VLOOKUP($C56,$C$3:$D$15,2,FALSE)*CQ$21-CP58)))</f>
        <v>0</v>
      </c>
      <c r="CR56" s="644">
        <f t="shared" ref="CR56" si="2317" xml:space="preserve">
IF(CQ58&gt;=VLOOKUP($C56,$C$3:$D$15,2,FALSE)*CR$21,0,
IF(AND(CQ58&lt;VLOOKUP($C56,$C$3:$D$15,2,FALSE)*CR$21,CR57&lt;=VLOOKUP($C56,$C$3:$D$15,2,FALSE)*CR$21),IF(CR57-CQ58&lt;0,0,CR57-CQ58),
IF(AND(CQ58&lt;VLOOKUP($C56,$C$3:$D$15,2,FALSE)*CR$21,CR57&gt;VLOOKUP($C56,$C$3:$D$15,2,FALSE)*CR$21),VLOOKUP($C56,$C$3:$D$15,2,FALSE)*CR$21-CQ58)))</f>
        <v>0</v>
      </c>
      <c r="CS56" s="644">
        <f t="shared" ref="CS56" si="2318" xml:space="preserve">
IF(CR58&gt;=VLOOKUP($C56,$C$3:$D$15,2,FALSE)*CS$21,0,
IF(AND(CR58&lt;VLOOKUP($C56,$C$3:$D$15,2,FALSE)*CS$21,CS57&lt;=VLOOKUP($C56,$C$3:$D$15,2,FALSE)*CS$21),IF(CS57-CR58&lt;0,0,CS57-CR58),
IF(AND(CR58&lt;VLOOKUP($C56,$C$3:$D$15,2,FALSE)*CS$21,CS57&gt;VLOOKUP($C56,$C$3:$D$15,2,FALSE)*CS$21),VLOOKUP($C56,$C$3:$D$15,2,FALSE)*CS$21-CR58)))</f>
        <v>0</v>
      </c>
      <c r="CT56" s="644">
        <f t="shared" ref="CT56" si="2319" xml:space="preserve">
IF(CS58&gt;=VLOOKUP($C56,$C$3:$D$15,2,FALSE)*CT$21,0,
IF(AND(CS58&lt;VLOOKUP($C56,$C$3:$D$15,2,FALSE)*CT$21,CT57&lt;=VLOOKUP($C56,$C$3:$D$15,2,FALSE)*CT$21),IF(CT57-CS58&lt;0,0,CT57-CS58),
IF(AND(CS58&lt;VLOOKUP($C56,$C$3:$D$15,2,FALSE)*CT$21,CT57&gt;VLOOKUP($C56,$C$3:$D$15,2,FALSE)*CT$21),VLOOKUP($C56,$C$3:$D$15,2,FALSE)*CT$21-CS58)))</f>
        <v>0</v>
      </c>
      <c r="CU56" s="644">
        <f t="shared" ref="CU56" si="2320" xml:space="preserve">
IF(CT58&gt;=VLOOKUP($C56,$C$3:$D$15,2,FALSE)*CU$21,0,
IF(AND(CT58&lt;VLOOKUP($C56,$C$3:$D$15,2,FALSE)*CU$21,CU57&lt;=VLOOKUP($C56,$C$3:$D$15,2,FALSE)*CU$21),IF(CU57-CT58&lt;0,0,CU57-CT58),
IF(AND(CT58&lt;VLOOKUP($C56,$C$3:$D$15,2,FALSE)*CU$21,CU57&gt;VLOOKUP($C56,$C$3:$D$15,2,FALSE)*CU$21),VLOOKUP($C56,$C$3:$D$15,2,FALSE)*CU$21-CT58)))</f>
        <v>0</v>
      </c>
      <c r="CV56" s="644">
        <f t="shared" ref="CV56" si="2321" xml:space="preserve">
IF(CU58&gt;=VLOOKUP($C56,$C$3:$D$15,2,FALSE)*CV$21,0,
IF(AND(CU58&lt;VLOOKUP($C56,$C$3:$D$15,2,FALSE)*CV$21,CV57&lt;=VLOOKUP($C56,$C$3:$D$15,2,FALSE)*CV$21),IF(CV57-CU58&lt;0,0,CV57-CU58),
IF(AND(CU58&lt;VLOOKUP($C56,$C$3:$D$15,2,FALSE)*CV$21,CV57&gt;VLOOKUP($C56,$C$3:$D$15,2,FALSE)*CV$21),VLOOKUP($C56,$C$3:$D$15,2,FALSE)*CV$21-CU58)))</f>
        <v>0</v>
      </c>
      <c r="CW56" s="644">
        <f t="shared" ref="CW56" si="2322" xml:space="preserve">
IF(CV58&gt;=VLOOKUP($C56,$C$3:$D$15,2,FALSE)*CW$21,0,
IF(AND(CV58&lt;VLOOKUP($C56,$C$3:$D$15,2,FALSE)*CW$21,CW57&lt;=VLOOKUP($C56,$C$3:$D$15,2,FALSE)*CW$21),IF(CW57-CV58&lt;0,0,CW57-CV58),
IF(AND(CV58&lt;VLOOKUP($C56,$C$3:$D$15,2,FALSE)*CW$21,CW57&gt;VLOOKUP($C56,$C$3:$D$15,2,FALSE)*CW$21),VLOOKUP($C56,$C$3:$D$15,2,FALSE)*CW$21-CV58)))</f>
        <v>0</v>
      </c>
      <c r="CX56" s="644">
        <f t="shared" ref="CX56" si="2323" xml:space="preserve">
IF(CW58&gt;=VLOOKUP($C56,$C$3:$D$15,2,FALSE)*CX$21,0,
IF(AND(CW58&lt;VLOOKUP($C56,$C$3:$D$15,2,FALSE)*CX$21,CX57&lt;=VLOOKUP($C56,$C$3:$D$15,2,FALSE)*CX$21),IF(CX57-CW58&lt;0,0,CX57-CW58),
IF(AND(CW58&lt;VLOOKUP($C56,$C$3:$D$15,2,FALSE)*CX$21,CX57&gt;VLOOKUP($C56,$C$3:$D$15,2,FALSE)*CX$21),VLOOKUP($C56,$C$3:$D$15,2,FALSE)*CX$21-CW58)))</f>
        <v>0</v>
      </c>
      <c r="CY56" s="644">
        <f t="shared" ref="CY56" si="2324" xml:space="preserve">
IF(CX58&gt;=VLOOKUP($C56,$C$3:$D$15,2,FALSE)*CY$21,0,
IF(AND(CX58&lt;VLOOKUP($C56,$C$3:$D$15,2,FALSE)*CY$21,CY57&lt;=VLOOKUP($C56,$C$3:$D$15,2,FALSE)*CY$21),IF(CY57-CX58&lt;0,0,CY57-CX58),
IF(AND(CX58&lt;VLOOKUP($C56,$C$3:$D$15,2,FALSE)*CY$21,CY57&gt;VLOOKUP($C56,$C$3:$D$15,2,FALSE)*CY$21),VLOOKUP($C56,$C$3:$D$15,2,FALSE)*CY$21-CX58)))</f>
        <v>0</v>
      </c>
      <c r="CZ56" s="644">
        <f t="shared" ref="CZ56" si="2325" xml:space="preserve">
IF(CY58&gt;=VLOOKUP($C56,$C$3:$D$15,2,FALSE)*CZ$21,0,
IF(AND(CY58&lt;VLOOKUP($C56,$C$3:$D$15,2,FALSE)*CZ$21,CZ57&lt;=VLOOKUP($C56,$C$3:$D$15,2,FALSE)*CZ$21),IF(CZ57-CY58&lt;0,0,CZ57-CY58),
IF(AND(CY58&lt;VLOOKUP($C56,$C$3:$D$15,2,FALSE)*CZ$21,CZ57&gt;VLOOKUP($C56,$C$3:$D$15,2,FALSE)*CZ$21),VLOOKUP($C56,$C$3:$D$15,2,FALSE)*CZ$21-CY58)))</f>
        <v>0</v>
      </c>
      <c r="DA56" s="644">
        <f t="shared" ref="DA56" si="2326" xml:space="preserve">
IF(CZ58&gt;=VLOOKUP($C56,$C$3:$D$15,2,FALSE)*DA$21,0,
IF(AND(CZ58&lt;VLOOKUP($C56,$C$3:$D$15,2,FALSE)*DA$21,DA57&lt;=VLOOKUP($C56,$C$3:$D$15,2,FALSE)*DA$21),IF(DA57-CZ58&lt;0,0,DA57-CZ58),
IF(AND(CZ58&lt;VLOOKUP($C56,$C$3:$D$15,2,FALSE)*DA$21,DA57&gt;VLOOKUP($C56,$C$3:$D$15,2,FALSE)*DA$21),VLOOKUP($C56,$C$3:$D$15,2,FALSE)*DA$21-CZ58)))</f>
        <v>0</v>
      </c>
      <c r="DB56" s="644">
        <f t="shared" ref="DB56" si="2327" xml:space="preserve">
IF(DA58&gt;=VLOOKUP($C56,$C$3:$D$15,2,FALSE)*DB$21,0,
IF(AND(DA58&lt;VLOOKUP($C56,$C$3:$D$15,2,FALSE)*DB$21,DB57&lt;=VLOOKUP($C56,$C$3:$D$15,2,FALSE)*DB$21),IF(DB57-DA58&lt;0,0,DB57-DA58),
IF(AND(DA58&lt;VLOOKUP($C56,$C$3:$D$15,2,FALSE)*DB$21,DB57&gt;VLOOKUP($C56,$C$3:$D$15,2,FALSE)*DB$21),VLOOKUP($C56,$C$3:$D$15,2,FALSE)*DB$21-DA58)))</f>
        <v>0</v>
      </c>
      <c r="DC56" s="644">
        <f t="shared" ref="DC56" si="2328" xml:space="preserve">
IF(DB58&gt;=VLOOKUP($C56,$C$3:$D$15,2,FALSE)*DC$21,0,
IF(AND(DB58&lt;VLOOKUP($C56,$C$3:$D$15,2,FALSE)*DC$21,DC57&lt;=VLOOKUP($C56,$C$3:$D$15,2,FALSE)*DC$21),IF(DC57-DB58&lt;0,0,DC57-DB58),
IF(AND(DB58&lt;VLOOKUP($C56,$C$3:$D$15,2,FALSE)*DC$21,DC57&gt;VLOOKUP($C56,$C$3:$D$15,2,FALSE)*DC$21),VLOOKUP($C56,$C$3:$D$15,2,FALSE)*DC$21-DB58)))</f>
        <v>0</v>
      </c>
      <c r="DD56" s="644">
        <f t="shared" ref="DD56" si="2329" xml:space="preserve">
IF(DC58&gt;=VLOOKUP($C56,$C$3:$D$15,2,FALSE)*DD$21,0,
IF(AND(DC58&lt;VLOOKUP($C56,$C$3:$D$15,2,FALSE)*DD$21,DD57&lt;=VLOOKUP($C56,$C$3:$D$15,2,FALSE)*DD$21),IF(DD57-DC58&lt;0,0,DD57-DC58),
IF(AND(DC58&lt;VLOOKUP($C56,$C$3:$D$15,2,FALSE)*DD$21,DD57&gt;VLOOKUP($C56,$C$3:$D$15,2,FALSE)*DD$21),VLOOKUP($C56,$C$3:$D$15,2,FALSE)*DD$21-DC58)))</f>
        <v>0</v>
      </c>
      <c r="DE56" s="644">
        <f t="shared" ref="DE56" si="2330" xml:space="preserve">
IF(DD58&gt;=VLOOKUP($C56,$C$3:$D$15,2,FALSE)*DE$21,0,
IF(AND(DD58&lt;VLOOKUP($C56,$C$3:$D$15,2,FALSE)*DE$21,DE57&lt;=VLOOKUP($C56,$C$3:$D$15,2,FALSE)*DE$21),IF(DE57-DD58&lt;0,0,DE57-DD58),
IF(AND(DD58&lt;VLOOKUP($C56,$C$3:$D$15,2,FALSE)*DE$21,DE57&gt;VLOOKUP($C56,$C$3:$D$15,2,FALSE)*DE$21),VLOOKUP($C56,$C$3:$D$15,2,FALSE)*DE$21-DD58)))</f>
        <v>0</v>
      </c>
      <c r="DF56" s="644">
        <f t="shared" ref="DF56" si="2331" xml:space="preserve">
IF(DE58&gt;=VLOOKUP($C56,$C$3:$D$15,2,FALSE)*DF$21,0,
IF(AND(DE58&lt;VLOOKUP($C56,$C$3:$D$15,2,FALSE)*DF$21,DF57&lt;=VLOOKUP($C56,$C$3:$D$15,2,FALSE)*DF$21),IF(DF57-DE58&lt;0,0,DF57-DE58),
IF(AND(DE58&lt;VLOOKUP($C56,$C$3:$D$15,2,FALSE)*DF$21,DF57&gt;VLOOKUP($C56,$C$3:$D$15,2,FALSE)*DF$21),VLOOKUP($C56,$C$3:$D$15,2,FALSE)*DF$21-DE58)))</f>
        <v>0</v>
      </c>
      <c r="DG56" s="644">
        <f t="shared" ref="DG56" si="2332" xml:space="preserve">
IF(DF58&gt;=VLOOKUP($C56,$C$3:$D$15,2,FALSE)*DG$21,0,
IF(AND(DF58&lt;VLOOKUP($C56,$C$3:$D$15,2,FALSE)*DG$21,DG57&lt;=VLOOKUP($C56,$C$3:$D$15,2,FALSE)*DG$21),IF(DG57-DF58&lt;0,0,DG57-DF58),
IF(AND(DF58&lt;VLOOKUP($C56,$C$3:$D$15,2,FALSE)*DG$21,DG57&gt;VLOOKUP($C56,$C$3:$D$15,2,FALSE)*DG$21),VLOOKUP($C56,$C$3:$D$15,2,FALSE)*DG$21-DF58)))</f>
        <v>0</v>
      </c>
      <c r="DH56" s="644">
        <f t="shared" ref="DH56" si="2333" xml:space="preserve">
IF(DG58&gt;=VLOOKUP($C56,$C$3:$D$15,2,FALSE)*DH$21,0,
IF(AND(DG58&lt;VLOOKUP($C56,$C$3:$D$15,2,FALSE)*DH$21,DH57&lt;=VLOOKUP($C56,$C$3:$D$15,2,FALSE)*DH$21),IF(DH57-DG58&lt;0,0,DH57-DG58),
IF(AND(DG58&lt;VLOOKUP($C56,$C$3:$D$15,2,FALSE)*DH$21,DH57&gt;VLOOKUP($C56,$C$3:$D$15,2,FALSE)*DH$21),VLOOKUP($C56,$C$3:$D$15,2,FALSE)*DH$21-DG58)))</f>
        <v>0</v>
      </c>
      <c r="DI56" s="644">
        <f t="shared" ref="DI56" si="2334" xml:space="preserve">
IF(DH58&gt;=VLOOKUP($C56,$C$3:$D$15,2,FALSE)*DI$21,0,
IF(AND(DH58&lt;VLOOKUP($C56,$C$3:$D$15,2,FALSE)*DI$21,DI57&lt;=VLOOKUP($C56,$C$3:$D$15,2,FALSE)*DI$21),IF(DI57-DH58&lt;0,0,DI57-DH58),
IF(AND(DH58&lt;VLOOKUP($C56,$C$3:$D$15,2,FALSE)*DI$21,DI57&gt;VLOOKUP($C56,$C$3:$D$15,2,FALSE)*DI$21),VLOOKUP($C56,$C$3:$D$15,2,FALSE)*DI$21-DH58)))</f>
        <v>0</v>
      </c>
      <c r="DJ56" s="644">
        <f t="shared" ref="DJ56" si="2335" xml:space="preserve">
IF(DI58&gt;=VLOOKUP($C56,$C$3:$D$15,2,FALSE)*DJ$21,0,
IF(AND(DI58&lt;VLOOKUP($C56,$C$3:$D$15,2,FALSE)*DJ$21,DJ57&lt;=VLOOKUP($C56,$C$3:$D$15,2,FALSE)*DJ$21),IF(DJ57-DI58&lt;0,0,DJ57-DI58),
IF(AND(DI58&lt;VLOOKUP($C56,$C$3:$D$15,2,FALSE)*DJ$21,DJ57&gt;VLOOKUP($C56,$C$3:$D$15,2,FALSE)*DJ$21),VLOOKUP($C56,$C$3:$D$15,2,FALSE)*DJ$21-DI58)))</f>
        <v>0</v>
      </c>
      <c r="DK56" s="644">
        <f t="shared" ref="DK56" si="2336" xml:space="preserve">
IF(DJ58&gt;=VLOOKUP($C56,$C$3:$D$15,2,FALSE)*DK$21,0,
IF(AND(DJ58&lt;VLOOKUP($C56,$C$3:$D$15,2,FALSE)*DK$21,DK57&lt;=VLOOKUP($C56,$C$3:$D$15,2,FALSE)*DK$21),IF(DK57-DJ58&lt;0,0,DK57-DJ58),
IF(AND(DJ58&lt;VLOOKUP($C56,$C$3:$D$15,2,FALSE)*DK$21,DK57&gt;VLOOKUP($C56,$C$3:$D$15,2,FALSE)*DK$21),VLOOKUP($C56,$C$3:$D$15,2,FALSE)*DK$21-DJ58)))</f>
        <v>0</v>
      </c>
      <c r="DL56" s="644">
        <f t="shared" ref="DL56" si="2337" xml:space="preserve">
IF(DK58&gt;=VLOOKUP($C56,$C$3:$D$15,2,FALSE)*DL$21,0,
IF(AND(DK58&lt;VLOOKUP($C56,$C$3:$D$15,2,FALSE)*DL$21,DL57&lt;=VLOOKUP($C56,$C$3:$D$15,2,FALSE)*DL$21),IF(DL57-DK58&lt;0,0,DL57-DK58),
IF(AND(DK58&lt;VLOOKUP($C56,$C$3:$D$15,2,FALSE)*DL$21,DL57&gt;VLOOKUP($C56,$C$3:$D$15,2,FALSE)*DL$21),VLOOKUP($C56,$C$3:$D$15,2,FALSE)*DL$21-DK58)))</f>
        <v>0</v>
      </c>
      <c r="DM56" s="644">
        <f t="shared" ref="DM56" si="2338" xml:space="preserve">
IF(DL58&gt;=VLOOKUP($C56,$C$3:$D$15,2,FALSE)*DM$21,0,
IF(AND(DL58&lt;VLOOKUP($C56,$C$3:$D$15,2,FALSE)*DM$21,DM57&lt;=VLOOKUP($C56,$C$3:$D$15,2,FALSE)*DM$21),IF(DM57-DL58&lt;0,0,DM57-DL58),
IF(AND(DL58&lt;VLOOKUP($C56,$C$3:$D$15,2,FALSE)*DM$21,DM57&gt;VLOOKUP($C56,$C$3:$D$15,2,FALSE)*DM$21),VLOOKUP($C56,$C$3:$D$15,2,FALSE)*DM$21-DL58)))</f>
        <v>0</v>
      </c>
      <c r="DN56" s="644">
        <f t="shared" ref="DN56" si="2339" xml:space="preserve">
IF(DM58&gt;=VLOOKUP($C56,$C$3:$D$15,2,FALSE)*DN$21,0,
IF(AND(DM58&lt;VLOOKUP($C56,$C$3:$D$15,2,FALSE)*DN$21,DN57&lt;=VLOOKUP($C56,$C$3:$D$15,2,FALSE)*DN$21),IF(DN57-DM58&lt;0,0,DN57-DM58),
IF(AND(DM58&lt;VLOOKUP($C56,$C$3:$D$15,2,FALSE)*DN$21,DN57&gt;VLOOKUP($C56,$C$3:$D$15,2,FALSE)*DN$21),VLOOKUP($C56,$C$3:$D$15,2,FALSE)*DN$21-DM58)))</f>
        <v>0</v>
      </c>
      <c r="DO56" s="644">
        <f t="shared" ref="DO56" si="2340" xml:space="preserve">
IF(DN58&gt;=VLOOKUP($C56,$C$3:$D$15,2,FALSE)*DO$21,0,
IF(AND(DN58&lt;VLOOKUP($C56,$C$3:$D$15,2,FALSE)*DO$21,DO57&lt;=VLOOKUP($C56,$C$3:$D$15,2,FALSE)*DO$21),IF(DO57-DN58&lt;0,0,DO57-DN58),
IF(AND(DN58&lt;VLOOKUP($C56,$C$3:$D$15,2,FALSE)*DO$21,DO57&gt;VLOOKUP($C56,$C$3:$D$15,2,FALSE)*DO$21),VLOOKUP($C56,$C$3:$D$15,2,FALSE)*DO$21-DN58)))</f>
        <v>0</v>
      </c>
      <c r="DP56" s="644">
        <f t="shared" ref="DP56" si="2341" xml:space="preserve">
IF(DO58&gt;=VLOOKUP($C56,$C$3:$D$15,2,FALSE)*DP$21,0,
IF(AND(DO58&lt;VLOOKUP($C56,$C$3:$D$15,2,FALSE)*DP$21,DP57&lt;=VLOOKUP($C56,$C$3:$D$15,2,FALSE)*DP$21),IF(DP57-DO58&lt;0,0,DP57-DO58),
IF(AND(DO58&lt;VLOOKUP($C56,$C$3:$D$15,2,FALSE)*DP$21,DP57&gt;VLOOKUP($C56,$C$3:$D$15,2,FALSE)*DP$21),VLOOKUP($C56,$C$3:$D$15,2,FALSE)*DP$21-DO58)))</f>
        <v>0</v>
      </c>
      <c r="DQ56" s="644">
        <f t="shared" ref="DQ56" si="2342" xml:space="preserve">
IF(DP58&gt;=VLOOKUP($C56,$C$3:$D$15,2,FALSE)*DQ$21,0,
IF(AND(DP58&lt;VLOOKUP($C56,$C$3:$D$15,2,FALSE)*DQ$21,DQ57&lt;=VLOOKUP($C56,$C$3:$D$15,2,FALSE)*DQ$21),IF(DQ57-DP58&lt;0,0,DQ57-DP58),
IF(AND(DP58&lt;VLOOKUP($C56,$C$3:$D$15,2,FALSE)*DQ$21,DQ57&gt;VLOOKUP($C56,$C$3:$D$15,2,FALSE)*DQ$21),VLOOKUP($C56,$C$3:$D$15,2,FALSE)*DQ$21-DP58)))</f>
        <v>0</v>
      </c>
      <c r="DR56" s="644">
        <f t="shared" ref="DR56" si="2343" xml:space="preserve">
IF(DQ58&gt;=VLOOKUP($C56,$C$3:$D$15,2,FALSE)*DR$21,0,
IF(AND(DQ58&lt;VLOOKUP($C56,$C$3:$D$15,2,FALSE)*DR$21,DR57&lt;=VLOOKUP($C56,$C$3:$D$15,2,FALSE)*DR$21),IF(DR57-DQ58&lt;0,0,DR57-DQ58),
IF(AND(DQ58&lt;VLOOKUP($C56,$C$3:$D$15,2,FALSE)*DR$21,DR57&gt;VLOOKUP($C56,$C$3:$D$15,2,FALSE)*DR$21),VLOOKUP($C56,$C$3:$D$15,2,FALSE)*DR$21-DQ58)))</f>
        <v>0</v>
      </c>
      <c r="DS56" s="644">
        <f t="shared" ref="DS56" si="2344" xml:space="preserve">
IF(DR58&gt;=VLOOKUP($C56,$C$3:$D$15,2,FALSE)*DS$21,0,
IF(AND(DR58&lt;VLOOKUP($C56,$C$3:$D$15,2,FALSE)*DS$21,DS57&lt;=VLOOKUP($C56,$C$3:$D$15,2,FALSE)*DS$21),IF(DS57-DR58&lt;0,0,DS57-DR58),
IF(AND(DR58&lt;VLOOKUP($C56,$C$3:$D$15,2,FALSE)*DS$21,DS57&gt;VLOOKUP($C56,$C$3:$D$15,2,FALSE)*DS$21),VLOOKUP($C56,$C$3:$D$15,2,FALSE)*DS$21-DR58)))</f>
        <v>0</v>
      </c>
      <c r="DT56" s="644">
        <f t="shared" ref="DT56" si="2345" xml:space="preserve">
IF(DS58&gt;=VLOOKUP($C56,$C$3:$D$15,2,FALSE)*DT$21,0,
IF(AND(DS58&lt;VLOOKUP($C56,$C$3:$D$15,2,FALSE)*DT$21,DT57&lt;=VLOOKUP($C56,$C$3:$D$15,2,FALSE)*DT$21),IF(DT57-DS58&lt;0,0,DT57-DS58),
IF(AND(DS58&lt;VLOOKUP($C56,$C$3:$D$15,2,FALSE)*DT$21,DT57&gt;VLOOKUP($C56,$C$3:$D$15,2,FALSE)*DT$21),VLOOKUP($C56,$C$3:$D$15,2,FALSE)*DT$21-DS58)))</f>
        <v>0</v>
      </c>
      <c r="DU56" s="644">
        <f t="shared" ref="DU56" si="2346" xml:space="preserve">
IF(DT58&gt;=VLOOKUP($C56,$C$3:$D$15,2,FALSE)*DU$21,0,
IF(AND(DT58&lt;VLOOKUP($C56,$C$3:$D$15,2,FALSE)*DU$21,DU57&lt;=VLOOKUP($C56,$C$3:$D$15,2,FALSE)*DU$21),IF(DU57-DT58&lt;0,0,DU57-DT58),
IF(AND(DT58&lt;VLOOKUP($C56,$C$3:$D$15,2,FALSE)*DU$21,DU57&gt;VLOOKUP($C56,$C$3:$D$15,2,FALSE)*DU$21),VLOOKUP($C56,$C$3:$D$15,2,FALSE)*DU$21-DT58)))</f>
        <v>0</v>
      </c>
      <c r="DV56" s="644">
        <f t="shared" ref="DV56" si="2347" xml:space="preserve">
IF(DU58&gt;=VLOOKUP($C56,$C$3:$D$15,2,FALSE)*DV$21,0,
IF(AND(DU58&lt;VLOOKUP($C56,$C$3:$D$15,2,FALSE)*DV$21,DV57&lt;=VLOOKUP($C56,$C$3:$D$15,2,FALSE)*DV$21),IF(DV57-DU58&lt;0,0,DV57-DU58),
IF(AND(DU58&lt;VLOOKUP($C56,$C$3:$D$15,2,FALSE)*DV$21,DV57&gt;VLOOKUP($C56,$C$3:$D$15,2,FALSE)*DV$21),VLOOKUP($C56,$C$3:$D$15,2,FALSE)*DV$21-DU58)))</f>
        <v>0</v>
      </c>
      <c r="DW56" s="644">
        <f t="shared" ref="DW56" si="2348" xml:space="preserve">
IF(DV58&gt;=VLOOKUP($C56,$C$3:$D$15,2,FALSE)*DW$21,0,
IF(AND(DV58&lt;VLOOKUP($C56,$C$3:$D$15,2,FALSE)*DW$21,DW57&lt;=VLOOKUP($C56,$C$3:$D$15,2,FALSE)*DW$21),IF(DW57-DV58&lt;0,0,DW57-DV58),
IF(AND(DV58&lt;VLOOKUP($C56,$C$3:$D$15,2,FALSE)*DW$21,DW57&gt;VLOOKUP($C56,$C$3:$D$15,2,FALSE)*DW$21),VLOOKUP($C56,$C$3:$D$15,2,FALSE)*DW$21-DV58)))</f>
        <v>0</v>
      </c>
      <c r="DX56" s="644">
        <f t="shared" ref="DX56" si="2349" xml:space="preserve">
IF(DW58&gt;=VLOOKUP($C56,$C$3:$D$15,2,FALSE)*DX$21,0,
IF(AND(DW58&lt;VLOOKUP($C56,$C$3:$D$15,2,FALSE)*DX$21,DX57&lt;=VLOOKUP($C56,$C$3:$D$15,2,FALSE)*DX$21),IF(DX57-DW58&lt;0,0,DX57-DW58),
IF(AND(DW58&lt;VLOOKUP($C56,$C$3:$D$15,2,FALSE)*DX$21,DX57&gt;VLOOKUP($C56,$C$3:$D$15,2,FALSE)*DX$21),VLOOKUP($C56,$C$3:$D$15,2,FALSE)*DX$21-DW58)))</f>
        <v>0</v>
      </c>
      <c r="DY56" s="644">
        <f t="shared" ref="DY56" si="2350" xml:space="preserve">
IF(DX58&gt;=VLOOKUP($C56,$C$3:$D$15,2,FALSE)*DY$21,0,
IF(AND(DX58&lt;VLOOKUP($C56,$C$3:$D$15,2,FALSE)*DY$21,DY57&lt;=VLOOKUP($C56,$C$3:$D$15,2,FALSE)*DY$21),IF(DY57-DX58&lt;0,0,DY57-DX58),
IF(AND(DX58&lt;VLOOKUP($C56,$C$3:$D$15,2,FALSE)*DY$21,DY57&gt;VLOOKUP($C56,$C$3:$D$15,2,FALSE)*DY$21),VLOOKUP($C56,$C$3:$D$15,2,FALSE)*DY$21-DX58)))</f>
        <v>0</v>
      </c>
      <c r="DZ56" s="644">
        <f t="shared" ref="DZ56" si="2351" xml:space="preserve">
IF(DY58&gt;=VLOOKUP($C56,$C$3:$D$15,2,FALSE)*DZ$21,0,
IF(AND(DY58&lt;VLOOKUP($C56,$C$3:$D$15,2,FALSE)*DZ$21,DZ57&lt;=VLOOKUP($C56,$C$3:$D$15,2,FALSE)*DZ$21),IF(DZ57-DY58&lt;0,0,DZ57-DY58),
IF(AND(DY58&lt;VLOOKUP($C56,$C$3:$D$15,2,FALSE)*DZ$21,DZ57&gt;VLOOKUP($C56,$C$3:$D$15,2,FALSE)*DZ$21),VLOOKUP($C56,$C$3:$D$15,2,FALSE)*DZ$21-DY58)))</f>
        <v>0</v>
      </c>
      <c r="EA56" s="644">
        <f t="shared" ref="EA56" si="2352" xml:space="preserve">
IF(DZ58&gt;=VLOOKUP($C56,$C$3:$D$15,2,FALSE)*EA$21,0,
IF(AND(DZ58&lt;VLOOKUP($C56,$C$3:$D$15,2,FALSE)*EA$21,EA57&lt;=VLOOKUP($C56,$C$3:$D$15,2,FALSE)*EA$21),IF(EA57-DZ58&lt;0,0,EA57-DZ58),
IF(AND(DZ58&lt;VLOOKUP($C56,$C$3:$D$15,2,FALSE)*EA$21,EA57&gt;VLOOKUP($C56,$C$3:$D$15,2,FALSE)*EA$21),VLOOKUP($C56,$C$3:$D$15,2,FALSE)*EA$21-DZ58)))</f>
        <v>0</v>
      </c>
      <c r="EB56" s="644">
        <f t="shared" ref="EB56" si="2353" xml:space="preserve">
IF(EA58&gt;=VLOOKUP($C56,$C$3:$D$15,2,FALSE)*EB$21,0,
IF(AND(EA58&lt;VLOOKUP($C56,$C$3:$D$15,2,FALSE)*EB$21,EB57&lt;=VLOOKUP($C56,$C$3:$D$15,2,FALSE)*EB$21),IF(EB57-EA58&lt;0,0,EB57-EA58),
IF(AND(EA58&lt;VLOOKUP($C56,$C$3:$D$15,2,FALSE)*EB$21,EB57&gt;VLOOKUP($C56,$C$3:$D$15,2,FALSE)*EB$21),VLOOKUP($C56,$C$3:$D$15,2,FALSE)*EB$21-EA58)))</f>
        <v>0</v>
      </c>
      <c r="EC56" s="644">
        <f t="shared" ref="EC56" si="2354" xml:space="preserve">
IF(EB58&gt;=VLOOKUP($C56,$C$3:$D$15,2,FALSE)*EC$21,0,
IF(AND(EB58&lt;VLOOKUP($C56,$C$3:$D$15,2,FALSE)*EC$21,EC57&lt;=VLOOKUP($C56,$C$3:$D$15,2,FALSE)*EC$21),IF(EC57-EB58&lt;0,0,EC57-EB58),
IF(AND(EB58&lt;VLOOKUP($C56,$C$3:$D$15,2,FALSE)*EC$21,EC57&gt;VLOOKUP($C56,$C$3:$D$15,2,FALSE)*EC$21),VLOOKUP($C56,$C$3:$D$15,2,FALSE)*EC$21-EB58)))</f>
        <v>0</v>
      </c>
      <c r="ED56" s="644">
        <f t="shared" ref="ED56" si="2355" xml:space="preserve">
IF(EC58&gt;=VLOOKUP($C56,$C$3:$D$15,2,FALSE)*ED$21,0,
IF(AND(EC58&lt;VLOOKUP($C56,$C$3:$D$15,2,FALSE)*ED$21,ED57&lt;=VLOOKUP($C56,$C$3:$D$15,2,FALSE)*ED$21),IF(ED57-EC58&lt;0,0,ED57-EC58),
IF(AND(EC58&lt;VLOOKUP($C56,$C$3:$D$15,2,FALSE)*ED$21,ED57&gt;VLOOKUP($C56,$C$3:$D$15,2,FALSE)*ED$21),VLOOKUP($C56,$C$3:$D$15,2,FALSE)*ED$21-EC58)))</f>
        <v>0</v>
      </c>
      <c r="EE56" s="644">
        <f t="shared" ref="EE56" si="2356" xml:space="preserve">
IF(ED58&gt;=VLOOKUP($C56,$C$3:$D$15,2,FALSE)*EE$21,0,
IF(AND(ED58&lt;VLOOKUP($C56,$C$3:$D$15,2,FALSE)*EE$21,EE57&lt;=VLOOKUP($C56,$C$3:$D$15,2,FALSE)*EE$21),IF(EE57-ED58&lt;0,0,EE57-ED58),
IF(AND(ED58&lt;VLOOKUP($C56,$C$3:$D$15,2,FALSE)*EE$21,EE57&gt;VLOOKUP($C56,$C$3:$D$15,2,FALSE)*EE$21),VLOOKUP($C56,$C$3:$D$15,2,FALSE)*EE$21-ED58)))</f>
        <v>0</v>
      </c>
      <c r="EF56" s="644">
        <f t="shared" ref="EF56" si="2357" xml:space="preserve">
IF(EE58&gt;=VLOOKUP($C56,$C$3:$D$15,2,FALSE)*EF$21,0,
IF(AND(EE58&lt;VLOOKUP($C56,$C$3:$D$15,2,FALSE)*EF$21,EF57&lt;=VLOOKUP($C56,$C$3:$D$15,2,FALSE)*EF$21),IF(EF57-EE58&lt;0,0,EF57-EE58),
IF(AND(EE58&lt;VLOOKUP($C56,$C$3:$D$15,2,FALSE)*EF$21,EF57&gt;VLOOKUP($C56,$C$3:$D$15,2,FALSE)*EF$21),VLOOKUP($C56,$C$3:$D$15,2,FALSE)*EF$21-EE58)))</f>
        <v>0</v>
      </c>
      <c r="EG56" s="644">
        <f t="shared" ref="EG56" si="2358" xml:space="preserve">
IF(EF58&gt;=VLOOKUP($C56,$C$3:$D$15,2,FALSE)*EG$21,0,
IF(AND(EF58&lt;VLOOKUP($C56,$C$3:$D$15,2,FALSE)*EG$21,EG57&lt;=VLOOKUP($C56,$C$3:$D$15,2,FALSE)*EG$21),IF(EG57-EF58&lt;0,0,EG57-EF58),
IF(AND(EF58&lt;VLOOKUP($C56,$C$3:$D$15,2,FALSE)*EG$21,EG57&gt;VLOOKUP($C56,$C$3:$D$15,2,FALSE)*EG$21),VLOOKUP($C56,$C$3:$D$15,2,FALSE)*EG$21-EF58)))</f>
        <v>0</v>
      </c>
      <c r="EH56" s="644">
        <f t="shared" ref="EH56" si="2359" xml:space="preserve">
IF(EG58&gt;=VLOOKUP($C56,$C$3:$D$15,2,FALSE)*EH$21,0,
IF(AND(EG58&lt;VLOOKUP($C56,$C$3:$D$15,2,FALSE)*EH$21,EH57&lt;=VLOOKUP($C56,$C$3:$D$15,2,FALSE)*EH$21),IF(EH57-EG58&lt;0,0,EH57-EG58),
IF(AND(EG58&lt;VLOOKUP($C56,$C$3:$D$15,2,FALSE)*EH$21,EH57&gt;VLOOKUP($C56,$C$3:$D$15,2,FALSE)*EH$21),VLOOKUP($C56,$C$3:$D$15,2,FALSE)*EH$21-EG58)))</f>
        <v>0</v>
      </c>
      <c r="EI56" s="644">
        <f t="shared" ref="EI56" si="2360" xml:space="preserve">
IF(EH58&gt;=VLOOKUP($C56,$C$3:$D$15,2,FALSE)*EI$21,0,
IF(AND(EH58&lt;VLOOKUP($C56,$C$3:$D$15,2,FALSE)*EI$21,EI57&lt;=VLOOKUP($C56,$C$3:$D$15,2,FALSE)*EI$21),IF(EI57-EH58&lt;0,0,EI57-EH58),
IF(AND(EH58&lt;VLOOKUP($C56,$C$3:$D$15,2,FALSE)*EI$21,EI57&gt;VLOOKUP($C56,$C$3:$D$15,2,FALSE)*EI$21),VLOOKUP($C56,$C$3:$D$15,2,FALSE)*EI$21-EH58)))</f>
        <v>0</v>
      </c>
      <c r="EJ56" s="644">
        <f t="shared" ref="EJ56" si="2361" xml:space="preserve">
IF(EI58&gt;=VLOOKUP($C56,$C$3:$D$15,2,FALSE)*EJ$21,0,
IF(AND(EI58&lt;VLOOKUP($C56,$C$3:$D$15,2,FALSE)*EJ$21,EJ57&lt;=VLOOKUP($C56,$C$3:$D$15,2,FALSE)*EJ$21),IF(EJ57-EI58&lt;0,0,EJ57-EI58),
IF(AND(EI58&lt;VLOOKUP($C56,$C$3:$D$15,2,FALSE)*EJ$21,EJ57&gt;VLOOKUP($C56,$C$3:$D$15,2,FALSE)*EJ$21),VLOOKUP($C56,$C$3:$D$15,2,FALSE)*EJ$21-EI58)))</f>
        <v>0</v>
      </c>
      <c r="EK56" s="644">
        <f t="shared" ref="EK56" si="2362" xml:space="preserve">
IF(EJ58&gt;=VLOOKUP($C56,$C$3:$D$15,2,FALSE)*EK$21,0,
IF(AND(EJ58&lt;VLOOKUP($C56,$C$3:$D$15,2,FALSE)*EK$21,EK57&lt;=VLOOKUP($C56,$C$3:$D$15,2,FALSE)*EK$21),IF(EK57-EJ58&lt;0,0,EK57-EJ58),
IF(AND(EJ58&lt;VLOOKUP($C56,$C$3:$D$15,2,FALSE)*EK$21,EK57&gt;VLOOKUP($C56,$C$3:$D$15,2,FALSE)*EK$21),VLOOKUP($C56,$C$3:$D$15,2,FALSE)*EK$21-EJ58)))</f>
        <v>0</v>
      </c>
      <c r="EL56" s="644">
        <f t="shared" ref="EL56" si="2363" xml:space="preserve">
IF(EK58&gt;=VLOOKUP($C56,$C$3:$D$15,2,FALSE)*EL$21,0,
IF(AND(EK58&lt;VLOOKUP($C56,$C$3:$D$15,2,FALSE)*EL$21,EL57&lt;=VLOOKUP($C56,$C$3:$D$15,2,FALSE)*EL$21),IF(EL57-EK58&lt;0,0,EL57-EK58),
IF(AND(EK58&lt;VLOOKUP($C56,$C$3:$D$15,2,FALSE)*EL$21,EL57&gt;VLOOKUP($C56,$C$3:$D$15,2,FALSE)*EL$21),VLOOKUP($C56,$C$3:$D$15,2,FALSE)*EL$21-EK58)))</f>
        <v>0</v>
      </c>
      <c r="EM56" s="644">
        <f t="shared" ref="EM56" si="2364" xml:space="preserve">
IF(EL58&gt;=VLOOKUP($C56,$C$3:$D$15,2,FALSE)*EM$21,0,
IF(AND(EL58&lt;VLOOKUP($C56,$C$3:$D$15,2,FALSE)*EM$21,EM57&lt;=VLOOKUP($C56,$C$3:$D$15,2,FALSE)*EM$21),IF(EM57-EL58&lt;0,0,EM57-EL58),
IF(AND(EL58&lt;VLOOKUP($C56,$C$3:$D$15,2,FALSE)*EM$21,EM57&gt;VLOOKUP($C56,$C$3:$D$15,2,FALSE)*EM$21),VLOOKUP($C56,$C$3:$D$15,2,FALSE)*EM$21-EL58)))</f>
        <v>0</v>
      </c>
      <c r="EN56" s="644">
        <f t="shared" ref="EN56" si="2365" xml:space="preserve">
IF(EM58&gt;=VLOOKUP($C56,$C$3:$D$15,2,FALSE)*EN$21,0,
IF(AND(EM58&lt;VLOOKUP($C56,$C$3:$D$15,2,FALSE)*EN$21,EN57&lt;=VLOOKUP($C56,$C$3:$D$15,2,FALSE)*EN$21),IF(EN57-EM58&lt;0,0,EN57-EM58),
IF(AND(EM58&lt;VLOOKUP($C56,$C$3:$D$15,2,FALSE)*EN$21,EN57&gt;VLOOKUP($C56,$C$3:$D$15,2,FALSE)*EN$21),VLOOKUP($C56,$C$3:$D$15,2,FALSE)*EN$21-EM58)))</f>
        <v>0</v>
      </c>
      <c r="EO56" s="644">
        <f t="shared" ref="EO56" si="2366" xml:space="preserve">
IF(EN58&gt;=VLOOKUP($C56,$C$3:$D$15,2,FALSE)*EO$21,0,
IF(AND(EN58&lt;VLOOKUP($C56,$C$3:$D$15,2,FALSE)*EO$21,EO57&lt;=VLOOKUP($C56,$C$3:$D$15,2,FALSE)*EO$21),IF(EO57-EN58&lt;0,0,EO57-EN58),
IF(AND(EN58&lt;VLOOKUP($C56,$C$3:$D$15,2,FALSE)*EO$21,EO57&gt;VLOOKUP($C56,$C$3:$D$15,2,FALSE)*EO$21),VLOOKUP($C56,$C$3:$D$15,2,FALSE)*EO$21-EN58)))</f>
        <v>0</v>
      </c>
      <c r="EP56" s="644">
        <f t="shared" ref="EP56" si="2367" xml:space="preserve">
IF(EO58&gt;=VLOOKUP($C56,$C$3:$D$15,2,FALSE)*EP$21,0,
IF(AND(EO58&lt;VLOOKUP($C56,$C$3:$D$15,2,FALSE)*EP$21,EP57&lt;=VLOOKUP($C56,$C$3:$D$15,2,FALSE)*EP$21),IF(EP57-EO58&lt;0,0,EP57-EO58),
IF(AND(EO58&lt;VLOOKUP($C56,$C$3:$D$15,2,FALSE)*EP$21,EP57&gt;VLOOKUP($C56,$C$3:$D$15,2,FALSE)*EP$21),VLOOKUP($C56,$C$3:$D$15,2,FALSE)*EP$21-EO58)))</f>
        <v>0</v>
      </c>
      <c r="EQ56" s="644">
        <f t="shared" ref="EQ56" si="2368" xml:space="preserve">
IF(EP58&gt;=VLOOKUP($C56,$C$3:$D$15,2,FALSE)*EQ$21,0,
IF(AND(EP58&lt;VLOOKUP($C56,$C$3:$D$15,2,FALSE)*EQ$21,EQ57&lt;=VLOOKUP($C56,$C$3:$D$15,2,FALSE)*EQ$21),IF(EQ57-EP58&lt;0,0,EQ57-EP58),
IF(AND(EP58&lt;VLOOKUP($C56,$C$3:$D$15,2,FALSE)*EQ$21,EQ57&gt;VLOOKUP($C56,$C$3:$D$15,2,FALSE)*EQ$21),VLOOKUP($C56,$C$3:$D$15,2,FALSE)*EQ$21-EP58)))</f>
        <v>0</v>
      </c>
      <c r="ER56" s="644">
        <f t="shared" ref="ER56" si="2369" xml:space="preserve">
IF(EQ58&gt;=VLOOKUP($C56,$C$3:$D$15,2,FALSE)*ER$21,0,
IF(AND(EQ58&lt;VLOOKUP($C56,$C$3:$D$15,2,FALSE)*ER$21,ER57&lt;=VLOOKUP($C56,$C$3:$D$15,2,FALSE)*ER$21),IF(ER57-EQ58&lt;0,0,ER57-EQ58),
IF(AND(EQ58&lt;VLOOKUP($C56,$C$3:$D$15,2,FALSE)*ER$21,ER57&gt;VLOOKUP($C56,$C$3:$D$15,2,FALSE)*ER$21),VLOOKUP($C56,$C$3:$D$15,2,FALSE)*ER$21-EQ58)))</f>
        <v>0</v>
      </c>
      <c r="ES56" s="644">
        <f t="shared" ref="ES56" si="2370" xml:space="preserve">
IF(ER58&gt;=VLOOKUP($C56,$C$3:$D$15,2,FALSE)*ES$21,0,
IF(AND(ER58&lt;VLOOKUP($C56,$C$3:$D$15,2,FALSE)*ES$21,ES57&lt;=VLOOKUP($C56,$C$3:$D$15,2,FALSE)*ES$21),IF(ES57-ER58&lt;0,0,ES57-ER58),
IF(AND(ER58&lt;VLOOKUP($C56,$C$3:$D$15,2,FALSE)*ES$21,ES57&gt;VLOOKUP($C56,$C$3:$D$15,2,FALSE)*ES$21),VLOOKUP($C56,$C$3:$D$15,2,FALSE)*ES$21-ER58)))</f>
        <v>0</v>
      </c>
      <c r="ET56" s="644">
        <f t="shared" ref="ET56" si="2371" xml:space="preserve">
IF(ES58&gt;=VLOOKUP($C56,$C$3:$D$15,2,FALSE)*ET$21,0,
IF(AND(ES58&lt;VLOOKUP($C56,$C$3:$D$15,2,FALSE)*ET$21,ET57&lt;=VLOOKUP($C56,$C$3:$D$15,2,FALSE)*ET$21),IF(ET57-ES58&lt;0,0,ET57-ES58),
IF(AND(ES58&lt;VLOOKUP($C56,$C$3:$D$15,2,FALSE)*ET$21,ET57&gt;VLOOKUP($C56,$C$3:$D$15,2,FALSE)*ET$21),VLOOKUP($C56,$C$3:$D$15,2,FALSE)*ET$21-ES58)))</f>
        <v>0</v>
      </c>
      <c r="EU56" s="644">
        <f t="shared" ref="EU56" si="2372" xml:space="preserve">
IF(ET58&gt;=VLOOKUP($C56,$C$3:$D$15,2,FALSE)*EU$21,0,
IF(AND(ET58&lt;VLOOKUP($C56,$C$3:$D$15,2,FALSE)*EU$21,EU57&lt;=VLOOKUP($C56,$C$3:$D$15,2,FALSE)*EU$21),IF(EU57-ET58&lt;0,0,EU57-ET58),
IF(AND(ET58&lt;VLOOKUP($C56,$C$3:$D$15,2,FALSE)*EU$21,EU57&gt;VLOOKUP($C56,$C$3:$D$15,2,FALSE)*EU$21),VLOOKUP($C56,$C$3:$D$15,2,FALSE)*EU$21-ET58)))</f>
        <v>0</v>
      </c>
      <c r="EV56" s="644">
        <f t="shared" ref="EV56" si="2373" xml:space="preserve">
IF(EU58&gt;=VLOOKUP($C56,$C$3:$D$15,2,FALSE)*EV$21,0,
IF(AND(EU58&lt;VLOOKUP($C56,$C$3:$D$15,2,FALSE)*EV$21,EV57&lt;=VLOOKUP($C56,$C$3:$D$15,2,FALSE)*EV$21),IF(EV57-EU58&lt;0,0,EV57-EU58),
IF(AND(EU58&lt;VLOOKUP($C56,$C$3:$D$15,2,FALSE)*EV$21,EV57&gt;VLOOKUP($C56,$C$3:$D$15,2,FALSE)*EV$21),VLOOKUP($C56,$C$3:$D$15,2,FALSE)*EV$21-EU58)))</f>
        <v>0</v>
      </c>
      <c r="EW56" s="644">
        <f t="shared" ref="EW56" si="2374" xml:space="preserve">
IF(EV58&gt;=VLOOKUP($C56,$C$3:$D$15,2,FALSE)*EW$21,0,
IF(AND(EV58&lt;VLOOKUP($C56,$C$3:$D$15,2,FALSE)*EW$21,EW57&lt;=VLOOKUP($C56,$C$3:$D$15,2,FALSE)*EW$21),IF(EW57-EV58&lt;0,0,EW57-EV58),
IF(AND(EV58&lt;VLOOKUP($C56,$C$3:$D$15,2,FALSE)*EW$21,EW57&gt;VLOOKUP($C56,$C$3:$D$15,2,FALSE)*EW$21),VLOOKUP($C56,$C$3:$D$15,2,FALSE)*EW$21-EV58)))</f>
        <v>0</v>
      </c>
      <c r="EX56" s="644">
        <f t="shared" ref="EX56" si="2375" xml:space="preserve">
IF(EW58&gt;=VLOOKUP($C56,$C$3:$D$15,2,FALSE)*EX$21,0,
IF(AND(EW58&lt;VLOOKUP($C56,$C$3:$D$15,2,FALSE)*EX$21,EX57&lt;=VLOOKUP($C56,$C$3:$D$15,2,FALSE)*EX$21),IF(EX57-EW58&lt;0,0,EX57-EW58),
IF(AND(EW58&lt;VLOOKUP($C56,$C$3:$D$15,2,FALSE)*EX$21,EX57&gt;VLOOKUP($C56,$C$3:$D$15,2,FALSE)*EX$21),VLOOKUP($C56,$C$3:$D$15,2,FALSE)*EX$21-EW58)))</f>
        <v>0</v>
      </c>
      <c r="EY56" s="644">
        <f t="shared" ref="EY56" si="2376" xml:space="preserve">
IF(EX58&gt;=VLOOKUP($C56,$C$3:$D$15,2,FALSE)*EY$21,0,
IF(AND(EX58&lt;VLOOKUP($C56,$C$3:$D$15,2,FALSE)*EY$21,EY57&lt;=VLOOKUP($C56,$C$3:$D$15,2,FALSE)*EY$21),IF(EY57-EX58&lt;0,0,EY57-EX58),
IF(AND(EX58&lt;VLOOKUP($C56,$C$3:$D$15,2,FALSE)*EY$21,EY57&gt;VLOOKUP($C56,$C$3:$D$15,2,FALSE)*EY$21),VLOOKUP($C56,$C$3:$D$15,2,FALSE)*EY$21-EX58)))</f>
        <v>0</v>
      </c>
      <c r="EZ56" s="644">
        <f t="shared" ref="EZ56" si="2377" xml:space="preserve">
IF(EY58&gt;=VLOOKUP($C56,$C$3:$D$15,2,FALSE)*EZ$21,0,
IF(AND(EY58&lt;VLOOKUP($C56,$C$3:$D$15,2,FALSE)*EZ$21,EZ57&lt;=VLOOKUP($C56,$C$3:$D$15,2,FALSE)*EZ$21),IF(EZ57-EY58&lt;0,0,EZ57-EY58),
IF(AND(EY58&lt;VLOOKUP($C56,$C$3:$D$15,2,FALSE)*EZ$21,EZ57&gt;VLOOKUP($C56,$C$3:$D$15,2,FALSE)*EZ$21),VLOOKUP($C56,$C$3:$D$15,2,FALSE)*EZ$21-EY58)))</f>
        <v>0</v>
      </c>
      <c r="FA56" s="644">
        <f t="shared" ref="FA56" si="2378" xml:space="preserve">
IF(EZ58&gt;=VLOOKUP($C56,$C$3:$D$15,2,FALSE)*FA$21,0,
IF(AND(EZ58&lt;VLOOKUP($C56,$C$3:$D$15,2,FALSE)*FA$21,FA57&lt;=VLOOKUP($C56,$C$3:$D$15,2,FALSE)*FA$21),IF(FA57-EZ58&lt;0,0,FA57-EZ58),
IF(AND(EZ58&lt;VLOOKUP($C56,$C$3:$D$15,2,FALSE)*FA$21,FA57&gt;VLOOKUP($C56,$C$3:$D$15,2,FALSE)*FA$21),VLOOKUP($C56,$C$3:$D$15,2,FALSE)*FA$21-EZ58)))</f>
        <v>0</v>
      </c>
      <c r="FB56" s="644">
        <f t="shared" ref="FB56" si="2379" xml:space="preserve">
IF(FA58&gt;=VLOOKUP($C56,$C$3:$D$15,2,FALSE)*FB$21,0,
IF(AND(FA58&lt;VLOOKUP($C56,$C$3:$D$15,2,FALSE)*FB$21,FB57&lt;=VLOOKUP($C56,$C$3:$D$15,2,FALSE)*FB$21),IF(FB57-FA58&lt;0,0,FB57-FA58),
IF(AND(FA58&lt;VLOOKUP($C56,$C$3:$D$15,2,FALSE)*FB$21,FB57&gt;VLOOKUP($C56,$C$3:$D$15,2,FALSE)*FB$21),VLOOKUP($C56,$C$3:$D$15,2,FALSE)*FB$21-FA58)))</f>
        <v>0</v>
      </c>
      <c r="FC56" s="644">
        <f t="shared" ref="FC56" si="2380" xml:space="preserve">
IF(FB58&gt;=VLOOKUP($C56,$C$3:$D$15,2,FALSE)*FC$21,0,
IF(AND(FB58&lt;VLOOKUP($C56,$C$3:$D$15,2,FALSE)*FC$21,FC57&lt;=VLOOKUP($C56,$C$3:$D$15,2,FALSE)*FC$21),IF(FC57-FB58&lt;0,0,FC57-FB58),
IF(AND(FB58&lt;VLOOKUP($C56,$C$3:$D$15,2,FALSE)*FC$21,FC57&gt;VLOOKUP($C56,$C$3:$D$15,2,FALSE)*FC$21),VLOOKUP($C56,$C$3:$D$15,2,FALSE)*FC$21-FB58)))</f>
        <v>0</v>
      </c>
      <c r="FD56" s="644">
        <f t="shared" ref="FD56" si="2381" xml:space="preserve">
IF(FC58&gt;=VLOOKUP($C56,$C$3:$D$15,2,FALSE)*FD$21,0,
IF(AND(FC58&lt;VLOOKUP($C56,$C$3:$D$15,2,FALSE)*FD$21,FD57&lt;=VLOOKUP($C56,$C$3:$D$15,2,FALSE)*FD$21),IF(FD57-FC58&lt;0,0,FD57-FC58),
IF(AND(FC58&lt;VLOOKUP($C56,$C$3:$D$15,2,FALSE)*FD$21,FD57&gt;VLOOKUP($C56,$C$3:$D$15,2,FALSE)*FD$21),VLOOKUP($C56,$C$3:$D$15,2,FALSE)*FD$21-FC58)))</f>
        <v>0</v>
      </c>
      <c r="FE56" s="644">
        <f t="shared" ref="FE56" si="2382" xml:space="preserve">
IF(FD58&gt;=VLOOKUP($C56,$C$3:$D$15,2,FALSE)*FE$21,0,
IF(AND(FD58&lt;VLOOKUP($C56,$C$3:$D$15,2,FALSE)*FE$21,FE57&lt;=VLOOKUP($C56,$C$3:$D$15,2,FALSE)*FE$21),IF(FE57-FD58&lt;0,0,FE57-FD58),
IF(AND(FD58&lt;VLOOKUP($C56,$C$3:$D$15,2,FALSE)*FE$21,FE57&gt;VLOOKUP($C56,$C$3:$D$15,2,FALSE)*FE$21),VLOOKUP($C56,$C$3:$D$15,2,FALSE)*FE$21-FD58)))</f>
        <v>0</v>
      </c>
      <c r="FF56" s="644">
        <f t="shared" ref="FF56" si="2383" xml:space="preserve">
IF(FE58&gt;=VLOOKUP($C56,$C$3:$D$15,2,FALSE)*FF$21,0,
IF(AND(FE58&lt;VLOOKUP($C56,$C$3:$D$15,2,FALSE)*FF$21,FF57&lt;=VLOOKUP($C56,$C$3:$D$15,2,FALSE)*FF$21),IF(FF57-FE58&lt;0,0,FF57-FE58),
IF(AND(FE58&lt;VLOOKUP($C56,$C$3:$D$15,2,FALSE)*FF$21,FF57&gt;VLOOKUP($C56,$C$3:$D$15,2,FALSE)*FF$21),VLOOKUP($C56,$C$3:$D$15,2,FALSE)*FF$21-FE58)))</f>
        <v>0</v>
      </c>
      <c r="FG56" s="644">
        <f t="shared" ref="FG56" si="2384" xml:space="preserve">
IF(FF58&gt;=VLOOKUP($C56,$C$3:$D$15,2,FALSE)*FG$21,0,
IF(AND(FF58&lt;VLOOKUP($C56,$C$3:$D$15,2,FALSE)*FG$21,FG57&lt;=VLOOKUP($C56,$C$3:$D$15,2,FALSE)*FG$21),IF(FG57-FF58&lt;0,0,FG57-FF58),
IF(AND(FF58&lt;VLOOKUP($C56,$C$3:$D$15,2,FALSE)*FG$21,FG57&gt;VLOOKUP($C56,$C$3:$D$15,2,FALSE)*FG$21),VLOOKUP($C56,$C$3:$D$15,2,FALSE)*FG$21-FF58)))</f>
        <v>0</v>
      </c>
      <c r="FH56" s="644">
        <f t="shared" ref="FH56" si="2385" xml:space="preserve">
IF(FG58&gt;=VLOOKUP($C56,$C$3:$D$15,2,FALSE)*FH$21,0,
IF(AND(FG58&lt;VLOOKUP($C56,$C$3:$D$15,2,FALSE)*FH$21,FH57&lt;=VLOOKUP($C56,$C$3:$D$15,2,FALSE)*FH$21),IF(FH57-FG58&lt;0,0,FH57-FG58),
IF(AND(FG58&lt;VLOOKUP($C56,$C$3:$D$15,2,FALSE)*FH$21,FH57&gt;VLOOKUP($C56,$C$3:$D$15,2,FALSE)*FH$21),VLOOKUP($C56,$C$3:$D$15,2,FALSE)*FH$21-FG58)))</f>
        <v>0</v>
      </c>
      <c r="FI56" s="644">
        <f t="shared" ref="FI56" si="2386" xml:space="preserve">
IF(FH58&gt;=VLOOKUP($C56,$C$3:$D$15,2,FALSE)*FI$21,0,
IF(AND(FH58&lt;VLOOKUP($C56,$C$3:$D$15,2,FALSE)*FI$21,FI57&lt;=VLOOKUP($C56,$C$3:$D$15,2,FALSE)*FI$21),IF(FI57-FH58&lt;0,0,FI57-FH58),
IF(AND(FH58&lt;VLOOKUP($C56,$C$3:$D$15,2,FALSE)*FI$21,FI57&gt;VLOOKUP($C56,$C$3:$D$15,2,FALSE)*FI$21),VLOOKUP($C56,$C$3:$D$15,2,FALSE)*FI$21-FH58)))</f>
        <v>0</v>
      </c>
      <c r="FJ56" s="644">
        <f t="shared" ref="FJ56" si="2387" xml:space="preserve">
IF(FI58&gt;=VLOOKUP($C56,$C$3:$D$15,2,FALSE)*FJ$21,0,
IF(AND(FI58&lt;VLOOKUP($C56,$C$3:$D$15,2,FALSE)*FJ$21,FJ57&lt;=VLOOKUP($C56,$C$3:$D$15,2,FALSE)*FJ$21),IF(FJ57-FI58&lt;0,0,FJ57-FI58),
IF(AND(FI58&lt;VLOOKUP($C56,$C$3:$D$15,2,FALSE)*FJ$21,FJ57&gt;VLOOKUP($C56,$C$3:$D$15,2,FALSE)*FJ$21),VLOOKUP($C56,$C$3:$D$15,2,FALSE)*FJ$21-FI58)))</f>
        <v>0</v>
      </c>
      <c r="FK56" s="644">
        <f t="shared" ref="FK56" si="2388" xml:space="preserve">
IF(FJ58&gt;=VLOOKUP($C56,$C$3:$D$15,2,FALSE)*FK$21,0,
IF(AND(FJ58&lt;VLOOKUP($C56,$C$3:$D$15,2,FALSE)*FK$21,FK57&lt;=VLOOKUP($C56,$C$3:$D$15,2,FALSE)*FK$21),IF(FK57-FJ58&lt;0,0,FK57-FJ58),
IF(AND(FJ58&lt;VLOOKUP($C56,$C$3:$D$15,2,FALSE)*FK$21,FK57&gt;VLOOKUP($C56,$C$3:$D$15,2,FALSE)*FK$21),VLOOKUP($C56,$C$3:$D$15,2,FALSE)*FK$21-FJ58)))</f>
        <v>0</v>
      </c>
      <c r="FL56" s="644">
        <f t="shared" ref="FL56" si="2389" xml:space="preserve">
IF(FK58&gt;=VLOOKUP($C56,$C$3:$D$15,2,FALSE)*FL$21,0,
IF(AND(FK58&lt;VLOOKUP($C56,$C$3:$D$15,2,FALSE)*FL$21,FL57&lt;=VLOOKUP($C56,$C$3:$D$15,2,FALSE)*FL$21),IF(FL57-FK58&lt;0,0,FL57-FK58),
IF(AND(FK58&lt;VLOOKUP($C56,$C$3:$D$15,2,FALSE)*FL$21,FL57&gt;VLOOKUP($C56,$C$3:$D$15,2,FALSE)*FL$21),VLOOKUP($C56,$C$3:$D$15,2,FALSE)*FL$21-FK58)))</f>
        <v>0</v>
      </c>
      <c r="FM56" s="644">
        <f t="shared" ref="FM56" si="2390" xml:space="preserve">
IF(FL58&gt;=VLOOKUP($C56,$C$3:$D$15,2,FALSE)*FM$21,0,
IF(AND(FL58&lt;VLOOKUP($C56,$C$3:$D$15,2,FALSE)*FM$21,FM57&lt;=VLOOKUP($C56,$C$3:$D$15,2,FALSE)*FM$21),IF(FM57-FL58&lt;0,0,FM57-FL58),
IF(AND(FL58&lt;VLOOKUP($C56,$C$3:$D$15,2,FALSE)*FM$21,FM57&gt;VLOOKUP($C56,$C$3:$D$15,2,FALSE)*FM$21),VLOOKUP($C56,$C$3:$D$15,2,FALSE)*FM$21-FL58)))</f>
        <v>0</v>
      </c>
      <c r="FN56" s="644">
        <f t="shared" ref="FN56" si="2391" xml:space="preserve">
IF(FM58&gt;=VLOOKUP($C56,$C$3:$D$15,2,FALSE)*FN$21,0,
IF(AND(FM58&lt;VLOOKUP($C56,$C$3:$D$15,2,FALSE)*FN$21,FN57&lt;=VLOOKUP($C56,$C$3:$D$15,2,FALSE)*FN$21),IF(FN57-FM58&lt;0,0,FN57-FM58),
IF(AND(FM58&lt;VLOOKUP($C56,$C$3:$D$15,2,FALSE)*FN$21,FN57&gt;VLOOKUP($C56,$C$3:$D$15,2,FALSE)*FN$21),VLOOKUP($C56,$C$3:$D$15,2,FALSE)*FN$21-FM58)))</f>
        <v>0</v>
      </c>
      <c r="FO56" s="644">
        <f t="shared" ref="FO56" si="2392" xml:space="preserve">
IF(FN58&gt;=VLOOKUP($C56,$C$3:$D$15,2,FALSE)*FO$21,0,
IF(AND(FN58&lt;VLOOKUP($C56,$C$3:$D$15,2,FALSE)*FO$21,FO57&lt;=VLOOKUP($C56,$C$3:$D$15,2,FALSE)*FO$21),IF(FO57-FN58&lt;0,0,FO57-FN58),
IF(AND(FN58&lt;VLOOKUP($C56,$C$3:$D$15,2,FALSE)*FO$21,FO57&gt;VLOOKUP($C56,$C$3:$D$15,2,FALSE)*FO$21),VLOOKUP($C56,$C$3:$D$15,2,FALSE)*FO$21-FN58)))</f>
        <v>0</v>
      </c>
      <c r="FP56" s="644">
        <f t="shared" ref="FP56" si="2393" xml:space="preserve">
IF(FO58&gt;=VLOOKUP($C56,$C$3:$D$15,2,FALSE)*FP$21,0,
IF(AND(FO58&lt;VLOOKUP($C56,$C$3:$D$15,2,FALSE)*FP$21,FP57&lt;=VLOOKUP($C56,$C$3:$D$15,2,FALSE)*FP$21),IF(FP57-FO58&lt;0,0,FP57-FO58),
IF(AND(FO58&lt;VLOOKUP($C56,$C$3:$D$15,2,FALSE)*FP$21,FP57&gt;VLOOKUP($C56,$C$3:$D$15,2,FALSE)*FP$21),VLOOKUP($C56,$C$3:$D$15,2,FALSE)*FP$21-FO58)))</f>
        <v>0</v>
      </c>
      <c r="FQ56" s="644">
        <f t="shared" ref="FQ56" si="2394" xml:space="preserve">
IF(FP58&gt;=VLOOKUP($C56,$C$3:$D$15,2,FALSE)*FQ$21,0,
IF(AND(FP58&lt;VLOOKUP($C56,$C$3:$D$15,2,FALSE)*FQ$21,FQ57&lt;=VLOOKUP($C56,$C$3:$D$15,2,FALSE)*FQ$21),IF(FQ57-FP58&lt;0,0,FQ57-FP58),
IF(AND(FP58&lt;VLOOKUP($C56,$C$3:$D$15,2,FALSE)*FQ$21,FQ57&gt;VLOOKUP($C56,$C$3:$D$15,2,FALSE)*FQ$21),VLOOKUP($C56,$C$3:$D$15,2,FALSE)*FQ$21-FP58)))</f>
        <v>0</v>
      </c>
      <c r="FR56" s="644">
        <f t="shared" ref="FR56" si="2395" xml:space="preserve">
IF(FQ58&gt;=VLOOKUP($C56,$C$3:$D$15,2,FALSE)*FR$21,0,
IF(AND(FQ58&lt;VLOOKUP($C56,$C$3:$D$15,2,FALSE)*FR$21,FR57&lt;=VLOOKUP($C56,$C$3:$D$15,2,FALSE)*FR$21),IF(FR57-FQ58&lt;0,0,FR57-FQ58),
IF(AND(FQ58&lt;VLOOKUP($C56,$C$3:$D$15,2,FALSE)*FR$21,FR57&gt;VLOOKUP($C56,$C$3:$D$15,2,FALSE)*FR$21),VLOOKUP($C56,$C$3:$D$15,2,FALSE)*FR$21-FQ58)))</f>
        <v>0</v>
      </c>
      <c r="FS56" s="644">
        <f t="shared" ref="FS56" si="2396" xml:space="preserve">
IF(FR58&gt;=VLOOKUP($C56,$C$3:$D$15,2,FALSE)*FS$21,0,
IF(AND(FR58&lt;VLOOKUP($C56,$C$3:$D$15,2,FALSE)*FS$21,FS57&lt;=VLOOKUP($C56,$C$3:$D$15,2,FALSE)*FS$21),IF(FS57-FR58&lt;0,0,FS57-FR58),
IF(AND(FR58&lt;VLOOKUP($C56,$C$3:$D$15,2,FALSE)*FS$21,FS57&gt;VLOOKUP($C56,$C$3:$D$15,2,FALSE)*FS$21),VLOOKUP($C56,$C$3:$D$15,2,FALSE)*FS$21-FR58)))</f>
        <v>0</v>
      </c>
      <c r="FT56" s="644">
        <f t="shared" ref="FT56" si="2397" xml:space="preserve">
IF(FS58&gt;=VLOOKUP($C56,$C$3:$D$15,2,FALSE)*FT$21,0,
IF(AND(FS58&lt;VLOOKUP($C56,$C$3:$D$15,2,FALSE)*FT$21,FT57&lt;=VLOOKUP($C56,$C$3:$D$15,2,FALSE)*FT$21),IF(FT57-FS58&lt;0,0,FT57-FS58),
IF(AND(FS58&lt;VLOOKUP($C56,$C$3:$D$15,2,FALSE)*FT$21,FT57&gt;VLOOKUP($C56,$C$3:$D$15,2,FALSE)*FT$21),VLOOKUP($C56,$C$3:$D$15,2,FALSE)*FT$21-FS58)))</f>
        <v>0</v>
      </c>
      <c r="FU56" s="644">
        <f t="shared" ref="FU56" si="2398" xml:space="preserve">
IF(FT58&gt;=VLOOKUP($C56,$C$3:$D$15,2,FALSE)*FU$21,0,
IF(AND(FT58&lt;VLOOKUP($C56,$C$3:$D$15,2,FALSE)*FU$21,FU57&lt;=VLOOKUP($C56,$C$3:$D$15,2,FALSE)*FU$21),IF(FU57-FT58&lt;0,0,FU57-FT58),
IF(AND(FT58&lt;VLOOKUP($C56,$C$3:$D$15,2,FALSE)*FU$21,FU57&gt;VLOOKUP($C56,$C$3:$D$15,2,FALSE)*FU$21),VLOOKUP($C56,$C$3:$D$15,2,FALSE)*FU$21-FT58)))</f>
        <v>0</v>
      </c>
      <c r="FV56" s="644">
        <f t="shared" ref="FV56" si="2399" xml:space="preserve">
IF(FU58&gt;=VLOOKUP($C56,$C$3:$D$15,2,FALSE)*FV$21,0,
IF(AND(FU58&lt;VLOOKUP($C56,$C$3:$D$15,2,FALSE)*FV$21,FV57&lt;=VLOOKUP($C56,$C$3:$D$15,2,FALSE)*FV$21),IF(FV57-FU58&lt;0,0,FV57-FU58),
IF(AND(FU58&lt;VLOOKUP($C56,$C$3:$D$15,2,FALSE)*FV$21,FV57&gt;VLOOKUP($C56,$C$3:$D$15,2,FALSE)*FV$21),VLOOKUP($C56,$C$3:$D$15,2,FALSE)*FV$21-FU58)))</f>
        <v>0</v>
      </c>
      <c r="FW56" s="644">
        <f t="shared" ref="FW56" si="2400" xml:space="preserve">
IF(FV58&gt;=VLOOKUP($C56,$C$3:$D$15,2,FALSE)*FW$21,0,
IF(AND(FV58&lt;VLOOKUP($C56,$C$3:$D$15,2,FALSE)*FW$21,FW57&lt;=VLOOKUP($C56,$C$3:$D$15,2,FALSE)*FW$21),IF(FW57-FV58&lt;0,0,FW57-FV58),
IF(AND(FV58&lt;VLOOKUP($C56,$C$3:$D$15,2,FALSE)*FW$21,FW57&gt;VLOOKUP($C56,$C$3:$D$15,2,FALSE)*FW$21),VLOOKUP($C56,$C$3:$D$15,2,FALSE)*FW$21-FV58)))</f>
        <v>0</v>
      </c>
      <c r="FX56" s="644">
        <f t="shared" ref="FX56" si="2401" xml:space="preserve">
IF(FW58&gt;=VLOOKUP($C56,$C$3:$D$15,2,FALSE)*FX$21,0,
IF(AND(FW58&lt;VLOOKUP($C56,$C$3:$D$15,2,FALSE)*FX$21,FX57&lt;=VLOOKUP($C56,$C$3:$D$15,2,FALSE)*FX$21),IF(FX57-FW58&lt;0,0,FX57-FW58),
IF(AND(FW58&lt;VLOOKUP($C56,$C$3:$D$15,2,FALSE)*FX$21,FX57&gt;VLOOKUP($C56,$C$3:$D$15,2,FALSE)*FX$21),VLOOKUP($C56,$C$3:$D$15,2,FALSE)*FX$21-FW58)))</f>
        <v>0</v>
      </c>
      <c r="FY56" s="644">
        <f t="shared" ref="FY56" si="2402" xml:space="preserve">
IF(FX58&gt;=VLOOKUP($C56,$C$3:$D$15,2,FALSE)*FY$21,0,
IF(AND(FX58&lt;VLOOKUP($C56,$C$3:$D$15,2,FALSE)*FY$21,FY57&lt;=VLOOKUP($C56,$C$3:$D$15,2,FALSE)*FY$21),IF(FY57-FX58&lt;0,0,FY57-FX58),
IF(AND(FX58&lt;VLOOKUP($C56,$C$3:$D$15,2,FALSE)*FY$21,FY57&gt;VLOOKUP($C56,$C$3:$D$15,2,FALSE)*FY$21),VLOOKUP($C56,$C$3:$D$15,2,FALSE)*FY$21-FX58)))</f>
        <v>0</v>
      </c>
      <c r="FZ56" s="644">
        <f t="shared" ref="FZ56" si="2403" xml:space="preserve">
IF(FY58&gt;=VLOOKUP($C56,$C$3:$D$15,2,FALSE)*FZ$21,0,
IF(AND(FY58&lt;VLOOKUP($C56,$C$3:$D$15,2,FALSE)*FZ$21,FZ57&lt;=VLOOKUP($C56,$C$3:$D$15,2,FALSE)*FZ$21),IF(FZ57-FY58&lt;0,0,FZ57-FY58),
IF(AND(FY58&lt;VLOOKUP($C56,$C$3:$D$15,2,FALSE)*FZ$21,FZ57&gt;VLOOKUP($C56,$C$3:$D$15,2,FALSE)*FZ$21),VLOOKUP($C56,$C$3:$D$15,2,FALSE)*FZ$21-FY58)))</f>
        <v>0</v>
      </c>
      <c r="GA56" s="644">
        <f t="shared" ref="GA56" si="2404" xml:space="preserve">
IF(FZ58&gt;=VLOOKUP($C56,$C$3:$D$15,2,FALSE)*GA$21,0,
IF(AND(FZ58&lt;VLOOKUP($C56,$C$3:$D$15,2,FALSE)*GA$21,GA57&lt;=VLOOKUP($C56,$C$3:$D$15,2,FALSE)*GA$21),IF(GA57-FZ58&lt;0,0,GA57-FZ58),
IF(AND(FZ58&lt;VLOOKUP($C56,$C$3:$D$15,2,FALSE)*GA$21,GA57&gt;VLOOKUP($C56,$C$3:$D$15,2,FALSE)*GA$21),VLOOKUP($C56,$C$3:$D$15,2,FALSE)*GA$21-FZ58)))</f>
        <v>0</v>
      </c>
      <c r="GB56" s="644">
        <f t="shared" ref="GB56" si="2405" xml:space="preserve">
IF(GA58&gt;=VLOOKUP($C56,$C$3:$D$15,2,FALSE)*GB$21,0,
IF(AND(GA58&lt;VLOOKUP($C56,$C$3:$D$15,2,FALSE)*GB$21,GB57&lt;=VLOOKUP($C56,$C$3:$D$15,2,FALSE)*GB$21),IF(GB57-GA58&lt;0,0,GB57-GA58),
IF(AND(GA58&lt;VLOOKUP($C56,$C$3:$D$15,2,FALSE)*GB$21,GB57&gt;VLOOKUP($C56,$C$3:$D$15,2,FALSE)*GB$21),VLOOKUP($C56,$C$3:$D$15,2,FALSE)*GB$21-GA58)))</f>
        <v>0</v>
      </c>
      <c r="GC56" s="644">
        <f t="shared" ref="GC56" si="2406" xml:space="preserve">
IF(GB58&gt;=VLOOKUP($C56,$C$3:$D$15,2,FALSE)*GC$21,0,
IF(AND(GB58&lt;VLOOKUP($C56,$C$3:$D$15,2,FALSE)*GC$21,GC57&lt;=VLOOKUP($C56,$C$3:$D$15,2,FALSE)*GC$21),IF(GC57-GB58&lt;0,0,GC57-GB58),
IF(AND(GB58&lt;VLOOKUP($C56,$C$3:$D$15,2,FALSE)*GC$21,GC57&gt;VLOOKUP($C56,$C$3:$D$15,2,FALSE)*GC$21),VLOOKUP($C56,$C$3:$D$15,2,FALSE)*GC$21-GB58)))</f>
        <v>0</v>
      </c>
      <c r="GD56" s="644">
        <f t="shared" ref="GD56" si="2407" xml:space="preserve">
IF(GC58&gt;=VLOOKUP($C56,$C$3:$D$15,2,FALSE)*GD$21,0,
IF(AND(GC58&lt;VLOOKUP($C56,$C$3:$D$15,2,FALSE)*GD$21,GD57&lt;=VLOOKUP($C56,$C$3:$D$15,2,FALSE)*GD$21),IF(GD57-GC58&lt;0,0,GD57-GC58),
IF(AND(GC58&lt;VLOOKUP($C56,$C$3:$D$15,2,FALSE)*GD$21,GD57&gt;VLOOKUP($C56,$C$3:$D$15,2,FALSE)*GD$21),VLOOKUP($C56,$C$3:$D$15,2,FALSE)*GD$21-GC58)))</f>
        <v>0</v>
      </c>
      <c r="GE56" s="644">
        <f t="shared" ref="GE56" si="2408" xml:space="preserve">
IF(GD58&gt;=VLOOKUP($C56,$C$3:$D$15,2,FALSE)*GE$21,0,
IF(AND(GD58&lt;VLOOKUP($C56,$C$3:$D$15,2,FALSE)*GE$21,GE57&lt;=VLOOKUP($C56,$C$3:$D$15,2,FALSE)*GE$21),IF(GE57-GD58&lt;0,0,GE57-GD58),
IF(AND(GD58&lt;VLOOKUP($C56,$C$3:$D$15,2,FALSE)*GE$21,GE57&gt;VLOOKUP($C56,$C$3:$D$15,2,FALSE)*GE$21),VLOOKUP($C56,$C$3:$D$15,2,FALSE)*GE$21-GD58)))</f>
        <v>0</v>
      </c>
      <c r="GF56" s="644">
        <f t="shared" ref="GF56" si="2409" xml:space="preserve">
IF(GE58&gt;=VLOOKUP($C56,$C$3:$D$15,2,FALSE)*GF$21,0,
IF(AND(GE58&lt;VLOOKUP($C56,$C$3:$D$15,2,FALSE)*GF$21,GF57&lt;=VLOOKUP($C56,$C$3:$D$15,2,FALSE)*GF$21),IF(GF57-GE58&lt;0,0,GF57-GE58),
IF(AND(GE58&lt;VLOOKUP($C56,$C$3:$D$15,2,FALSE)*GF$21,GF57&gt;VLOOKUP($C56,$C$3:$D$15,2,FALSE)*GF$21),VLOOKUP($C56,$C$3:$D$15,2,FALSE)*GF$21-GE58)))</f>
        <v>0</v>
      </c>
      <c r="GG56" s="644">
        <f t="shared" ref="GG56" si="2410" xml:space="preserve">
IF(GF58&gt;=VLOOKUP($C56,$C$3:$D$15,2,FALSE)*GG$21,0,
IF(AND(GF58&lt;VLOOKUP($C56,$C$3:$D$15,2,FALSE)*GG$21,GG57&lt;=VLOOKUP($C56,$C$3:$D$15,2,FALSE)*GG$21),IF(GG57-GF58&lt;0,0,GG57-GF58),
IF(AND(GF58&lt;VLOOKUP($C56,$C$3:$D$15,2,FALSE)*GG$21,GG57&gt;VLOOKUP($C56,$C$3:$D$15,2,FALSE)*GG$21),VLOOKUP($C56,$C$3:$D$15,2,FALSE)*GG$21-GF58)))</f>
        <v>0</v>
      </c>
      <c r="GH56" s="644">
        <f t="shared" ref="GH56" si="2411" xml:space="preserve">
IF(GG58&gt;=VLOOKUP($C56,$C$3:$D$15,2,FALSE)*GH$21,0,
IF(AND(GG58&lt;VLOOKUP($C56,$C$3:$D$15,2,FALSE)*GH$21,GH57&lt;=VLOOKUP($C56,$C$3:$D$15,2,FALSE)*GH$21),IF(GH57-GG58&lt;0,0,GH57-GG58),
IF(AND(GG58&lt;VLOOKUP($C56,$C$3:$D$15,2,FALSE)*GH$21,GH57&gt;VLOOKUP($C56,$C$3:$D$15,2,FALSE)*GH$21),VLOOKUP($C56,$C$3:$D$15,2,FALSE)*GH$21-GG58)))</f>
        <v>0</v>
      </c>
      <c r="GI56" s="644">
        <f t="shared" ref="GI56" si="2412" xml:space="preserve">
IF(GH58&gt;=VLOOKUP($C56,$C$3:$D$15,2,FALSE)*GI$21,0,
IF(AND(GH58&lt;VLOOKUP($C56,$C$3:$D$15,2,FALSE)*GI$21,GI57&lt;=VLOOKUP($C56,$C$3:$D$15,2,FALSE)*GI$21),IF(GI57-GH58&lt;0,0,GI57-GH58),
IF(AND(GH58&lt;VLOOKUP($C56,$C$3:$D$15,2,FALSE)*GI$21,GI57&gt;VLOOKUP($C56,$C$3:$D$15,2,FALSE)*GI$21),VLOOKUP($C56,$C$3:$D$15,2,FALSE)*GI$21-GH58)))</f>
        <v>0</v>
      </c>
      <c r="GJ56" s="644">
        <f t="shared" ref="GJ56" si="2413" xml:space="preserve">
IF(GI58&gt;=VLOOKUP($C56,$C$3:$D$15,2,FALSE)*GJ$21,0,
IF(AND(GI58&lt;VLOOKUP($C56,$C$3:$D$15,2,FALSE)*GJ$21,GJ57&lt;=VLOOKUP($C56,$C$3:$D$15,2,FALSE)*GJ$21),IF(GJ57-GI58&lt;0,0,GJ57-GI58),
IF(AND(GI58&lt;VLOOKUP($C56,$C$3:$D$15,2,FALSE)*GJ$21,GJ57&gt;VLOOKUP($C56,$C$3:$D$15,2,FALSE)*GJ$21),VLOOKUP($C56,$C$3:$D$15,2,FALSE)*GJ$21-GI58)))</f>
        <v>0</v>
      </c>
    </row>
    <row r="57" spans="2:192" s="645" customFormat="1">
      <c r="B57" s="654"/>
      <c r="C57" s="643"/>
      <c r="D57" s="769" t="s">
        <v>1467</v>
      </c>
      <c r="E57" s="774"/>
      <c r="F57" s="707"/>
      <c r="G57" s="644">
        <f>SUMIF(防護具!$Y$30:$Y$212,G$17&amp;$C56,防護具!$Q$30:$Q$212)</f>
        <v>0</v>
      </c>
      <c r="H57" s="644">
        <f>IFERROR(
SUM(G57,SUMIF(防護具!$Y$30:$Y$212,H$17&amp;$C56,防護具!$Q$30:$Q$212))-G56,0)</f>
        <v>0</v>
      </c>
      <c r="I57" s="644">
        <f>IFERROR(
SUM(H57,SUMIF(防護具!$Y$30:$Y$212,I$17&amp;$C56,防護具!$Q$30:$Q$212))-H56,0)</f>
        <v>0</v>
      </c>
      <c r="J57" s="644">
        <f>IFERROR(
SUM(I57,SUMIF(防護具!$Y$30:$Y$212,J$17&amp;$C56,防護具!$Q$30:$Q$212))-I56,0)</f>
        <v>0</v>
      </c>
      <c r="K57" s="644">
        <f>IFERROR(
SUM(J57,SUMIF(防護具!$Y$30:$Y$212,K$17&amp;$C56,防護具!$Q$30:$Q$212))-J56,0)</f>
        <v>0</v>
      </c>
      <c r="L57" s="644">
        <f>IFERROR(
SUM(K57,SUMIF(防護具!$Y$30:$Y$212,L$17&amp;$C56,防護具!$Q$30:$Q$212))-K56,0)</f>
        <v>0</v>
      </c>
      <c r="M57" s="644">
        <f>IFERROR(
SUM(L57,SUMIF(防護具!$Y$30:$Y$212,M$17&amp;$C56,防護具!$Q$30:$Q$212))-L56,0)</f>
        <v>0</v>
      </c>
      <c r="N57" s="644">
        <f>IFERROR(
SUM(M57,SUMIF(防護具!$Y$30:$Y$212,N$17&amp;$C56,防護具!$Q$30:$Q$212))-M56,0)</f>
        <v>0</v>
      </c>
      <c r="O57" s="644">
        <f>IFERROR(
SUM(N57,SUMIF(防護具!$Y$30:$Y$212,O$17&amp;$C56,防護具!$Q$30:$Q$212))-N56,0)</f>
        <v>0</v>
      </c>
      <c r="P57" s="644">
        <f>IFERROR(
SUM(O57,SUMIF(防護具!$Y$30:$Y$212,P$17&amp;$C56,防護具!$Q$30:$Q$212))-O56,0)</f>
        <v>0</v>
      </c>
      <c r="Q57" s="644">
        <f>IFERROR(
SUM(P57,SUMIF(防護具!$Y$30:$Y$212,Q$17&amp;$C56,防護具!$Q$30:$Q$212))-P56,0)</f>
        <v>0</v>
      </c>
      <c r="R57" s="644">
        <f>IFERROR(
SUM(Q57,SUMIF(防護具!$Y$30:$Y$212,R$17&amp;$C56,防護具!$Q$30:$Q$212))-Q56,0)</f>
        <v>0</v>
      </c>
      <c r="S57" s="644">
        <f>IFERROR(
SUM(R57,SUMIF(防護具!$Y$30:$Y$212,S$17&amp;$C56,防護具!$Q$30:$Q$212))-R56,0)</f>
        <v>0</v>
      </c>
      <c r="T57" s="644">
        <f>IFERROR(
SUM(S57,SUMIF(防護具!$Y$30:$Y$212,T$17&amp;$C56,防護具!$Q$30:$Q$212))-S56,0)</f>
        <v>0</v>
      </c>
      <c r="U57" s="644">
        <f>IFERROR(
SUM(T57,SUMIF(防護具!$Y$30:$Y$212,U$17&amp;$C56,防護具!$Q$30:$Q$212))-T56,0)</f>
        <v>0</v>
      </c>
      <c r="V57" s="644">
        <f>IFERROR(
SUM(U57,SUMIF(防護具!$Y$30:$Y$212,V$17&amp;$C56,防護具!$Q$30:$Q$212))-U56,0)</f>
        <v>0</v>
      </c>
      <c r="W57" s="644">
        <f>IFERROR(
SUM(V57,SUMIF(防護具!$Y$30:$Y$212,W$17&amp;$C56,防護具!$Q$30:$Q$212))-V56,0)</f>
        <v>0</v>
      </c>
      <c r="X57" s="644">
        <f>IFERROR(
SUM(W57,SUMIF(防護具!$Y$30:$Y$212,X$17&amp;$C56,防護具!$Q$30:$Q$212))-W56,0)</f>
        <v>0</v>
      </c>
      <c r="Y57" s="644">
        <f>IFERROR(
SUM(X57,SUMIF(防護具!$Y$30:$Y$212,Y$17&amp;$C56,防護具!$Q$30:$Q$212))-X56,0)</f>
        <v>0</v>
      </c>
      <c r="Z57" s="644">
        <f>IFERROR(
SUM(Y57,SUMIF(防護具!$Y$30:$Y$212,Z$17&amp;$C56,防護具!$Q$30:$Q$212))-Y56,0)</f>
        <v>0</v>
      </c>
      <c r="AA57" s="644">
        <f>IFERROR(
SUM(Z57,SUMIF(防護具!$Y$30:$Y$212,AA$17&amp;$C56,防護具!$Q$30:$Q$212))-Z56,0)</f>
        <v>0</v>
      </c>
      <c r="AB57" s="644">
        <f>IFERROR(
SUM(AA57,SUMIF(防護具!$Y$30:$Y$212,AB$17&amp;$C56,防護具!$Q$30:$Q$212))-AA56,0)</f>
        <v>0</v>
      </c>
      <c r="AC57" s="644">
        <f>IFERROR(
SUM(AB57,SUMIF(防護具!$Y$30:$Y$212,AC$17&amp;$C56,防護具!$Q$30:$Q$212))-AB56,0)</f>
        <v>0</v>
      </c>
      <c r="AD57" s="644">
        <f>IFERROR(
SUM(AC57,SUMIF(防護具!$Y$30:$Y$212,AD$17&amp;$C56,防護具!$Q$30:$Q$212))-AC56,0)</f>
        <v>0</v>
      </c>
      <c r="AE57" s="644">
        <f>IFERROR(
SUM(AD57,SUMIF(防護具!$Y$30:$Y$212,AE$17&amp;$C56,防護具!$Q$30:$Q$212))-AD56,0)</f>
        <v>0</v>
      </c>
      <c r="AF57" s="644">
        <f>IFERROR(
SUM(AE57,SUMIF(防護具!$Y$30:$Y$212,AF$17&amp;$C56,防護具!$Q$30:$Q$212))-AE56,0)</f>
        <v>0</v>
      </c>
      <c r="AG57" s="644">
        <f>IFERROR(
SUM(AF57,SUMIF(防護具!$Y$30:$Y$212,AG$17&amp;$C56,防護具!$Q$30:$Q$212))-AF56,0)</f>
        <v>0</v>
      </c>
      <c r="AH57" s="644">
        <f>IFERROR(
SUM(AG57,SUMIF(防護具!$Y$30:$Y$212,AH$17&amp;$C56,防護具!$Q$30:$Q$212))-AG56,0)</f>
        <v>0</v>
      </c>
      <c r="AI57" s="644">
        <f>IFERROR(
SUM(AH57,SUMIF(防護具!$Y$30:$Y$212,AI$17&amp;$C56,防護具!$Q$30:$Q$212))-AH56,0)</f>
        <v>0</v>
      </c>
      <c r="AJ57" s="644">
        <f>IFERROR(
SUM(AI57,SUMIF(防護具!$Y$30:$Y$212,AJ$17&amp;$C56,防護具!$Q$30:$Q$212))-AI56,0)</f>
        <v>0</v>
      </c>
      <c r="AK57" s="644">
        <f>IFERROR(
SUM(AJ57,SUMIF(防護具!$Y$30:$Y$212,AK$17&amp;$C56,防護具!$Q$30:$Q$212))-AJ56,0)</f>
        <v>0</v>
      </c>
      <c r="AL57" s="644">
        <f>IFERROR(
SUM(AK57,SUMIF(防護具!$Y$30:$Y$212,AL$17&amp;$C56,防護具!$Q$30:$Q$212))-AK56,0)</f>
        <v>0</v>
      </c>
      <c r="AM57" s="644">
        <f>IFERROR(
SUM(AL57,SUMIF(防護具!$Y$30:$Y$212,AM$17&amp;$C56,防護具!$Q$30:$Q$212))-AL56,0)</f>
        <v>0</v>
      </c>
      <c r="AN57" s="644">
        <f>IFERROR(
SUM(AM57,SUMIF(防護具!$Y$30:$Y$212,AN$17&amp;$C56,防護具!$Q$30:$Q$212))-AM56,0)</f>
        <v>0</v>
      </c>
      <c r="AO57" s="644">
        <f>IFERROR(
SUM(AN57,SUMIF(防護具!$Y$30:$Y$212,AO$17&amp;$C56,防護具!$Q$30:$Q$212))-AN56,0)</f>
        <v>0</v>
      </c>
      <c r="AP57" s="644">
        <f>IFERROR(
SUM(AO57,SUMIF(防護具!$Y$30:$Y$212,AP$17&amp;$C56,防護具!$Q$30:$Q$212))-AO56,0)</f>
        <v>0</v>
      </c>
      <c r="AQ57" s="644">
        <f>IFERROR(
SUM(AP57,SUMIF(防護具!$Y$30:$Y$212,AQ$17&amp;$C56,防護具!$Q$30:$Q$212))-AP56,0)</f>
        <v>0</v>
      </c>
      <c r="AR57" s="644">
        <f>IFERROR(
SUM(AQ57,SUMIF(防護具!$Y$30:$Y$212,AR$17&amp;$C56,防護具!$Q$30:$Q$212))-AQ56,0)</f>
        <v>0</v>
      </c>
      <c r="AS57" s="644">
        <f>IFERROR(
SUM(AR57,SUMIF(防護具!$Y$30:$Y$212,AS$17&amp;$C56,防護具!$Q$30:$Q$212))-AR56,0)</f>
        <v>0</v>
      </c>
      <c r="AT57" s="644">
        <f>IFERROR(
SUM(AS57,SUMIF(防護具!$Y$30:$Y$212,AT$17&amp;$C56,防護具!$Q$30:$Q$212))-AS56,0)</f>
        <v>0</v>
      </c>
      <c r="AU57" s="644">
        <f>IFERROR(
SUM(AT57,SUMIF(防護具!$Y$30:$Y$212,AU$17&amp;$C56,防護具!$Q$30:$Q$212))-AT56,0)</f>
        <v>0</v>
      </c>
      <c r="AV57" s="644">
        <f>IFERROR(
SUM(AU57,SUMIF(防護具!$Y$30:$Y$212,AV$17&amp;$C56,防護具!$Q$30:$Q$212))-AU56,0)</f>
        <v>0</v>
      </c>
      <c r="AW57" s="644">
        <f>IFERROR(
SUM(AV57,SUMIF(防護具!$Y$30:$Y$212,AW$17&amp;$C56,防護具!$Q$30:$Q$212))-AV56,0)</f>
        <v>0</v>
      </c>
      <c r="AX57" s="644">
        <f>IFERROR(
SUM(AW57,SUMIF(防護具!$Y$30:$Y$212,AX$17&amp;$C56,防護具!$Q$30:$Q$212))-AW56,0)</f>
        <v>0</v>
      </c>
      <c r="AY57" s="644">
        <f>IFERROR(
SUM(AX57,SUMIF(防護具!$Y$30:$Y$212,AY$17&amp;$C56,防護具!$Q$30:$Q$212))-AX56,0)</f>
        <v>0</v>
      </c>
      <c r="AZ57" s="644">
        <f>IFERROR(
SUM(AY57,SUMIF(防護具!$Y$30:$Y$212,AZ$17&amp;$C56,防護具!$Q$30:$Q$212))-AY56,0)</f>
        <v>0</v>
      </c>
      <c r="BA57" s="644">
        <f>IFERROR(
SUM(AZ57,SUMIF(防護具!$Y$30:$Y$212,BA$17&amp;$C56,防護具!$Q$30:$Q$212))-AZ56,0)</f>
        <v>0</v>
      </c>
      <c r="BB57" s="644">
        <f>IFERROR(
SUM(BA57,SUMIF(防護具!$Y$30:$Y$212,BB$17&amp;$C56,防護具!$Q$30:$Q$212))-BA56,0)</f>
        <v>0</v>
      </c>
      <c r="BC57" s="644">
        <f>IFERROR(
SUM(BB57,SUMIF(防護具!$Y$30:$Y$212,BC$17&amp;$C56,防護具!$Q$30:$Q$212))-BB56,0)</f>
        <v>0</v>
      </c>
      <c r="BD57" s="644">
        <f>IFERROR(
SUM(BC57,SUMIF(防護具!$Y$30:$Y$212,BD$17&amp;$C56,防護具!$Q$30:$Q$212))-BC56,0)</f>
        <v>0</v>
      </c>
      <c r="BE57" s="644">
        <f>IFERROR(
SUM(BD57,SUMIF(防護具!$Y$30:$Y$212,BE$17&amp;$C56,防護具!$Q$30:$Q$212))-BD56,0)</f>
        <v>0</v>
      </c>
      <c r="BF57" s="644">
        <f>IFERROR(
SUM(BE57,SUMIF(防護具!$Y$30:$Y$212,BF$17&amp;$C56,防護具!$Q$30:$Q$212))-BE56,0)</f>
        <v>0</v>
      </c>
      <c r="BG57" s="644">
        <f>IFERROR(
SUM(BF57,SUMIF(防護具!$Y$30:$Y$212,BG$17&amp;$C56,防護具!$Q$30:$Q$212))-BF56,0)</f>
        <v>0</v>
      </c>
      <c r="BH57" s="644">
        <f>IFERROR(
SUM(BG57,SUMIF(防護具!$Y$30:$Y$212,BH$17&amp;$C56,防護具!$Q$30:$Q$212))-BG56,0)</f>
        <v>0</v>
      </c>
      <c r="BI57" s="644">
        <f>IFERROR(
SUM(BH57,SUMIF(防護具!$Y$30:$Y$212,BI$17&amp;$C56,防護具!$Q$30:$Q$212))-BH56,0)</f>
        <v>0</v>
      </c>
      <c r="BJ57" s="644">
        <f>IFERROR(
SUM(BI57,SUMIF(防護具!$Y$30:$Y$212,BJ$17&amp;$C56,防護具!$Q$30:$Q$212))-BI56,0)</f>
        <v>0</v>
      </c>
      <c r="BK57" s="644">
        <f>IFERROR(
SUM(BJ57,SUMIF(防護具!$Y$30:$Y$212,BK$17&amp;$C56,防護具!$Q$30:$Q$212))-BJ56,0)</f>
        <v>0</v>
      </c>
      <c r="BL57" s="644">
        <f>IFERROR(
SUM(BK57,SUMIF(防護具!$Y$30:$Y$212,BL$17&amp;$C56,防護具!$Q$30:$Q$212))-BK56,0)</f>
        <v>0</v>
      </c>
      <c r="BM57" s="644">
        <f>IFERROR(
SUM(BL57,SUMIF(防護具!$Y$30:$Y$212,BM$17&amp;$C56,防護具!$Q$30:$Q$212))-BL56,0)</f>
        <v>0</v>
      </c>
      <c r="BN57" s="644">
        <f>IFERROR(
SUM(BM57,SUMIF(防護具!$Y$30:$Y$212,BN$17&amp;$C56,防護具!$Q$30:$Q$212))-BM56,0)</f>
        <v>0</v>
      </c>
      <c r="BO57" s="644">
        <f>IFERROR(
SUM(BN57,SUMIF(防護具!$Y$30:$Y$212,BO$17&amp;$C56,防護具!$Q$30:$Q$212))-BN56,0)</f>
        <v>0</v>
      </c>
      <c r="BP57" s="644">
        <f>IFERROR(
SUM(BO57,SUMIF(防護具!$Y$30:$Y$212,BP$17&amp;$C56,防護具!$Q$30:$Q$212))-BO56,0)</f>
        <v>0</v>
      </c>
      <c r="BQ57" s="644">
        <f>IFERROR(
SUM(BP57,SUMIF(防護具!$Y$30:$Y$212,BQ$17&amp;$C56,防護具!$Q$30:$Q$212))-BP56,0)</f>
        <v>0</v>
      </c>
      <c r="BR57" s="644">
        <f>IFERROR(
SUM(BQ57,SUMIF(防護具!$Y$30:$Y$212,BR$17&amp;$C56,防護具!$Q$30:$Q$212))-BQ56,0)</f>
        <v>0</v>
      </c>
      <c r="BS57" s="644">
        <f>IFERROR(
SUM(BR57,SUMIF(防護具!$Y$30:$Y$212,BS$17&amp;$C56,防護具!$Q$30:$Q$212))-BR56,0)</f>
        <v>0</v>
      </c>
      <c r="BT57" s="644">
        <f>IFERROR(
SUM(BS57,SUMIF(防護具!$Y$30:$Y$212,BT$17&amp;$C56,防護具!$Q$30:$Q$212))-BS56,0)</f>
        <v>0</v>
      </c>
      <c r="BU57" s="644">
        <f>IFERROR(
SUM(BT57,SUMIF(防護具!$Y$30:$Y$212,BU$17&amp;$C56,防護具!$Q$30:$Q$212))-BT56,0)</f>
        <v>0</v>
      </c>
      <c r="BV57" s="644">
        <f>IFERROR(
SUM(BU57,SUMIF(防護具!$Y$30:$Y$212,BV$17&amp;$C56,防護具!$Q$30:$Q$212))-BU56,0)</f>
        <v>0</v>
      </c>
      <c r="BW57" s="644">
        <f>IFERROR(
SUM(BV57,SUMIF(防護具!$Y$30:$Y$212,BW$17&amp;$C56,防護具!$Q$30:$Q$212))-BV56,0)</f>
        <v>0</v>
      </c>
      <c r="BX57" s="644">
        <f>IFERROR(
SUM(BW57,SUMIF(防護具!$Y$30:$Y$212,BX$17&amp;$C56,防護具!$Q$30:$Q$212))-BW56,0)</f>
        <v>0</v>
      </c>
      <c r="BY57" s="644">
        <f>IFERROR(
SUM(BX57,SUMIF(防護具!$Y$30:$Y$212,BY$17&amp;$C56,防護具!$Q$30:$Q$212))-BX56,0)</f>
        <v>0</v>
      </c>
      <c r="BZ57" s="644">
        <f>IFERROR(
SUM(BY57,SUMIF(防護具!$Y$30:$Y$212,BZ$17&amp;$C56,防護具!$Q$30:$Q$212))-BY56,0)</f>
        <v>0</v>
      </c>
      <c r="CA57" s="644">
        <f>IFERROR(
SUM(BZ57,SUMIF(防護具!$Y$30:$Y$212,CA$17&amp;$C56,防護具!$Q$30:$Q$212))-BZ56,0)</f>
        <v>0</v>
      </c>
      <c r="CB57" s="644">
        <f>IFERROR(
SUM(CA57,SUMIF(防護具!$Y$30:$Y$212,CB$17&amp;$C56,防護具!$Q$30:$Q$212))-CA56,0)</f>
        <v>0</v>
      </c>
      <c r="CC57" s="644">
        <f>IFERROR(
SUM(CB57,SUMIF(防護具!$Y$30:$Y$212,CC$17&amp;$C56,防護具!$Q$30:$Q$212))-CB56,0)</f>
        <v>0</v>
      </c>
      <c r="CD57" s="644">
        <f>IFERROR(
SUM(CC57,SUMIF(防護具!$Y$30:$Y$212,CD$17&amp;$C56,防護具!$Q$30:$Q$212))-CC56,0)</f>
        <v>0</v>
      </c>
      <c r="CE57" s="644">
        <f>IFERROR(
SUM(CD57,SUMIF(防護具!$Y$30:$Y$212,CE$17&amp;$C56,防護具!$Q$30:$Q$212))-CD56,0)</f>
        <v>0</v>
      </c>
      <c r="CF57" s="644">
        <f>IFERROR(
SUM(CE57,SUMIF(防護具!$Y$30:$Y$212,CF$17&amp;$C56,防護具!$Q$30:$Q$212))-CE56,0)</f>
        <v>0</v>
      </c>
      <c r="CG57" s="644">
        <f>IFERROR(
SUM(CF57,SUMIF(防護具!$Y$30:$Y$212,CG$17&amp;$C56,防護具!$Q$30:$Q$212))-CF56,0)</f>
        <v>0</v>
      </c>
      <c r="CH57" s="644">
        <f>IFERROR(
SUM(CG57,SUMIF(防護具!$Y$30:$Y$212,CH$17&amp;$C56,防護具!$Q$30:$Q$212))-CG56,0)</f>
        <v>0</v>
      </c>
      <c r="CI57" s="644">
        <f>IFERROR(
SUM(CH57,SUMIF(防護具!$Y$30:$Y$212,CI$17&amp;$C56,防護具!$Q$30:$Q$212))-CH56,0)</f>
        <v>0</v>
      </c>
      <c r="CJ57" s="644">
        <f>IFERROR(
SUM(CI57,SUMIF(防護具!$Y$30:$Y$212,CJ$17&amp;$C56,防護具!$Q$30:$Q$212))-CI56,0)</f>
        <v>0</v>
      </c>
      <c r="CK57" s="644">
        <f>IFERROR(
SUM(CJ57,SUMIF(防護具!$Y$30:$Y$212,CK$17&amp;$C56,防護具!$Q$30:$Q$212))-CJ56,0)</f>
        <v>0</v>
      </c>
      <c r="CL57" s="644">
        <f>IFERROR(
SUM(CK57,SUMIF(防護具!$Y$30:$Y$212,CL$17&amp;$C56,防護具!$Q$30:$Q$212))-CK56,0)</f>
        <v>0</v>
      </c>
      <c r="CM57" s="644">
        <f>IFERROR(
SUM(CL57,SUMIF(防護具!$Y$30:$Y$212,CM$17&amp;$C56,防護具!$Q$30:$Q$212))-CL56,0)</f>
        <v>0</v>
      </c>
      <c r="CN57" s="644">
        <f>IFERROR(
SUM(CM57,SUMIF(防護具!$Y$30:$Y$212,CN$17&amp;$C56,防護具!$Q$30:$Q$212))-CM56,0)</f>
        <v>0</v>
      </c>
      <c r="CO57" s="644">
        <f>IFERROR(
SUM(CN57,SUMIF(防護具!$Y$30:$Y$212,CO$17&amp;$C56,防護具!$Q$30:$Q$212))-CN56,0)</f>
        <v>0</v>
      </c>
      <c r="CP57" s="644">
        <f>IFERROR(
SUM(CO57,SUMIF(防護具!$Y$30:$Y$212,CP$17&amp;$C56,防護具!$Q$30:$Q$212))-CO56,0)</f>
        <v>0</v>
      </c>
      <c r="CQ57" s="644">
        <f>IFERROR(
SUM(CP57,SUMIF(防護具!$Y$30:$Y$212,CQ$17&amp;$C56,防護具!$Q$30:$Q$212))-CP56,0)</f>
        <v>0</v>
      </c>
      <c r="CR57" s="644">
        <f>IFERROR(
SUM(CQ57,SUMIF(防護具!$Y$30:$Y$212,CR$17&amp;$C56,防護具!$Q$30:$Q$212))-CQ56,0)</f>
        <v>0</v>
      </c>
      <c r="CS57" s="644">
        <f>IFERROR(
SUM(CR57,SUMIF(防護具!$Y$30:$Y$212,CS$17&amp;$C56,防護具!$Q$30:$Q$212))-CR56,0)</f>
        <v>0</v>
      </c>
      <c r="CT57" s="644">
        <f>IFERROR(
SUM(CS57,SUMIF(防護具!$Y$30:$Y$212,CT$17&amp;$C56,防護具!$Q$30:$Q$212))-CS56,0)</f>
        <v>0</v>
      </c>
      <c r="CU57" s="644">
        <f>IFERROR(
SUM(CT57,SUMIF(防護具!$Y$30:$Y$212,CU$17&amp;$C56,防護具!$Q$30:$Q$212))-CT56,0)</f>
        <v>0</v>
      </c>
      <c r="CV57" s="644">
        <f>IFERROR(
SUM(CU57,SUMIF(防護具!$Y$30:$Y$212,CV$17&amp;$C56,防護具!$Q$30:$Q$212))-CU56,0)</f>
        <v>0</v>
      </c>
      <c r="CW57" s="644">
        <f>IFERROR(
SUM(CV57,SUMIF(防護具!$Y$30:$Y$212,CW$17&amp;$C56,防護具!$Q$30:$Q$212))-CV56,0)</f>
        <v>0</v>
      </c>
      <c r="CX57" s="644">
        <f>IFERROR(
SUM(CW57,SUMIF(防護具!$Y$30:$Y$212,CX$17&amp;$C56,防護具!$Q$30:$Q$212))-CW56,0)</f>
        <v>0</v>
      </c>
      <c r="CY57" s="644">
        <f>IFERROR(
SUM(CX57,SUMIF(防護具!$Y$30:$Y$212,CY$17&amp;$C56,防護具!$Q$30:$Q$212))-CX56,0)</f>
        <v>0</v>
      </c>
      <c r="CZ57" s="644">
        <f>IFERROR(
SUM(CY57,SUMIF(防護具!$Y$30:$Y$212,CZ$17&amp;$C56,防護具!$Q$30:$Q$212))-CY56,0)</f>
        <v>0</v>
      </c>
      <c r="DA57" s="644">
        <f>IFERROR(
SUM(CZ57,SUMIF(防護具!$Y$30:$Y$212,DA$17&amp;$C56,防護具!$Q$30:$Q$212))-CZ56,0)</f>
        <v>0</v>
      </c>
      <c r="DB57" s="644">
        <f>IFERROR(
SUM(DA57,SUMIF(防護具!$Y$30:$Y$212,DB$17&amp;$C56,防護具!$Q$30:$Q$212))-DA56,0)</f>
        <v>0</v>
      </c>
      <c r="DC57" s="644">
        <f>IFERROR(
SUM(DB57,SUMIF(防護具!$Y$30:$Y$212,DC$17&amp;$C56,防護具!$Q$30:$Q$212))-DB56,0)</f>
        <v>0</v>
      </c>
      <c r="DD57" s="644">
        <f>IFERROR(
SUM(DC57,SUMIF(防護具!$Y$30:$Y$212,DD$17&amp;$C56,防護具!$Q$30:$Q$212))-DC56,0)</f>
        <v>0</v>
      </c>
      <c r="DE57" s="644">
        <f>IFERROR(
SUM(DD57,SUMIF(防護具!$Y$30:$Y$212,DE$17&amp;$C56,防護具!$Q$30:$Q$212))-DD56,0)</f>
        <v>0</v>
      </c>
      <c r="DF57" s="644">
        <f>IFERROR(
SUM(DE57,SUMIF(防護具!$Y$30:$Y$212,DF$17&amp;$C56,防護具!$Q$30:$Q$212))-DE56,0)</f>
        <v>0</v>
      </c>
      <c r="DG57" s="644">
        <f>IFERROR(
SUM(DF57,SUMIF(防護具!$Y$30:$Y$212,DG$17&amp;$C56,防護具!$Q$30:$Q$212))-DF56,0)</f>
        <v>0</v>
      </c>
      <c r="DH57" s="644">
        <f>IFERROR(
SUM(DG57,SUMIF(防護具!$Y$30:$Y$212,DH$17&amp;$C56,防護具!$Q$30:$Q$212))-DG56,0)</f>
        <v>0</v>
      </c>
      <c r="DI57" s="644">
        <f>IFERROR(
SUM(DH57,SUMIF(防護具!$Y$30:$Y$212,DI$17&amp;$C56,防護具!$Q$30:$Q$212))-DH56,0)</f>
        <v>0</v>
      </c>
      <c r="DJ57" s="644">
        <f>IFERROR(
SUM(DI57,SUMIF(防護具!$Y$30:$Y$212,DJ$17&amp;$C56,防護具!$Q$30:$Q$212))-DI56,0)</f>
        <v>0</v>
      </c>
      <c r="DK57" s="644">
        <f>IFERROR(
SUM(DJ57,SUMIF(防護具!$Y$30:$Y$212,DK$17&amp;$C56,防護具!$Q$30:$Q$212))-DJ56,0)</f>
        <v>0</v>
      </c>
      <c r="DL57" s="644">
        <f>IFERROR(
SUM(DK57,SUMIF(防護具!$Y$30:$Y$212,DL$17&amp;$C56,防護具!$Q$30:$Q$212))-DK56,0)</f>
        <v>0</v>
      </c>
      <c r="DM57" s="644">
        <f>IFERROR(
SUM(DL57,SUMIF(防護具!$Y$30:$Y$212,DM$17&amp;$C56,防護具!$Q$30:$Q$212))-DL56,0)</f>
        <v>0</v>
      </c>
      <c r="DN57" s="644">
        <f>IFERROR(
SUM(DM57,SUMIF(防護具!$Y$30:$Y$212,DN$17&amp;$C56,防護具!$Q$30:$Q$212))-DM56,0)</f>
        <v>0</v>
      </c>
      <c r="DO57" s="644">
        <f>IFERROR(
SUM(DN57,SUMIF(防護具!$Y$30:$Y$212,DO$17&amp;$C56,防護具!$Q$30:$Q$212))-DN56,0)</f>
        <v>0</v>
      </c>
      <c r="DP57" s="644">
        <f>IFERROR(
SUM(DO57,SUMIF(防護具!$Y$30:$Y$212,DP$17&amp;$C56,防護具!$Q$30:$Q$212))-DO56,0)</f>
        <v>0</v>
      </c>
      <c r="DQ57" s="644">
        <f>IFERROR(
SUM(DP57,SUMIF(防護具!$Y$30:$Y$212,DQ$17&amp;$C56,防護具!$Q$30:$Q$212))-DP56,0)</f>
        <v>0</v>
      </c>
      <c r="DR57" s="644">
        <f>IFERROR(
SUM(DQ57,SUMIF(防護具!$Y$30:$Y$212,DR$17&amp;$C56,防護具!$Q$30:$Q$212))-DQ56,0)</f>
        <v>0</v>
      </c>
      <c r="DS57" s="644">
        <f>IFERROR(
SUM(DR57,SUMIF(防護具!$Y$30:$Y$212,DS$17&amp;$C56,防護具!$Q$30:$Q$212))-DR56,0)</f>
        <v>0</v>
      </c>
      <c r="DT57" s="644">
        <f>IFERROR(
SUM(DS57,SUMIF(防護具!$Y$30:$Y$212,DT$17&amp;$C56,防護具!$Q$30:$Q$212))-DS56,0)</f>
        <v>0</v>
      </c>
      <c r="DU57" s="644">
        <f>IFERROR(
SUM(DT57,SUMIF(防護具!$Y$30:$Y$212,DU$17&amp;$C56,防護具!$Q$30:$Q$212))-DT56,0)</f>
        <v>0</v>
      </c>
      <c r="DV57" s="644">
        <f>IFERROR(
SUM(DU57,SUMIF(防護具!$Y$30:$Y$212,DV$17&amp;$C56,防護具!$Q$30:$Q$212))-DU56,0)</f>
        <v>0</v>
      </c>
      <c r="DW57" s="644">
        <f>IFERROR(
SUM(DV57,SUMIF(防護具!$Y$30:$Y$212,DW$17&amp;$C56,防護具!$Q$30:$Q$212))-DV56,0)</f>
        <v>0</v>
      </c>
      <c r="DX57" s="644">
        <f>IFERROR(
SUM(DW57,SUMIF(防護具!$Y$30:$Y$212,DX$17&amp;$C56,防護具!$Q$30:$Q$212))-DW56,0)</f>
        <v>0</v>
      </c>
      <c r="DY57" s="644">
        <f>IFERROR(
SUM(DX57,SUMIF(防護具!$Y$30:$Y$212,DY$17&amp;$C56,防護具!$Q$30:$Q$212))-DX56,0)</f>
        <v>0</v>
      </c>
      <c r="DZ57" s="644">
        <f>IFERROR(
SUM(DY57,SUMIF(防護具!$Y$30:$Y$212,DZ$17&amp;$C56,防護具!$Q$30:$Q$212))-DY56,0)</f>
        <v>0</v>
      </c>
      <c r="EA57" s="644">
        <f>IFERROR(
SUM(DZ57,SUMIF(防護具!$Y$30:$Y$212,EA$17&amp;$C56,防護具!$Q$30:$Q$212))-DZ56,0)</f>
        <v>0</v>
      </c>
      <c r="EB57" s="644">
        <f>IFERROR(
SUM(EA57,SUMIF(防護具!$Y$30:$Y$212,EB$17&amp;$C56,防護具!$Q$30:$Q$212))-EA56,0)</f>
        <v>0</v>
      </c>
      <c r="EC57" s="644">
        <f>IFERROR(
SUM(EB57,SUMIF(防護具!$Y$30:$Y$212,EC$17&amp;$C56,防護具!$Q$30:$Q$212))-EB56,0)</f>
        <v>0</v>
      </c>
      <c r="ED57" s="644">
        <f>IFERROR(
SUM(EC57,SUMIF(防護具!$Y$30:$Y$212,ED$17&amp;$C56,防護具!$Q$30:$Q$212))-EC56,0)</f>
        <v>0</v>
      </c>
      <c r="EE57" s="644">
        <f>IFERROR(
SUM(ED57,SUMIF(防護具!$Y$30:$Y$212,EE$17&amp;$C56,防護具!$Q$30:$Q$212))-ED56,0)</f>
        <v>0</v>
      </c>
      <c r="EF57" s="644">
        <f>IFERROR(
SUM(EE57,SUMIF(防護具!$Y$30:$Y$212,EF$17&amp;$C56,防護具!$Q$30:$Q$212))-EE56,0)</f>
        <v>0</v>
      </c>
      <c r="EG57" s="644">
        <f>IFERROR(
SUM(EF57,SUMIF(防護具!$Y$30:$Y$212,EG$17&amp;$C56,防護具!$Q$30:$Q$212))-EF56,0)</f>
        <v>0</v>
      </c>
      <c r="EH57" s="644">
        <f>IFERROR(
SUM(EG57,SUMIF(防護具!$Y$30:$Y$212,EH$17&amp;$C56,防護具!$Q$30:$Q$212))-EG56,0)</f>
        <v>0</v>
      </c>
      <c r="EI57" s="644">
        <f>IFERROR(
SUM(EH57,SUMIF(防護具!$Y$30:$Y$212,EI$17&amp;$C56,防護具!$Q$30:$Q$212))-EH56,0)</f>
        <v>0</v>
      </c>
      <c r="EJ57" s="644">
        <f>IFERROR(
SUM(EI57,SUMIF(防護具!$Y$30:$Y$212,EJ$17&amp;$C56,防護具!$Q$30:$Q$212))-EI56,0)</f>
        <v>0</v>
      </c>
      <c r="EK57" s="644">
        <f>IFERROR(
SUM(EJ57,SUMIF(防護具!$Y$30:$Y$212,EK$17&amp;$C56,防護具!$Q$30:$Q$212))-EJ56,0)</f>
        <v>0</v>
      </c>
      <c r="EL57" s="644">
        <f>IFERROR(
SUM(EK57,SUMIF(防護具!$Y$30:$Y$212,EL$17&amp;$C56,防護具!$Q$30:$Q$212))-EK56,0)</f>
        <v>0</v>
      </c>
      <c r="EM57" s="644">
        <f>IFERROR(
SUM(EL57,SUMIF(防護具!$Y$30:$Y$212,EM$17&amp;$C56,防護具!$Q$30:$Q$212))-EL56,0)</f>
        <v>0</v>
      </c>
      <c r="EN57" s="644">
        <f>IFERROR(
SUM(EM57,SUMIF(防護具!$Y$30:$Y$212,EN$17&amp;$C56,防護具!$Q$30:$Q$212))-EM56,0)</f>
        <v>0</v>
      </c>
      <c r="EO57" s="644">
        <f>IFERROR(
SUM(EN57,SUMIF(防護具!$Y$30:$Y$212,EO$17&amp;$C56,防護具!$Q$30:$Q$212))-EN56,0)</f>
        <v>0</v>
      </c>
      <c r="EP57" s="644">
        <f>IFERROR(
SUM(EO57,SUMIF(防護具!$Y$30:$Y$212,EP$17&amp;$C56,防護具!$Q$30:$Q$212))-EO56,0)</f>
        <v>0</v>
      </c>
      <c r="EQ57" s="644">
        <f>IFERROR(
SUM(EP57,SUMIF(防護具!$Y$30:$Y$212,EQ$17&amp;$C56,防護具!$Q$30:$Q$212))-EP56,0)</f>
        <v>0</v>
      </c>
      <c r="ER57" s="644">
        <f>IFERROR(
SUM(EQ57,SUMIF(防護具!$Y$30:$Y$212,ER$17&amp;$C56,防護具!$Q$30:$Q$212))-EQ56,0)</f>
        <v>0</v>
      </c>
      <c r="ES57" s="644">
        <f>IFERROR(
SUM(ER57,SUMIF(防護具!$Y$30:$Y$212,ES$17&amp;$C56,防護具!$Q$30:$Q$212))-ER56,0)</f>
        <v>0</v>
      </c>
      <c r="ET57" s="644">
        <f>IFERROR(
SUM(ES57,SUMIF(防護具!$Y$30:$Y$212,ET$17&amp;$C56,防護具!$Q$30:$Q$212))-ES56,0)</f>
        <v>0</v>
      </c>
      <c r="EU57" s="644">
        <f>IFERROR(
SUM(ET57,SUMIF(防護具!$Y$30:$Y$212,EU$17&amp;$C56,防護具!$Q$30:$Q$212))-ET56,0)</f>
        <v>0</v>
      </c>
      <c r="EV57" s="644">
        <f>IFERROR(
SUM(EU57,SUMIF(防護具!$Y$30:$Y$212,EV$17&amp;$C56,防護具!$Q$30:$Q$212))-EU56,0)</f>
        <v>0</v>
      </c>
      <c r="EW57" s="644">
        <f>IFERROR(
SUM(EV57,SUMIF(防護具!$Y$30:$Y$212,EW$17&amp;$C56,防護具!$Q$30:$Q$212))-EV56,0)</f>
        <v>0</v>
      </c>
      <c r="EX57" s="644">
        <f>IFERROR(
SUM(EW57,SUMIF(防護具!$Y$30:$Y$212,EX$17&amp;$C56,防護具!$Q$30:$Q$212))-EW56,0)</f>
        <v>0</v>
      </c>
      <c r="EY57" s="644">
        <f>IFERROR(
SUM(EX57,SUMIF(防護具!$Y$30:$Y$212,EY$17&amp;$C56,防護具!$Q$30:$Q$212))-EX56,0)</f>
        <v>0</v>
      </c>
      <c r="EZ57" s="644">
        <f>IFERROR(
SUM(EY57,SUMIF(防護具!$Y$30:$Y$212,EZ$17&amp;$C56,防護具!$Q$30:$Q$212))-EY56,0)</f>
        <v>0</v>
      </c>
      <c r="FA57" s="644">
        <f>IFERROR(
SUM(EZ57,SUMIF(防護具!$Y$30:$Y$212,FA$17&amp;$C56,防護具!$Q$30:$Q$212))-EZ56,0)</f>
        <v>0</v>
      </c>
      <c r="FB57" s="644">
        <f>IFERROR(
SUM(FA57,SUMIF(防護具!$Y$30:$Y$212,FB$17&amp;$C56,防護具!$Q$30:$Q$212))-FA56,0)</f>
        <v>0</v>
      </c>
      <c r="FC57" s="644">
        <f>IFERROR(
SUM(FB57,SUMIF(防護具!$Y$30:$Y$212,FC$17&amp;$C56,防護具!$Q$30:$Q$212))-FB56,0)</f>
        <v>0</v>
      </c>
      <c r="FD57" s="644">
        <f>IFERROR(
SUM(FC57,SUMIF(防護具!$Y$30:$Y$212,FD$17&amp;$C56,防護具!$Q$30:$Q$212))-FC56,0)</f>
        <v>0</v>
      </c>
      <c r="FE57" s="644">
        <f>IFERROR(
SUM(FD57,SUMIF(防護具!$Y$30:$Y$212,FE$17&amp;$C56,防護具!$Q$30:$Q$212))-FD56,0)</f>
        <v>0</v>
      </c>
      <c r="FF57" s="644">
        <f>IFERROR(
SUM(FE57,SUMIF(防護具!$Y$30:$Y$212,FF$17&amp;$C56,防護具!$Q$30:$Q$212))-FE56,0)</f>
        <v>0</v>
      </c>
      <c r="FG57" s="644">
        <f>IFERROR(
SUM(FF57,SUMIF(防護具!$Y$30:$Y$212,FG$17&amp;$C56,防護具!$Q$30:$Q$212))-FF56,0)</f>
        <v>0</v>
      </c>
      <c r="FH57" s="644">
        <f>IFERROR(
SUM(FG57,SUMIF(防護具!$Y$30:$Y$212,FH$17&amp;$C56,防護具!$Q$30:$Q$212))-FG56,0)</f>
        <v>0</v>
      </c>
      <c r="FI57" s="644">
        <f>IFERROR(
SUM(FH57,SUMIF(防護具!$Y$30:$Y$212,FI$17&amp;$C56,防護具!$Q$30:$Q$212))-FH56,0)</f>
        <v>0</v>
      </c>
      <c r="FJ57" s="644">
        <f>IFERROR(
SUM(FI57,SUMIF(防護具!$Y$30:$Y$212,FJ$17&amp;$C56,防護具!$Q$30:$Q$212))-FI56,0)</f>
        <v>0</v>
      </c>
      <c r="FK57" s="644">
        <f>IFERROR(
SUM(FJ57,SUMIF(防護具!$Y$30:$Y$212,FK$17&amp;$C56,防護具!$Q$30:$Q$212))-FJ56,0)</f>
        <v>0</v>
      </c>
      <c r="FL57" s="644">
        <f>IFERROR(
SUM(FK57,SUMIF(防護具!$Y$30:$Y$212,FL$17&amp;$C56,防護具!$Q$30:$Q$212))-FK56,0)</f>
        <v>0</v>
      </c>
      <c r="FM57" s="644">
        <f>IFERROR(
SUM(FL57,SUMIF(防護具!$Y$30:$Y$212,FM$17&amp;$C56,防護具!$Q$30:$Q$212))-FL56,0)</f>
        <v>0</v>
      </c>
      <c r="FN57" s="644">
        <f>IFERROR(
SUM(FM57,SUMIF(防護具!$Y$30:$Y$212,FN$17&amp;$C56,防護具!$Q$30:$Q$212))-FM56,0)</f>
        <v>0</v>
      </c>
      <c r="FO57" s="644">
        <f>IFERROR(
SUM(FN57,SUMIF(防護具!$Y$30:$Y$212,FO$17&amp;$C56,防護具!$Q$30:$Q$212))-FN56,0)</f>
        <v>0</v>
      </c>
      <c r="FP57" s="644">
        <f>IFERROR(
SUM(FO57,SUMIF(防護具!$Y$30:$Y$212,FP$17&amp;$C56,防護具!$Q$30:$Q$212))-FO56,0)</f>
        <v>0</v>
      </c>
      <c r="FQ57" s="644">
        <f>IFERROR(
SUM(FP57,SUMIF(防護具!$Y$30:$Y$212,FQ$17&amp;$C56,防護具!$Q$30:$Q$212))-FP56,0)</f>
        <v>0</v>
      </c>
      <c r="FR57" s="644">
        <f>IFERROR(
SUM(FQ57,SUMIF(防護具!$Y$30:$Y$212,FR$17&amp;$C56,防護具!$Q$30:$Q$212))-FQ56,0)</f>
        <v>0</v>
      </c>
      <c r="FS57" s="644">
        <f>IFERROR(
SUM(FR57,SUMIF(防護具!$Y$30:$Y$212,FS$17&amp;$C56,防護具!$Q$30:$Q$212))-FR56,0)</f>
        <v>0</v>
      </c>
      <c r="FT57" s="644">
        <f>IFERROR(
SUM(FS57,SUMIF(防護具!$Y$30:$Y$212,FT$17&amp;$C56,防護具!$Q$30:$Q$212))-FS56,0)</f>
        <v>0</v>
      </c>
      <c r="FU57" s="644">
        <f>IFERROR(
SUM(FT57,SUMIF(防護具!$Y$30:$Y$212,FU$17&amp;$C56,防護具!$Q$30:$Q$212))-FT56,0)</f>
        <v>0</v>
      </c>
      <c r="FV57" s="644">
        <f>IFERROR(
SUM(FU57,SUMIF(防護具!$Y$30:$Y$212,FV$17&amp;$C56,防護具!$Q$30:$Q$212))-FU56,0)</f>
        <v>0</v>
      </c>
      <c r="FW57" s="644">
        <f>IFERROR(
SUM(FV57,SUMIF(防護具!$Y$30:$Y$212,FW$17&amp;$C56,防護具!$Q$30:$Q$212))-FV56,0)</f>
        <v>0</v>
      </c>
      <c r="FX57" s="644">
        <f>IFERROR(
SUM(FW57,SUMIF(防護具!$Y$30:$Y$212,FX$17&amp;$C56,防護具!$Q$30:$Q$212))-FW56,0)</f>
        <v>0</v>
      </c>
      <c r="FY57" s="644">
        <f>IFERROR(
SUM(FX57,SUMIF(防護具!$Y$30:$Y$212,FY$17&amp;$C56,防護具!$Q$30:$Q$212))-FX56,0)</f>
        <v>0</v>
      </c>
      <c r="FZ57" s="644">
        <f>IFERROR(
SUM(FY57,SUMIF(防護具!$Y$30:$Y$212,FZ$17&amp;$C56,防護具!$Q$30:$Q$212))-FY56,0)</f>
        <v>0</v>
      </c>
      <c r="GA57" s="644">
        <f>IFERROR(
SUM(FZ57,SUMIF(防護具!$Y$30:$Y$212,GA$17&amp;$C56,防護具!$Q$30:$Q$212))-FZ56,0)</f>
        <v>0</v>
      </c>
      <c r="GB57" s="644">
        <f>IFERROR(
SUM(GA57,SUMIF(防護具!$Y$30:$Y$212,GB$17&amp;$C56,防護具!$Q$30:$Q$212))-GA56,0)</f>
        <v>0</v>
      </c>
      <c r="GC57" s="644">
        <f>IFERROR(
SUM(GB57,SUMIF(防護具!$Y$30:$Y$212,GC$17&amp;$C56,防護具!$Q$30:$Q$212))-GB56,0)</f>
        <v>0</v>
      </c>
      <c r="GD57" s="644">
        <f>IFERROR(
SUM(GC57,SUMIF(防護具!$Y$30:$Y$212,GD$17&amp;$C56,防護具!$Q$30:$Q$212))-GC56,0)</f>
        <v>0</v>
      </c>
      <c r="GE57" s="644">
        <f>IFERROR(
SUM(GD57,SUMIF(防護具!$Y$30:$Y$212,GE$17&amp;$C56,防護具!$Q$30:$Q$212))-GD56,0)</f>
        <v>0</v>
      </c>
      <c r="GF57" s="644">
        <f>IFERROR(
SUM(GE57,SUMIF(防護具!$Y$30:$Y$212,GF$17&amp;$C56,防護具!$Q$30:$Q$212))-GE56,0)</f>
        <v>0</v>
      </c>
      <c r="GG57" s="644">
        <f>IFERROR(
SUM(GF57,SUMIF(防護具!$Y$30:$Y$212,GG$17&amp;$C56,防護具!$Q$30:$Q$212))-GF56,0)</f>
        <v>0</v>
      </c>
      <c r="GH57" s="644">
        <f>IFERROR(
SUM(GG57,SUMIF(防護具!$Y$30:$Y$212,GH$17&amp;$C56,防護具!$Q$30:$Q$212))-GG56,0)</f>
        <v>0</v>
      </c>
      <c r="GI57" s="644">
        <f>IFERROR(
SUM(GH57,SUMIF(防護具!$Y$30:$Y$212,GI$17&amp;$C56,防護具!$Q$30:$Q$212))-GH56,0)</f>
        <v>0</v>
      </c>
      <c r="GJ57" s="644">
        <f>IFERROR(
SUM(GI57,SUMIF(防護具!$Y$30:$Y$212,GJ$17&amp;$C56,防護具!$Q$30:$Q$212))-GI56,0)</f>
        <v>0</v>
      </c>
    </row>
    <row r="58" spans="2:192" s="645" customFormat="1">
      <c r="B58" s="654"/>
      <c r="C58" s="643"/>
      <c r="D58" s="769" t="s">
        <v>1468</v>
      </c>
      <c r="E58" s="774"/>
      <c r="F58" s="707"/>
      <c r="G58" s="644">
        <f>SUMIF(防護具!$Y$13:$Y$29,G$17&amp;PPE差引簿!C56,防護具!$Q$13:$Q$29)</f>
        <v>2000</v>
      </c>
      <c r="H58" s="644">
        <f xml:space="preserve">
IF(G58-VLOOKUP($C56,$C$3:$D$15,2,FALSE)*H$21&lt;0,0,G58-VLOOKUP($C56,$C$3:$D$15,2,FALSE)*H$21)</f>
        <v>2000</v>
      </c>
      <c r="I58" s="644">
        <f t="shared" ref="I58:BT58" si="2414" xml:space="preserve">
IF(H58-VLOOKUP($C56,$C$3:$D$15,2,FALSE)*I$21&lt;0,0,H58-VLOOKUP($C56,$C$3:$D$15,2,FALSE)*I$21)</f>
        <v>2000</v>
      </c>
      <c r="J58" s="644">
        <f t="shared" si="2414"/>
        <v>2000</v>
      </c>
      <c r="K58" s="644">
        <f t="shared" si="2414"/>
        <v>2000</v>
      </c>
      <c r="L58" s="644">
        <f t="shared" si="2414"/>
        <v>2000</v>
      </c>
      <c r="M58" s="644">
        <f t="shared" si="2414"/>
        <v>2000</v>
      </c>
      <c r="N58" s="644">
        <f t="shared" si="2414"/>
        <v>2000</v>
      </c>
      <c r="O58" s="644">
        <f t="shared" si="2414"/>
        <v>2000</v>
      </c>
      <c r="P58" s="644">
        <f t="shared" si="2414"/>
        <v>2000</v>
      </c>
      <c r="Q58" s="644">
        <f t="shared" si="2414"/>
        <v>2000</v>
      </c>
      <c r="R58" s="644">
        <f t="shared" si="2414"/>
        <v>2000</v>
      </c>
      <c r="S58" s="644">
        <f t="shared" si="2414"/>
        <v>2000</v>
      </c>
      <c r="T58" s="644">
        <f t="shared" si="2414"/>
        <v>2000</v>
      </c>
      <c r="U58" s="644">
        <f t="shared" si="2414"/>
        <v>2000</v>
      </c>
      <c r="V58" s="644">
        <f t="shared" si="2414"/>
        <v>2000</v>
      </c>
      <c r="W58" s="644">
        <f t="shared" si="2414"/>
        <v>2000</v>
      </c>
      <c r="X58" s="644">
        <f t="shared" si="2414"/>
        <v>2000</v>
      </c>
      <c r="Y58" s="644">
        <f t="shared" si="2414"/>
        <v>2000</v>
      </c>
      <c r="Z58" s="644">
        <f t="shared" si="2414"/>
        <v>2000</v>
      </c>
      <c r="AA58" s="644">
        <f t="shared" si="2414"/>
        <v>2000</v>
      </c>
      <c r="AB58" s="644">
        <f t="shared" si="2414"/>
        <v>2000</v>
      </c>
      <c r="AC58" s="644">
        <f t="shared" si="2414"/>
        <v>2000</v>
      </c>
      <c r="AD58" s="644">
        <f t="shared" si="2414"/>
        <v>2000</v>
      </c>
      <c r="AE58" s="644">
        <f t="shared" si="2414"/>
        <v>2000</v>
      </c>
      <c r="AF58" s="644">
        <f t="shared" si="2414"/>
        <v>2000</v>
      </c>
      <c r="AG58" s="644">
        <f t="shared" si="2414"/>
        <v>2000</v>
      </c>
      <c r="AH58" s="644">
        <f t="shared" si="2414"/>
        <v>2000</v>
      </c>
      <c r="AI58" s="644">
        <f t="shared" si="2414"/>
        <v>2000</v>
      </c>
      <c r="AJ58" s="644">
        <f t="shared" si="2414"/>
        <v>2000</v>
      </c>
      <c r="AK58" s="644">
        <f t="shared" si="2414"/>
        <v>2000</v>
      </c>
      <c r="AL58" s="644">
        <f t="shared" si="2414"/>
        <v>2000</v>
      </c>
      <c r="AM58" s="644">
        <f t="shared" si="2414"/>
        <v>2000</v>
      </c>
      <c r="AN58" s="644">
        <f t="shared" si="2414"/>
        <v>2000</v>
      </c>
      <c r="AO58" s="644">
        <f t="shared" si="2414"/>
        <v>2000</v>
      </c>
      <c r="AP58" s="644">
        <f t="shared" si="2414"/>
        <v>2000</v>
      </c>
      <c r="AQ58" s="644">
        <f t="shared" si="2414"/>
        <v>2000</v>
      </c>
      <c r="AR58" s="644">
        <f t="shared" si="2414"/>
        <v>2000</v>
      </c>
      <c r="AS58" s="644">
        <f t="shared" si="2414"/>
        <v>2000</v>
      </c>
      <c r="AT58" s="644">
        <f t="shared" si="2414"/>
        <v>2000</v>
      </c>
      <c r="AU58" s="644">
        <f t="shared" si="2414"/>
        <v>2000</v>
      </c>
      <c r="AV58" s="644">
        <f t="shared" si="2414"/>
        <v>2000</v>
      </c>
      <c r="AW58" s="644">
        <f t="shared" si="2414"/>
        <v>2000</v>
      </c>
      <c r="AX58" s="644">
        <f t="shared" si="2414"/>
        <v>2000</v>
      </c>
      <c r="AY58" s="644">
        <f t="shared" si="2414"/>
        <v>2000</v>
      </c>
      <c r="AZ58" s="644">
        <f t="shared" si="2414"/>
        <v>2000</v>
      </c>
      <c r="BA58" s="644">
        <f t="shared" si="2414"/>
        <v>2000</v>
      </c>
      <c r="BB58" s="644">
        <f t="shared" si="2414"/>
        <v>2000</v>
      </c>
      <c r="BC58" s="644">
        <f t="shared" si="2414"/>
        <v>2000</v>
      </c>
      <c r="BD58" s="644">
        <f t="shared" si="2414"/>
        <v>2000</v>
      </c>
      <c r="BE58" s="644">
        <f t="shared" si="2414"/>
        <v>2000</v>
      </c>
      <c r="BF58" s="644">
        <f t="shared" si="2414"/>
        <v>2000</v>
      </c>
      <c r="BG58" s="644">
        <f t="shared" si="2414"/>
        <v>2000</v>
      </c>
      <c r="BH58" s="644">
        <f t="shared" si="2414"/>
        <v>2000</v>
      </c>
      <c r="BI58" s="644">
        <f t="shared" si="2414"/>
        <v>2000</v>
      </c>
      <c r="BJ58" s="644">
        <f t="shared" si="2414"/>
        <v>2000</v>
      </c>
      <c r="BK58" s="644">
        <f t="shared" si="2414"/>
        <v>2000</v>
      </c>
      <c r="BL58" s="644">
        <f t="shared" si="2414"/>
        <v>2000</v>
      </c>
      <c r="BM58" s="644">
        <f t="shared" si="2414"/>
        <v>2000</v>
      </c>
      <c r="BN58" s="644">
        <f t="shared" si="2414"/>
        <v>2000</v>
      </c>
      <c r="BO58" s="644">
        <f t="shared" si="2414"/>
        <v>2000</v>
      </c>
      <c r="BP58" s="644">
        <f t="shared" si="2414"/>
        <v>2000</v>
      </c>
      <c r="BQ58" s="644">
        <f t="shared" si="2414"/>
        <v>2000</v>
      </c>
      <c r="BR58" s="644">
        <f t="shared" si="2414"/>
        <v>2000</v>
      </c>
      <c r="BS58" s="644">
        <f t="shared" si="2414"/>
        <v>2000</v>
      </c>
      <c r="BT58" s="644">
        <f t="shared" si="2414"/>
        <v>2000</v>
      </c>
      <c r="BU58" s="644">
        <f t="shared" ref="BU58:EF58" si="2415" xml:space="preserve">
IF(BT58-VLOOKUP($C56,$C$3:$D$15,2,FALSE)*BU$21&lt;0,0,BT58-VLOOKUP($C56,$C$3:$D$15,2,FALSE)*BU$21)</f>
        <v>2000</v>
      </c>
      <c r="BV58" s="644">
        <f t="shared" si="2415"/>
        <v>2000</v>
      </c>
      <c r="BW58" s="644">
        <f t="shared" si="2415"/>
        <v>2000</v>
      </c>
      <c r="BX58" s="644">
        <f t="shared" si="2415"/>
        <v>2000</v>
      </c>
      <c r="BY58" s="644">
        <f t="shared" si="2415"/>
        <v>2000</v>
      </c>
      <c r="BZ58" s="644">
        <f t="shared" si="2415"/>
        <v>2000</v>
      </c>
      <c r="CA58" s="644">
        <f t="shared" si="2415"/>
        <v>2000</v>
      </c>
      <c r="CB58" s="644">
        <f t="shared" si="2415"/>
        <v>2000</v>
      </c>
      <c r="CC58" s="644">
        <f t="shared" si="2415"/>
        <v>2000</v>
      </c>
      <c r="CD58" s="644">
        <f t="shared" si="2415"/>
        <v>2000</v>
      </c>
      <c r="CE58" s="644">
        <f t="shared" si="2415"/>
        <v>2000</v>
      </c>
      <c r="CF58" s="644">
        <f t="shared" si="2415"/>
        <v>2000</v>
      </c>
      <c r="CG58" s="644">
        <f t="shared" si="2415"/>
        <v>2000</v>
      </c>
      <c r="CH58" s="644">
        <f t="shared" si="2415"/>
        <v>2000</v>
      </c>
      <c r="CI58" s="644">
        <f t="shared" si="2415"/>
        <v>2000</v>
      </c>
      <c r="CJ58" s="644">
        <f t="shared" si="2415"/>
        <v>2000</v>
      </c>
      <c r="CK58" s="644">
        <f t="shared" si="2415"/>
        <v>2000</v>
      </c>
      <c r="CL58" s="644">
        <f t="shared" si="2415"/>
        <v>2000</v>
      </c>
      <c r="CM58" s="644">
        <f t="shared" si="2415"/>
        <v>2000</v>
      </c>
      <c r="CN58" s="644">
        <f t="shared" si="2415"/>
        <v>2000</v>
      </c>
      <c r="CO58" s="644">
        <f t="shared" si="2415"/>
        <v>2000</v>
      </c>
      <c r="CP58" s="644">
        <f t="shared" si="2415"/>
        <v>2000</v>
      </c>
      <c r="CQ58" s="644">
        <f t="shared" si="2415"/>
        <v>2000</v>
      </c>
      <c r="CR58" s="644">
        <f t="shared" si="2415"/>
        <v>2000</v>
      </c>
      <c r="CS58" s="644">
        <f t="shared" si="2415"/>
        <v>2000</v>
      </c>
      <c r="CT58" s="644">
        <f t="shared" si="2415"/>
        <v>2000</v>
      </c>
      <c r="CU58" s="644">
        <f t="shared" si="2415"/>
        <v>2000</v>
      </c>
      <c r="CV58" s="644">
        <f t="shared" si="2415"/>
        <v>2000</v>
      </c>
      <c r="CW58" s="644">
        <f t="shared" si="2415"/>
        <v>2000</v>
      </c>
      <c r="CX58" s="644">
        <f t="shared" si="2415"/>
        <v>2000</v>
      </c>
      <c r="CY58" s="644">
        <f t="shared" si="2415"/>
        <v>2000</v>
      </c>
      <c r="CZ58" s="644">
        <f t="shared" si="2415"/>
        <v>2000</v>
      </c>
      <c r="DA58" s="644">
        <f t="shared" si="2415"/>
        <v>2000</v>
      </c>
      <c r="DB58" s="644">
        <f t="shared" si="2415"/>
        <v>2000</v>
      </c>
      <c r="DC58" s="644">
        <f t="shared" si="2415"/>
        <v>2000</v>
      </c>
      <c r="DD58" s="644">
        <f t="shared" si="2415"/>
        <v>2000</v>
      </c>
      <c r="DE58" s="644">
        <f t="shared" si="2415"/>
        <v>2000</v>
      </c>
      <c r="DF58" s="644">
        <f t="shared" si="2415"/>
        <v>2000</v>
      </c>
      <c r="DG58" s="644">
        <f t="shared" si="2415"/>
        <v>2000</v>
      </c>
      <c r="DH58" s="644">
        <f t="shared" si="2415"/>
        <v>2000</v>
      </c>
      <c r="DI58" s="644">
        <f t="shared" si="2415"/>
        <v>2000</v>
      </c>
      <c r="DJ58" s="644">
        <f t="shared" si="2415"/>
        <v>2000</v>
      </c>
      <c r="DK58" s="644">
        <f t="shared" si="2415"/>
        <v>2000</v>
      </c>
      <c r="DL58" s="644">
        <f t="shared" si="2415"/>
        <v>2000</v>
      </c>
      <c r="DM58" s="644">
        <f t="shared" si="2415"/>
        <v>2000</v>
      </c>
      <c r="DN58" s="644">
        <f t="shared" si="2415"/>
        <v>2000</v>
      </c>
      <c r="DO58" s="644">
        <f t="shared" si="2415"/>
        <v>2000</v>
      </c>
      <c r="DP58" s="644">
        <f t="shared" si="2415"/>
        <v>2000</v>
      </c>
      <c r="DQ58" s="644">
        <f t="shared" si="2415"/>
        <v>2000</v>
      </c>
      <c r="DR58" s="644">
        <f t="shared" si="2415"/>
        <v>2000</v>
      </c>
      <c r="DS58" s="644">
        <f t="shared" si="2415"/>
        <v>2000</v>
      </c>
      <c r="DT58" s="644">
        <f t="shared" si="2415"/>
        <v>2000</v>
      </c>
      <c r="DU58" s="644">
        <f t="shared" si="2415"/>
        <v>2000</v>
      </c>
      <c r="DV58" s="644">
        <f t="shared" si="2415"/>
        <v>2000</v>
      </c>
      <c r="DW58" s="644">
        <f t="shared" si="2415"/>
        <v>2000</v>
      </c>
      <c r="DX58" s="644">
        <f t="shared" si="2415"/>
        <v>2000</v>
      </c>
      <c r="DY58" s="644">
        <f t="shared" si="2415"/>
        <v>2000</v>
      </c>
      <c r="DZ58" s="644">
        <f t="shared" si="2415"/>
        <v>2000</v>
      </c>
      <c r="EA58" s="644">
        <f t="shared" si="2415"/>
        <v>2000</v>
      </c>
      <c r="EB58" s="644">
        <f t="shared" si="2415"/>
        <v>2000</v>
      </c>
      <c r="EC58" s="644">
        <f t="shared" si="2415"/>
        <v>2000</v>
      </c>
      <c r="ED58" s="644">
        <f t="shared" si="2415"/>
        <v>2000</v>
      </c>
      <c r="EE58" s="644">
        <f t="shared" si="2415"/>
        <v>2000</v>
      </c>
      <c r="EF58" s="644">
        <f t="shared" si="2415"/>
        <v>2000</v>
      </c>
      <c r="EG58" s="644">
        <f t="shared" ref="EG58:GJ58" si="2416" xml:space="preserve">
IF(EF58-VLOOKUP($C56,$C$3:$D$15,2,FALSE)*EG$21&lt;0,0,EF58-VLOOKUP($C56,$C$3:$D$15,2,FALSE)*EG$21)</f>
        <v>2000</v>
      </c>
      <c r="EH58" s="644">
        <f t="shared" si="2416"/>
        <v>2000</v>
      </c>
      <c r="EI58" s="644">
        <f t="shared" si="2416"/>
        <v>2000</v>
      </c>
      <c r="EJ58" s="644">
        <f t="shared" si="2416"/>
        <v>2000</v>
      </c>
      <c r="EK58" s="644">
        <f t="shared" si="2416"/>
        <v>2000</v>
      </c>
      <c r="EL58" s="644">
        <f t="shared" si="2416"/>
        <v>2000</v>
      </c>
      <c r="EM58" s="644">
        <f t="shared" si="2416"/>
        <v>2000</v>
      </c>
      <c r="EN58" s="644">
        <f t="shared" si="2416"/>
        <v>2000</v>
      </c>
      <c r="EO58" s="644">
        <f t="shared" si="2416"/>
        <v>2000</v>
      </c>
      <c r="EP58" s="644">
        <f t="shared" si="2416"/>
        <v>2000</v>
      </c>
      <c r="EQ58" s="644">
        <f t="shared" si="2416"/>
        <v>2000</v>
      </c>
      <c r="ER58" s="644">
        <f t="shared" si="2416"/>
        <v>2000</v>
      </c>
      <c r="ES58" s="644">
        <f t="shared" si="2416"/>
        <v>2000</v>
      </c>
      <c r="ET58" s="644">
        <f t="shared" si="2416"/>
        <v>2000</v>
      </c>
      <c r="EU58" s="644">
        <f t="shared" si="2416"/>
        <v>2000</v>
      </c>
      <c r="EV58" s="644">
        <f t="shared" si="2416"/>
        <v>2000</v>
      </c>
      <c r="EW58" s="644">
        <f t="shared" si="2416"/>
        <v>2000</v>
      </c>
      <c r="EX58" s="644">
        <f t="shared" si="2416"/>
        <v>2000</v>
      </c>
      <c r="EY58" s="644">
        <f t="shared" si="2416"/>
        <v>2000</v>
      </c>
      <c r="EZ58" s="644">
        <f t="shared" si="2416"/>
        <v>2000</v>
      </c>
      <c r="FA58" s="644">
        <f t="shared" si="2416"/>
        <v>2000</v>
      </c>
      <c r="FB58" s="644">
        <f t="shared" si="2416"/>
        <v>2000</v>
      </c>
      <c r="FC58" s="644">
        <f t="shared" si="2416"/>
        <v>2000</v>
      </c>
      <c r="FD58" s="644">
        <f t="shared" si="2416"/>
        <v>2000</v>
      </c>
      <c r="FE58" s="644">
        <f t="shared" si="2416"/>
        <v>2000</v>
      </c>
      <c r="FF58" s="644">
        <f t="shared" si="2416"/>
        <v>2000</v>
      </c>
      <c r="FG58" s="644">
        <f t="shared" si="2416"/>
        <v>2000</v>
      </c>
      <c r="FH58" s="644">
        <f t="shared" si="2416"/>
        <v>2000</v>
      </c>
      <c r="FI58" s="644">
        <f t="shared" si="2416"/>
        <v>2000</v>
      </c>
      <c r="FJ58" s="644">
        <f t="shared" si="2416"/>
        <v>2000</v>
      </c>
      <c r="FK58" s="644">
        <f t="shared" si="2416"/>
        <v>2000</v>
      </c>
      <c r="FL58" s="644">
        <f t="shared" si="2416"/>
        <v>2000</v>
      </c>
      <c r="FM58" s="644">
        <f t="shared" si="2416"/>
        <v>2000</v>
      </c>
      <c r="FN58" s="644">
        <f t="shared" si="2416"/>
        <v>2000</v>
      </c>
      <c r="FO58" s="644">
        <f t="shared" si="2416"/>
        <v>2000</v>
      </c>
      <c r="FP58" s="644">
        <f t="shared" si="2416"/>
        <v>2000</v>
      </c>
      <c r="FQ58" s="644">
        <f t="shared" si="2416"/>
        <v>2000</v>
      </c>
      <c r="FR58" s="644">
        <f t="shared" si="2416"/>
        <v>2000</v>
      </c>
      <c r="FS58" s="644">
        <f t="shared" si="2416"/>
        <v>2000</v>
      </c>
      <c r="FT58" s="644">
        <f t="shared" si="2416"/>
        <v>2000</v>
      </c>
      <c r="FU58" s="644">
        <f t="shared" si="2416"/>
        <v>2000</v>
      </c>
      <c r="FV58" s="644">
        <f t="shared" si="2416"/>
        <v>2000</v>
      </c>
      <c r="FW58" s="644">
        <f t="shared" si="2416"/>
        <v>2000</v>
      </c>
      <c r="FX58" s="644">
        <f t="shared" si="2416"/>
        <v>2000</v>
      </c>
      <c r="FY58" s="644">
        <f t="shared" si="2416"/>
        <v>2000</v>
      </c>
      <c r="FZ58" s="644">
        <f t="shared" si="2416"/>
        <v>2000</v>
      </c>
      <c r="GA58" s="644">
        <f t="shared" si="2416"/>
        <v>2000</v>
      </c>
      <c r="GB58" s="644">
        <f t="shared" si="2416"/>
        <v>2000</v>
      </c>
      <c r="GC58" s="644">
        <f t="shared" si="2416"/>
        <v>2000</v>
      </c>
      <c r="GD58" s="644">
        <f t="shared" si="2416"/>
        <v>2000</v>
      </c>
      <c r="GE58" s="644">
        <f t="shared" si="2416"/>
        <v>2000</v>
      </c>
      <c r="GF58" s="644">
        <f t="shared" si="2416"/>
        <v>2000</v>
      </c>
      <c r="GG58" s="644">
        <f t="shared" si="2416"/>
        <v>2000</v>
      </c>
      <c r="GH58" s="644">
        <f t="shared" si="2416"/>
        <v>2000</v>
      </c>
      <c r="GI58" s="644">
        <f t="shared" si="2416"/>
        <v>2000</v>
      </c>
      <c r="GJ58" s="644">
        <f t="shared" si="2416"/>
        <v>2000</v>
      </c>
    </row>
    <row r="59" spans="2:192" s="655" customFormat="1">
      <c r="B59" s="656"/>
      <c r="C59" s="641" t="s">
        <v>1410</v>
      </c>
      <c r="D59" s="768" t="s">
        <v>1466</v>
      </c>
      <c r="E59" s="773"/>
      <c r="F59" s="706"/>
      <c r="G59" s="642">
        <f xml:space="preserve">
MIN(G60,
IF((VLOOKUP($C59,$C$3:$D$15,2,FALSE)*G$21-G61)&lt;0,0,VLOOKUP($C59,$C$3:$D$15,2,FALSE)*G$21-G61))</f>
        <v>0</v>
      </c>
      <c r="H59" s="642">
        <f t="shared" ref="H59" si="2417" xml:space="preserve">
IF(G61&gt;=VLOOKUP($C59,$C$3:$D$15,2,FALSE)*H$21,0,
IF(AND(G61&lt;VLOOKUP($C59,$C$3:$D$15,2,FALSE)*H$21,H60&lt;=VLOOKUP($C59,$C$3:$D$15,2,FALSE)*H$21),IF(H60-G61&lt;0,0,H60-G61),
IF(AND(G61&lt;VLOOKUP($C59,$C$3:$D$15,2,FALSE)*H$21,H60&gt;VLOOKUP($C59,$C$3:$D$15,2,FALSE)*H$21),VLOOKUP($C59,$C$3:$D$15,2,FALSE)*H$21-G61)))</f>
        <v>0</v>
      </c>
      <c r="I59" s="642">
        <f t="shared" ref="I59" si="2418" xml:space="preserve">
IF(H61&gt;=VLOOKUP($C59,$C$3:$D$15,2,FALSE)*I$21,0,
IF(AND(H61&lt;VLOOKUP($C59,$C$3:$D$15,2,FALSE)*I$21,I60&lt;=VLOOKUP($C59,$C$3:$D$15,2,FALSE)*I$21),IF(I60-H61&lt;0,0,I60-H61),
IF(AND(H61&lt;VLOOKUP($C59,$C$3:$D$15,2,FALSE)*I$21,I60&gt;VLOOKUP($C59,$C$3:$D$15,2,FALSE)*I$21),VLOOKUP($C59,$C$3:$D$15,2,FALSE)*I$21-H61)))</f>
        <v>0</v>
      </c>
      <c r="J59" s="642">
        <f t="shared" ref="J59" si="2419" xml:space="preserve">
IF(I61&gt;=VLOOKUP($C59,$C$3:$D$15,2,FALSE)*J$21,0,
IF(AND(I61&lt;VLOOKUP($C59,$C$3:$D$15,2,FALSE)*J$21,J60&lt;=VLOOKUP($C59,$C$3:$D$15,2,FALSE)*J$21),IF(J60-I61&lt;0,0,J60-I61),
IF(AND(I61&lt;VLOOKUP($C59,$C$3:$D$15,2,FALSE)*J$21,J60&gt;VLOOKUP($C59,$C$3:$D$15,2,FALSE)*J$21),VLOOKUP($C59,$C$3:$D$15,2,FALSE)*J$21-I61)))</f>
        <v>0</v>
      </c>
      <c r="K59" s="642">
        <f t="shared" ref="K59" si="2420" xml:space="preserve">
IF(J61&gt;=VLOOKUP($C59,$C$3:$D$15,2,FALSE)*K$21,0,
IF(AND(J61&lt;VLOOKUP($C59,$C$3:$D$15,2,FALSE)*K$21,K60&lt;=VLOOKUP($C59,$C$3:$D$15,2,FALSE)*K$21),IF(K60-J61&lt;0,0,K60-J61),
IF(AND(J61&lt;VLOOKUP($C59,$C$3:$D$15,2,FALSE)*K$21,K60&gt;VLOOKUP($C59,$C$3:$D$15,2,FALSE)*K$21),VLOOKUP($C59,$C$3:$D$15,2,FALSE)*K$21-J61)))</f>
        <v>0</v>
      </c>
      <c r="L59" s="642">
        <f t="shared" ref="L59" si="2421" xml:space="preserve">
IF(K61&gt;=VLOOKUP($C59,$C$3:$D$15,2,FALSE)*L$21,0,
IF(AND(K61&lt;VLOOKUP($C59,$C$3:$D$15,2,FALSE)*L$21,L60&lt;=VLOOKUP($C59,$C$3:$D$15,2,FALSE)*L$21),IF(L60-K61&lt;0,0,L60-K61),
IF(AND(K61&lt;VLOOKUP($C59,$C$3:$D$15,2,FALSE)*L$21,L60&gt;VLOOKUP($C59,$C$3:$D$15,2,FALSE)*L$21),VLOOKUP($C59,$C$3:$D$15,2,FALSE)*L$21-K61)))</f>
        <v>0</v>
      </c>
      <c r="M59" s="642">
        <f t="shared" ref="M59" si="2422" xml:space="preserve">
IF(L61&gt;=VLOOKUP($C59,$C$3:$D$15,2,FALSE)*M$21,0,
IF(AND(L61&lt;VLOOKUP($C59,$C$3:$D$15,2,FALSE)*M$21,M60&lt;=VLOOKUP($C59,$C$3:$D$15,2,FALSE)*M$21),IF(M60-L61&lt;0,0,M60-L61),
IF(AND(L61&lt;VLOOKUP($C59,$C$3:$D$15,2,FALSE)*M$21,M60&gt;VLOOKUP($C59,$C$3:$D$15,2,FALSE)*M$21),VLOOKUP($C59,$C$3:$D$15,2,FALSE)*M$21-L61)))</f>
        <v>0</v>
      </c>
      <c r="N59" s="642">
        <f t="shared" ref="N59" si="2423" xml:space="preserve">
IF(M61&gt;=VLOOKUP($C59,$C$3:$D$15,2,FALSE)*N$21,0,
IF(AND(M61&lt;VLOOKUP($C59,$C$3:$D$15,2,FALSE)*N$21,N60&lt;=VLOOKUP($C59,$C$3:$D$15,2,FALSE)*N$21),IF(N60-M61&lt;0,0,N60-M61),
IF(AND(M61&lt;VLOOKUP($C59,$C$3:$D$15,2,FALSE)*N$21,N60&gt;VLOOKUP($C59,$C$3:$D$15,2,FALSE)*N$21),VLOOKUP($C59,$C$3:$D$15,2,FALSE)*N$21-M61)))</f>
        <v>0</v>
      </c>
      <c r="O59" s="642">
        <f t="shared" ref="O59" si="2424" xml:space="preserve">
IF(N61&gt;=VLOOKUP($C59,$C$3:$D$15,2,FALSE)*O$21,0,
IF(AND(N61&lt;VLOOKUP($C59,$C$3:$D$15,2,FALSE)*O$21,O60&lt;=VLOOKUP($C59,$C$3:$D$15,2,FALSE)*O$21),IF(O60-N61&lt;0,0,O60-N61),
IF(AND(N61&lt;VLOOKUP($C59,$C$3:$D$15,2,FALSE)*O$21,O60&gt;VLOOKUP($C59,$C$3:$D$15,2,FALSE)*O$21),VLOOKUP($C59,$C$3:$D$15,2,FALSE)*O$21-N61)))</f>
        <v>0</v>
      </c>
      <c r="P59" s="642">
        <f t="shared" ref="P59" si="2425" xml:space="preserve">
IF(O61&gt;=VLOOKUP($C59,$C$3:$D$15,2,FALSE)*P$21,0,
IF(AND(O61&lt;VLOOKUP($C59,$C$3:$D$15,2,FALSE)*P$21,P60&lt;=VLOOKUP($C59,$C$3:$D$15,2,FALSE)*P$21),IF(P60-O61&lt;0,0,P60-O61),
IF(AND(O61&lt;VLOOKUP($C59,$C$3:$D$15,2,FALSE)*P$21,P60&gt;VLOOKUP($C59,$C$3:$D$15,2,FALSE)*P$21),VLOOKUP($C59,$C$3:$D$15,2,FALSE)*P$21-O61)))</f>
        <v>0</v>
      </c>
      <c r="Q59" s="642">
        <f t="shared" ref="Q59" si="2426" xml:space="preserve">
IF(P61&gt;=VLOOKUP($C59,$C$3:$D$15,2,FALSE)*Q$21,0,
IF(AND(P61&lt;VLOOKUP($C59,$C$3:$D$15,2,FALSE)*Q$21,Q60&lt;=VLOOKUP($C59,$C$3:$D$15,2,FALSE)*Q$21),IF(Q60-P61&lt;0,0,Q60-P61),
IF(AND(P61&lt;VLOOKUP($C59,$C$3:$D$15,2,FALSE)*Q$21,Q60&gt;VLOOKUP($C59,$C$3:$D$15,2,FALSE)*Q$21),VLOOKUP($C59,$C$3:$D$15,2,FALSE)*Q$21-P61)))</f>
        <v>0</v>
      </c>
      <c r="R59" s="642">
        <f t="shared" ref="R59" si="2427" xml:space="preserve">
IF(Q61&gt;=VLOOKUP($C59,$C$3:$D$15,2,FALSE)*R$21,0,
IF(AND(Q61&lt;VLOOKUP($C59,$C$3:$D$15,2,FALSE)*R$21,R60&lt;=VLOOKUP($C59,$C$3:$D$15,2,FALSE)*R$21),IF(R60-Q61&lt;0,0,R60-Q61),
IF(AND(Q61&lt;VLOOKUP($C59,$C$3:$D$15,2,FALSE)*R$21,R60&gt;VLOOKUP($C59,$C$3:$D$15,2,FALSE)*R$21),VLOOKUP($C59,$C$3:$D$15,2,FALSE)*R$21-Q61)))</f>
        <v>0</v>
      </c>
      <c r="S59" s="642">
        <f t="shared" ref="S59" si="2428" xml:space="preserve">
IF(R61&gt;=VLOOKUP($C59,$C$3:$D$15,2,FALSE)*S$21,0,
IF(AND(R61&lt;VLOOKUP($C59,$C$3:$D$15,2,FALSE)*S$21,S60&lt;=VLOOKUP($C59,$C$3:$D$15,2,FALSE)*S$21),IF(S60-R61&lt;0,0,S60-R61),
IF(AND(R61&lt;VLOOKUP($C59,$C$3:$D$15,2,FALSE)*S$21,S60&gt;VLOOKUP($C59,$C$3:$D$15,2,FALSE)*S$21),VLOOKUP($C59,$C$3:$D$15,2,FALSE)*S$21-R61)))</f>
        <v>0</v>
      </c>
      <c r="T59" s="642">
        <f t="shared" ref="T59" si="2429" xml:space="preserve">
IF(S61&gt;=VLOOKUP($C59,$C$3:$D$15,2,FALSE)*T$21,0,
IF(AND(S61&lt;VLOOKUP($C59,$C$3:$D$15,2,FALSE)*T$21,T60&lt;=VLOOKUP($C59,$C$3:$D$15,2,FALSE)*T$21),IF(T60-S61&lt;0,0,T60-S61),
IF(AND(S61&lt;VLOOKUP($C59,$C$3:$D$15,2,FALSE)*T$21,T60&gt;VLOOKUP($C59,$C$3:$D$15,2,FALSE)*T$21),VLOOKUP($C59,$C$3:$D$15,2,FALSE)*T$21-S61)))</f>
        <v>0</v>
      </c>
      <c r="U59" s="642">
        <f t="shared" ref="U59" si="2430" xml:space="preserve">
IF(T61&gt;=VLOOKUP($C59,$C$3:$D$15,2,FALSE)*U$21,0,
IF(AND(T61&lt;VLOOKUP($C59,$C$3:$D$15,2,FALSE)*U$21,U60&lt;=VLOOKUP($C59,$C$3:$D$15,2,FALSE)*U$21),IF(U60-T61&lt;0,0,U60-T61),
IF(AND(T61&lt;VLOOKUP($C59,$C$3:$D$15,2,FALSE)*U$21,U60&gt;VLOOKUP($C59,$C$3:$D$15,2,FALSE)*U$21),VLOOKUP($C59,$C$3:$D$15,2,FALSE)*U$21-T61)))</f>
        <v>0</v>
      </c>
      <c r="V59" s="642">
        <f t="shared" ref="V59" si="2431" xml:space="preserve">
IF(U61&gt;=VLOOKUP($C59,$C$3:$D$15,2,FALSE)*V$21,0,
IF(AND(U61&lt;VLOOKUP($C59,$C$3:$D$15,2,FALSE)*V$21,V60&lt;=VLOOKUP($C59,$C$3:$D$15,2,FALSE)*V$21),IF(V60-U61&lt;0,0,V60-U61),
IF(AND(U61&lt;VLOOKUP($C59,$C$3:$D$15,2,FALSE)*V$21,V60&gt;VLOOKUP($C59,$C$3:$D$15,2,FALSE)*V$21),VLOOKUP($C59,$C$3:$D$15,2,FALSE)*V$21-U61)))</f>
        <v>0</v>
      </c>
      <c r="W59" s="642">
        <f t="shared" ref="W59" si="2432" xml:space="preserve">
IF(V61&gt;=VLOOKUP($C59,$C$3:$D$15,2,FALSE)*W$21,0,
IF(AND(V61&lt;VLOOKUP($C59,$C$3:$D$15,2,FALSE)*W$21,W60&lt;=VLOOKUP($C59,$C$3:$D$15,2,FALSE)*W$21),IF(W60-V61&lt;0,0,W60-V61),
IF(AND(V61&lt;VLOOKUP($C59,$C$3:$D$15,2,FALSE)*W$21,W60&gt;VLOOKUP($C59,$C$3:$D$15,2,FALSE)*W$21),VLOOKUP($C59,$C$3:$D$15,2,FALSE)*W$21-V61)))</f>
        <v>0</v>
      </c>
      <c r="X59" s="642">
        <f t="shared" ref="X59" si="2433" xml:space="preserve">
IF(W61&gt;=VLOOKUP($C59,$C$3:$D$15,2,FALSE)*X$21,0,
IF(AND(W61&lt;VLOOKUP($C59,$C$3:$D$15,2,FALSE)*X$21,X60&lt;=VLOOKUP($C59,$C$3:$D$15,2,FALSE)*X$21),IF(X60-W61&lt;0,0,X60-W61),
IF(AND(W61&lt;VLOOKUP($C59,$C$3:$D$15,2,FALSE)*X$21,X60&gt;VLOOKUP($C59,$C$3:$D$15,2,FALSE)*X$21),VLOOKUP($C59,$C$3:$D$15,2,FALSE)*X$21-W61)))</f>
        <v>0</v>
      </c>
      <c r="Y59" s="642">
        <f t="shared" ref="Y59" si="2434" xml:space="preserve">
IF(X61&gt;=VLOOKUP($C59,$C$3:$D$15,2,FALSE)*Y$21,0,
IF(AND(X61&lt;VLOOKUP($C59,$C$3:$D$15,2,FALSE)*Y$21,Y60&lt;=VLOOKUP($C59,$C$3:$D$15,2,FALSE)*Y$21),IF(Y60-X61&lt;0,0,Y60-X61),
IF(AND(X61&lt;VLOOKUP($C59,$C$3:$D$15,2,FALSE)*Y$21,Y60&gt;VLOOKUP($C59,$C$3:$D$15,2,FALSE)*Y$21),VLOOKUP($C59,$C$3:$D$15,2,FALSE)*Y$21-X61)))</f>
        <v>0</v>
      </c>
      <c r="Z59" s="642">
        <f t="shared" ref="Z59" si="2435" xml:space="preserve">
IF(Y61&gt;=VLOOKUP($C59,$C$3:$D$15,2,FALSE)*Z$21,0,
IF(AND(Y61&lt;VLOOKUP($C59,$C$3:$D$15,2,FALSE)*Z$21,Z60&lt;=VLOOKUP($C59,$C$3:$D$15,2,FALSE)*Z$21),IF(Z60-Y61&lt;0,0,Z60-Y61),
IF(AND(Y61&lt;VLOOKUP($C59,$C$3:$D$15,2,FALSE)*Z$21,Z60&gt;VLOOKUP($C59,$C$3:$D$15,2,FALSE)*Z$21),VLOOKUP($C59,$C$3:$D$15,2,FALSE)*Z$21-Y61)))</f>
        <v>0</v>
      </c>
      <c r="AA59" s="642">
        <f t="shared" ref="AA59" si="2436" xml:space="preserve">
IF(Z61&gt;=VLOOKUP($C59,$C$3:$D$15,2,FALSE)*AA$21,0,
IF(AND(Z61&lt;VLOOKUP($C59,$C$3:$D$15,2,FALSE)*AA$21,AA60&lt;=VLOOKUP($C59,$C$3:$D$15,2,FALSE)*AA$21),IF(AA60-Z61&lt;0,0,AA60-Z61),
IF(AND(Z61&lt;VLOOKUP($C59,$C$3:$D$15,2,FALSE)*AA$21,AA60&gt;VLOOKUP($C59,$C$3:$D$15,2,FALSE)*AA$21),VLOOKUP($C59,$C$3:$D$15,2,FALSE)*AA$21-Z61)))</f>
        <v>0</v>
      </c>
      <c r="AB59" s="642">
        <f t="shared" ref="AB59" si="2437" xml:space="preserve">
IF(AA61&gt;=VLOOKUP($C59,$C$3:$D$15,2,FALSE)*AB$21,0,
IF(AND(AA61&lt;VLOOKUP($C59,$C$3:$D$15,2,FALSE)*AB$21,AB60&lt;=VLOOKUP($C59,$C$3:$D$15,2,FALSE)*AB$21),IF(AB60-AA61&lt;0,0,AB60-AA61),
IF(AND(AA61&lt;VLOOKUP($C59,$C$3:$D$15,2,FALSE)*AB$21,AB60&gt;VLOOKUP($C59,$C$3:$D$15,2,FALSE)*AB$21),VLOOKUP($C59,$C$3:$D$15,2,FALSE)*AB$21-AA61)))</f>
        <v>0</v>
      </c>
      <c r="AC59" s="642">
        <f t="shared" ref="AC59" si="2438" xml:space="preserve">
IF(AB61&gt;=VLOOKUP($C59,$C$3:$D$15,2,FALSE)*AC$21,0,
IF(AND(AB61&lt;VLOOKUP($C59,$C$3:$D$15,2,FALSE)*AC$21,AC60&lt;=VLOOKUP($C59,$C$3:$D$15,2,FALSE)*AC$21),IF(AC60-AB61&lt;0,0,AC60-AB61),
IF(AND(AB61&lt;VLOOKUP($C59,$C$3:$D$15,2,FALSE)*AC$21,AC60&gt;VLOOKUP($C59,$C$3:$D$15,2,FALSE)*AC$21),VLOOKUP($C59,$C$3:$D$15,2,FALSE)*AC$21-AB61)))</f>
        <v>0</v>
      </c>
      <c r="AD59" s="642">
        <f t="shared" ref="AD59" si="2439" xml:space="preserve">
IF(AC61&gt;=VLOOKUP($C59,$C$3:$D$15,2,FALSE)*AD$21,0,
IF(AND(AC61&lt;VLOOKUP($C59,$C$3:$D$15,2,FALSE)*AD$21,AD60&lt;=VLOOKUP($C59,$C$3:$D$15,2,FALSE)*AD$21),IF(AD60-AC61&lt;0,0,AD60-AC61),
IF(AND(AC61&lt;VLOOKUP($C59,$C$3:$D$15,2,FALSE)*AD$21,AD60&gt;VLOOKUP($C59,$C$3:$D$15,2,FALSE)*AD$21),VLOOKUP($C59,$C$3:$D$15,2,FALSE)*AD$21-AC61)))</f>
        <v>0</v>
      </c>
      <c r="AE59" s="642">
        <f t="shared" ref="AE59" si="2440" xml:space="preserve">
IF(AD61&gt;=VLOOKUP($C59,$C$3:$D$15,2,FALSE)*AE$21,0,
IF(AND(AD61&lt;VLOOKUP($C59,$C$3:$D$15,2,FALSE)*AE$21,AE60&lt;=VLOOKUP($C59,$C$3:$D$15,2,FALSE)*AE$21),IF(AE60-AD61&lt;0,0,AE60-AD61),
IF(AND(AD61&lt;VLOOKUP($C59,$C$3:$D$15,2,FALSE)*AE$21,AE60&gt;VLOOKUP($C59,$C$3:$D$15,2,FALSE)*AE$21),VLOOKUP($C59,$C$3:$D$15,2,FALSE)*AE$21-AD61)))</f>
        <v>0</v>
      </c>
      <c r="AF59" s="642">
        <f t="shared" ref="AF59" si="2441" xml:space="preserve">
IF(AE61&gt;=VLOOKUP($C59,$C$3:$D$15,2,FALSE)*AF$21,0,
IF(AND(AE61&lt;VLOOKUP($C59,$C$3:$D$15,2,FALSE)*AF$21,AF60&lt;=VLOOKUP($C59,$C$3:$D$15,2,FALSE)*AF$21),IF(AF60-AE61&lt;0,0,AF60-AE61),
IF(AND(AE61&lt;VLOOKUP($C59,$C$3:$D$15,2,FALSE)*AF$21,AF60&gt;VLOOKUP($C59,$C$3:$D$15,2,FALSE)*AF$21),VLOOKUP($C59,$C$3:$D$15,2,FALSE)*AF$21-AE61)))</f>
        <v>0</v>
      </c>
      <c r="AG59" s="642">
        <f t="shared" ref="AG59" si="2442" xml:space="preserve">
IF(AF61&gt;=VLOOKUP($C59,$C$3:$D$15,2,FALSE)*AG$21,0,
IF(AND(AF61&lt;VLOOKUP($C59,$C$3:$D$15,2,FALSE)*AG$21,AG60&lt;=VLOOKUP($C59,$C$3:$D$15,2,FALSE)*AG$21),IF(AG60-AF61&lt;0,0,AG60-AF61),
IF(AND(AF61&lt;VLOOKUP($C59,$C$3:$D$15,2,FALSE)*AG$21,AG60&gt;VLOOKUP($C59,$C$3:$D$15,2,FALSE)*AG$21),VLOOKUP($C59,$C$3:$D$15,2,FALSE)*AG$21-AF61)))</f>
        <v>0</v>
      </c>
      <c r="AH59" s="642">
        <f t="shared" ref="AH59" si="2443" xml:space="preserve">
IF(AG61&gt;=VLOOKUP($C59,$C$3:$D$15,2,FALSE)*AH$21,0,
IF(AND(AG61&lt;VLOOKUP($C59,$C$3:$D$15,2,FALSE)*AH$21,AH60&lt;=VLOOKUP($C59,$C$3:$D$15,2,FALSE)*AH$21),IF(AH60-AG61&lt;0,0,AH60-AG61),
IF(AND(AG61&lt;VLOOKUP($C59,$C$3:$D$15,2,FALSE)*AH$21,AH60&gt;VLOOKUP($C59,$C$3:$D$15,2,FALSE)*AH$21),VLOOKUP($C59,$C$3:$D$15,2,FALSE)*AH$21-AG61)))</f>
        <v>0</v>
      </c>
      <c r="AI59" s="642">
        <f t="shared" ref="AI59" si="2444" xml:space="preserve">
IF(AH61&gt;=VLOOKUP($C59,$C$3:$D$15,2,FALSE)*AI$21,0,
IF(AND(AH61&lt;VLOOKUP($C59,$C$3:$D$15,2,FALSE)*AI$21,AI60&lt;=VLOOKUP($C59,$C$3:$D$15,2,FALSE)*AI$21),IF(AI60-AH61&lt;0,0,AI60-AH61),
IF(AND(AH61&lt;VLOOKUP($C59,$C$3:$D$15,2,FALSE)*AI$21,AI60&gt;VLOOKUP($C59,$C$3:$D$15,2,FALSE)*AI$21),VLOOKUP($C59,$C$3:$D$15,2,FALSE)*AI$21-AH61)))</f>
        <v>0</v>
      </c>
      <c r="AJ59" s="642">
        <f t="shared" ref="AJ59" si="2445" xml:space="preserve">
IF(AI61&gt;=VLOOKUP($C59,$C$3:$D$15,2,FALSE)*AJ$21,0,
IF(AND(AI61&lt;VLOOKUP($C59,$C$3:$D$15,2,FALSE)*AJ$21,AJ60&lt;=VLOOKUP($C59,$C$3:$D$15,2,FALSE)*AJ$21),IF(AJ60-AI61&lt;0,0,AJ60-AI61),
IF(AND(AI61&lt;VLOOKUP($C59,$C$3:$D$15,2,FALSE)*AJ$21,AJ60&gt;VLOOKUP($C59,$C$3:$D$15,2,FALSE)*AJ$21),VLOOKUP($C59,$C$3:$D$15,2,FALSE)*AJ$21-AI61)))</f>
        <v>0</v>
      </c>
      <c r="AK59" s="642">
        <f t="shared" ref="AK59" si="2446" xml:space="preserve">
IF(AJ61&gt;=VLOOKUP($C59,$C$3:$D$15,2,FALSE)*AK$21,0,
IF(AND(AJ61&lt;VLOOKUP($C59,$C$3:$D$15,2,FALSE)*AK$21,AK60&lt;=VLOOKUP($C59,$C$3:$D$15,2,FALSE)*AK$21),IF(AK60-AJ61&lt;0,0,AK60-AJ61),
IF(AND(AJ61&lt;VLOOKUP($C59,$C$3:$D$15,2,FALSE)*AK$21,AK60&gt;VLOOKUP($C59,$C$3:$D$15,2,FALSE)*AK$21),VLOOKUP($C59,$C$3:$D$15,2,FALSE)*AK$21-AJ61)))</f>
        <v>0</v>
      </c>
      <c r="AL59" s="642">
        <f t="shared" ref="AL59" si="2447" xml:space="preserve">
IF(AK61&gt;=VLOOKUP($C59,$C$3:$D$15,2,FALSE)*AL$21,0,
IF(AND(AK61&lt;VLOOKUP($C59,$C$3:$D$15,2,FALSE)*AL$21,AL60&lt;=VLOOKUP($C59,$C$3:$D$15,2,FALSE)*AL$21),IF(AL60-AK61&lt;0,0,AL60-AK61),
IF(AND(AK61&lt;VLOOKUP($C59,$C$3:$D$15,2,FALSE)*AL$21,AL60&gt;VLOOKUP($C59,$C$3:$D$15,2,FALSE)*AL$21),VLOOKUP($C59,$C$3:$D$15,2,FALSE)*AL$21-AK61)))</f>
        <v>0</v>
      </c>
      <c r="AM59" s="642">
        <f t="shared" ref="AM59" si="2448" xml:space="preserve">
IF(AL61&gt;=VLOOKUP($C59,$C$3:$D$15,2,FALSE)*AM$21,0,
IF(AND(AL61&lt;VLOOKUP($C59,$C$3:$D$15,2,FALSE)*AM$21,AM60&lt;=VLOOKUP($C59,$C$3:$D$15,2,FALSE)*AM$21),IF(AM60-AL61&lt;0,0,AM60-AL61),
IF(AND(AL61&lt;VLOOKUP($C59,$C$3:$D$15,2,FALSE)*AM$21,AM60&gt;VLOOKUP($C59,$C$3:$D$15,2,FALSE)*AM$21),VLOOKUP($C59,$C$3:$D$15,2,FALSE)*AM$21-AL61)))</f>
        <v>0</v>
      </c>
      <c r="AN59" s="642">
        <f t="shared" ref="AN59" si="2449" xml:space="preserve">
IF(AM61&gt;=VLOOKUP($C59,$C$3:$D$15,2,FALSE)*AN$21,0,
IF(AND(AM61&lt;VLOOKUP($C59,$C$3:$D$15,2,FALSE)*AN$21,AN60&lt;=VLOOKUP($C59,$C$3:$D$15,2,FALSE)*AN$21),IF(AN60-AM61&lt;0,0,AN60-AM61),
IF(AND(AM61&lt;VLOOKUP($C59,$C$3:$D$15,2,FALSE)*AN$21,AN60&gt;VLOOKUP($C59,$C$3:$D$15,2,FALSE)*AN$21),VLOOKUP($C59,$C$3:$D$15,2,FALSE)*AN$21-AM61)))</f>
        <v>0</v>
      </c>
      <c r="AO59" s="642">
        <f t="shared" ref="AO59" si="2450" xml:space="preserve">
IF(AN61&gt;=VLOOKUP($C59,$C$3:$D$15,2,FALSE)*AO$21,0,
IF(AND(AN61&lt;VLOOKUP($C59,$C$3:$D$15,2,FALSE)*AO$21,AO60&lt;=VLOOKUP($C59,$C$3:$D$15,2,FALSE)*AO$21),IF(AO60-AN61&lt;0,0,AO60-AN61),
IF(AND(AN61&lt;VLOOKUP($C59,$C$3:$D$15,2,FALSE)*AO$21,AO60&gt;VLOOKUP($C59,$C$3:$D$15,2,FALSE)*AO$21),VLOOKUP($C59,$C$3:$D$15,2,FALSE)*AO$21-AN61)))</f>
        <v>0</v>
      </c>
      <c r="AP59" s="642">
        <f t="shared" ref="AP59" si="2451" xml:space="preserve">
IF(AO61&gt;=VLOOKUP($C59,$C$3:$D$15,2,FALSE)*AP$21,0,
IF(AND(AO61&lt;VLOOKUP($C59,$C$3:$D$15,2,FALSE)*AP$21,AP60&lt;=VLOOKUP($C59,$C$3:$D$15,2,FALSE)*AP$21),IF(AP60-AO61&lt;0,0,AP60-AO61),
IF(AND(AO61&lt;VLOOKUP($C59,$C$3:$D$15,2,FALSE)*AP$21,AP60&gt;VLOOKUP($C59,$C$3:$D$15,2,FALSE)*AP$21),VLOOKUP($C59,$C$3:$D$15,2,FALSE)*AP$21-AO61)))</f>
        <v>0</v>
      </c>
      <c r="AQ59" s="642">
        <f t="shared" ref="AQ59" si="2452" xml:space="preserve">
IF(AP61&gt;=VLOOKUP($C59,$C$3:$D$15,2,FALSE)*AQ$21,0,
IF(AND(AP61&lt;VLOOKUP($C59,$C$3:$D$15,2,FALSE)*AQ$21,AQ60&lt;=VLOOKUP($C59,$C$3:$D$15,2,FALSE)*AQ$21),IF(AQ60-AP61&lt;0,0,AQ60-AP61),
IF(AND(AP61&lt;VLOOKUP($C59,$C$3:$D$15,2,FALSE)*AQ$21,AQ60&gt;VLOOKUP($C59,$C$3:$D$15,2,FALSE)*AQ$21),VLOOKUP($C59,$C$3:$D$15,2,FALSE)*AQ$21-AP61)))</f>
        <v>0</v>
      </c>
      <c r="AR59" s="642">
        <f t="shared" ref="AR59" si="2453" xml:space="preserve">
IF(AQ61&gt;=VLOOKUP($C59,$C$3:$D$15,2,FALSE)*AR$21,0,
IF(AND(AQ61&lt;VLOOKUP($C59,$C$3:$D$15,2,FALSE)*AR$21,AR60&lt;=VLOOKUP($C59,$C$3:$D$15,2,FALSE)*AR$21),IF(AR60-AQ61&lt;0,0,AR60-AQ61),
IF(AND(AQ61&lt;VLOOKUP($C59,$C$3:$D$15,2,FALSE)*AR$21,AR60&gt;VLOOKUP($C59,$C$3:$D$15,2,FALSE)*AR$21),VLOOKUP($C59,$C$3:$D$15,2,FALSE)*AR$21-AQ61)))</f>
        <v>0</v>
      </c>
      <c r="AS59" s="642">
        <f t="shared" ref="AS59" si="2454" xml:space="preserve">
IF(AR61&gt;=VLOOKUP($C59,$C$3:$D$15,2,FALSE)*AS$21,0,
IF(AND(AR61&lt;VLOOKUP($C59,$C$3:$D$15,2,FALSE)*AS$21,AS60&lt;=VLOOKUP($C59,$C$3:$D$15,2,FALSE)*AS$21),IF(AS60-AR61&lt;0,0,AS60-AR61),
IF(AND(AR61&lt;VLOOKUP($C59,$C$3:$D$15,2,FALSE)*AS$21,AS60&gt;VLOOKUP($C59,$C$3:$D$15,2,FALSE)*AS$21),VLOOKUP($C59,$C$3:$D$15,2,FALSE)*AS$21-AR61)))</f>
        <v>0</v>
      </c>
      <c r="AT59" s="642">
        <f t="shared" ref="AT59" si="2455" xml:space="preserve">
IF(AS61&gt;=VLOOKUP($C59,$C$3:$D$15,2,FALSE)*AT$21,0,
IF(AND(AS61&lt;VLOOKUP($C59,$C$3:$D$15,2,FALSE)*AT$21,AT60&lt;=VLOOKUP($C59,$C$3:$D$15,2,FALSE)*AT$21),IF(AT60-AS61&lt;0,0,AT60-AS61),
IF(AND(AS61&lt;VLOOKUP($C59,$C$3:$D$15,2,FALSE)*AT$21,AT60&gt;VLOOKUP($C59,$C$3:$D$15,2,FALSE)*AT$21),VLOOKUP($C59,$C$3:$D$15,2,FALSE)*AT$21-AS61)))</f>
        <v>0</v>
      </c>
      <c r="AU59" s="642">
        <f t="shared" ref="AU59" si="2456" xml:space="preserve">
IF(AT61&gt;=VLOOKUP($C59,$C$3:$D$15,2,FALSE)*AU$21,0,
IF(AND(AT61&lt;VLOOKUP($C59,$C$3:$D$15,2,FALSE)*AU$21,AU60&lt;=VLOOKUP($C59,$C$3:$D$15,2,FALSE)*AU$21),IF(AU60-AT61&lt;0,0,AU60-AT61),
IF(AND(AT61&lt;VLOOKUP($C59,$C$3:$D$15,2,FALSE)*AU$21,AU60&gt;VLOOKUP($C59,$C$3:$D$15,2,FALSE)*AU$21),VLOOKUP($C59,$C$3:$D$15,2,FALSE)*AU$21-AT61)))</f>
        <v>0</v>
      </c>
      <c r="AV59" s="642">
        <f t="shared" ref="AV59" si="2457" xml:space="preserve">
IF(AU61&gt;=VLOOKUP($C59,$C$3:$D$15,2,FALSE)*AV$21,0,
IF(AND(AU61&lt;VLOOKUP($C59,$C$3:$D$15,2,FALSE)*AV$21,AV60&lt;=VLOOKUP($C59,$C$3:$D$15,2,FALSE)*AV$21),IF(AV60-AU61&lt;0,0,AV60-AU61),
IF(AND(AU61&lt;VLOOKUP($C59,$C$3:$D$15,2,FALSE)*AV$21,AV60&gt;VLOOKUP($C59,$C$3:$D$15,2,FALSE)*AV$21),VLOOKUP($C59,$C$3:$D$15,2,FALSE)*AV$21-AU61)))</f>
        <v>0</v>
      </c>
      <c r="AW59" s="642">
        <f t="shared" ref="AW59" si="2458" xml:space="preserve">
IF(AV61&gt;=VLOOKUP($C59,$C$3:$D$15,2,FALSE)*AW$21,0,
IF(AND(AV61&lt;VLOOKUP($C59,$C$3:$D$15,2,FALSE)*AW$21,AW60&lt;=VLOOKUP($C59,$C$3:$D$15,2,FALSE)*AW$21),IF(AW60-AV61&lt;0,0,AW60-AV61),
IF(AND(AV61&lt;VLOOKUP($C59,$C$3:$D$15,2,FALSE)*AW$21,AW60&gt;VLOOKUP($C59,$C$3:$D$15,2,FALSE)*AW$21),VLOOKUP($C59,$C$3:$D$15,2,FALSE)*AW$21-AV61)))</f>
        <v>0</v>
      </c>
      <c r="AX59" s="642">
        <f t="shared" ref="AX59" si="2459" xml:space="preserve">
IF(AW61&gt;=VLOOKUP($C59,$C$3:$D$15,2,FALSE)*AX$21,0,
IF(AND(AW61&lt;VLOOKUP($C59,$C$3:$D$15,2,FALSE)*AX$21,AX60&lt;=VLOOKUP($C59,$C$3:$D$15,2,FALSE)*AX$21),IF(AX60-AW61&lt;0,0,AX60-AW61),
IF(AND(AW61&lt;VLOOKUP($C59,$C$3:$D$15,2,FALSE)*AX$21,AX60&gt;VLOOKUP($C59,$C$3:$D$15,2,FALSE)*AX$21),VLOOKUP($C59,$C$3:$D$15,2,FALSE)*AX$21-AW61)))</f>
        <v>0</v>
      </c>
      <c r="AY59" s="642">
        <f t="shared" ref="AY59" si="2460" xml:space="preserve">
IF(AX61&gt;=VLOOKUP($C59,$C$3:$D$15,2,FALSE)*AY$21,0,
IF(AND(AX61&lt;VLOOKUP($C59,$C$3:$D$15,2,FALSE)*AY$21,AY60&lt;=VLOOKUP($C59,$C$3:$D$15,2,FALSE)*AY$21),IF(AY60-AX61&lt;0,0,AY60-AX61),
IF(AND(AX61&lt;VLOOKUP($C59,$C$3:$D$15,2,FALSE)*AY$21,AY60&gt;VLOOKUP($C59,$C$3:$D$15,2,FALSE)*AY$21),VLOOKUP($C59,$C$3:$D$15,2,FALSE)*AY$21-AX61)))</f>
        <v>0</v>
      </c>
      <c r="AZ59" s="642">
        <f t="shared" ref="AZ59" si="2461" xml:space="preserve">
IF(AY61&gt;=VLOOKUP($C59,$C$3:$D$15,2,FALSE)*AZ$21,0,
IF(AND(AY61&lt;VLOOKUP($C59,$C$3:$D$15,2,FALSE)*AZ$21,AZ60&lt;=VLOOKUP($C59,$C$3:$D$15,2,FALSE)*AZ$21),IF(AZ60-AY61&lt;0,0,AZ60-AY61),
IF(AND(AY61&lt;VLOOKUP($C59,$C$3:$D$15,2,FALSE)*AZ$21,AZ60&gt;VLOOKUP($C59,$C$3:$D$15,2,FALSE)*AZ$21),VLOOKUP($C59,$C$3:$D$15,2,FALSE)*AZ$21-AY61)))</f>
        <v>0</v>
      </c>
      <c r="BA59" s="642">
        <f t="shared" ref="BA59" si="2462" xml:space="preserve">
IF(AZ61&gt;=VLOOKUP($C59,$C$3:$D$15,2,FALSE)*BA$21,0,
IF(AND(AZ61&lt;VLOOKUP($C59,$C$3:$D$15,2,FALSE)*BA$21,BA60&lt;=VLOOKUP($C59,$C$3:$D$15,2,FALSE)*BA$21),IF(BA60-AZ61&lt;0,0,BA60-AZ61),
IF(AND(AZ61&lt;VLOOKUP($C59,$C$3:$D$15,2,FALSE)*BA$21,BA60&gt;VLOOKUP($C59,$C$3:$D$15,2,FALSE)*BA$21),VLOOKUP($C59,$C$3:$D$15,2,FALSE)*BA$21-AZ61)))</f>
        <v>0</v>
      </c>
      <c r="BB59" s="642">
        <f t="shared" ref="BB59" si="2463" xml:space="preserve">
IF(BA61&gt;=VLOOKUP($C59,$C$3:$D$15,2,FALSE)*BB$21,0,
IF(AND(BA61&lt;VLOOKUP($C59,$C$3:$D$15,2,FALSE)*BB$21,BB60&lt;=VLOOKUP($C59,$C$3:$D$15,2,FALSE)*BB$21),IF(BB60-BA61&lt;0,0,BB60-BA61),
IF(AND(BA61&lt;VLOOKUP($C59,$C$3:$D$15,2,FALSE)*BB$21,BB60&gt;VLOOKUP($C59,$C$3:$D$15,2,FALSE)*BB$21),VLOOKUP($C59,$C$3:$D$15,2,FALSE)*BB$21-BA61)))</f>
        <v>0</v>
      </c>
      <c r="BC59" s="642">
        <f t="shared" ref="BC59" si="2464" xml:space="preserve">
IF(BB61&gt;=VLOOKUP($C59,$C$3:$D$15,2,FALSE)*BC$21,0,
IF(AND(BB61&lt;VLOOKUP($C59,$C$3:$D$15,2,FALSE)*BC$21,BC60&lt;=VLOOKUP($C59,$C$3:$D$15,2,FALSE)*BC$21),IF(BC60-BB61&lt;0,0,BC60-BB61),
IF(AND(BB61&lt;VLOOKUP($C59,$C$3:$D$15,2,FALSE)*BC$21,BC60&gt;VLOOKUP($C59,$C$3:$D$15,2,FALSE)*BC$21),VLOOKUP($C59,$C$3:$D$15,2,FALSE)*BC$21-BB61)))</f>
        <v>0</v>
      </c>
      <c r="BD59" s="642">
        <f t="shared" ref="BD59" si="2465" xml:space="preserve">
IF(BC61&gt;=VLOOKUP($C59,$C$3:$D$15,2,FALSE)*BD$21,0,
IF(AND(BC61&lt;VLOOKUP($C59,$C$3:$D$15,2,FALSE)*BD$21,BD60&lt;=VLOOKUP($C59,$C$3:$D$15,2,FALSE)*BD$21),IF(BD60-BC61&lt;0,0,BD60-BC61),
IF(AND(BC61&lt;VLOOKUP($C59,$C$3:$D$15,2,FALSE)*BD$21,BD60&gt;VLOOKUP($C59,$C$3:$D$15,2,FALSE)*BD$21),VLOOKUP($C59,$C$3:$D$15,2,FALSE)*BD$21-BC61)))</f>
        <v>0</v>
      </c>
      <c r="BE59" s="642">
        <f t="shared" ref="BE59" si="2466" xml:space="preserve">
IF(BD61&gt;=VLOOKUP($C59,$C$3:$D$15,2,FALSE)*BE$21,0,
IF(AND(BD61&lt;VLOOKUP($C59,$C$3:$D$15,2,FALSE)*BE$21,BE60&lt;=VLOOKUP($C59,$C$3:$D$15,2,FALSE)*BE$21),IF(BE60-BD61&lt;0,0,BE60-BD61),
IF(AND(BD61&lt;VLOOKUP($C59,$C$3:$D$15,2,FALSE)*BE$21,BE60&gt;VLOOKUP($C59,$C$3:$D$15,2,FALSE)*BE$21),VLOOKUP($C59,$C$3:$D$15,2,FALSE)*BE$21-BD61)))</f>
        <v>0</v>
      </c>
      <c r="BF59" s="642">
        <f t="shared" ref="BF59" si="2467" xml:space="preserve">
IF(BE61&gt;=VLOOKUP($C59,$C$3:$D$15,2,FALSE)*BF$21,0,
IF(AND(BE61&lt;VLOOKUP($C59,$C$3:$D$15,2,FALSE)*BF$21,BF60&lt;=VLOOKUP($C59,$C$3:$D$15,2,FALSE)*BF$21),IF(BF60-BE61&lt;0,0,BF60-BE61),
IF(AND(BE61&lt;VLOOKUP($C59,$C$3:$D$15,2,FALSE)*BF$21,BF60&gt;VLOOKUP($C59,$C$3:$D$15,2,FALSE)*BF$21),VLOOKUP($C59,$C$3:$D$15,2,FALSE)*BF$21-BE61)))</f>
        <v>0</v>
      </c>
      <c r="BG59" s="642">
        <f t="shared" ref="BG59" si="2468" xml:space="preserve">
IF(BF61&gt;=VLOOKUP($C59,$C$3:$D$15,2,FALSE)*BG$21,0,
IF(AND(BF61&lt;VLOOKUP($C59,$C$3:$D$15,2,FALSE)*BG$21,BG60&lt;=VLOOKUP($C59,$C$3:$D$15,2,FALSE)*BG$21),IF(BG60-BF61&lt;0,0,BG60-BF61),
IF(AND(BF61&lt;VLOOKUP($C59,$C$3:$D$15,2,FALSE)*BG$21,BG60&gt;VLOOKUP($C59,$C$3:$D$15,2,FALSE)*BG$21),VLOOKUP($C59,$C$3:$D$15,2,FALSE)*BG$21-BF61)))</f>
        <v>0</v>
      </c>
      <c r="BH59" s="642">
        <f t="shared" ref="BH59" si="2469" xml:space="preserve">
IF(BG61&gt;=VLOOKUP($C59,$C$3:$D$15,2,FALSE)*BH$21,0,
IF(AND(BG61&lt;VLOOKUP($C59,$C$3:$D$15,2,FALSE)*BH$21,BH60&lt;=VLOOKUP($C59,$C$3:$D$15,2,FALSE)*BH$21),IF(BH60-BG61&lt;0,0,BH60-BG61),
IF(AND(BG61&lt;VLOOKUP($C59,$C$3:$D$15,2,FALSE)*BH$21,BH60&gt;VLOOKUP($C59,$C$3:$D$15,2,FALSE)*BH$21),VLOOKUP($C59,$C$3:$D$15,2,FALSE)*BH$21-BG61)))</f>
        <v>0</v>
      </c>
      <c r="BI59" s="642">
        <f t="shared" ref="BI59" si="2470" xml:space="preserve">
IF(BH61&gt;=VLOOKUP($C59,$C$3:$D$15,2,FALSE)*BI$21,0,
IF(AND(BH61&lt;VLOOKUP($C59,$C$3:$D$15,2,FALSE)*BI$21,BI60&lt;=VLOOKUP($C59,$C$3:$D$15,2,FALSE)*BI$21),IF(BI60-BH61&lt;0,0,BI60-BH61),
IF(AND(BH61&lt;VLOOKUP($C59,$C$3:$D$15,2,FALSE)*BI$21,BI60&gt;VLOOKUP($C59,$C$3:$D$15,2,FALSE)*BI$21),VLOOKUP($C59,$C$3:$D$15,2,FALSE)*BI$21-BH61)))</f>
        <v>0</v>
      </c>
      <c r="BJ59" s="642">
        <f t="shared" ref="BJ59" si="2471" xml:space="preserve">
IF(BI61&gt;=VLOOKUP($C59,$C$3:$D$15,2,FALSE)*BJ$21,0,
IF(AND(BI61&lt;VLOOKUP($C59,$C$3:$D$15,2,FALSE)*BJ$21,BJ60&lt;=VLOOKUP($C59,$C$3:$D$15,2,FALSE)*BJ$21),IF(BJ60-BI61&lt;0,0,BJ60-BI61),
IF(AND(BI61&lt;VLOOKUP($C59,$C$3:$D$15,2,FALSE)*BJ$21,BJ60&gt;VLOOKUP($C59,$C$3:$D$15,2,FALSE)*BJ$21),VLOOKUP($C59,$C$3:$D$15,2,FALSE)*BJ$21-BI61)))</f>
        <v>0</v>
      </c>
      <c r="BK59" s="642">
        <f t="shared" ref="BK59" si="2472" xml:space="preserve">
IF(BJ61&gt;=VLOOKUP($C59,$C$3:$D$15,2,FALSE)*BK$21,0,
IF(AND(BJ61&lt;VLOOKUP($C59,$C$3:$D$15,2,FALSE)*BK$21,BK60&lt;=VLOOKUP($C59,$C$3:$D$15,2,FALSE)*BK$21),IF(BK60-BJ61&lt;0,0,BK60-BJ61),
IF(AND(BJ61&lt;VLOOKUP($C59,$C$3:$D$15,2,FALSE)*BK$21,BK60&gt;VLOOKUP($C59,$C$3:$D$15,2,FALSE)*BK$21),VLOOKUP($C59,$C$3:$D$15,2,FALSE)*BK$21-BJ61)))</f>
        <v>0</v>
      </c>
      <c r="BL59" s="642">
        <f t="shared" ref="BL59" si="2473" xml:space="preserve">
IF(BK61&gt;=VLOOKUP($C59,$C$3:$D$15,2,FALSE)*BL$21,0,
IF(AND(BK61&lt;VLOOKUP($C59,$C$3:$D$15,2,FALSE)*BL$21,BL60&lt;=VLOOKUP($C59,$C$3:$D$15,2,FALSE)*BL$21),IF(BL60-BK61&lt;0,0,BL60-BK61),
IF(AND(BK61&lt;VLOOKUP($C59,$C$3:$D$15,2,FALSE)*BL$21,BL60&gt;VLOOKUP($C59,$C$3:$D$15,2,FALSE)*BL$21),VLOOKUP($C59,$C$3:$D$15,2,FALSE)*BL$21-BK61)))</f>
        <v>0</v>
      </c>
      <c r="BM59" s="642">
        <f t="shared" ref="BM59" si="2474" xml:space="preserve">
IF(BL61&gt;=VLOOKUP($C59,$C$3:$D$15,2,FALSE)*BM$21,0,
IF(AND(BL61&lt;VLOOKUP($C59,$C$3:$D$15,2,FALSE)*BM$21,BM60&lt;=VLOOKUP($C59,$C$3:$D$15,2,FALSE)*BM$21),IF(BM60-BL61&lt;0,0,BM60-BL61),
IF(AND(BL61&lt;VLOOKUP($C59,$C$3:$D$15,2,FALSE)*BM$21,BM60&gt;VLOOKUP($C59,$C$3:$D$15,2,FALSE)*BM$21),VLOOKUP($C59,$C$3:$D$15,2,FALSE)*BM$21-BL61)))</f>
        <v>0</v>
      </c>
      <c r="BN59" s="642">
        <f t="shared" ref="BN59" si="2475" xml:space="preserve">
IF(BM61&gt;=VLOOKUP($C59,$C$3:$D$15,2,FALSE)*BN$21,0,
IF(AND(BM61&lt;VLOOKUP($C59,$C$3:$D$15,2,FALSE)*BN$21,BN60&lt;=VLOOKUP($C59,$C$3:$D$15,2,FALSE)*BN$21),IF(BN60-BM61&lt;0,0,BN60-BM61),
IF(AND(BM61&lt;VLOOKUP($C59,$C$3:$D$15,2,FALSE)*BN$21,BN60&gt;VLOOKUP($C59,$C$3:$D$15,2,FALSE)*BN$21),VLOOKUP($C59,$C$3:$D$15,2,FALSE)*BN$21-BM61)))</f>
        <v>0</v>
      </c>
      <c r="BO59" s="642">
        <f t="shared" ref="BO59" si="2476" xml:space="preserve">
IF(BN61&gt;=VLOOKUP($C59,$C$3:$D$15,2,FALSE)*BO$21,0,
IF(AND(BN61&lt;VLOOKUP($C59,$C$3:$D$15,2,FALSE)*BO$21,BO60&lt;=VLOOKUP($C59,$C$3:$D$15,2,FALSE)*BO$21),IF(BO60-BN61&lt;0,0,BO60-BN61),
IF(AND(BN61&lt;VLOOKUP($C59,$C$3:$D$15,2,FALSE)*BO$21,BO60&gt;VLOOKUP($C59,$C$3:$D$15,2,FALSE)*BO$21),VLOOKUP($C59,$C$3:$D$15,2,FALSE)*BO$21-BN61)))</f>
        <v>0</v>
      </c>
      <c r="BP59" s="642">
        <f t="shared" ref="BP59" si="2477" xml:space="preserve">
IF(BO61&gt;=VLOOKUP($C59,$C$3:$D$15,2,FALSE)*BP$21,0,
IF(AND(BO61&lt;VLOOKUP($C59,$C$3:$D$15,2,FALSE)*BP$21,BP60&lt;=VLOOKUP($C59,$C$3:$D$15,2,FALSE)*BP$21),IF(BP60-BO61&lt;0,0,BP60-BO61),
IF(AND(BO61&lt;VLOOKUP($C59,$C$3:$D$15,2,FALSE)*BP$21,BP60&gt;VLOOKUP($C59,$C$3:$D$15,2,FALSE)*BP$21),VLOOKUP($C59,$C$3:$D$15,2,FALSE)*BP$21-BO61)))</f>
        <v>0</v>
      </c>
      <c r="BQ59" s="642">
        <f t="shared" ref="BQ59" si="2478" xml:space="preserve">
IF(BP61&gt;=VLOOKUP($C59,$C$3:$D$15,2,FALSE)*BQ$21,0,
IF(AND(BP61&lt;VLOOKUP($C59,$C$3:$D$15,2,FALSE)*BQ$21,BQ60&lt;=VLOOKUP($C59,$C$3:$D$15,2,FALSE)*BQ$21),IF(BQ60-BP61&lt;0,0,BQ60-BP61),
IF(AND(BP61&lt;VLOOKUP($C59,$C$3:$D$15,2,FALSE)*BQ$21,BQ60&gt;VLOOKUP($C59,$C$3:$D$15,2,FALSE)*BQ$21),VLOOKUP($C59,$C$3:$D$15,2,FALSE)*BQ$21-BP61)))</f>
        <v>0</v>
      </c>
      <c r="BR59" s="642">
        <f t="shared" ref="BR59" si="2479" xml:space="preserve">
IF(BQ61&gt;=VLOOKUP($C59,$C$3:$D$15,2,FALSE)*BR$21,0,
IF(AND(BQ61&lt;VLOOKUP($C59,$C$3:$D$15,2,FALSE)*BR$21,BR60&lt;=VLOOKUP($C59,$C$3:$D$15,2,FALSE)*BR$21),IF(BR60-BQ61&lt;0,0,BR60-BQ61),
IF(AND(BQ61&lt;VLOOKUP($C59,$C$3:$D$15,2,FALSE)*BR$21,BR60&gt;VLOOKUP($C59,$C$3:$D$15,2,FALSE)*BR$21),VLOOKUP($C59,$C$3:$D$15,2,FALSE)*BR$21-BQ61)))</f>
        <v>0</v>
      </c>
      <c r="BS59" s="642">
        <f t="shared" ref="BS59" si="2480" xml:space="preserve">
IF(BR61&gt;=VLOOKUP($C59,$C$3:$D$15,2,FALSE)*BS$21,0,
IF(AND(BR61&lt;VLOOKUP($C59,$C$3:$D$15,2,FALSE)*BS$21,BS60&lt;=VLOOKUP($C59,$C$3:$D$15,2,FALSE)*BS$21),IF(BS60-BR61&lt;0,0,BS60-BR61),
IF(AND(BR61&lt;VLOOKUP($C59,$C$3:$D$15,2,FALSE)*BS$21,BS60&gt;VLOOKUP($C59,$C$3:$D$15,2,FALSE)*BS$21),VLOOKUP($C59,$C$3:$D$15,2,FALSE)*BS$21-BR61)))</f>
        <v>0</v>
      </c>
      <c r="BT59" s="642">
        <f t="shared" ref="BT59" si="2481" xml:space="preserve">
IF(BS61&gt;=VLOOKUP($C59,$C$3:$D$15,2,FALSE)*BT$21,0,
IF(AND(BS61&lt;VLOOKUP($C59,$C$3:$D$15,2,FALSE)*BT$21,BT60&lt;=VLOOKUP($C59,$C$3:$D$15,2,FALSE)*BT$21),IF(BT60-BS61&lt;0,0,BT60-BS61),
IF(AND(BS61&lt;VLOOKUP($C59,$C$3:$D$15,2,FALSE)*BT$21,BT60&gt;VLOOKUP($C59,$C$3:$D$15,2,FALSE)*BT$21),VLOOKUP($C59,$C$3:$D$15,2,FALSE)*BT$21-BS61)))</f>
        <v>0</v>
      </c>
      <c r="BU59" s="642">
        <f t="shared" ref="BU59" si="2482" xml:space="preserve">
IF(BT61&gt;=VLOOKUP($C59,$C$3:$D$15,2,FALSE)*BU$21,0,
IF(AND(BT61&lt;VLOOKUP($C59,$C$3:$D$15,2,FALSE)*BU$21,BU60&lt;=VLOOKUP($C59,$C$3:$D$15,2,FALSE)*BU$21),IF(BU60-BT61&lt;0,0,BU60-BT61),
IF(AND(BT61&lt;VLOOKUP($C59,$C$3:$D$15,2,FALSE)*BU$21,BU60&gt;VLOOKUP($C59,$C$3:$D$15,2,FALSE)*BU$21),VLOOKUP($C59,$C$3:$D$15,2,FALSE)*BU$21-BT61)))</f>
        <v>0</v>
      </c>
      <c r="BV59" s="642">
        <f t="shared" ref="BV59" si="2483" xml:space="preserve">
IF(BU61&gt;=VLOOKUP($C59,$C$3:$D$15,2,FALSE)*BV$21,0,
IF(AND(BU61&lt;VLOOKUP($C59,$C$3:$D$15,2,FALSE)*BV$21,BV60&lt;=VLOOKUP($C59,$C$3:$D$15,2,FALSE)*BV$21),IF(BV60-BU61&lt;0,0,BV60-BU61),
IF(AND(BU61&lt;VLOOKUP($C59,$C$3:$D$15,2,FALSE)*BV$21,BV60&gt;VLOOKUP($C59,$C$3:$D$15,2,FALSE)*BV$21),VLOOKUP($C59,$C$3:$D$15,2,FALSE)*BV$21-BU61)))</f>
        <v>0</v>
      </c>
      <c r="BW59" s="642">
        <f t="shared" ref="BW59" si="2484" xml:space="preserve">
IF(BV61&gt;=VLOOKUP($C59,$C$3:$D$15,2,FALSE)*BW$21,0,
IF(AND(BV61&lt;VLOOKUP($C59,$C$3:$D$15,2,FALSE)*BW$21,BW60&lt;=VLOOKUP($C59,$C$3:$D$15,2,FALSE)*BW$21),IF(BW60-BV61&lt;0,0,BW60-BV61),
IF(AND(BV61&lt;VLOOKUP($C59,$C$3:$D$15,2,FALSE)*BW$21,BW60&gt;VLOOKUP($C59,$C$3:$D$15,2,FALSE)*BW$21),VLOOKUP($C59,$C$3:$D$15,2,FALSE)*BW$21-BV61)))</f>
        <v>0</v>
      </c>
      <c r="BX59" s="642">
        <f t="shared" ref="BX59" si="2485" xml:space="preserve">
IF(BW61&gt;=VLOOKUP($C59,$C$3:$D$15,2,FALSE)*BX$21,0,
IF(AND(BW61&lt;VLOOKUP($C59,$C$3:$D$15,2,FALSE)*BX$21,BX60&lt;=VLOOKUP($C59,$C$3:$D$15,2,FALSE)*BX$21),IF(BX60-BW61&lt;0,0,BX60-BW61),
IF(AND(BW61&lt;VLOOKUP($C59,$C$3:$D$15,2,FALSE)*BX$21,BX60&gt;VLOOKUP($C59,$C$3:$D$15,2,FALSE)*BX$21),VLOOKUP($C59,$C$3:$D$15,2,FALSE)*BX$21-BW61)))</f>
        <v>0</v>
      </c>
      <c r="BY59" s="642">
        <f t="shared" ref="BY59" si="2486" xml:space="preserve">
IF(BX61&gt;=VLOOKUP($C59,$C$3:$D$15,2,FALSE)*BY$21,0,
IF(AND(BX61&lt;VLOOKUP($C59,$C$3:$D$15,2,FALSE)*BY$21,BY60&lt;=VLOOKUP($C59,$C$3:$D$15,2,FALSE)*BY$21),IF(BY60-BX61&lt;0,0,BY60-BX61),
IF(AND(BX61&lt;VLOOKUP($C59,$C$3:$D$15,2,FALSE)*BY$21,BY60&gt;VLOOKUP($C59,$C$3:$D$15,2,FALSE)*BY$21),VLOOKUP($C59,$C$3:$D$15,2,FALSE)*BY$21-BX61)))</f>
        <v>0</v>
      </c>
      <c r="BZ59" s="642">
        <f t="shared" ref="BZ59" si="2487" xml:space="preserve">
IF(BY61&gt;=VLOOKUP($C59,$C$3:$D$15,2,FALSE)*BZ$21,0,
IF(AND(BY61&lt;VLOOKUP($C59,$C$3:$D$15,2,FALSE)*BZ$21,BZ60&lt;=VLOOKUP($C59,$C$3:$D$15,2,FALSE)*BZ$21),IF(BZ60-BY61&lt;0,0,BZ60-BY61),
IF(AND(BY61&lt;VLOOKUP($C59,$C$3:$D$15,2,FALSE)*BZ$21,BZ60&gt;VLOOKUP($C59,$C$3:$D$15,2,FALSE)*BZ$21),VLOOKUP($C59,$C$3:$D$15,2,FALSE)*BZ$21-BY61)))</f>
        <v>0</v>
      </c>
      <c r="CA59" s="642">
        <f t="shared" ref="CA59" si="2488" xml:space="preserve">
IF(BZ61&gt;=VLOOKUP($C59,$C$3:$D$15,2,FALSE)*CA$21,0,
IF(AND(BZ61&lt;VLOOKUP($C59,$C$3:$D$15,2,FALSE)*CA$21,CA60&lt;=VLOOKUP($C59,$C$3:$D$15,2,FALSE)*CA$21),IF(CA60-BZ61&lt;0,0,CA60-BZ61),
IF(AND(BZ61&lt;VLOOKUP($C59,$C$3:$D$15,2,FALSE)*CA$21,CA60&gt;VLOOKUP($C59,$C$3:$D$15,2,FALSE)*CA$21),VLOOKUP($C59,$C$3:$D$15,2,FALSE)*CA$21-BZ61)))</f>
        <v>0</v>
      </c>
      <c r="CB59" s="642">
        <f t="shared" ref="CB59" si="2489" xml:space="preserve">
IF(CA61&gt;=VLOOKUP($C59,$C$3:$D$15,2,FALSE)*CB$21,0,
IF(AND(CA61&lt;VLOOKUP($C59,$C$3:$D$15,2,FALSE)*CB$21,CB60&lt;=VLOOKUP($C59,$C$3:$D$15,2,FALSE)*CB$21),IF(CB60-CA61&lt;0,0,CB60-CA61),
IF(AND(CA61&lt;VLOOKUP($C59,$C$3:$D$15,2,FALSE)*CB$21,CB60&gt;VLOOKUP($C59,$C$3:$D$15,2,FALSE)*CB$21),VLOOKUP($C59,$C$3:$D$15,2,FALSE)*CB$21-CA61)))</f>
        <v>0</v>
      </c>
      <c r="CC59" s="642">
        <f t="shared" ref="CC59" si="2490" xml:space="preserve">
IF(CB61&gt;=VLOOKUP($C59,$C$3:$D$15,2,FALSE)*CC$21,0,
IF(AND(CB61&lt;VLOOKUP($C59,$C$3:$D$15,2,FALSE)*CC$21,CC60&lt;=VLOOKUP($C59,$C$3:$D$15,2,FALSE)*CC$21),IF(CC60-CB61&lt;0,0,CC60-CB61),
IF(AND(CB61&lt;VLOOKUP($C59,$C$3:$D$15,2,FALSE)*CC$21,CC60&gt;VLOOKUP($C59,$C$3:$D$15,2,FALSE)*CC$21),VLOOKUP($C59,$C$3:$D$15,2,FALSE)*CC$21-CB61)))</f>
        <v>0</v>
      </c>
      <c r="CD59" s="642">
        <f t="shared" ref="CD59" si="2491" xml:space="preserve">
IF(CC61&gt;=VLOOKUP($C59,$C$3:$D$15,2,FALSE)*CD$21,0,
IF(AND(CC61&lt;VLOOKUP($C59,$C$3:$D$15,2,FALSE)*CD$21,CD60&lt;=VLOOKUP($C59,$C$3:$D$15,2,FALSE)*CD$21),IF(CD60-CC61&lt;0,0,CD60-CC61),
IF(AND(CC61&lt;VLOOKUP($C59,$C$3:$D$15,2,FALSE)*CD$21,CD60&gt;VLOOKUP($C59,$C$3:$D$15,2,FALSE)*CD$21),VLOOKUP($C59,$C$3:$D$15,2,FALSE)*CD$21-CC61)))</f>
        <v>0</v>
      </c>
      <c r="CE59" s="642">
        <f t="shared" ref="CE59" si="2492" xml:space="preserve">
IF(CD61&gt;=VLOOKUP($C59,$C$3:$D$15,2,FALSE)*CE$21,0,
IF(AND(CD61&lt;VLOOKUP($C59,$C$3:$D$15,2,FALSE)*CE$21,CE60&lt;=VLOOKUP($C59,$C$3:$D$15,2,FALSE)*CE$21),IF(CE60-CD61&lt;0,0,CE60-CD61),
IF(AND(CD61&lt;VLOOKUP($C59,$C$3:$D$15,2,FALSE)*CE$21,CE60&gt;VLOOKUP($C59,$C$3:$D$15,2,FALSE)*CE$21),VLOOKUP($C59,$C$3:$D$15,2,FALSE)*CE$21-CD61)))</f>
        <v>0</v>
      </c>
      <c r="CF59" s="642">
        <f t="shared" ref="CF59" si="2493" xml:space="preserve">
IF(CE61&gt;=VLOOKUP($C59,$C$3:$D$15,2,FALSE)*CF$21,0,
IF(AND(CE61&lt;VLOOKUP($C59,$C$3:$D$15,2,FALSE)*CF$21,CF60&lt;=VLOOKUP($C59,$C$3:$D$15,2,FALSE)*CF$21),IF(CF60-CE61&lt;0,0,CF60-CE61),
IF(AND(CE61&lt;VLOOKUP($C59,$C$3:$D$15,2,FALSE)*CF$21,CF60&gt;VLOOKUP($C59,$C$3:$D$15,2,FALSE)*CF$21),VLOOKUP($C59,$C$3:$D$15,2,FALSE)*CF$21-CE61)))</f>
        <v>0</v>
      </c>
      <c r="CG59" s="642">
        <f t="shared" ref="CG59" si="2494" xml:space="preserve">
IF(CF61&gt;=VLOOKUP($C59,$C$3:$D$15,2,FALSE)*CG$21,0,
IF(AND(CF61&lt;VLOOKUP($C59,$C$3:$D$15,2,FALSE)*CG$21,CG60&lt;=VLOOKUP($C59,$C$3:$D$15,2,FALSE)*CG$21),IF(CG60-CF61&lt;0,0,CG60-CF61),
IF(AND(CF61&lt;VLOOKUP($C59,$C$3:$D$15,2,FALSE)*CG$21,CG60&gt;VLOOKUP($C59,$C$3:$D$15,2,FALSE)*CG$21),VLOOKUP($C59,$C$3:$D$15,2,FALSE)*CG$21-CF61)))</f>
        <v>0</v>
      </c>
      <c r="CH59" s="642">
        <f t="shared" ref="CH59" si="2495" xml:space="preserve">
IF(CG61&gt;=VLOOKUP($C59,$C$3:$D$15,2,FALSE)*CH$21,0,
IF(AND(CG61&lt;VLOOKUP($C59,$C$3:$D$15,2,FALSE)*CH$21,CH60&lt;=VLOOKUP($C59,$C$3:$D$15,2,FALSE)*CH$21),IF(CH60-CG61&lt;0,0,CH60-CG61),
IF(AND(CG61&lt;VLOOKUP($C59,$C$3:$D$15,2,FALSE)*CH$21,CH60&gt;VLOOKUP($C59,$C$3:$D$15,2,FALSE)*CH$21),VLOOKUP($C59,$C$3:$D$15,2,FALSE)*CH$21-CG61)))</f>
        <v>0</v>
      </c>
      <c r="CI59" s="642">
        <f t="shared" ref="CI59" si="2496" xml:space="preserve">
IF(CH61&gt;=VLOOKUP($C59,$C$3:$D$15,2,FALSE)*CI$21,0,
IF(AND(CH61&lt;VLOOKUP($C59,$C$3:$D$15,2,FALSE)*CI$21,CI60&lt;=VLOOKUP($C59,$C$3:$D$15,2,FALSE)*CI$21),IF(CI60-CH61&lt;0,0,CI60-CH61),
IF(AND(CH61&lt;VLOOKUP($C59,$C$3:$D$15,2,FALSE)*CI$21,CI60&gt;VLOOKUP($C59,$C$3:$D$15,2,FALSE)*CI$21),VLOOKUP($C59,$C$3:$D$15,2,FALSE)*CI$21-CH61)))</f>
        <v>0</v>
      </c>
      <c r="CJ59" s="642">
        <f t="shared" ref="CJ59" si="2497" xml:space="preserve">
IF(CI61&gt;=VLOOKUP($C59,$C$3:$D$15,2,FALSE)*CJ$21,0,
IF(AND(CI61&lt;VLOOKUP($C59,$C$3:$D$15,2,FALSE)*CJ$21,CJ60&lt;=VLOOKUP($C59,$C$3:$D$15,2,FALSE)*CJ$21),IF(CJ60-CI61&lt;0,0,CJ60-CI61),
IF(AND(CI61&lt;VLOOKUP($C59,$C$3:$D$15,2,FALSE)*CJ$21,CJ60&gt;VLOOKUP($C59,$C$3:$D$15,2,FALSE)*CJ$21),VLOOKUP($C59,$C$3:$D$15,2,FALSE)*CJ$21-CI61)))</f>
        <v>0</v>
      </c>
      <c r="CK59" s="642">
        <f t="shared" ref="CK59" si="2498" xml:space="preserve">
IF(CJ61&gt;=VLOOKUP($C59,$C$3:$D$15,2,FALSE)*CK$21,0,
IF(AND(CJ61&lt;VLOOKUP($C59,$C$3:$D$15,2,FALSE)*CK$21,CK60&lt;=VLOOKUP($C59,$C$3:$D$15,2,FALSE)*CK$21),IF(CK60-CJ61&lt;0,0,CK60-CJ61),
IF(AND(CJ61&lt;VLOOKUP($C59,$C$3:$D$15,2,FALSE)*CK$21,CK60&gt;VLOOKUP($C59,$C$3:$D$15,2,FALSE)*CK$21),VLOOKUP($C59,$C$3:$D$15,2,FALSE)*CK$21-CJ61)))</f>
        <v>0</v>
      </c>
      <c r="CL59" s="642">
        <f t="shared" ref="CL59" si="2499" xml:space="preserve">
IF(CK61&gt;=VLOOKUP($C59,$C$3:$D$15,2,FALSE)*CL$21,0,
IF(AND(CK61&lt;VLOOKUP($C59,$C$3:$D$15,2,FALSE)*CL$21,CL60&lt;=VLOOKUP($C59,$C$3:$D$15,2,FALSE)*CL$21),IF(CL60-CK61&lt;0,0,CL60-CK61),
IF(AND(CK61&lt;VLOOKUP($C59,$C$3:$D$15,2,FALSE)*CL$21,CL60&gt;VLOOKUP($C59,$C$3:$D$15,2,FALSE)*CL$21),VLOOKUP($C59,$C$3:$D$15,2,FALSE)*CL$21-CK61)))</f>
        <v>0</v>
      </c>
      <c r="CM59" s="642">
        <f t="shared" ref="CM59" si="2500" xml:space="preserve">
IF(CL61&gt;=VLOOKUP($C59,$C$3:$D$15,2,FALSE)*CM$21,0,
IF(AND(CL61&lt;VLOOKUP($C59,$C$3:$D$15,2,FALSE)*CM$21,CM60&lt;=VLOOKUP($C59,$C$3:$D$15,2,FALSE)*CM$21),IF(CM60-CL61&lt;0,0,CM60-CL61),
IF(AND(CL61&lt;VLOOKUP($C59,$C$3:$D$15,2,FALSE)*CM$21,CM60&gt;VLOOKUP($C59,$C$3:$D$15,2,FALSE)*CM$21),VLOOKUP($C59,$C$3:$D$15,2,FALSE)*CM$21-CL61)))</f>
        <v>0</v>
      </c>
      <c r="CN59" s="642">
        <f t="shared" ref="CN59" si="2501" xml:space="preserve">
IF(CM61&gt;=VLOOKUP($C59,$C$3:$D$15,2,FALSE)*CN$21,0,
IF(AND(CM61&lt;VLOOKUP($C59,$C$3:$D$15,2,FALSE)*CN$21,CN60&lt;=VLOOKUP($C59,$C$3:$D$15,2,FALSE)*CN$21),IF(CN60-CM61&lt;0,0,CN60-CM61),
IF(AND(CM61&lt;VLOOKUP($C59,$C$3:$D$15,2,FALSE)*CN$21,CN60&gt;VLOOKUP($C59,$C$3:$D$15,2,FALSE)*CN$21),VLOOKUP($C59,$C$3:$D$15,2,FALSE)*CN$21-CM61)))</f>
        <v>0</v>
      </c>
      <c r="CO59" s="642">
        <f t="shared" ref="CO59" si="2502" xml:space="preserve">
IF(CN61&gt;=VLOOKUP($C59,$C$3:$D$15,2,FALSE)*CO$21,0,
IF(AND(CN61&lt;VLOOKUP($C59,$C$3:$D$15,2,FALSE)*CO$21,CO60&lt;=VLOOKUP($C59,$C$3:$D$15,2,FALSE)*CO$21),IF(CO60-CN61&lt;0,0,CO60-CN61),
IF(AND(CN61&lt;VLOOKUP($C59,$C$3:$D$15,2,FALSE)*CO$21,CO60&gt;VLOOKUP($C59,$C$3:$D$15,2,FALSE)*CO$21),VLOOKUP($C59,$C$3:$D$15,2,FALSE)*CO$21-CN61)))</f>
        <v>0</v>
      </c>
      <c r="CP59" s="642">
        <f t="shared" ref="CP59" si="2503" xml:space="preserve">
IF(CO61&gt;=VLOOKUP($C59,$C$3:$D$15,2,FALSE)*CP$21,0,
IF(AND(CO61&lt;VLOOKUP($C59,$C$3:$D$15,2,FALSE)*CP$21,CP60&lt;=VLOOKUP($C59,$C$3:$D$15,2,FALSE)*CP$21),IF(CP60-CO61&lt;0,0,CP60-CO61),
IF(AND(CO61&lt;VLOOKUP($C59,$C$3:$D$15,2,FALSE)*CP$21,CP60&gt;VLOOKUP($C59,$C$3:$D$15,2,FALSE)*CP$21),VLOOKUP($C59,$C$3:$D$15,2,FALSE)*CP$21-CO61)))</f>
        <v>0</v>
      </c>
      <c r="CQ59" s="642">
        <f t="shared" ref="CQ59" si="2504" xml:space="preserve">
IF(CP61&gt;=VLOOKUP($C59,$C$3:$D$15,2,FALSE)*CQ$21,0,
IF(AND(CP61&lt;VLOOKUP($C59,$C$3:$D$15,2,FALSE)*CQ$21,CQ60&lt;=VLOOKUP($C59,$C$3:$D$15,2,FALSE)*CQ$21),IF(CQ60-CP61&lt;0,0,CQ60-CP61),
IF(AND(CP61&lt;VLOOKUP($C59,$C$3:$D$15,2,FALSE)*CQ$21,CQ60&gt;VLOOKUP($C59,$C$3:$D$15,2,FALSE)*CQ$21),VLOOKUP($C59,$C$3:$D$15,2,FALSE)*CQ$21-CP61)))</f>
        <v>0</v>
      </c>
      <c r="CR59" s="642">
        <f t="shared" ref="CR59" si="2505" xml:space="preserve">
IF(CQ61&gt;=VLOOKUP($C59,$C$3:$D$15,2,FALSE)*CR$21,0,
IF(AND(CQ61&lt;VLOOKUP($C59,$C$3:$D$15,2,FALSE)*CR$21,CR60&lt;=VLOOKUP($C59,$C$3:$D$15,2,FALSE)*CR$21),IF(CR60-CQ61&lt;0,0,CR60-CQ61),
IF(AND(CQ61&lt;VLOOKUP($C59,$C$3:$D$15,2,FALSE)*CR$21,CR60&gt;VLOOKUP($C59,$C$3:$D$15,2,FALSE)*CR$21),VLOOKUP($C59,$C$3:$D$15,2,FALSE)*CR$21-CQ61)))</f>
        <v>0</v>
      </c>
      <c r="CS59" s="642">
        <f t="shared" ref="CS59" si="2506" xml:space="preserve">
IF(CR61&gt;=VLOOKUP($C59,$C$3:$D$15,2,FALSE)*CS$21,0,
IF(AND(CR61&lt;VLOOKUP($C59,$C$3:$D$15,2,FALSE)*CS$21,CS60&lt;=VLOOKUP($C59,$C$3:$D$15,2,FALSE)*CS$21),IF(CS60-CR61&lt;0,0,CS60-CR61),
IF(AND(CR61&lt;VLOOKUP($C59,$C$3:$D$15,2,FALSE)*CS$21,CS60&gt;VLOOKUP($C59,$C$3:$D$15,2,FALSE)*CS$21),VLOOKUP($C59,$C$3:$D$15,2,FALSE)*CS$21-CR61)))</f>
        <v>0</v>
      </c>
      <c r="CT59" s="642">
        <f t="shared" ref="CT59" si="2507" xml:space="preserve">
IF(CS61&gt;=VLOOKUP($C59,$C$3:$D$15,2,FALSE)*CT$21,0,
IF(AND(CS61&lt;VLOOKUP($C59,$C$3:$D$15,2,FALSE)*CT$21,CT60&lt;=VLOOKUP($C59,$C$3:$D$15,2,FALSE)*CT$21),IF(CT60-CS61&lt;0,0,CT60-CS61),
IF(AND(CS61&lt;VLOOKUP($C59,$C$3:$D$15,2,FALSE)*CT$21,CT60&gt;VLOOKUP($C59,$C$3:$D$15,2,FALSE)*CT$21),VLOOKUP($C59,$C$3:$D$15,2,FALSE)*CT$21-CS61)))</f>
        <v>0</v>
      </c>
      <c r="CU59" s="642">
        <f t="shared" ref="CU59" si="2508" xml:space="preserve">
IF(CT61&gt;=VLOOKUP($C59,$C$3:$D$15,2,FALSE)*CU$21,0,
IF(AND(CT61&lt;VLOOKUP($C59,$C$3:$D$15,2,FALSE)*CU$21,CU60&lt;=VLOOKUP($C59,$C$3:$D$15,2,FALSE)*CU$21),IF(CU60-CT61&lt;0,0,CU60-CT61),
IF(AND(CT61&lt;VLOOKUP($C59,$C$3:$D$15,2,FALSE)*CU$21,CU60&gt;VLOOKUP($C59,$C$3:$D$15,2,FALSE)*CU$21),VLOOKUP($C59,$C$3:$D$15,2,FALSE)*CU$21-CT61)))</f>
        <v>0</v>
      </c>
      <c r="CV59" s="642">
        <f t="shared" ref="CV59" si="2509" xml:space="preserve">
IF(CU61&gt;=VLOOKUP($C59,$C$3:$D$15,2,FALSE)*CV$21,0,
IF(AND(CU61&lt;VLOOKUP($C59,$C$3:$D$15,2,FALSE)*CV$21,CV60&lt;=VLOOKUP($C59,$C$3:$D$15,2,FALSE)*CV$21),IF(CV60-CU61&lt;0,0,CV60-CU61),
IF(AND(CU61&lt;VLOOKUP($C59,$C$3:$D$15,2,FALSE)*CV$21,CV60&gt;VLOOKUP($C59,$C$3:$D$15,2,FALSE)*CV$21),VLOOKUP($C59,$C$3:$D$15,2,FALSE)*CV$21-CU61)))</f>
        <v>0</v>
      </c>
      <c r="CW59" s="642">
        <f t="shared" ref="CW59" si="2510" xml:space="preserve">
IF(CV61&gt;=VLOOKUP($C59,$C$3:$D$15,2,FALSE)*CW$21,0,
IF(AND(CV61&lt;VLOOKUP($C59,$C$3:$D$15,2,FALSE)*CW$21,CW60&lt;=VLOOKUP($C59,$C$3:$D$15,2,FALSE)*CW$21),IF(CW60-CV61&lt;0,0,CW60-CV61),
IF(AND(CV61&lt;VLOOKUP($C59,$C$3:$D$15,2,FALSE)*CW$21,CW60&gt;VLOOKUP($C59,$C$3:$D$15,2,FALSE)*CW$21),VLOOKUP($C59,$C$3:$D$15,2,FALSE)*CW$21-CV61)))</f>
        <v>0</v>
      </c>
      <c r="CX59" s="642">
        <f t="shared" ref="CX59" si="2511" xml:space="preserve">
IF(CW61&gt;=VLOOKUP($C59,$C$3:$D$15,2,FALSE)*CX$21,0,
IF(AND(CW61&lt;VLOOKUP($C59,$C$3:$D$15,2,FALSE)*CX$21,CX60&lt;=VLOOKUP($C59,$C$3:$D$15,2,FALSE)*CX$21),IF(CX60-CW61&lt;0,0,CX60-CW61),
IF(AND(CW61&lt;VLOOKUP($C59,$C$3:$D$15,2,FALSE)*CX$21,CX60&gt;VLOOKUP($C59,$C$3:$D$15,2,FALSE)*CX$21),VLOOKUP($C59,$C$3:$D$15,2,FALSE)*CX$21-CW61)))</f>
        <v>0</v>
      </c>
      <c r="CY59" s="642">
        <f t="shared" ref="CY59" si="2512" xml:space="preserve">
IF(CX61&gt;=VLOOKUP($C59,$C$3:$D$15,2,FALSE)*CY$21,0,
IF(AND(CX61&lt;VLOOKUP($C59,$C$3:$D$15,2,FALSE)*CY$21,CY60&lt;=VLOOKUP($C59,$C$3:$D$15,2,FALSE)*CY$21),IF(CY60-CX61&lt;0,0,CY60-CX61),
IF(AND(CX61&lt;VLOOKUP($C59,$C$3:$D$15,2,FALSE)*CY$21,CY60&gt;VLOOKUP($C59,$C$3:$D$15,2,FALSE)*CY$21),VLOOKUP($C59,$C$3:$D$15,2,FALSE)*CY$21-CX61)))</f>
        <v>0</v>
      </c>
      <c r="CZ59" s="642">
        <f t="shared" ref="CZ59" si="2513" xml:space="preserve">
IF(CY61&gt;=VLOOKUP($C59,$C$3:$D$15,2,FALSE)*CZ$21,0,
IF(AND(CY61&lt;VLOOKUP($C59,$C$3:$D$15,2,FALSE)*CZ$21,CZ60&lt;=VLOOKUP($C59,$C$3:$D$15,2,FALSE)*CZ$21),IF(CZ60-CY61&lt;0,0,CZ60-CY61),
IF(AND(CY61&lt;VLOOKUP($C59,$C$3:$D$15,2,FALSE)*CZ$21,CZ60&gt;VLOOKUP($C59,$C$3:$D$15,2,FALSE)*CZ$21),VLOOKUP($C59,$C$3:$D$15,2,FALSE)*CZ$21-CY61)))</f>
        <v>0</v>
      </c>
      <c r="DA59" s="642">
        <f t="shared" ref="DA59" si="2514" xml:space="preserve">
IF(CZ61&gt;=VLOOKUP($C59,$C$3:$D$15,2,FALSE)*DA$21,0,
IF(AND(CZ61&lt;VLOOKUP($C59,$C$3:$D$15,2,FALSE)*DA$21,DA60&lt;=VLOOKUP($C59,$C$3:$D$15,2,FALSE)*DA$21),IF(DA60-CZ61&lt;0,0,DA60-CZ61),
IF(AND(CZ61&lt;VLOOKUP($C59,$C$3:$D$15,2,FALSE)*DA$21,DA60&gt;VLOOKUP($C59,$C$3:$D$15,2,FALSE)*DA$21),VLOOKUP($C59,$C$3:$D$15,2,FALSE)*DA$21-CZ61)))</f>
        <v>0</v>
      </c>
      <c r="DB59" s="642">
        <f t="shared" ref="DB59" si="2515" xml:space="preserve">
IF(DA61&gt;=VLOOKUP($C59,$C$3:$D$15,2,FALSE)*DB$21,0,
IF(AND(DA61&lt;VLOOKUP($C59,$C$3:$D$15,2,FALSE)*DB$21,DB60&lt;=VLOOKUP($C59,$C$3:$D$15,2,FALSE)*DB$21),IF(DB60-DA61&lt;0,0,DB60-DA61),
IF(AND(DA61&lt;VLOOKUP($C59,$C$3:$D$15,2,FALSE)*DB$21,DB60&gt;VLOOKUP($C59,$C$3:$D$15,2,FALSE)*DB$21),VLOOKUP($C59,$C$3:$D$15,2,FALSE)*DB$21-DA61)))</f>
        <v>0</v>
      </c>
      <c r="DC59" s="642">
        <f t="shared" ref="DC59" si="2516" xml:space="preserve">
IF(DB61&gt;=VLOOKUP($C59,$C$3:$D$15,2,FALSE)*DC$21,0,
IF(AND(DB61&lt;VLOOKUP($C59,$C$3:$D$15,2,FALSE)*DC$21,DC60&lt;=VLOOKUP($C59,$C$3:$D$15,2,FALSE)*DC$21),IF(DC60-DB61&lt;0,0,DC60-DB61),
IF(AND(DB61&lt;VLOOKUP($C59,$C$3:$D$15,2,FALSE)*DC$21,DC60&gt;VLOOKUP($C59,$C$3:$D$15,2,FALSE)*DC$21),VLOOKUP($C59,$C$3:$D$15,2,FALSE)*DC$21-DB61)))</f>
        <v>0</v>
      </c>
      <c r="DD59" s="642">
        <f t="shared" ref="DD59" si="2517" xml:space="preserve">
IF(DC61&gt;=VLOOKUP($C59,$C$3:$D$15,2,FALSE)*DD$21,0,
IF(AND(DC61&lt;VLOOKUP($C59,$C$3:$D$15,2,FALSE)*DD$21,DD60&lt;=VLOOKUP($C59,$C$3:$D$15,2,FALSE)*DD$21),IF(DD60-DC61&lt;0,0,DD60-DC61),
IF(AND(DC61&lt;VLOOKUP($C59,$C$3:$D$15,2,FALSE)*DD$21,DD60&gt;VLOOKUP($C59,$C$3:$D$15,2,FALSE)*DD$21),VLOOKUP($C59,$C$3:$D$15,2,FALSE)*DD$21-DC61)))</f>
        <v>0</v>
      </c>
      <c r="DE59" s="642">
        <f t="shared" ref="DE59" si="2518" xml:space="preserve">
IF(DD61&gt;=VLOOKUP($C59,$C$3:$D$15,2,FALSE)*DE$21,0,
IF(AND(DD61&lt;VLOOKUP($C59,$C$3:$D$15,2,FALSE)*DE$21,DE60&lt;=VLOOKUP($C59,$C$3:$D$15,2,FALSE)*DE$21),IF(DE60-DD61&lt;0,0,DE60-DD61),
IF(AND(DD61&lt;VLOOKUP($C59,$C$3:$D$15,2,FALSE)*DE$21,DE60&gt;VLOOKUP($C59,$C$3:$D$15,2,FALSE)*DE$21),VLOOKUP($C59,$C$3:$D$15,2,FALSE)*DE$21-DD61)))</f>
        <v>0</v>
      </c>
      <c r="DF59" s="642">
        <f t="shared" ref="DF59" si="2519" xml:space="preserve">
IF(DE61&gt;=VLOOKUP($C59,$C$3:$D$15,2,FALSE)*DF$21,0,
IF(AND(DE61&lt;VLOOKUP($C59,$C$3:$D$15,2,FALSE)*DF$21,DF60&lt;=VLOOKUP($C59,$C$3:$D$15,2,FALSE)*DF$21),IF(DF60-DE61&lt;0,0,DF60-DE61),
IF(AND(DE61&lt;VLOOKUP($C59,$C$3:$D$15,2,FALSE)*DF$21,DF60&gt;VLOOKUP($C59,$C$3:$D$15,2,FALSE)*DF$21),VLOOKUP($C59,$C$3:$D$15,2,FALSE)*DF$21-DE61)))</f>
        <v>0</v>
      </c>
      <c r="DG59" s="642">
        <f t="shared" ref="DG59" si="2520" xml:space="preserve">
IF(DF61&gt;=VLOOKUP($C59,$C$3:$D$15,2,FALSE)*DG$21,0,
IF(AND(DF61&lt;VLOOKUP($C59,$C$3:$D$15,2,FALSE)*DG$21,DG60&lt;=VLOOKUP($C59,$C$3:$D$15,2,FALSE)*DG$21),IF(DG60-DF61&lt;0,0,DG60-DF61),
IF(AND(DF61&lt;VLOOKUP($C59,$C$3:$D$15,2,FALSE)*DG$21,DG60&gt;VLOOKUP($C59,$C$3:$D$15,2,FALSE)*DG$21),VLOOKUP($C59,$C$3:$D$15,2,FALSE)*DG$21-DF61)))</f>
        <v>0</v>
      </c>
      <c r="DH59" s="642">
        <f t="shared" ref="DH59" si="2521" xml:space="preserve">
IF(DG61&gt;=VLOOKUP($C59,$C$3:$D$15,2,FALSE)*DH$21,0,
IF(AND(DG61&lt;VLOOKUP($C59,$C$3:$D$15,2,FALSE)*DH$21,DH60&lt;=VLOOKUP($C59,$C$3:$D$15,2,FALSE)*DH$21),IF(DH60-DG61&lt;0,0,DH60-DG61),
IF(AND(DG61&lt;VLOOKUP($C59,$C$3:$D$15,2,FALSE)*DH$21,DH60&gt;VLOOKUP($C59,$C$3:$D$15,2,FALSE)*DH$21),VLOOKUP($C59,$C$3:$D$15,2,FALSE)*DH$21-DG61)))</f>
        <v>0</v>
      </c>
      <c r="DI59" s="642">
        <f t="shared" ref="DI59" si="2522" xml:space="preserve">
IF(DH61&gt;=VLOOKUP($C59,$C$3:$D$15,2,FALSE)*DI$21,0,
IF(AND(DH61&lt;VLOOKUP($C59,$C$3:$D$15,2,FALSE)*DI$21,DI60&lt;=VLOOKUP($C59,$C$3:$D$15,2,FALSE)*DI$21),IF(DI60-DH61&lt;0,0,DI60-DH61),
IF(AND(DH61&lt;VLOOKUP($C59,$C$3:$D$15,2,FALSE)*DI$21,DI60&gt;VLOOKUP($C59,$C$3:$D$15,2,FALSE)*DI$21),VLOOKUP($C59,$C$3:$D$15,2,FALSE)*DI$21-DH61)))</f>
        <v>0</v>
      </c>
      <c r="DJ59" s="642">
        <f t="shared" ref="DJ59" si="2523" xml:space="preserve">
IF(DI61&gt;=VLOOKUP($C59,$C$3:$D$15,2,FALSE)*DJ$21,0,
IF(AND(DI61&lt;VLOOKUP($C59,$C$3:$D$15,2,FALSE)*DJ$21,DJ60&lt;=VLOOKUP($C59,$C$3:$D$15,2,FALSE)*DJ$21),IF(DJ60-DI61&lt;0,0,DJ60-DI61),
IF(AND(DI61&lt;VLOOKUP($C59,$C$3:$D$15,2,FALSE)*DJ$21,DJ60&gt;VLOOKUP($C59,$C$3:$D$15,2,FALSE)*DJ$21),VLOOKUP($C59,$C$3:$D$15,2,FALSE)*DJ$21-DI61)))</f>
        <v>0</v>
      </c>
      <c r="DK59" s="642">
        <f t="shared" ref="DK59" si="2524" xml:space="preserve">
IF(DJ61&gt;=VLOOKUP($C59,$C$3:$D$15,2,FALSE)*DK$21,0,
IF(AND(DJ61&lt;VLOOKUP($C59,$C$3:$D$15,2,FALSE)*DK$21,DK60&lt;=VLOOKUP($C59,$C$3:$D$15,2,FALSE)*DK$21),IF(DK60-DJ61&lt;0,0,DK60-DJ61),
IF(AND(DJ61&lt;VLOOKUP($C59,$C$3:$D$15,2,FALSE)*DK$21,DK60&gt;VLOOKUP($C59,$C$3:$D$15,2,FALSE)*DK$21),VLOOKUP($C59,$C$3:$D$15,2,FALSE)*DK$21-DJ61)))</f>
        <v>0</v>
      </c>
      <c r="DL59" s="642">
        <f t="shared" ref="DL59" si="2525" xml:space="preserve">
IF(DK61&gt;=VLOOKUP($C59,$C$3:$D$15,2,FALSE)*DL$21,0,
IF(AND(DK61&lt;VLOOKUP($C59,$C$3:$D$15,2,FALSE)*DL$21,DL60&lt;=VLOOKUP($C59,$C$3:$D$15,2,FALSE)*DL$21),IF(DL60-DK61&lt;0,0,DL60-DK61),
IF(AND(DK61&lt;VLOOKUP($C59,$C$3:$D$15,2,FALSE)*DL$21,DL60&gt;VLOOKUP($C59,$C$3:$D$15,2,FALSE)*DL$21),VLOOKUP($C59,$C$3:$D$15,2,FALSE)*DL$21-DK61)))</f>
        <v>0</v>
      </c>
      <c r="DM59" s="642">
        <f t="shared" ref="DM59" si="2526" xml:space="preserve">
IF(DL61&gt;=VLOOKUP($C59,$C$3:$D$15,2,FALSE)*DM$21,0,
IF(AND(DL61&lt;VLOOKUP($C59,$C$3:$D$15,2,FALSE)*DM$21,DM60&lt;=VLOOKUP($C59,$C$3:$D$15,2,FALSE)*DM$21),IF(DM60-DL61&lt;0,0,DM60-DL61),
IF(AND(DL61&lt;VLOOKUP($C59,$C$3:$D$15,2,FALSE)*DM$21,DM60&gt;VLOOKUP($C59,$C$3:$D$15,2,FALSE)*DM$21),VLOOKUP($C59,$C$3:$D$15,2,FALSE)*DM$21-DL61)))</f>
        <v>0</v>
      </c>
      <c r="DN59" s="642">
        <f t="shared" ref="DN59" si="2527" xml:space="preserve">
IF(DM61&gt;=VLOOKUP($C59,$C$3:$D$15,2,FALSE)*DN$21,0,
IF(AND(DM61&lt;VLOOKUP($C59,$C$3:$D$15,2,FALSE)*DN$21,DN60&lt;=VLOOKUP($C59,$C$3:$D$15,2,FALSE)*DN$21),IF(DN60-DM61&lt;0,0,DN60-DM61),
IF(AND(DM61&lt;VLOOKUP($C59,$C$3:$D$15,2,FALSE)*DN$21,DN60&gt;VLOOKUP($C59,$C$3:$D$15,2,FALSE)*DN$21),VLOOKUP($C59,$C$3:$D$15,2,FALSE)*DN$21-DM61)))</f>
        <v>0</v>
      </c>
      <c r="DO59" s="642">
        <f t="shared" ref="DO59" si="2528" xml:space="preserve">
IF(DN61&gt;=VLOOKUP($C59,$C$3:$D$15,2,FALSE)*DO$21,0,
IF(AND(DN61&lt;VLOOKUP($C59,$C$3:$D$15,2,FALSE)*DO$21,DO60&lt;=VLOOKUP($C59,$C$3:$D$15,2,FALSE)*DO$21),IF(DO60-DN61&lt;0,0,DO60-DN61),
IF(AND(DN61&lt;VLOOKUP($C59,$C$3:$D$15,2,FALSE)*DO$21,DO60&gt;VLOOKUP($C59,$C$3:$D$15,2,FALSE)*DO$21),VLOOKUP($C59,$C$3:$D$15,2,FALSE)*DO$21-DN61)))</f>
        <v>0</v>
      </c>
      <c r="DP59" s="642">
        <f t="shared" ref="DP59" si="2529" xml:space="preserve">
IF(DO61&gt;=VLOOKUP($C59,$C$3:$D$15,2,FALSE)*DP$21,0,
IF(AND(DO61&lt;VLOOKUP($C59,$C$3:$D$15,2,FALSE)*DP$21,DP60&lt;=VLOOKUP($C59,$C$3:$D$15,2,FALSE)*DP$21),IF(DP60-DO61&lt;0,0,DP60-DO61),
IF(AND(DO61&lt;VLOOKUP($C59,$C$3:$D$15,2,FALSE)*DP$21,DP60&gt;VLOOKUP($C59,$C$3:$D$15,2,FALSE)*DP$21),VLOOKUP($C59,$C$3:$D$15,2,FALSE)*DP$21-DO61)))</f>
        <v>0</v>
      </c>
      <c r="DQ59" s="642">
        <f t="shared" ref="DQ59" si="2530" xml:space="preserve">
IF(DP61&gt;=VLOOKUP($C59,$C$3:$D$15,2,FALSE)*DQ$21,0,
IF(AND(DP61&lt;VLOOKUP($C59,$C$3:$D$15,2,FALSE)*DQ$21,DQ60&lt;=VLOOKUP($C59,$C$3:$D$15,2,FALSE)*DQ$21),IF(DQ60-DP61&lt;0,0,DQ60-DP61),
IF(AND(DP61&lt;VLOOKUP($C59,$C$3:$D$15,2,FALSE)*DQ$21,DQ60&gt;VLOOKUP($C59,$C$3:$D$15,2,FALSE)*DQ$21),VLOOKUP($C59,$C$3:$D$15,2,FALSE)*DQ$21-DP61)))</f>
        <v>0</v>
      </c>
      <c r="DR59" s="642">
        <f t="shared" ref="DR59" si="2531" xml:space="preserve">
IF(DQ61&gt;=VLOOKUP($C59,$C$3:$D$15,2,FALSE)*DR$21,0,
IF(AND(DQ61&lt;VLOOKUP($C59,$C$3:$D$15,2,FALSE)*DR$21,DR60&lt;=VLOOKUP($C59,$C$3:$D$15,2,FALSE)*DR$21),IF(DR60-DQ61&lt;0,0,DR60-DQ61),
IF(AND(DQ61&lt;VLOOKUP($C59,$C$3:$D$15,2,FALSE)*DR$21,DR60&gt;VLOOKUP($C59,$C$3:$D$15,2,FALSE)*DR$21),VLOOKUP($C59,$C$3:$D$15,2,FALSE)*DR$21-DQ61)))</f>
        <v>0</v>
      </c>
      <c r="DS59" s="642">
        <f t="shared" ref="DS59" si="2532" xml:space="preserve">
IF(DR61&gt;=VLOOKUP($C59,$C$3:$D$15,2,FALSE)*DS$21,0,
IF(AND(DR61&lt;VLOOKUP($C59,$C$3:$D$15,2,FALSE)*DS$21,DS60&lt;=VLOOKUP($C59,$C$3:$D$15,2,FALSE)*DS$21),IF(DS60-DR61&lt;0,0,DS60-DR61),
IF(AND(DR61&lt;VLOOKUP($C59,$C$3:$D$15,2,FALSE)*DS$21,DS60&gt;VLOOKUP($C59,$C$3:$D$15,2,FALSE)*DS$21),VLOOKUP($C59,$C$3:$D$15,2,FALSE)*DS$21-DR61)))</f>
        <v>0</v>
      </c>
      <c r="DT59" s="642">
        <f t="shared" ref="DT59" si="2533" xml:space="preserve">
IF(DS61&gt;=VLOOKUP($C59,$C$3:$D$15,2,FALSE)*DT$21,0,
IF(AND(DS61&lt;VLOOKUP($C59,$C$3:$D$15,2,FALSE)*DT$21,DT60&lt;=VLOOKUP($C59,$C$3:$D$15,2,FALSE)*DT$21),IF(DT60-DS61&lt;0,0,DT60-DS61),
IF(AND(DS61&lt;VLOOKUP($C59,$C$3:$D$15,2,FALSE)*DT$21,DT60&gt;VLOOKUP($C59,$C$3:$D$15,2,FALSE)*DT$21),VLOOKUP($C59,$C$3:$D$15,2,FALSE)*DT$21-DS61)))</f>
        <v>0</v>
      </c>
      <c r="DU59" s="642">
        <f t="shared" ref="DU59" si="2534" xml:space="preserve">
IF(DT61&gt;=VLOOKUP($C59,$C$3:$D$15,2,FALSE)*DU$21,0,
IF(AND(DT61&lt;VLOOKUP($C59,$C$3:$D$15,2,FALSE)*DU$21,DU60&lt;=VLOOKUP($C59,$C$3:$D$15,2,FALSE)*DU$21),IF(DU60-DT61&lt;0,0,DU60-DT61),
IF(AND(DT61&lt;VLOOKUP($C59,$C$3:$D$15,2,FALSE)*DU$21,DU60&gt;VLOOKUP($C59,$C$3:$D$15,2,FALSE)*DU$21),VLOOKUP($C59,$C$3:$D$15,2,FALSE)*DU$21-DT61)))</f>
        <v>0</v>
      </c>
      <c r="DV59" s="642">
        <f t="shared" ref="DV59" si="2535" xml:space="preserve">
IF(DU61&gt;=VLOOKUP($C59,$C$3:$D$15,2,FALSE)*DV$21,0,
IF(AND(DU61&lt;VLOOKUP($C59,$C$3:$D$15,2,FALSE)*DV$21,DV60&lt;=VLOOKUP($C59,$C$3:$D$15,2,FALSE)*DV$21),IF(DV60-DU61&lt;0,0,DV60-DU61),
IF(AND(DU61&lt;VLOOKUP($C59,$C$3:$D$15,2,FALSE)*DV$21,DV60&gt;VLOOKUP($C59,$C$3:$D$15,2,FALSE)*DV$21),VLOOKUP($C59,$C$3:$D$15,2,FALSE)*DV$21-DU61)))</f>
        <v>0</v>
      </c>
      <c r="DW59" s="642">
        <f t="shared" ref="DW59" si="2536" xml:space="preserve">
IF(DV61&gt;=VLOOKUP($C59,$C$3:$D$15,2,FALSE)*DW$21,0,
IF(AND(DV61&lt;VLOOKUP($C59,$C$3:$D$15,2,FALSE)*DW$21,DW60&lt;=VLOOKUP($C59,$C$3:$D$15,2,FALSE)*DW$21),IF(DW60-DV61&lt;0,0,DW60-DV61),
IF(AND(DV61&lt;VLOOKUP($C59,$C$3:$D$15,2,FALSE)*DW$21,DW60&gt;VLOOKUP($C59,$C$3:$D$15,2,FALSE)*DW$21),VLOOKUP($C59,$C$3:$D$15,2,FALSE)*DW$21-DV61)))</f>
        <v>0</v>
      </c>
      <c r="DX59" s="642">
        <f t="shared" ref="DX59" si="2537" xml:space="preserve">
IF(DW61&gt;=VLOOKUP($C59,$C$3:$D$15,2,FALSE)*DX$21,0,
IF(AND(DW61&lt;VLOOKUP($C59,$C$3:$D$15,2,FALSE)*DX$21,DX60&lt;=VLOOKUP($C59,$C$3:$D$15,2,FALSE)*DX$21),IF(DX60-DW61&lt;0,0,DX60-DW61),
IF(AND(DW61&lt;VLOOKUP($C59,$C$3:$D$15,2,FALSE)*DX$21,DX60&gt;VLOOKUP($C59,$C$3:$D$15,2,FALSE)*DX$21),VLOOKUP($C59,$C$3:$D$15,2,FALSE)*DX$21-DW61)))</f>
        <v>0</v>
      </c>
      <c r="DY59" s="642">
        <f t="shared" ref="DY59" si="2538" xml:space="preserve">
IF(DX61&gt;=VLOOKUP($C59,$C$3:$D$15,2,FALSE)*DY$21,0,
IF(AND(DX61&lt;VLOOKUP($C59,$C$3:$D$15,2,FALSE)*DY$21,DY60&lt;=VLOOKUP($C59,$C$3:$D$15,2,FALSE)*DY$21),IF(DY60-DX61&lt;0,0,DY60-DX61),
IF(AND(DX61&lt;VLOOKUP($C59,$C$3:$D$15,2,FALSE)*DY$21,DY60&gt;VLOOKUP($C59,$C$3:$D$15,2,FALSE)*DY$21),VLOOKUP($C59,$C$3:$D$15,2,FALSE)*DY$21-DX61)))</f>
        <v>0</v>
      </c>
      <c r="DZ59" s="642">
        <f t="shared" ref="DZ59" si="2539" xml:space="preserve">
IF(DY61&gt;=VLOOKUP($C59,$C$3:$D$15,2,FALSE)*DZ$21,0,
IF(AND(DY61&lt;VLOOKUP($C59,$C$3:$D$15,2,FALSE)*DZ$21,DZ60&lt;=VLOOKUP($C59,$C$3:$D$15,2,FALSE)*DZ$21),IF(DZ60-DY61&lt;0,0,DZ60-DY61),
IF(AND(DY61&lt;VLOOKUP($C59,$C$3:$D$15,2,FALSE)*DZ$21,DZ60&gt;VLOOKUP($C59,$C$3:$D$15,2,FALSE)*DZ$21),VLOOKUP($C59,$C$3:$D$15,2,FALSE)*DZ$21-DY61)))</f>
        <v>0</v>
      </c>
      <c r="EA59" s="642">
        <f t="shared" ref="EA59" si="2540" xml:space="preserve">
IF(DZ61&gt;=VLOOKUP($C59,$C$3:$D$15,2,FALSE)*EA$21,0,
IF(AND(DZ61&lt;VLOOKUP($C59,$C$3:$D$15,2,FALSE)*EA$21,EA60&lt;=VLOOKUP($C59,$C$3:$D$15,2,FALSE)*EA$21),IF(EA60-DZ61&lt;0,0,EA60-DZ61),
IF(AND(DZ61&lt;VLOOKUP($C59,$C$3:$D$15,2,FALSE)*EA$21,EA60&gt;VLOOKUP($C59,$C$3:$D$15,2,FALSE)*EA$21),VLOOKUP($C59,$C$3:$D$15,2,FALSE)*EA$21-DZ61)))</f>
        <v>0</v>
      </c>
      <c r="EB59" s="642">
        <f t="shared" ref="EB59" si="2541" xml:space="preserve">
IF(EA61&gt;=VLOOKUP($C59,$C$3:$D$15,2,FALSE)*EB$21,0,
IF(AND(EA61&lt;VLOOKUP($C59,$C$3:$D$15,2,FALSE)*EB$21,EB60&lt;=VLOOKUP($C59,$C$3:$D$15,2,FALSE)*EB$21),IF(EB60-EA61&lt;0,0,EB60-EA61),
IF(AND(EA61&lt;VLOOKUP($C59,$C$3:$D$15,2,FALSE)*EB$21,EB60&gt;VLOOKUP($C59,$C$3:$D$15,2,FALSE)*EB$21),VLOOKUP($C59,$C$3:$D$15,2,FALSE)*EB$21-EA61)))</f>
        <v>0</v>
      </c>
      <c r="EC59" s="642">
        <f t="shared" ref="EC59" si="2542" xml:space="preserve">
IF(EB61&gt;=VLOOKUP($C59,$C$3:$D$15,2,FALSE)*EC$21,0,
IF(AND(EB61&lt;VLOOKUP($C59,$C$3:$D$15,2,FALSE)*EC$21,EC60&lt;=VLOOKUP($C59,$C$3:$D$15,2,FALSE)*EC$21),IF(EC60-EB61&lt;0,0,EC60-EB61),
IF(AND(EB61&lt;VLOOKUP($C59,$C$3:$D$15,2,FALSE)*EC$21,EC60&gt;VLOOKUP($C59,$C$3:$D$15,2,FALSE)*EC$21),VLOOKUP($C59,$C$3:$D$15,2,FALSE)*EC$21-EB61)))</f>
        <v>0</v>
      </c>
      <c r="ED59" s="642">
        <f t="shared" ref="ED59" si="2543" xml:space="preserve">
IF(EC61&gt;=VLOOKUP($C59,$C$3:$D$15,2,FALSE)*ED$21,0,
IF(AND(EC61&lt;VLOOKUP($C59,$C$3:$D$15,2,FALSE)*ED$21,ED60&lt;=VLOOKUP($C59,$C$3:$D$15,2,FALSE)*ED$21),IF(ED60-EC61&lt;0,0,ED60-EC61),
IF(AND(EC61&lt;VLOOKUP($C59,$C$3:$D$15,2,FALSE)*ED$21,ED60&gt;VLOOKUP($C59,$C$3:$D$15,2,FALSE)*ED$21),VLOOKUP($C59,$C$3:$D$15,2,FALSE)*ED$21-EC61)))</f>
        <v>0</v>
      </c>
      <c r="EE59" s="642">
        <f t="shared" ref="EE59" si="2544" xml:space="preserve">
IF(ED61&gt;=VLOOKUP($C59,$C$3:$D$15,2,FALSE)*EE$21,0,
IF(AND(ED61&lt;VLOOKUP($C59,$C$3:$D$15,2,FALSE)*EE$21,EE60&lt;=VLOOKUP($C59,$C$3:$D$15,2,FALSE)*EE$21),IF(EE60-ED61&lt;0,0,EE60-ED61),
IF(AND(ED61&lt;VLOOKUP($C59,$C$3:$D$15,2,FALSE)*EE$21,EE60&gt;VLOOKUP($C59,$C$3:$D$15,2,FALSE)*EE$21),VLOOKUP($C59,$C$3:$D$15,2,FALSE)*EE$21-ED61)))</f>
        <v>0</v>
      </c>
      <c r="EF59" s="642">
        <f t="shared" ref="EF59" si="2545" xml:space="preserve">
IF(EE61&gt;=VLOOKUP($C59,$C$3:$D$15,2,FALSE)*EF$21,0,
IF(AND(EE61&lt;VLOOKUP($C59,$C$3:$D$15,2,FALSE)*EF$21,EF60&lt;=VLOOKUP($C59,$C$3:$D$15,2,FALSE)*EF$21),IF(EF60-EE61&lt;0,0,EF60-EE61),
IF(AND(EE61&lt;VLOOKUP($C59,$C$3:$D$15,2,FALSE)*EF$21,EF60&gt;VLOOKUP($C59,$C$3:$D$15,2,FALSE)*EF$21),VLOOKUP($C59,$C$3:$D$15,2,FALSE)*EF$21-EE61)))</f>
        <v>0</v>
      </c>
      <c r="EG59" s="642">
        <f t="shared" ref="EG59" si="2546" xml:space="preserve">
IF(EF61&gt;=VLOOKUP($C59,$C$3:$D$15,2,FALSE)*EG$21,0,
IF(AND(EF61&lt;VLOOKUP($C59,$C$3:$D$15,2,FALSE)*EG$21,EG60&lt;=VLOOKUP($C59,$C$3:$D$15,2,FALSE)*EG$21),IF(EG60-EF61&lt;0,0,EG60-EF61),
IF(AND(EF61&lt;VLOOKUP($C59,$C$3:$D$15,2,FALSE)*EG$21,EG60&gt;VLOOKUP($C59,$C$3:$D$15,2,FALSE)*EG$21),VLOOKUP($C59,$C$3:$D$15,2,FALSE)*EG$21-EF61)))</f>
        <v>0</v>
      </c>
      <c r="EH59" s="642">
        <f t="shared" ref="EH59" si="2547" xml:space="preserve">
IF(EG61&gt;=VLOOKUP($C59,$C$3:$D$15,2,FALSE)*EH$21,0,
IF(AND(EG61&lt;VLOOKUP($C59,$C$3:$D$15,2,FALSE)*EH$21,EH60&lt;=VLOOKUP($C59,$C$3:$D$15,2,FALSE)*EH$21),IF(EH60-EG61&lt;0,0,EH60-EG61),
IF(AND(EG61&lt;VLOOKUP($C59,$C$3:$D$15,2,FALSE)*EH$21,EH60&gt;VLOOKUP($C59,$C$3:$D$15,2,FALSE)*EH$21),VLOOKUP($C59,$C$3:$D$15,2,FALSE)*EH$21-EG61)))</f>
        <v>0</v>
      </c>
      <c r="EI59" s="642">
        <f t="shared" ref="EI59" si="2548" xml:space="preserve">
IF(EH61&gt;=VLOOKUP($C59,$C$3:$D$15,2,FALSE)*EI$21,0,
IF(AND(EH61&lt;VLOOKUP($C59,$C$3:$D$15,2,FALSE)*EI$21,EI60&lt;=VLOOKUP($C59,$C$3:$D$15,2,FALSE)*EI$21),IF(EI60-EH61&lt;0,0,EI60-EH61),
IF(AND(EH61&lt;VLOOKUP($C59,$C$3:$D$15,2,FALSE)*EI$21,EI60&gt;VLOOKUP($C59,$C$3:$D$15,2,FALSE)*EI$21),VLOOKUP($C59,$C$3:$D$15,2,FALSE)*EI$21-EH61)))</f>
        <v>0</v>
      </c>
      <c r="EJ59" s="642">
        <f t="shared" ref="EJ59" si="2549" xml:space="preserve">
IF(EI61&gt;=VLOOKUP($C59,$C$3:$D$15,2,FALSE)*EJ$21,0,
IF(AND(EI61&lt;VLOOKUP($C59,$C$3:$D$15,2,FALSE)*EJ$21,EJ60&lt;=VLOOKUP($C59,$C$3:$D$15,2,FALSE)*EJ$21),IF(EJ60-EI61&lt;0,0,EJ60-EI61),
IF(AND(EI61&lt;VLOOKUP($C59,$C$3:$D$15,2,FALSE)*EJ$21,EJ60&gt;VLOOKUP($C59,$C$3:$D$15,2,FALSE)*EJ$21),VLOOKUP($C59,$C$3:$D$15,2,FALSE)*EJ$21-EI61)))</f>
        <v>0</v>
      </c>
      <c r="EK59" s="642">
        <f t="shared" ref="EK59" si="2550" xml:space="preserve">
IF(EJ61&gt;=VLOOKUP($C59,$C$3:$D$15,2,FALSE)*EK$21,0,
IF(AND(EJ61&lt;VLOOKUP($C59,$C$3:$D$15,2,FALSE)*EK$21,EK60&lt;=VLOOKUP($C59,$C$3:$D$15,2,FALSE)*EK$21),IF(EK60-EJ61&lt;0,0,EK60-EJ61),
IF(AND(EJ61&lt;VLOOKUP($C59,$C$3:$D$15,2,FALSE)*EK$21,EK60&gt;VLOOKUP($C59,$C$3:$D$15,2,FALSE)*EK$21),VLOOKUP($C59,$C$3:$D$15,2,FALSE)*EK$21-EJ61)))</f>
        <v>0</v>
      </c>
      <c r="EL59" s="642">
        <f t="shared" ref="EL59" si="2551" xml:space="preserve">
IF(EK61&gt;=VLOOKUP($C59,$C$3:$D$15,2,FALSE)*EL$21,0,
IF(AND(EK61&lt;VLOOKUP($C59,$C$3:$D$15,2,FALSE)*EL$21,EL60&lt;=VLOOKUP($C59,$C$3:$D$15,2,FALSE)*EL$21),IF(EL60-EK61&lt;0,0,EL60-EK61),
IF(AND(EK61&lt;VLOOKUP($C59,$C$3:$D$15,2,FALSE)*EL$21,EL60&gt;VLOOKUP($C59,$C$3:$D$15,2,FALSE)*EL$21),VLOOKUP($C59,$C$3:$D$15,2,FALSE)*EL$21-EK61)))</f>
        <v>0</v>
      </c>
      <c r="EM59" s="642">
        <f t="shared" ref="EM59" si="2552" xml:space="preserve">
IF(EL61&gt;=VLOOKUP($C59,$C$3:$D$15,2,FALSE)*EM$21,0,
IF(AND(EL61&lt;VLOOKUP($C59,$C$3:$D$15,2,FALSE)*EM$21,EM60&lt;=VLOOKUP($C59,$C$3:$D$15,2,FALSE)*EM$21),IF(EM60-EL61&lt;0,0,EM60-EL61),
IF(AND(EL61&lt;VLOOKUP($C59,$C$3:$D$15,2,FALSE)*EM$21,EM60&gt;VLOOKUP($C59,$C$3:$D$15,2,FALSE)*EM$21),VLOOKUP($C59,$C$3:$D$15,2,FALSE)*EM$21-EL61)))</f>
        <v>0</v>
      </c>
      <c r="EN59" s="642">
        <f t="shared" ref="EN59" si="2553" xml:space="preserve">
IF(EM61&gt;=VLOOKUP($C59,$C$3:$D$15,2,FALSE)*EN$21,0,
IF(AND(EM61&lt;VLOOKUP($C59,$C$3:$D$15,2,FALSE)*EN$21,EN60&lt;=VLOOKUP($C59,$C$3:$D$15,2,FALSE)*EN$21),IF(EN60-EM61&lt;0,0,EN60-EM61),
IF(AND(EM61&lt;VLOOKUP($C59,$C$3:$D$15,2,FALSE)*EN$21,EN60&gt;VLOOKUP($C59,$C$3:$D$15,2,FALSE)*EN$21),VLOOKUP($C59,$C$3:$D$15,2,FALSE)*EN$21-EM61)))</f>
        <v>0</v>
      </c>
      <c r="EO59" s="642">
        <f t="shared" ref="EO59" si="2554" xml:space="preserve">
IF(EN61&gt;=VLOOKUP($C59,$C$3:$D$15,2,FALSE)*EO$21,0,
IF(AND(EN61&lt;VLOOKUP($C59,$C$3:$D$15,2,FALSE)*EO$21,EO60&lt;=VLOOKUP($C59,$C$3:$D$15,2,FALSE)*EO$21),IF(EO60-EN61&lt;0,0,EO60-EN61),
IF(AND(EN61&lt;VLOOKUP($C59,$C$3:$D$15,2,FALSE)*EO$21,EO60&gt;VLOOKUP($C59,$C$3:$D$15,2,FALSE)*EO$21),VLOOKUP($C59,$C$3:$D$15,2,FALSE)*EO$21-EN61)))</f>
        <v>0</v>
      </c>
      <c r="EP59" s="642">
        <f t="shared" ref="EP59" si="2555" xml:space="preserve">
IF(EO61&gt;=VLOOKUP($C59,$C$3:$D$15,2,FALSE)*EP$21,0,
IF(AND(EO61&lt;VLOOKUP($C59,$C$3:$D$15,2,FALSE)*EP$21,EP60&lt;=VLOOKUP($C59,$C$3:$D$15,2,FALSE)*EP$21),IF(EP60-EO61&lt;0,0,EP60-EO61),
IF(AND(EO61&lt;VLOOKUP($C59,$C$3:$D$15,2,FALSE)*EP$21,EP60&gt;VLOOKUP($C59,$C$3:$D$15,2,FALSE)*EP$21),VLOOKUP($C59,$C$3:$D$15,2,FALSE)*EP$21-EO61)))</f>
        <v>0</v>
      </c>
      <c r="EQ59" s="642">
        <f t="shared" ref="EQ59" si="2556" xml:space="preserve">
IF(EP61&gt;=VLOOKUP($C59,$C$3:$D$15,2,FALSE)*EQ$21,0,
IF(AND(EP61&lt;VLOOKUP($C59,$C$3:$D$15,2,FALSE)*EQ$21,EQ60&lt;=VLOOKUP($C59,$C$3:$D$15,2,FALSE)*EQ$21),IF(EQ60-EP61&lt;0,0,EQ60-EP61),
IF(AND(EP61&lt;VLOOKUP($C59,$C$3:$D$15,2,FALSE)*EQ$21,EQ60&gt;VLOOKUP($C59,$C$3:$D$15,2,FALSE)*EQ$21),VLOOKUP($C59,$C$3:$D$15,2,FALSE)*EQ$21-EP61)))</f>
        <v>0</v>
      </c>
      <c r="ER59" s="642">
        <f t="shared" ref="ER59" si="2557" xml:space="preserve">
IF(EQ61&gt;=VLOOKUP($C59,$C$3:$D$15,2,FALSE)*ER$21,0,
IF(AND(EQ61&lt;VLOOKUP($C59,$C$3:$D$15,2,FALSE)*ER$21,ER60&lt;=VLOOKUP($C59,$C$3:$D$15,2,FALSE)*ER$21),IF(ER60-EQ61&lt;0,0,ER60-EQ61),
IF(AND(EQ61&lt;VLOOKUP($C59,$C$3:$D$15,2,FALSE)*ER$21,ER60&gt;VLOOKUP($C59,$C$3:$D$15,2,FALSE)*ER$21),VLOOKUP($C59,$C$3:$D$15,2,FALSE)*ER$21-EQ61)))</f>
        <v>0</v>
      </c>
      <c r="ES59" s="642">
        <f t="shared" ref="ES59" si="2558" xml:space="preserve">
IF(ER61&gt;=VLOOKUP($C59,$C$3:$D$15,2,FALSE)*ES$21,0,
IF(AND(ER61&lt;VLOOKUP($C59,$C$3:$D$15,2,FALSE)*ES$21,ES60&lt;=VLOOKUP($C59,$C$3:$D$15,2,FALSE)*ES$21),IF(ES60-ER61&lt;0,0,ES60-ER61),
IF(AND(ER61&lt;VLOOKUP($C59,$C$3:$D$15,2,FALSE)*ES$21,ES60&gt;VLOOKUP($C59,$C$3:$D$15,2,FALSE)*ES$21),VLOOKUP($C59,$C$3:$D$15,2,FALSE)*ES$21-ER61)))</f>
        <v>0</v>
      </c>
      <c r="ET59" s="642">
        <f t="shared" ref="ET59" si="2559" xml:space="preserve">
IF(ES61&gt;=VLOOKUP($C59,$C$3:$D$15,2,FALSE)*ET$21,0,
IF(AND(ES61&lt;VLOOKUP($C59,$C$3:$D$15,2,FALSE)*ET$21,ET60&lt;=VLOOKUP($C59,$C$3:$D$15,2,FALSE)*ET$21),IF(ET60-ES61&lt;0,0,ET60-ES61),
IF(AND(ES61&lt;VLOOKUP($C59,$C$3:$D$15,2,FALSE)*ET$21,ET60&gt;VLOOKUP($C59,$C$3:$D$15,2,FALSE)*ET$21),VLOOKUP($C59,$C$3:$D$15,2,FALSE)*ET$21-ES61)))</f>
        <v>0</v>
      </c>
      <c r="EU59" s="642">
        <f t="shared" ref="EU59" si="2560" xml:space="preserve">
IF(ET61&gt;=VLOOKUP($C59,$C$3:$D$15,2,FALSE)*EU$21,0,
IF(AND(ET61&lt;VLOOKUP($C59,$C$3:$D$15,2,FALSE)*EU$21,EU60&lt;=VLOOKUP($C59,$C$3:$D$15,2,FALSE)*EU$21),IF(EU60-ET61&lt;0,0,EU60-ET61),
IF(AND(ET61&lt;VLOOKUP($C59,$C$3:$D$15,2,FALSE)*EU$21,EU60&gt;VLOOKUP($C59,$C$3:$D$15,2,FALSE)*EU$21),VLOOKUP($C59,$C$3:$D$15,2,FALSE)*EU$21-ET61)))</f>
        <v>0</v>
      </c>
      <c r="EV59" s="642">
        <f t="shared" ref="EV59" si="2561" xml:space="preserve">
IF(EU61&gt;=VLOOKUP($C59,$C$3:$D$15,2,FALSE)*EV$21,0,
IF(AND(EU61&lt;VLOOKUP($C59,$C$3:$D$15,2,FALSE)*EV$21,EV60&lt;=VLOOKUP($C59,$C$3:$D$15,2,FALSE)*EV$21),IF(EV60-EU61&lt;0,0,EV60-EU61),
IF(AND(EU61&lt;VLOOKUP($C59,$C$3:$D$15,2,FALSE)*EV$21,EV60&gt;VLOOKUP($C59,$C$3:$D$15,2,FALSE)*EV$21),VLOOKUP($C59,$C$3:$D$15,2,FALSE)*EV$21-EU61)))</f>
        <v>0</v>
      </c>
      <c r="EW59" s="642">
        <f t="shared" ref="EW59" si="2562" xml:space="preserve">
IF(EV61&gt;=VLOOKUP($C59,$C$3:$D$15,2,FALSE)*EW$21,0,
IF(AND(EV61&lt;VLOOKUP($C59,$C$3:$D$15,2,FALSE)*EW$21,EW60&lt;=VLOOKUP($C59,$C$3:$D$15,2,FALSE)*EW$21),IF(EW60-EV61&lt;0,0,EW60-EV61),
IF(AND(EV61&lt;VLOOKUP($C59,$C$3:$D$15,2,FALSE)*EW$21,EW60&gt;VLOOKUP($C59,$C$3:$D$15,2,FALSE)*EW$21),VLOOKUP($C59,$C$3:$D$15,2,FALSE)*EW$21-EV61)))</f>
        <v>0</v>
      </c>
      <c r="EX59" s="642">
        <f t="shared" ref="EX59" si="2563" xml:space="preserve">
IF(EW61&gt;=VLOOKUP($C59,$C$3:$D$15,2,FALSE)*EX$21,0,
IF(AND(EW61&lt;VLOOKUP($C59,$C$3:$D$15,2,FALSE)*EX$21,EX60&lt;=VLOOKUP($C59,$C$3:$D$15,2,FALSE)*EX$21),IF(EX60-EW61&lt;0,0,EX60-EW61),
IF(AND(EW61&lt;VLOOKUP($C59,$C$3:$D$15,2,FALSE)*EX$21,EX60&gt;VLOOKUP($C59,$C$3:$D$15,2,FALSE)*EX$21),VLOOKUP($C59,$C$3:$D$15,2,FALSE)*EX$21-EW61)))</f>
        <v>0</v>
      </c>
      <c r="EY59" s="642">
        <f t="shared" ref="EY59" si="2564" xml:space="preserve">
IF(EX61&gt;=VLOOKUP($C59,$C$3:$D$15,2,FALSE)*EY$21,0,
IF(AND(EX61&lt;VLOOKUP($C59,$C$3:$D$15,2,FALSE)*EY$21,EY60&lt;=VLOOKUP($C59,$C$3:$D$15,2,FALSE)*EY$21),IF(EY60-EX61&lt;0,0,EY60-EX61),
IF(AND(EX61&lt;VLOOKUP($C59,$C$3:$D$15,2,FALSE)*EY$21,EY60&gt;VLOOKUP($C59,$C$3:$D$15,2,FALSE)*EY$21),VLOOKUP($C59,$C$3:$D$15,2,FALSE)*EY$21-EX61)))</f>
        <v>0</v>
      </c>
      <c r="EZ59" s="642">
        <f t="shared" ref="EZ59" si="2565" xml:space="preserve">
IF(EY61&gt;=VLOOKUP($C59,$C$3:$D$15,2,FALSE)*EZ$21,0,
IF(AND(EY61&lt;VLOOKUP($C59,$C$3:$D$15,2,FALSE)*EZ$21,EZ60&lt;=VLOOKUP($C59,$C$3:$D$15,2,FALSE)*EZ$21),IF(EZ60-EY61&lt;0,0,EZ60-EY61),
IF(AND(EY61&lt;VLOOKUP($C59,$C$3:$D$15,2,FALSE)*EZ$21,EZ60&gt;VLOOKUP($C59,$C$3:$D$15,2,FALSE)*EZ$21),VLOOKUP($C59,$C$3:$D$15,2,FALSE)*EZ$21-EY61)))</f>
        <v>0</v>
      </c>
      <c r="FA59" s="642">
        <f t="shared" ref="FA59" si="2566" xml:space="preserve">
IF(EZ61&gt;=VLOOKUP($C59,$C$3:$D$15,2,FALSE)*FA$21,0,
IF(AND(EZ61&lt;VLOOKUP($C59,$C$3:$D$15,2,FALSE)*FA$21,FA60&lt;=VLOOKUP($C59,$C$3:$D$15,2,FALSE)*FA$21),IF(FA60-EZ61&lt;0,0,FA60-EZ61),
IF(AND(EZ61&lt;VLOOKUP($C59,$C$3:$D$15,2,FALSE)*FA$21,FA60&gt;VLOOKUP($C59,$C$3:$D$15,2,FALSE)*FA$21),VLOOKUP($C59,$C$3:$D$15,2,FALSE)*FA$21-EZ61)))</f>
        <v>0</v>
      </c>
      <c r="FB59" s="642">
        <f t="shared" ref="FB59" si="2567" xml:space="preserve">
IF(FA61&gt;=VLOOKUP($C59,$C$3:$D$15,2,FALSE)*FB$21,0,
IF(AND(FA61&lt;VLOOKUP($C59,$C$3:$D$15,2,FALSE)*FB$21,FB60&lt;=VLOOKUP($C59,$C$3:$D$15,2,FALSE)*FB$21),IF(FB60-FA61&lt;0,0,FB60-FA61),
IF(AND(FA61&lt;VLOOKUP($C59,$C$3:$D$15,2,FALSE)*FB$21,FB60&gt;VLOOKUP($C59,$C$3:$D$15,2,FALSE)*FB$21),VLOOKUP($C59,$C$3:$D$15,2,FALSE)*FB$21-FA61)))</f>
        <v>0</v>
      </c>
      <c r="FC59" s="642">
        <f t="shared" ref="FC59" si="2568" xml:space="preserve">
IF(FB61&gt;=VLOOKUP($C59,$C$3:$D$15,2,FALSE)*FC$21,0,
IF(AND(FB61&lt;VLOOKUP($C59,$C$3:$D$15,2,FALSE)*FC$21,FC60&lt;=VLOOKUP($C59,$C$3:$D$15,2,FALSE)*FC$21),IF(FC60-FB61&lt;0,0,FC60-FB61),
IF(AND(FB61&lt;VLOOKUP($C59,$C$3:$D$15,2,FALSE)*FC$21,FC60&gt;VLOOKUP($C59,$C$3:$D$15,2,FALSE)*FC$21),VLOOKUP($C59,$C$3:$D$15,2,FALSE)*FC$21-FB61)))</f>
        <v>0</v>
      </c>
      <c r="FD59" s="642">
        <f t="shared" ref="FD59" si="2569" xml:space="preserve">
IF(FC61&gt;=VLOOKUP($C59,$C$3:$D$15,2,FALSE)*FD$21,0,
IF(AND(FC61&lt;VLOOKUP($C59,$C$3:$D$15,2,FALSE)*FD$21,FD60&lt;=VLOOKUP($C59,$C$3:$D$15,2,FALSE)*FD$21),IF(FD60-FC61&lt;0,0,FD60-FC61),
IF(AND(FC61&lt;VLOOKUP($C59,$C$3:$D$15,2,FALSE)*FD$21,FD60&gt;VLOOKUP($C59,$C$3:$D$15,2,FALSE)*FD$21),VLOOKUP($C59,$C$3:$D$15,2,FALSE)*FD$21-FC61)))</f>
        <v>0</v>
      </c>
      <c r="FE59" s="642">
        <f t="shared" ref="FE59" si="2570" xml:space="preserve">
IF(FD61&gt;=VLOOKUP($C59,$C$3:$D$15,2,FALSE)*FE$21,0,
IF(AND(FD61&lt;VLOOKUP($C59,$C$3:$D$15,2,FALSE)*FE$21,FE60&lt;=VLOOKUP($C59,$C$3:$D$15,2,FALSE)*FE$21),IF(FE60-FD61&lt;0,0,FE60-FD61),
IF(AND(FD61&lt;VLOOKUP($C59,$C$3:$D$15,2,FALSE)*FE$21,FE60&gt;VLOOKUP($C59,$C$3:$D$15,2,FALSE)*FE$21),VLOOKUP($C59,$C$3:$D$15,2,FALSE)*FE$21-FD61)))</f>
        <v>0</v>
      </c>
      <c r="FF59" s="642">
        <f t="shared" ref="FF59" si="2571" xml:space="preserve">
IF(FE61&gt;=VLOOKUP($C59,$C$3:$D$15,2,FALSE)*FF$21,0,
IF(AND(FE61&lt;VLOOKUP($C59,$C$3:$D$15,2,FALSE)*FF$21,FF60&lt;=VLOOKUP($C59,$C$3:$D$15,2,FALSE)*FF$21),IF(FF60-FE61&lt;0,0,FF60-FE61),
IF(AND(FE61&lt;VLOOKUP($C59,$C$3:$D$15,2,FALSE)*FF$21,FF60&gt;VLOOKUP($C59,$C$3:$D$15,2,FALSE)*FF$21),VLOOKUP($C59,$C$3:$D$15,2,FALSE)*FF$21-FE61)))</f>
        <v>0</v>
      </c>
      <c r="FG59" s="642">
        <f t="shared" ref="FG59" si="2572" xml:space="preserve">
IF(FF61&gt;=VLOOKUP($C59,$C$3:$D$15,2,FALSE)*FG$21,0,
IF(AND(FF61&lt;VLOOKUP($C59,$C$3:$D$15,2,FALSE)*FG$21,FG60&lt;=VLOOKUP($C59,$C$3:$D$15,2,FALSE)*FG$21),IF(FG60-FF61&lt;0,0,FG60-FF61),
IF(AND(FF61&lt;VLOOKUP($C59,$C$3:$D$15,2,FALSE)*FG$21,FG60&gt;VLOOKUP($C59,$C$3:$D$15,2,FALSE)*FG$21),VLOOKUP($C59,$C$3:$D$15,2,FALSE)*FG$21-FF61)))</f>
        <v>0</v>
      </c>
      <c r="FH59" s="642">
        <f t="shared" ref="FH59" si="2573" xml:space="preserve">
IF(FG61&gt;=VLOOKUP($C59,$C$3:$D$15,2,FALSE)*FH$21,0,
IF(AND(FG61&lt;VLOOKUP($C59,$C$3:$D$15,2,FALSE)*FH$21,FH60&lt;=VLOOKUP($C59,$C$3:$D$15,2,FALSE)*FH$21),IF(FH60-FG61&lt;0,0,FH60-FG61),
IF(AND(FG61&lt;VLOOKUP($C59,$C$3:$D$15,2,FALSE)*FH$21,FH60&gt;VLOOKUP($C59,$C$3:$D$15,2,FALSE)*FH$21),VLOOKUP($C59,$C$3:$D$15,2,FALSE)*FH$21-FG61)))</f>
        <v>0</v>
      </c>
      <c r="FI59" s="642">
        <f t="shared" ref="FI59" si="2574" xml:space="preserve">
IF(FH61&gt;=VLOOKUP($C59,$C$3:$D$15,2,FALSE)*FI$21,0,
IF(AND(FH61&lt;VLOOKUP($C59,$C$3:$D$15,2,FALSE)*FI$21,FI60&lt;=VLOOKUP($C59,$C$3:$D$15,2,FALSE)*FI$21),IF(FI60-FH61&lt;0,0,FI60-FH61),
IF(AND(FH61&lt;VLOOKUP($C59,$C$3:$D$15,2,FALSE)*FI$21,FI60&gt;VLOOKUP($C59,$C$3:$D$15,2,FALSE)*FI$21),VLOOKUP($C59,$C$3:$D$15,2,FALSE)*FI$21-FH61)))</f>
        <v>0</v>
      </c>
      <c r="FJ59" s="642">
        <f t="shared" ref="FJ59" si="2575" xml:space="preserve">
IF(FI61&gt;=VLOOKUP($C59,$C$3:$D$15,2,FALSE)*FJ$21,0,
IF(AND(FI61&lt;VLOOKUP($C59,$C$3:$D$15,2,FALSE)*FJ$21,FJ60&lt;=VLOOKUP($C59,$C$3:$D$15,2,FALSE)*FJ$21),IF(FJ60-FI61&lt;0,0,FJ60-FI61),
IF(AND(FI61&lt;VLOOKUP($C59,$C$3:$D$15,2,FALSE)*FJ$21,FJ60&gt;VLOOKUP($C59,$C$3:$D$15,2,FALSE)*FJ$21),VLOOKUP($C59,$C$3:$D$15,2,FALSE)*FJ$21-FI61)))</f>
        <v>0</v>
      </c>
      <c r="FK59" s="642">
        <f t="shared" ref="FK59" si="2576" xml:space="preserve">
IF(FJ61&gt;=VLOOKUP($C59,$C$3:$D$15,2,FALSE)*FK$21,0,
IF(AND(FJ61&lt;VLOOKUP($C59,$C$3:$D$15,2,FALSE)*FK$21,FK60&lt;=VLOOKUP($C59,$C$3:$D$15,2,FALSE)*FK$21),IF(FK60-FJ61&lt;0,0,FK60-FJ61),
IF(AND(FJ61&lt;VLOOKUP($C59,$C$3:$D$15,2,FALSE)*FK$21,FK60&gt;VLOOKUP($C59,$C$3:$D$15,2,FALSE)*FK$21),VLOOKUP($C59,$C$3:$D$15,2,FALSE)*FK$21-FJ61)))</f>
        <v>0</v>
      </c>
      <c r="FL59" s="642">
        <f t="shared" ref="FL59" si="2577" xml:space="preserve">
IF(FK61&gt;=VLOOKUP($C59,$C$3:$D$15,2,FALSE)*FL$21,0,
IF(AND(FK61&lt;VLOOKUP($C59,$C$3:$D$15,2,FALSE)*FL$21,FL60&lt;=VLOOKUP($C59,$C$3:$D$15,2,FALSE)*FL$21),IF(FL60-FK61&lt;0,0,FL60-FK61),
IF(AND(FK61&lt;VLOOKUP($C59,$C$3:$D$15,2,FALSE)*FL$21,FL60&gt;VLOOKUP($C59,$C$3:$D$15,2,FALSE)*FL$21),VLOOKUP($C59,$C$3:$D$15,2,FALSE)*FL$21-FK61)))</f>
        <v>0</v>
      </c>
      <c r="FM59" s="642">
        <f t="shared" ref="FM59" si="2578" xml:space="preserve">
IF(FL61&gt;=VLOOKUP($C59,$C$3:$D$15,2,FALSE)*FM$21,0,
IF(AND(FL61&lt;VLOOKUP($C59,$C$3:$D$15,2,FALSE)*FM$21,FM60&lt;=VLOOKUP($C59,$C$3:$D$15,2,FALSE)*FM$21),IF(FM60-FL61&lt;0,0,FM60-FL61),
IF(AND(FL61&lt;VLOOKUP($C59,$C$3:$D$15,2,FALSE)*FM$21,FM60&gt;VLOOKUP($C59,$C$3:$D$15,2,FALSE)*FM$21),VLOOKUP($C59,$C$3:$D$15,2,FALSE)*FM$21-FL61)))</f>
        <v>0</v>
      </c>
      <c r="FN59" s="642">
        <f t="shared" ref="FN59" si="2579" xml:space="preserve">
IF(FM61&gt;=VLOOKUP($C59,$C$3:$D$15,2,FALSE)*FN$21,0,
IF(AND(FM61&lt;VLOOKUP($C59,$C$3:$D$15,2,FALSE)*FN$21,FN60&lt;=VLOOKUP($C59,$C$3:$D$15,2,FALSE)*FN$21),IF(FN60-FM61&lt;0,0,FN60-FM61),
IF(AND(FM61&lt;VLOOKUP($C59,$C$3:$D$15,2,FALSE)*FN$21,FN60&gt;VLOOKUP($C59,$C$3:$D$15,2,FALSE)*FN$21),VLOOKUP($C59,$C$3:$D$15,2,FALSE)*FN$21-FM61)))</f>
        <v>0</v>
      </c>
      <c r="FO59" s="642">
        <f t="shared" ref="FO59" si="2580" xml:space="preserve">
IF(FN61&gt;=VLOOKUP($C59,$C$3:$D$15,2,FALSE)*FO$21,0,
IF(AND(FN61&lt;VLOOKUP($C59,$C$3:$D$15,2,FALSE)*FO$21,FO60&lt;=VLOOKUP($C59,$C$3:$D$15,2,FALSE)*FO$21),IF(FO60-FN61&lt;0,0,FO60-FN61),
IF(AND(FN61&lt;VLOOKUP($C59,$C$3:$D$15,2,FALSE)*FO$21,FO60&gt;VLOOKUP($C59,$C$3:$D$15,2,FALSE)*FO$21),VLOOKUP($C59,$C$3:$D$15,2,FALSE)*FO$21-FN61)))</f>
        <v>0</v>
      </c>
      <c r="FP59" s="642">
        <f t="shared" ref="FP59" si="2581" xml:space="preserve">
IF(FO61&gt;=VLOOKUP($C59,$C$3:$D$15,2,FALSE)*FP$21,0,
IF(AND(FO61&lt;VLOOKUP($C59,$C$3:$D$15,2,FALSE)*FP$21,FP60&lt;=VLOOKUP($C59,$C$3:$D$15,2,FALSE)*FP$21),IF(FP60-FO61&lt;0,0,FP60-FO61),
IF(AND(FO61&lt;VLOOKUP($C59,$C$3:$D$15,2,FALSE)*FP$21,FP60&gt;VLOOKUP($C59,$C$3:$D$15,2,FALSE)*FP$21),VLOOKUP($C59,$C$3:$D$15,2,FALSE)*FP$21-FO61)))</f>
        <v>0</v>
      </c>
      <c r="FQ59" s="642">
        <f t="shared" ref="FQ59" si="2582" xml:space="preserve">
IF(FP61&gt;=VLOOKUP($C59,$C$3:$D$15,2,FALSE)*FQ$21,0,
IF(AND(FP61&lt;VLOOKUP($C59,$C$3:$D$15,2,FALSE)*FQ$21,FQ60&lt;=VLOOKUP($C59,$C$3:$D$15,2,FALSE)*FQ$21),IF(FQ60-FP61&lt;0,0,FQ60-FP61),
IF(AND(FP61&lt;VLOOKUP($C59,$C$3:$D$15,2,FALSE)*FQ$21,FQ60&gt;VLOOKUP($C59,$C$3:$D$15,2,FALSE)*FQ$21),VLOOKUP($C59,$C$3:$D$15,2,FALSE)*FQ$21-FP61)))</f>
        <v>0</v>
      </c>
      <c r="FR59" s="642">
        <f t="shared" ref="FR59" si="2583" xml:space="preserve">
IF(FQ61&gt;=VLOOKUP($C59,$C$3:$D$15,2,FALSE)*FR$21,0,
IF(AND(FQ61&lt;VLOOKUP($C59,$C$3:$D$15,2,FALSE)*FR$21,FR60&lt;=VLOOKUP($C59,$C$3:$D$15,2,FALSE)*FR$21),IF(FR60-FQ61&lt;0,0,FR60-FQ61),
IF(AND(FQ61&lt;VLOOKUP($C59,$C$3:$D$15,2,FALSE)*FR$21,FR60&gt;VLOOKUP($C59,$C$3:$D$15,2,FALSE)*FR$21),VLOOKUP($C59,$C$3:$D$15,2,FALSE)*FR$21-FQ61)))</f>
        <v>0</v>
      </c>
      <c r="FS59" s="642">
        <f t="shared" ref="FS59" si="2584" xml:space="preserve">
IF(FR61&gt;=VLOOKUP($C59,$C$3:$D$15,2,FALSE)*FS$21,0,
IF(AND(FR61&lt;VLOOKUP($C59,$C$3:$D$15,2,FALSE)*FS$21,FS60&lt;=VLOOKUP($C59,$C$3:$D$15,2,FALSE)*FS$21),IF(FS60-FR61&lt;0,0,FS60-FR61),
IF(AND(FR61&lt;VLOOKUP($C59,$C$3:$D$15,2,FALSE)*FS$21,FS60&gt;VLOOKUP($C59,$C$3:$D$15,2,FALSE)*FS$21),VLOOKUP($C59,$C$3:$D$15,2,FALSE)*FS$21-FR61)))</f>
        <v>0</v>
      </c>
      <c r="FT59" s="642">
        <f t="shared" ref="FT59" si="2585" xml:space="preserve">
IF(FS61&gt;=VLOOKUP($C59,$C$3:$D$15,2,FALSE)*FT$21,0,
IF(AND(FS61&lt;VLOOKUP($C59,$C$3:$D$15,2,FALSE)*FT$21,FT60&lt;=VLOOKUP($C59,$C$3:$D$15,2,FALSE)*FT$21),IF(FT60-FS61&lt;0,0,FT60-FS61),
IF(AND(FS61&lt;VLOOKUP($C59,$C$3:$D$15,2,FALSE)*FT$21,FT60&gt;VLOOKUP($C59,$C$3:$D$15,2,FALSE)*FT$21),VLOOKUP($C59,$C$3:$D$15,2,FALSE)*FT$21-FS61)))</f>
        <v>0</v>
      </c>
      <c r="FU59" s="642">
        <f t="shared" ref="FU59" si="2586" xml:space="preserve">
IF(FT61&gt;=VLOOKUP($C59,$C$3:$D$15,2,FALSE)*FU$21,0,
IF(AND(FT61&lt;VLOOKUP($C59,$C$3:$D$15,2,FALSE)*FU$21,FU60&lt;=VLOOKUP($C59,$C$3:$D$15,2,FALSE)*FU$21),IF(FU60-FT61&lt;0,0,FU60-FT61),
IF(AND(FT61&lt;VLOOKUP($C59,$C$3:$D$15,2,FALSE)*FU$21,FU60&gt;VLOOKUP($C59,$C$3:$D$15,2,FALSE)*FU$21),VLOOKUP($C59,$C$3:$D$15,2,FALSE)*FU$21-FT61)))</f>
        <v>0</v>
      </c>
      <c r="FV59" s="642">
        <f t="shared" ref="FV59" si="2587" xml:space="preserve">
IF(FU61&gt;=VLOOKUP($C59,$C$3:$D$15,2,FALSE)*FV$21,0,
IF(AND(FU61&lt;VLOOKUP($C59,$C$3:$D$15,2,FALSE)*FV$21,FV60&lt;=VLOOKUP($C59,$C$3:$D$15,2,FALSE)*FV$21),IF(FV60-FU61&lt;0,0,FV60-FU61),
IF(AND(FU61&lt;VLOOKUP($C59,$C$3:$D$15,2,FALSE)*FV$21,FV60&gt;VLOOKUP($C59,$C$3:$D$15,2,FALSE)*FV$21),VLOOKUP($C59,$C$3:$D$15,2,FALSE)*FV$21-FU61)))</f>
        <v>0</v>
      </c>
      <c r="FW59" s="642">
        <f t="shared" ref="FW59" si="2588" xml:space="preserve">
IF(FV61&gt;=VLOOKUP($C59,$C$3:$D$15,2,FALSE)*FW$21,0,
IF(AND(FV61&lt;VLOOKUP($C59,$C$3:$D$15,2,FALSE)*FW$21,FW60&lt;=VLOOKUP($C59,$C$3:$D$15,2,FALSE)*FW$21),IF(FW60-FV61&lt;0,0,FW60-FV61),
IF(AND(FV61&lt;VLOOKUP($C59,$C$3:$D$15,2,FALSE)*FW$21,FW60&gt;VLOOKUP($C59,$C$3:$D$15,2,FALSE)*FW$21),VLOOKUP($C59,$C$3:$D$15,2,FALSE)*FW$21-FV61)))</f>
        <v>0</v>
      </c>
      <c r="FX59" s="642">
        <f t="shared" ref="FX59" si="2589" xml:space="preserve">
IF(FW61&gt;=VLOOKUP($C59,$C$3:$D$15,2,FALSE)*FX$21,0,
IF(AND(FW61&lt;VLOOKUP($C59,$C$3:$D$15,2,FALSE)*FX$21,FX60&lt;=VLOOKUP($C59,$C$3:$D$15,2,FALSE)*FX$21),IF(FX60-FW61&lt;0,0,FX60-FW61),
IF(AND(FW61&lt;VLOOKUP($C59,$C$3:$D$15,2,FALSE)*FX$21,FX60&gt;VLOOKUP($C59,$C$3:$D$15,2,FALSE)*FX$21),VLOOKUP($C59,$C$3:$D$15,2,FALSE)*FX$21-FW61)))</f>
        <v>0</v>
      </c>
      <c r="FY59" s="642">
        <f t="shared" ref="FY59" si="2590" xml:space="preserve">
IF(FX61&gt;=VLOOKUP($C59,$C$3:$D$15,2,FALSE)*FY$21,0,
IF(AND(FX61&lt;VLOOKUP($C59,$C$3:$D$15,2,FALSE)*FY$21,FY60&lt;=VLOOKUP($C59,$C$3:$D$15,2,FALSE)*FY$21),IF(FY60-FX61&lt;0,0,FY60-FX61),
IF(AND(FX61&lt;VLOOKUP($C59,$C$3:$D$15,2,FALSE)*FY$21,FY60&gt;VLOOKUP($C59,$C$3:$D$15,2,FALSE)*FY$21),VLOOKUP($C59,$C$3:$D$15,2,FALSE)*FY$21-FX61)))</f>
        <v>0</v>
      </c>
      <c r="FZ59" s="642">
        <f t="shared" ref="FZ59" si="2591" xml:space="preserve">
IF(FY61&gt;=VLOOKUP($C59,$C$3:$D$15,2,FALSE)*FZ$21,0,
IF(AND(FY61&lt;VLOOKUP($C59,$C$3:$D$15,2,FALSE)*FZ$21,FZ60&lt;=VLOOKUP($C59,$C$3:$D$15,2,FALSE)*FZ$21),IF(FZ60-FY61&lt;0,0,FZ60-FY61),
IF(AND(FY61&lt;VLOOKUP($C59,$C$3:$D$15,2,FALSE)*FZ$21,FZ60&gt;VLOOKUP($C59,$C$3:$D$15,2,FALSE)*FZ$21),VLOOKUP($C59,$C$3:$D$15,2,FALSE)*FZ$21-FY61)))</f>
        <v>0</v>
      </c>
      <c r="GA59" s="642">
        <f t="shared" ref="GA59" si="2592" xml:space="preserve">
IF(FZ61&gt;=VLOOKUP($C59,$C$3:$D$15,2,FALSE)*GA$21,0,
IF(AND(FZ61&lt;VLOOKUP($C59,$C$3:$D$15,2,FALSE)*GA$21,GA60&lt;=VLOOKUP($C59,$C$3:$D$15,2,FALSE)*GA$21),IF(GA60-FZ61&lt;0,0,GA60-FZ61),
IF(AND(FZ61&lt;VLOOKUP($C59,$C$3:$D$15,2,FALSE)*GA$21,GA60&gt;VLOOKUP($C59,$C$3:$D$15,2,FALSE)*GA$21),VLOOKUP($C59,$C$3:$D$15,2,FALSE)*GA$21-FZ61)))</f>
        <v>0</v>
      </c>
      <c r="GB59" s="642">
        <f t="shared" ref="GB59" si="2593" xml:space="preserve">
IF(GA61&gt;=VLOOKUP($C59,$C$3:$D$15,2,FALSE)*GB$21,0,
IF(AND(GA61&lt;VLOOKUP($C59,$C$3:$D$15,2,FALSE)*GB$21,GB60&lt;=VLOOKUP($C59,$C$3:$D$15,2,FALSE)*GB$21),IF(GB60-GA61&lt;0,0,GB60-GA61),
IF(AND(GA61&lt;VLOOKUP($C59,$C$3:$D$15,2,FALSE)*GB$21,GB60&gt;VLOOKUP($C59,$C$3:$D$15,2,FALSE)*GB$21),VLOOKUP($C59,$C$3:$D$15,2,FALSE)*GB$21-GA61)))</f>
        <v>0</v>
      </c>
      <c r="GC59" s="642">
        <f t="shared" ref="GC59" si="2594" xml:space="preserve">
IF(GB61&gt;=VLOOKUP($C59,$C$3:$D$15,2,FALSE)*GC$21,0,
IF(AND(GB61&lt;VLOOKUP($C59,$C$3:$D$15,2,FALSE)*GC$21,GC60&lt;=VLOOKUP($C59,$C$3:$D$15,2,FALSE)*GC$21),IF(GC60-GB61&lt;0,0,GC60-GB61),
IF(AND(GB61&lt;VLOOKUP($C59,$C$3:$D$15,2,FALSE)*GC$21,GC60&gt;VLOOKUP($C59,$C$3:$D$15,2,FALSE)*GC$21),VLOOKUP($C59,$C$3:$D$15,2,FALSE)*GC$21-GB61)))</f>
        <v>0</v>
      </c>
      <c r="GD59" s="642">
        <f t="shared" ref="GD59" si="2595" xml:space="preserve">
IF(GC61&gt;=VLOOKUP($C59,$C$3:$D$15,2,FALSE)*GD$21,0,
IF(AND(GC61&lt;VLOOKUP($C59,$C$3:$D$15,2,FALSE)*GD$21,GD60&lt;=VLOOKUP($C59,$C$3:$D$15,2,FALSE)*GD$21),IF(GD60-GC61&lt;0,0,GD60-GC61),
IF(AND(GC61&lt;VLOOKUP($C59,$C$3:$D$15,2,FALSE)*GD$21,GD60&gt;VLOOKUP($C59,$C$3:$D$15,2,FALSE)*GD$21),VLOOKUP($C59,$C$3:$D$15,2,FALSE)*GD$21-GC61)))</f>
        <v>0</v>
      </c>
      <c r="GE59" s="642">
        <f t="shared" ref="GE59" si="2596" xml:space="preserve">
IF(GD61&gt;=VLOOKUP($C59,$C$3:$D$15,2,FALSE)*GE$21,0,
IF(AND(GD61&lt;VLOOKUP($C59,$C$3:$D$15,2,FALSE)*GE$21,GE60&lt;=VLOOKUP($C59,$C$3:$D$15,2,FALSE)*GE$21),IF(GE60-GD61&lt;0,0,GE60-GD61),
IF(AND(GD61&lt;VLOOKUP($C59,$C$3:$D$15,2,FALSE)*GE$21,GE60&gt;VLOOKUP($C59,$C$3:$D$15,2,FALSE)*GE$21),VLOOKUP($C59,$C$3:$D$15,2,FALSE)*GE$21-GD61)))</f>
        <v>0</v>
      </c>
      <c r="GF59" s="642">
        <f t="shared" ref="GF59" si="2597" xml:space="preserve">
IF(GE61&gt;=VLOOKUP($C59,$C$3:$D$15,2,FALSE)*GF$21,0,
IF(AND(GE61&lt;VLOOKUP($C59,$C$3:$D$15,2,FALSE)*GF$21,GF60&lt;=VLOOKUP($C59,$C$3:$D$15,2,FALSE)*GF$21),IF(GF60-GE61&lt;0,0,GF60-GE61),
IF(AND(GE61&lt;VLOOKUP($C59,$C$3:$D$15,2,FALSE)*GF$21,GF60&gt;VLOOKUP($C59,$C$3:$D$15,2,FALSE)*GF$21),VLOOKUP($C59,$C$3:$D$15,2,FALSE)*GF$21-GE61)))</f>
        <v>0</v>
      </c>
      <c r="GG59" s="642">
        <f t="shared" ref="GG59" si="2598" xml:space="preserve">
IF(GF61&gt;=VLOOKUP($C59,$C$3:$D$15,2,FALSE)*GG$21,0,
IF(AND(GF61&lt;VLOOKUP($C59,$C$3:$D$15,2,FALSE)*GG$21,GG60&lt;=VLOOKUP($C59,$C$3:$D$15,2,FALSE)*GG$21),IF(GG60-GF61&lt;0,0,GG60-GF61),
IF(AND(GF61&lt;VLOOKUP($C59,$C$3:$D$15,2,FALSE)*GG$21,GG60&gt;VLOOKUP($C59,$C$3:$D$15,2,FALSE)*GG$21),VLOOKUP($C59,$C$3:$D$15,2,FALSE)*GG$21-GF61)))</f>
        <v>0</v>
      </c>
      <c r="GH59" s="642">
        <f t="shared" ref="GH59" si="2599" xml:space="preserve">
IF(GG61&gt;=VLOOKUP($C59,$C$3:$D$15,2,FALSE)*GH$21,0,
IF(AND(GG61&lt;VLOOKUP($C59,$C$3:$D$15,2,FALSE)*GH$21,GH60&lt;=VLOOKUP($C59,$C$3:$D$15,2,FALSE)*GH$21),IF(GH60-GG61&lt;0,0,GH60-GG61),
IF(AND(GG61&lt;VLOOKUP($C59,$C$3:$D$15,2,FALSE)*GH$21,GH60&gt;VLOOKUP($C59,$C$3:$D$15,2,FALSE)*GH$21),VLOOKUP($C59,$C$3:$D$15,2,FALSE)*GH$21-GG61)))</f>
        <v>0</v>
      </c>
      <c r="GI59" s="642">
        <f t="shared" ref="GI59" si="2600" xml:space="preserve">
IF(GH61&gt;=VLOOKUP($C59,$C$3:$D$15,2,FALSE)*GI$21,0,
IF(AND(GH61&lt;VLOOKUP($C59,$C$3:$D$15,2,FALSE)*GI$21,GI60&lt;=VLOOKUP($C59,$C$3:$D$15,2,FALSE)*GI$21),IF(GI60-GH61&lt;0,0,GI60-GH61),
IF(AND(GH61&lt;VLOOKUP($C59,$C$3:$D$15,2,FALSE)*GI$21,GI60&gt;VLOOKUP($C59,$C$3:$D$15,2,FALSE)*GI$21),VLOOKUP($C59,$C$3:$D$15,2,FALSE)*GI$21-GH61)))</f>
        <v>0</v>
      </c>
      <c r="GJ59" s="642">
        <f t="shared" ref="GJ59" si="2601" xml:space="preserve">
IF(GI61&gt;=VLOOKUP($C59,$C$3:$D$15,2,FALSE)*GJ$21,0,
IF(AND(GI61&lt;VLOOKUP($C59,$C$3:$D$15,2,FALSE)*GJ$21,GJ60&lt;=VLOOKUP($C59,$C$3:$D$15,2,FALSE)*GJ$21),IF(GJ60-GI61&lt;0,0,GJ60-GI61),
IF(AND(GI61&lt;VLOOKUP($C59,$C$3:$D$15,2,FALSE)*GJ$21,GJ60&gt;VLOOKUP($C59,$C$3:$D$15,2,FALSE)*GJ$21),VLOOKUP($C59,$C$3:$D$15,2,FALSE)*GJ$21-GI61)))</f>
        <v>0</v>
      </c>
    </row>
    <row r="60" spans="2:192" s="655" customFormat="1">
      <c r="B60" s="656"/>
      <c r="C60" s="641"/>
      <c r="D60" s="768" t="s">
        <v>1467</v>
      </c>
      <c r="E60" s="773"/>
      <c r="F60" s="706"/>
      <c r="G60" s="642">
        <f>SUMIF(防護具!$Y$30:$Y$212,G$17&amp;$C59,防護具!$Q$30:$Q$212)</f>
        <v>0</v>
      </c>
      <c r="H60" s="642">
        <f>IFERROR(
SUM(G60,SUMIF(防護具!$Y$30:$Y$212,H$17&amp;$C59,防護具!$Q$30:$Q$212))-G59,0)</f>
        <v>0</v>
      </c>
      <c r="I60" s="642">
        <f>IFERROR(
SUM(H60,SUMIF(防護具!$Y$30:$Y$212,I$17&amp;$C59,防護具!$Q$30:$Q$212))-H59,0)</f>
        <v>0</v>
      </c>
      <c r="J60" s="642">
        <f>IFERROR(
SUM(I60,SUMIF(防護具!$Y$30:$Y$212,J$17&amp;$C59,防護具!$Q$30:$Q$212))-I59,0)</f>
        <v>0</v>
      </c>
      <c r="K60" s="642">
        <f>IFERROR(
SUM(J60,SUMIF(防護具!$Y$30:$Y$212,K$17&amp;$C59,防護具!$Q$30:$Q$212))-J59,0)</f>
        <v>0</v>
      </c>
      <c r="L60" s="642">
        <f>IFERROR(
SUM(K60,SUMIF(防護具!$Y$30:$Y$212,L$17&amp;$C59,防護具!$Q$30:$Q$212))-K59,0)</f>
        <v>0</v>
      </c>
      <c r="M60" s="642">
        <f>IFERROR(
SUM(L60,SUMIF(防護具!$Y$30:$Y$212,M$17&amp;$C59,防護具!$Q$30:$Q$212))-L59,0)</f>
        <v>0</v>
      </c>
      <c r="N60" s="642">
        <f>IFERROR(
SUM(M60,SUMIF(防護具!$Y$30:$Y$212,N$17&amp;$C59,防護具!$Q$30:$Q$212))-M59,0)</f>
        <v>0</v>
      </c>
      <c r="O60" s="642">
        <f>IFERROR(
SUM(N60,SUMIF(防護具!$Y$30:$Y$212,O$17&amp;$C59,防護具!$Q$30:$Q$212))-N59,0)</f>
        <v>0</v>
      </c>
      <c r="P60" s="642">
        <f>IFERROR(
SUM(O60,SUMIF(防護具!$Y$30:$Y$212,P$17&amp;$C59,防護具!$Q$30:$Q$212))-O59,0)</f>
        <v>0</v>
      </c>
      <c r="Q60" s="642">
        <f>IFERROR(
SUM(P60,SUMIF(防護具!$Y$30:$Y$212,Q$17&amp;$C59,防護具!$Q$30:$Q$212))-P59,0)</f>
        <v>0</v>
      </c>
      <c r="R60" s="642">
        <f>IFERROR(
SUM(Q60,SUMIF(防護具!$Y$30:$Y$212,R$17&amp;$C59,防護具!$Q$30:$Q$212))-Q59,0)</f>
        <v>0</v>
      </c>
      <c r="S60" s="642">
        <f>IFERROR(
SUM(R60,SUMIF(防護具!$Y$30:$Y$212,S$17&amp;$C59,防護具!$Q$30:$Q$212))-R59,0)</f>
        <v>0</v>
      </c>
      <c r="T60" s="642">
        <f>IFERROR(
SUM(S60,SUMIF(防護具!$Y$30:$Y$212,T$17&amp;$C59,防護具!$Q$30:$Q$212))-S59,0)</f>
        <v>0</v>
      </c>
      <c r="U60" s="642">
        <f>IFERROR(
SUM(T60,SUMIF(防護具!$Y$30:$Y$212,U$17&amp;$C59,防護具!$Q$30:$Q$212))-T59,0)</f>
        <v>0</v>
      </c>
      <c r="V60" s="642">
        <f>IFERROR(
SUM(U60,SUMIF(防護具!$Y$30:$Y$212,V$17&amp;$C59,防護具!$Q$30:$Q$212))-U59,0)</f>
        <v>0</v>
      </c>
      <c r="W60" s="642">
        <f>IFERROR(
SUM(V60,SUMIF(防護具!$Y$30:$Y$212,W$17&amp;$C59,防護具!$Q$30:$Q$212))-V59,0)</f>
        <v>0</v>
      </c>
      <c r="X60" s="642">
        <f>IFERROR(
SUM(W60,SUMIF(防護具!$Y$30:$Y$212,X$17&amp;$C59,防護具!$Q$30:$Q$212))-W59,0)</f>
        <v>0</v>
      </c>
      <c r="Y60" s="642">
        <f>IFERROR(
SUM(X60,SUMIF(防護具!$Y$30:$Y$212,Y$17&amp;$C59,防護具!$Q$30:$Q$212))-X59,0)</f>
        <v>0</v>
      </c>
      <c r="Z60" s="642">
        <f>IFERROR(
SUM(Y60,SUMIF(防護具!$Y$30:$Y$212,Z$17&amp;$C59,防護具!$Q$30:$Q$212))-Y59,0)</f>
        <v>0</v>
      </c>
      <c r="AA60" s="642">
        <f>IFERROR(
SUM(Z60,SUMIF(防護具!$Y$30:$Y$212,AA$17&amp;$C59,防護具!$Q$30:$Q$212))-Z59,0)</f>
        <v>0</v>
      </c>
      <c r="AB60" s="642">
        <f>IFERROR(
SUM(AA60,SUMIF(防護具!$Y$30:$Y$212,AB$17&amp;$C59,防護具!$Q$30:$Q$212))-AA59,0)</f>
        <v>0</v>
      </c>
      <c r="AC60" s="642">
        <f>IFERROR(
SUM(AB60,SUMIF(防護具!$Y$30:$Y$212,AC$17&amp;$C59,防護具!$Q$30:$Q$212))-AB59,0)</f>
        <v>0</v>
      </c>
      <c r="AD60" s="642">
        <f>IFERROR(
SUM(AC60,SUMIF(防護具!$Y$30:$Y$212,AD$17&amp;$C59,防護具!$Q$30:$Q$212))-AC59,0)</f>
        <v>0</v>
      </c>
      <c r="AE60" s="642">
        <f>IFERROR(
SUM(AD60,SUMIF(防護具!$Y$30:$Y$212,AE$17&amp;$C59,防護具!$Q$30:$Q$212))-AD59,0)</f>
        <v>0</v>
      </c>
      <c r="AF60" s="642">
        <f>IFERROR(
SUM(AE60,SUMIF(防護具!$Y$30:$Y$212,AF$17&amp;$C59,防護具!$Q$30:$Q$212))-AE59,0)</f>
        <v>0</v>
      </c>
      <c r="AG60" s="642">
        <f>IFERROR(
SUM(AF60,SUMIF(防護具!$Y$30:$Y$212,AG$17&amp;$C59,防護具!$Q$30:$Q$212))-AF59,0)</f>
        <v>0</v>
      </c>
      <c r="AH60" s="642">
        <f>IFERROR(
SUM(AG60,SUMIF(防護具!$Y$30:$Y$212,AH$17&amp;$C59,防護具!$Q$30:$Q$212))-AG59,0)</f>
        <v>0</v>
      </c>
      <c r="AI60" s="642">
        <f>IFERROR(
SUM(AH60,SUMIF(防護具!$Y$30:$Y$212,AI$17&amp;$C59,防護具!$Q$30:$Q$212))-AH59,0)</f>
        <v>0</v>
      </c>
      <c r="AJ60" s="642">
        <f>IFERROR(
SUM(AI60,SUMIF(防護具!$Y$30:$Y$212,AJ$17&amp;$C59,防護具!$Q$30:$Q$212))-AI59,0)</f>
        <v>0</v>
      </c>
      <c r="AK60" s="642">
        <f>IFERROR(
SUM(AJ60,SUMIF(防護具!$Y$30:$Y$212,AK$17&amp;$C59,防護具!$Q$30:$Q$212))-AJ59,0)</f>
        <v>0</v>
      </c>
      <c r="AL60" s="642">
        <f>IFERROR(
SUM(AK60,SUMIF(防護具!$Y$30:$Y$212,AL$17&amp;$C59,防護具!$Q$30:$Q$212))-AK59,0)</f>
        <v>0</v>
      </c>
      <c r="AM60" s="642">
        <f>IFERROR(
SUM(AL60,SUMIF(防護具!$Y$30:$Y$212,AM$17&amp;$C59,防護具!$Q$30:$Q$212))-AL59,0)</f>
        <v>0</v>
      </c>
      <c r="AN60" s="642">
        <f>IFERROR(
SUM(AM60,SUMIF(防護具!$Y$30:$Y$212,AN$17&amp;$C59,防護具!$Q$30:$Q$212))-AM59,0)</f>
        <v>0</v>
      </c>
      <c r="AO60" s="642">
        <f>IFERROR(
SUM(AN60,SUMIF(防護具!$Y$30:$Y$212,AO$17&amp;$C59,防護具!$Q$30:$Q$212))-AN59,0)</f>
        <v>0</v>
      </c>
      <c r="AP60" s="642">
        <f>IFERROR(
SUM(AO60,SUMIF(防護具!$Y$30:$Y$212,AP$17&amp;$C59,防護具!$Q$30:$Q$212))-AO59,0)</f>
        <v>0</v>
      </c>
      <c r="AQ60" s="642">
        <f>IFERROR(
SUM(AP60,SUMIF(防護具!$Y$30:$Y$212,AQ$17&amp;$C59,防護具!$Q$30:$Q$212))-AP59,0)</f>
        <v>0</v>
      </c>
      <c r="AR60" s="642">
        <f>IFERROR(
SUM(AQ60,SUMIF(防護具!$Y$30:$Y$212,AR$17&amp;$C59,防護具!$Q$30:$Q$212))-AQ59,0)</f>
        <v>0</v>
      </c>
      <c r="AS60" s="642">
        <f>IFERROR(
SUM(AR60,SUMIF(防護具!$Y$30:$Y$212,AS$17&amp;$C59,防護具!$Q$30:$Q$212))-AR59,0)</f>
        <v>0</v>
      </c>
      <c r="AT60" s="642">
        <f>IFERROR(
SUM(AS60,SUMIF(防護具!$Y$30:$Y$212,AT$17&amp;$C59,防護具!$Q$30:$Q$212))-AS59,0)</f>
        <v>0</v>
      </c>
      <c r="AU60" s="642">
        <f>IFERROR(
SUM(AT60,SUMIF(防護具!$Y$30:$Y$212,AU$17&amp;$C59,防護具!$Q$30:$Q$212))-AT59,0)</f>
        <v>0</v>
      </c>
      <c r="AV60" s="642">
        <f>IFERROR(
SUM(AU60,SUMIF(防護具!$Y$30:$Y$212,AV$17&amp;$C59,防護具!$Q$30:$Q$212))-AU59,0)</f>
        <v>0</v>
      </c>
      <c r="AW60" s="642">
        <f>IFERROR(
SUM(AV60,SUMIF(防護具!$Y$30:$Y$212,AW$17&amp;$C59,防護具!$Q$30:$Q$212))-AV59,0)</f>
        <v>0</v>
      </c>
      <c r="AX60" s="642">
        <f>IFERROR(
SUM(AW60,SUMIF(防護具!$Y$30:$Y$212,AX$17&amp;$C59,防護具!$Q$30:$Q$212))-AW59,0)</f>
        <v>0</v>
      </c>
      <c r="AY60" s="642">
        <f>IFERROR(
SUM(AX60,SUMIF(防護具!$Y$30:$Y$212,AY$17&amp;$C59,防護具!$Q$30:$Q$212))-AX59,0)</f>
        <v>0</v>
      </c>
      <c r="AZ60" s="642">
        <f>IFERROR(
SUM(AY60,SUMIF(防護具!$Y$30:$Y$212,AZ$17&amp;$C59,防護具!$Q$30:$Q$212))-AY59,0)</f>
        <v>0</v>
      </c>
      <c r="BA60" s="642">
        <f>IFERROR(
SUM(AZ60,SUMIF(防護具!$Y$30:$Y$212,BA$17&amp;$C59,防護具!$Q$30:$Q$212))-AZ59,0)</f>
        <v>0</v>
      </c>
      <c r="BB60" s="642">
        <f>IFERROR(
SUM(BA60,SUMIF(防護具!$Y$30:$Y$212,BB$17&amp;$C59,防護具!$Q$30:$Q$212))-BA59,0)</f>
        <v>0</v>
      </c>
      <c r="BC60" s="642">
        <f>IFERROR(
SUM(BB60,SUMIF(防護具!$Y$30:$Y$212,BC$17&amp;$C59,防護具!$Q$30:$Q$212))-BB59,0)</f>
        <v>0</v>
      </c>
      <c r="BD60" s="642">
        <f>IFERROR(
SUM(BC60,SUMIF(防護具!$Y$30:$Y$212,BD$17&amp;$C59,防護具!$Q$30:$Q$212))-BC59,0)</f>
        <v>0</v>
      </c>
      <c r="BE60" s="642">
        <f>IFERROR(
SUM(BD60,SUMIF(防護具!$Y$30:$Y$212,BE$17&amp;$C59,防護具!$Q$30:$Q$212))-BD59,0)</f>
        <v>0</v>
      </c>
      <c r="BF60" s="642">
        <f>IFERROR(
SUM(BE60,SUMIF(防護具!$Y$30:$Y$212,BF$17&amp;$C59,防護具!$Q$30:$Q$212))-BE59,0)</f>
        <v>0</v>
      </c>
      <c r="BG60" s="642">
        <f>IFERROR(
SUM(BF60,SUMIF(防護具!$Y$30:$Y$212,BG$17&amp;$C59,防護具!$Q$30:$Q$212))-BF59,0)</f>
        <v>0</v>
      </c>
      <c r="BH60" s="642">
        <f>IFERROR(
SUM(BG60,SUMIF(防護具!$Y$30:$Y$212,BH$17&amp;$C59,防護具!$Q$30:$Q$212))-BG59,0)</f>
        <v>0</v>
      </c>
      <c r="BI60" s="642">
        <f>IFERROR(
SUM(BH60,SUMIF(防護具!$Y$30:$Y$212,BI$17&amp;$C59,防護具!$Q$30:$Q$212))-BH59,0)</f>
        <v>0</v>
      </c>
      <c r="BJ60" s="642">
        <f>IFERROR(
SUM(BI60,SUMIF(防護具!$Y$30:$Y$212,BJ$17&amp;$C59,防護具!$Q$30:$Q$212))-BI59,0)</f>
        <v>0</v>
      </c>
      <c r="BK60" s="642">
        <f>IFERROR(
SUM(BJ60,SUMIF(防護具!$Y$30:$Y$212,BK$17&amp;$C59,防護具!$Q$30:$Q$212))-BJ59,0)</f>
        <v>0</v>
      </c>
      <c r="BL60" s="642">
        <f>IFERROR(
SUM(BK60,SUMIF(防護具!$Y$30:$Y$212,BL$17&amp;$C59,防護具!$Q$30:$Q$212))-BK59,0)</f>
        <v>0</v>
      </c>
      <c r="BM60" s="642">
        <f>IFERROR(
SUM(BL60,SUMIF(防護具!$Y$30:$Y$212,BM$17&amp;$C59,防護具!$Q$30:$Q$212))-BL59,0)</f>
        <v>0</v>
      </c>
      <c r="BN60" s="642">
        <f>IFERROR(
SUM(BM60,SUMIF(防護具!$Y$30:$Y$212,BN$17&amp;$C59,防護具!$Q$30:$Q$212))-BM59,0)</f>
        <v>0</v>
      </c>
      <c r="BO60" s="642">
        <f>IFERROR(
SUM(BN60,SUMIF(防護具!$Y$30:$Y$212,BO$17&amp;$C59,防護具!$Q$30:$Q$212))-BN59,0)</f>
        <v>0</v>
      </c>
      <c r="BP60" s="642">
        <f>IFERROR(
SUM(BO60,SUMIF(防護具!$Y$30:$Y$212,BP$17&amp;$C59,防護具!$Q$30:$Q$212))-BO59,0)</f>
        <v>0</v>
      </c>
      <c r="BQ60" s="642">
        <f>IFERROR(
SUM(BP60,SUMIF(防護具!$Y$30:$Y$212,BQ$17&amp;$C59,防護具!$Q$30:$Q$212))-BP59,0)</f>
        <v>0</v>
      </c>
      <c r="BR60" s="642">
        <f>IFERROR(
SUM(BQ60,SUMIF(防護具!$Y$30:$Y$212,BR$17&amp;$C59,防護具!$Q$30:$Q$212))-BQ59,0)</f>
        <v>0</v>
      </c>
      <c r="BS60" s="642">
        <f>IFERROR(
SUM(BR60,SUMIF(防護具!$Y$30:$Y$212,BS$17&amp;$C59,防護具!$Q$30:$Q$212))-BR59,0)</f>
        <v>0</v>
      </c>
      <c r="BT60" s="642">
        <f>IFERROR(
SUM(BS60,SUMIF(防護具!$Y$30:$Y$212,BT$17&amp;$C59,防護具!$Q$30:$Q$212))-BS59,0)</f>
        <v>0</v>
      </c>
      <c r="BU60" s="642">
        <f>IFERROR(
SUM(BT60,SUMIF(防護具!$Y$30:$Y$212,BU$17&amp;$C59,防護具!$Q$30:$Q$212))-BT59,0)</f>
        <v>0</v>
      </c>
      <c r="BV60" s="642">
        <f>IFERROR(
SUM(BU60,SUMIF(防護具!$Y$30:$Y$212,BV$17&amp;$C59,防護具!$Q$30:$Q$212))-BU59,0)</f>
        <v>0</v>
      </c>
      <c r="BW60" s="642">
        <f>IFERROR(
SUM(BV60,SUMIF(防護具!$Y$30:$Y$212,BW$17&amp;$C59,防護具!$Q$30:$Q$212))-BV59,0)</f>
        <v>0</v>
      </c>
      <c r="BX60" s="642">
        <f>IFERROR(
SUM(BW60,SUMIF(防護具!$Y$30:$Y$212,BX$17&amp;$C59,防護具!$Q$30:$Q$212))-BW59,0)</f>
        <v>0</v>
      </c>
      <c r="BY60" s="642">
        <f>IFERROR(
SUM(BX60,SUMIF(防護具!$Y$30:$Y$212,BY$17&amp;$C59,防護具!$Q$30:$Q$212))-BX59,0)</f>
        <v>0</v>
      </c>
      <c r="BZ60" s="642">
        <f>IFERROR(
SUM(BY60,SUMIF(防護具!$Y$30:$Y$212,BZ$17&amp;$C59,防護具!$Q$30:$Q$212))-BY59,0)</f>
        <v>0</v>
      </c>
      <c r="CA60" s="642">
        <f>IFERROR(
SUM(BZ60,SUMIF(防護具!$Y$30:$Y$212,CA$17&amp;$C59,防護具!$Q$30:$Q$212))-BZ59,0)</f>
        <v>0</v>
      </c>
      <c r="CB60" s="642">
        <f>IFERROR(
SUM(CA60,SUMIF(防護具!$Y$30:$Y$212,CB$17&amp;$C59,防護具!$Q$30:$Q$212))-CA59,0)</f>
        <v>0</v>
      </c>
      <c r="CC60" s="642">
        <f>IFERROR(
SUM(CB60,SUMIF(防護具!$Y$30:$Y$212,CC$17&amp;$C59,防護具!$Q$30:$Q$212))-CB59,0)</f>
        <v>0</v>
      </c>
      <c r="CD60" s="642">
        <f>IFERROR(
SUM(CC60,SUMIF(防護具!$Y$30:$Y$212,CD$17&amp;$C59,防護具!$Q$30:$Q$212))-CC59,0)</f>
        <v>0</v>
      </c>
      <c r="CE60" s="642">
        <f>IFERROR(
SUM(CD60,SUMIF(防護具!$Y$30:$Y$212,CE$17&amp;$C59,防護具!$Q$30:$Q$212))-CD59,0)</f>
        <v>0</v>
      </c>
      <c r="CF60" s="642">
        <f>IFERROR(
SUM(CE60,SUMIF(防護具!$Y$30:$Y$212,CF$17&amp;$C59,防護具!$Q$30:$Q$212))-CE59,0)</f>
        <v>0</v>
      </c>
      <c r="CG60" s="642">
        <f>IFERROR(
SUM(CF60,SUMIF(防護具!$Y$30:$Y$212,CG$17&amp;$C59,防護具!$Q$30:$Q$212))-CF59,0)</f>
        <v>0</v>
      </c>
      <c r="CH60" s="642">
        <f>IFERROR(
SUM(CG60,SUMIF(防護具!$Y$30:$Y$212,CH$17&amp;$C59,防護具!$Q$30:$Q$212))-CG59,0)</f>
        <v>0</v>
      </c>
      <c r="CI60" s="642">
        <f>IFERROR(
SUM(CH60,SUMIF(防護具!$Y$30:$Y$212,CI$17&amp;$C59,防護具!$Q$30:$Q$212))-CH59,0)</f>
        <v>0</v>
      </c>
      <c r="CJ60" s="642">
        <f>IFERROR(
SUM(CI60,SUMIF(防護具!$Y$30:$Y$212,CJ$17&amp;$C59,防護具!$Q$30:$Q$212))-CI59,0)</f>
        <v>0</v>
      </c>
      <c r="CK60" s="642">
        <f>IFERROR(
SUM(CJ60,SUMIF(防護具!$Y$30:$Y$212,CK$17&amp;$C59,防護具!$Q$30:$Q$212))-CJ59,0)</f>
        <v>0</v>
      </c>
      <c r="CL60" s="642">
        <f>IFERROR(
SUM(CK60,SUMIF(防護具!$Y$30:$Y$212,CL$17&amp;$C59,防護具!$Q$30:$Q$212))-CK59,0)</f>
        <v>0</v>
      </c>
      <c r="CM60" s="642">
        <f>IFERROR(
SUM(CL60,SUMIF(防護具!$Y$30:$Y$212,CM$17&amp;$C59,防護具!$Q$30:$Q$212))-CL59,0)</f>
        <v>0</v>
      </c>
      <c r="CN60" s="642">
        <f>IFERROR(
SUM(CM60,SUMIF(防護具!$Y$30:$Y$212,CN$17&amp;$C59,防護具!$Q$30:$Q$212))-CM59,0)</f>
        <v>0</v>
      </c>
      <c r="CO60" s="642">
        <f>IFERROR(
SUM(CN60,SUMIF(防護具!$Y$30:$Y$212,CO$17&amp;$C59,防護具!$Q$30:$Q$212))-CN59,0)</f>
        <v>0</v>
      </c>
      <c r="CP60" s="642">
        <f>IFERROR(
SUM(CO60,SUMIF(防護具!$Y$30:$Y$212,CP$17&amp;$C59,防護具!$Q$30:$Q$212))-CO59,0)</f>
        <v>0</v>
      </c>
      <c r="CQ60" s="642">
        <f>IFERROR(
SUM(CP60,SUMIF(防護具!$Y$30:$Y$212,CQ$17&amp;$C59,防護具!$Q$30:$Q$212))-CP59,0)</f>
        <v>0</v>
      </c>
      <c r="CR60" s="642">
        <f>IFERROR(
SUM(CQ60,SUMIF(防護具!$Y$30:$Y$212,CR$17&amp;$C59,防護具!$Q$30:$Q$212))-CQ59,0)</f>
        <v>0</v>
      </c>
      <c r="CS60" s="642">
        <f>IFERROR(
SUM(CR60,SUMIF(防護具!$Y$30:$Y$212,CS$17&amp;$C59,防護具!$Q$30:$Q$212))-CR59,0)</f>
        <v>0</v>
      </c>
      <c r="CT60" s="642">
        <f>IFERROR(
SUM(CS60,SUMIF(防護具!$Y$30:$Y$212,CT$17&amp;$C59,防護具!$Q$30:$Q$212))-CS59,0)</f>
        <v>0</v>
      </c>
      <c r="CU60" s="642">
        <f>IFERROR(
SUM(CT60,SUMIF(防護具!$Y$30:$Y$212,CU$17&amp;$C59,防護具!$Q$30:$Q$212))-CT59,0)</f>
        <v>0</v>
      </c>
      <c r="CV60" s="642">
        <f>IFERROR(
SUM(CU60,SUMIF(防護具!$Y$30:$Y$212,CV$17&amp;$C59,防護具!$Q$30:$Q$212))-CU59,0)</f>
        <v>0</v>
      </c>
      <c r="CW60" s="642">
        <f>IFERROR(
SUM(CV60,SUMIF(防護具!$Y$30:$Y$212,CW$17&amp;$C59,防護具!$Q$30:$Q$212))-CV59,0)</f>
        <v>0</v>
      </c>
      <c r="CX60" s="642">
        <f>IFERROR(
SUM(CW60,SUMIF(防護具!$Y$30:$Y$212,CX$17&amp;$C59,防護具!$Q$30:$Q$212))-CW59,0)</f>
        <v>0</v>
      </c>
      <c r="CY60" s="642">
        <f>IFERROR(
SUM(CX60,SUMIF(防護具!$Y$30:$Y$212,CY$17&amp;$C59,防護具!$Q$30:$Q$212))-CX59,0)</f>
        <v>0</v>
      </c>
      <c r="CZ60" s="642">
        <f>IFERROR(
SUM(CY60,SUMIF(防護具!$Y$30:$Y$212,CZ$17&amp;$C59,防護具!$Q$30:$Q$212))-CY59,0)</f>
        <v>0</v>
      </c>
      <c r="DA60" s="642">
        <f>IFERROR(
SUM(CZ60,SUMIF(防護具!$Y$30:$Y$212,DA$17&amp;$C59,防護具!$Q$30:$Q$212))-CZ59,0)</f>
        <v>0</v>
      </c>
      <c r="DB60" s="642">
        <f>IFERROR(
SUM(DA60,SUMIF(防護具!$Y$30:$Y$212,DB$17&amp;$C59,防護具!$Q$30:$Q$212))-DA59,0)</f>
        <v>0</v>
      </c>
      <c r="DC60" s="642">
        <f>IFERROR(
SUM(DB60,SUMIF(防護具!$Y$30:$Y$212,DC$17&amp;$C59,防護具!$Q$30:$Q$212))-DB59,0)</f>
        <v>0</v>
      </c>
      <c r="DD60" s="642">
        <f>IFERROR(
SUM(DC60,SUMIF(防護具!$Y$30:$Y$212,DD$17&amp;$C59,防護具!$Q$30:$Q$212))-DC59,0)</f>
        <v>0</v>
      </c>
      <c r="DE60" s="642">
        <f>IFERROR(
SUM(DD60,SUMIF(防護具!$Y$30:$Y$212,DE$17&amp;$C59,防護具!$Q$30:$Q$212))-DD59,0)</f>
        <v>0</v>
      </c>
      <c r="DF60" s="642">
        <f>IFERROR(
SUM(DE60,SUMIF(防護具!$Y$30:$Y$212,DF$17&amp;$C59,防護具!$Q$30:$Q$212))-DE59,0)</f>
        <v>0</v>
      </c>
      <c r="DG60" s="642">
        <f>IFERROR(
SUM(DF60,SUMIF(防護具!$Y$30:$Y$212,DG$17&amp;$C59,防護具!$Q$30:$Q$212))-DF59,0)</f>
        <v>0</v>
      </c>
      <c r="DH60" s="642">
        <f>IFERROR(
SUM(DG60,SUMIF(防護具!$Y$30:$Y$212,DH$17&amp;$C59,防護具!$Q$30:$Q$212))-DG59,0)</f>
        <v>0</v>
      </c>
      <c r="DI60" s="642">
        <f>IFERROR(
SUM(DH60,SUMIF(防護具!$Y$30:$Y$212,DI$17&amp;$C59,防護具!$Q$30:$Q$212))-DH59,0)</f>
        <v>0</v>
      </c>
      <c r="DJ60" s="642">
        <f>IFERROR(
SUM(DI60,SUMIF(防護具!$Y$30:$Y$212,DJ$17&amp;$C59,防護具!$Q$30:$Q$212))-DI59,0)</f>
        <v>0</v>
      </c>
      <c r="DK60" s="642">
        <f>IFERROR(
SUM(DJ60,SUMIF(防護具!$Y$30:$Y$212,DK$17&amp;$C59,防護具!$Q$30:$Q$212))-DJ59,0)</f>
        <v>0</v>
      </c>
      <c r="DL60" s="642">
        <f>IFERROR(
SUM(DK60,SUMIF(防護具!$Y$30:$Y$212,DL$17&amp;$C59,防護具!$Q$30:$Q$212))-DK59,0)</f>
        <v>0</v>
      </c>
      <c r="DM60" s="642">
        <f>IFERROR(
SUM(DL60,SUMIF(防護具!$Y$30:$Y$212,DM$17&amp;$C59,防護具!$Q$30:$Q$212))-DL59,0)</f>
        <v>0</v>
      </c>
      <c r="DN60" s="642">
        <f>IFERROR(
SUM(DM60,SUMIF(防護具!$Y$30:$Y$212,DN$17&amp;$C59,防護具!$Q$30:$Q$212))-DM59,0)</f>
        <v>0</v>
      </c>
      <c r="DO60" s="642">
        <f>IFERROR(
SUM(DN60,SUMIF(防護具!$Y$30:$Y$212,DO$17&amp;$C59,防護具!$Q$30:$Q$212))-DN59,0)</f>
        <v>0</v>
      </c>
      <c r="DP60" s="642">
        <f>IFERROR(
SUM(DO60,SUMIF(防護具!$Y$30:$Y$212,DP$17&amp;$C59,防護具!$Q$30:$Q$212))-DO59,0)</f>
        <v>0</v>
      </c>
      <c r="DQ60" s="642">
        <f>IFERROR(
SUM(DP60,SUMIF(防護具!$Y$30:$Y$212,DQ$17&amp;$C59,防護具!$Q$30:$Q$212))-DP59,0)</f>
        <v>0</v>
      </c>
      <c r="DR60" s="642">
        <f>IFERROR(
SUM(DQ60,SUMIF(防護具!$Y$30:$Y$212,DR$17&amp;$C59,防護具!$Q$30:$Q$212))-DQ59,0)</f>
        <v>0</v>
      </c>
      <c r="DS60" s="642">
        <f>IFERROR(
SUM(DR60,SUMIF(防護具!$Y$30:$Y$212,DS$17&amp;$C59,防護具!$Q$30:$Q$212))-DR59,0)</f>
        <v>0</v>
      </c>
      <c r="DT60" s="642">
        <f>IFERROR(
SUM(DS60,SUMIF(防護具!$Y$30:$Y$212,DT$17&amp;$C59,防護具!$Q$30:$Q$212))-DS59,0)</f>
        <v>0</v>
      </c>
      <c r="DU60" s="642">
        <f>IFERROR(
SUM(DT60,SUMIF(防護具!$Y$30:$Y$212,DU$17&amp;$C59,防護具!$Q$30:$Q$212))-DT59,0)</f>
        <v>0</v>
      </c>
      <c r="DV60" s="642">
        <f>IFERROR(
SUM(DU60,SUMIF(防護具!$Y$30:$Y$212,DV$17&amp;$C59,防護具!$Q$30:$Q$212))-DU59,0)</f>
        <v>0</v>
      </c>
      <c r="DW60" s="642">
        <f>IFERROR(
SUM(DV60,SUMIF(防護具!$Y$30:$Y$212,DW$17&amp;$C59,防護具!$Q$30:$Q$212))-DV59,0)</f>
        <v>0</v>
      </c>
      <c r="DX60" s="642">
        <f>IFERROR(
SUM(DW60,SUMIF(防護具!$Y$30:$Y$212,DX$17&amp;$C59,防護具!$Q$30:$Q$212))-DW59,0)</f>
        <v>0</v>
      </c>
      <c r="DY60" s="642">
        <f>IFERROR(
SUM(DX60,SUMIF(防護具!$Y$30:$Y$212,DY$17&amp;$C59,防護具!$Q$30:$Q$212))-DX59,0)</f>
        <v>0</v>
      </c>
      <c r="DZ60" s="642">
        <f>IFERROR(
SUM(DY60,SUMIF(防護具!$Y$30:$Y$212,DZ$17&amp;$C59,防護具!$Q$30:$Q$212))-DY59,0)</f>
        <v>0</v>
      </c>
      <c r="EA60" s="642">
        <f>IFERROR(
SUM(DZ60,SUMIF(防護具!$Y$30:$Y$212,EA$17&amp;$C59,防護具!$Q$30:$Q$212))-DZ59,0)</f>
        <v>0</v>
      </c>
      <c r="EB60" s="642">
        <f>IFERROR(
SUM(EA60,SUMIF(防護具!$Y$30:$Y$212,EB$17&amp;$C59,防護具!$Q$30:$Q$212))-EA59,0)</f>
        <v>0</v>
      </c>
      <c r="EC60" s="642">
        <f>IFERROR(
SUM(EB60,SUMIF(防護具!$Y$30:$Y$212,EC$17&amp;$C59,防護具!$Q$30:$Q$212))-EB59,0)</f>
        <v>0</v>
      </c>
      <c r="ED60" s="642">
        <f>IFERROR(
SUM(EC60,SUMIF(防護具!$Y$30:$Y$212,ED$17&amp;$C59,防護具!$Q$30:$Q$212))-EC59,0)</f>
        <v>0</v>
      </c>
      <c r="EE60" s="642">
        <f>IFERROR(
SUM(ED60,SUMIF(防護具!$Y$30:$Y$212,EE$17&amp;$C59,防護具!$Q$30:$Q$212))-ED59,0)</f>
        <v>0</v>
      </c>
      <c r="EF60" s="642">
        <f>IFERROR(
SUM(EE60,SUMIF(防護具!$Y$30:$Y$212,EF$17&amp;$C59,防護具!$Q$30:$Q$212))-EE59,0)</f>
        <v>0</v>
      </c>
      <c r="EG60" s="642">
        <f>IFERROR(
SUM(EF60,SUMIF(防護具!$Y$30:$Y$212,EG$17&amp;$C59,防護具!$Q$30:$Q$212))-EF59,0)</f>
        <v>0</v>
      </c>
      <c r="EH60" s="642">
        <f>IFERROR(
SUM(EG60,SUMIF(防護具!$Y$30:$Y$212,EH$17&amp;$C59,防護具!$Q$30:$Q$212))-EG59,0)</f>
        <v>0</v>
      </c>
      <c r="EI60" s="642">
        <f>IFERROR(
SUM(EH60,SUMIF(防護具!$Y$30:$Y$212,EI$17&amp;$C59,防護具!$Q$30:$Q$212))-EH59,0)</f>
        <v>0</v>
      </c>
      <c r="EJ60" s="642">
        <f>IFERROR(
SUM(EI60,SUMIF(防護具!$Y$30:$Y$212,EJ$17&amp;$C59,防護具!$Q$30:$Q$212))-EI59,0)</f>
        <v>0</v>
      </c>
      <c r="EK60" s="642">
        <f>IFERROR(
SUM(EJ60,SUMIF(防護具!$Y$30:$Y$212,EK$17&amp;$C59,防護具!$Q$30:$Q$212))-EJ59,0)</f>
        <v>0</v>
      </c>
      <c r="EL60" s="642">
        <f>IFERROR(
SUM(EK60,SUMIF(防護具!$Y$30:$Y$212,EL$17&amp;$C59,防護具!$Q$30:$Q$212))-EK59,0)</f>
        <v>0</v>
      </c>
      <c r="EM60" s="642">
        <f>IFERROR(
SUM(EL60,SUMIF(防護具!$Y$30:$Y$212,EM$17&amp;$C59,防護具!$Q$30:$Q$212))-EL59,0)</f>
        <v>0</v>
      </c>
      <c r="EN60" s="642">
        <f>IFERROR(
SUM(EM60,SUMIF(防護具!$Y$30:$Y$212,EN$17&amp;$C59,防護具!$Q$30:$Q$212))-EM59,0)</f>
        <v>0</v>
      </c>
      <c r="EO60" s="642">
        <f>IFERROR(
SUM(EN60,SUMIF(防護具!$Y$30:$Y$212,EO$17&amp;$C59,防護具!$Q$30:$Q$212))-EN59,0)</f>
        <v>0</v>
      </c>
      <c r="EP60" s="642">
        <f>IFERROR(
SUM(EO60,SUMIF(防護具!$Y$30:$Y$212,EP$17&amp;$C59,防護具!$Q$30:$Q$212))-EO59,0)</f>
        <v>0</v>
      </c>
      <c r="EQ60" s="642">
        <f>IFERROR(
SUM(EP60,SUMIF(防護具!$Y$30:$Y$212,EQ$17&amp;$C59,防護具!$Q$30:$Q$212))-EP59,0)</f>
        <v>0</v>
      </c>
      <c r="ER60" s="642">
        <f>IFERROR(
SUM(EQ60,SUMIF(防護具!$Y$30:$Y$212,ER$17&amp;$C59,防護具!$Q$30:$Q$212))-EQ59,0)</f>
        <v>0</v>
      </c>
      <c r="ES60" s="642">
        <f>IFERROR(
SUM(ER60,SUMIF(防護具!$Y$30:$Y$212,ES$17&amp;$C59,防護具!$Q$30:$Q$212))-ER59,0)</f>
        <v>0</v>
      </c>
      <c r="ET60" s="642">
        <f>IFERROR(
SUM(ES60,SUMIF(防護具!$Y$30:$Y$212,ET$17&amp;$C59,防護具!$Q$30:$Q$212))-ES59,0)</f>
        <v>0</v>
      </c>
      <c r="EU60" s="642">
        <f>IFERROR(
SUM(ET60,SUMIF(防護具!$Y$30:$Y$212,EU$17&amp;$C59,防護具!$Q$30:$Q$212))-ET59,0)</f>
        <v>0</v>
      </c>
      <c r="EV60" s="642">
        <f>IFERROR(
SUM(EU60,SUMIF(防護具!$Y$30:$Y$212,EV$17&amp;$C59,防護具!$Q$30:$Q$212))-EU59,0)</f>
        <v>0</v>
      </c>
      <c r="EW60" s="642">
        <f>IFERROR(
SUM(EV60,SUMIF(防護具!$Y$30:$Y$212,EW$17&amp;$C59,防護具!$Q$30:$Q$212))-EV59,0)</f>
        <v>0</v>
      </c>
      <c r="EX60" s="642">
        <f>IFERROR(
SUM(EW60,SUMIF(防護具!$Y$30:$Y$212,EX$17&amp;$C59,防護具!$Q$30:$Q$212))-EW59,0)</f>
        <v>0</v>
      </c>
      <c r="EY60" s="642">
        <f>IFERROR(
SUM(EX60,SUMIF(防護具!$Y$30:$Y$212,EY$17&amp;$C59,防護具!$Q$30:$Q$212))-EX59,0)</f>
        <v>0</v>
      </c>
      <c r="EZ60" s="642">
        <f>IFERROR(
SUM(EY60,SUMIF(防護具!$Y$30:$Y$212,EZ$17&amp;$C59,防護具!$Q$30:$Q$212))-EY59,0)</f>
        <v>0</v>
      </c>
      <c r="FA60" s="642">
        <f>IFERROR(
SUM(EZ60,SUMIF(防護具!$Y$30:$Y$212,FA$17&amp;$C59,防護具!$Q$30:$Q$212))-EZ59,0)</f>
        <v>0</v>
      </c>
      <c r="FB60" s="642">
        <f>IFERROR(
SUM(FA60,SUMIF(防護具!$Y$30:$Y$212,FB$17&amp;$C59,防護具!$Q$30:$Q$212))-FA59,0)</f>
        <v>0</v>
      </c>
      <c r="FC60" s="642">
        <f>IFERROR(
SUM(FB60,SUMIF(防護具!$Y$30:$Y$212,FC$17&amp;$C59,防護具!$Q$30:$Q$212))-FB59,0)</f>
        <v>0</v>
      </c>
      <c r="FD60" s="642">
        <f>IFERROR(
SUM(FC60,SUMIF(防護具!$Y$30:$Y$212,FD$17&amp;$C59,防護具!$Q$30:$Q$212))-FC59,0)</f>
        <v>0</v>
      </c>
      <c r="FE60" s="642">
        <f>IFERROR(
SUM(FD60,SUMIF(防護具!$Y$30:$Y$212,FE$17&amp;$C59,防護具!$Q$30:$Q$212))-FD59,0)</f>
        <v>0</v>
      </c>
      <c r="FF60" s="642">
        <f>IFERROR(
SUM(FE60,SUMIF(防護具!$Y$30:$Y$212,FF$17&amp;$C59,防護具!$Q$30:$Q$212))-FE59,0)</f>
        <v>0</v>
      </c>
      <c r="FG60" s="642">
        <f>IFERROR(
SUM(FF60,SUMIF(防護具!$Y$30:$Y$212,FG$17&amp;$C59,防護具!$Q$30:$Q$212))-FF59,0)</f>
        <v>0</v>
      </c>
      <c r="FH60" s="642">
        <f>IFERROR(
SUM(FG60,SUMIF(防護具!$Y$30:$Y$212,FH$17&amp;$C59,防護具!$Q$30:$Q$212))-FG59,0)</f>
        <v>0</v>
      </c>
      <c r="FI60" s="642">
        <f>IFERROR(
SUM(FH60,SUMIF(防護具!$Y$30:$Y$212,FI$17&amp;$C59,防護具!$Q$30:$Q$212))-FH59,0)</f>
        <v>0</v>
      </c>
      <c r="FJ60" s="642">
        <f>IFERROR(
SUM(FI60,SUMIF(防護具!$Y$30:$Y$212,FJ$17&amp;$C59,防護具!$Q$30:$Q$212))-FI59,0)</f>
        <v>0</v>
      </c>
      <c r="FK60" s="642">
        <f>IFERROR(
SUM(FJ60,SUMIF(防護具!$Y$30:$Y$212,FK$17&amp;$C59,防護具!$Q$30:$Q$212))-FJ59,0)</f>
        <v>0</v>
      </c>
      <c r="FL60" s="642">
        <f>IFERROR(
SUM(FK60,SUMIF(防護具!$Y$30:$Y$212,FL$17&amp;$C59,防護具!$Q$30:$Q$212))-FK59,0)</f>
        <v>0</v>
      </c>
      <c r="FM60" s="642">
        <f>IFERROR(
SUM(FL60,SUMIF(防護具!$Y$30:$Y$212,FM$17&amp;$C59,防護具!$Q$30:$Q$212))-FL59,0)</f>
        <v>0</v>
      </c>
      <c r="FN60" s="642">
        <f>IFERROR(
SUM(FM60,SUMIF(防護具!$Y$30:$Y$212,FN$17&amp;$C59,防護具!$Q$30:$Q$212))-FM59,0)</f>
        <v>0</v>
      </c>
      <c r="FO60" s="642">
        <f>IFERROR(
SUM(FN60,SUMIF(防護具!$Y$30:$Y$212,FO$17&amp;$C59,防護具!$Q$30:$Q$212))-FN59,0)</f>
        <v>0</v>
      </c>
      <c r="FP60" s="642">
        <f>IFERROR(
SUM(FO60,SUMIF(防護具!$Y$30:$Y$212,FP$17&amp;$C59,防護具!$Q$30:$Q$212))-FO59,0)</f>
        <v>0</v>
      </c>
      <c r="FQ60" s="642">
        <f>IFERROR(
SUM(FP60,SUMIF(防護具!$Y$30:$Y$212,FQ$17&amp;$C59,防護具!$Q$30:$Q$212))-FP59,0)</f>
        <v>0</v>
      </c>
      <c r="FR60" s="642">
        <f>IFERROR(
SUM(FQ60,SUMIF(防護具!$Y$30:$Y$212,FR$17&amp;$C59,防護具!$Q$30:$Q$212))-FQ59,0)</f>
        <v>0</v>
      </c>
      <c r="FS60" s="642">
        <f>IFERROR(
SUM(FR60,SUMIF(防護具!$Y$30:$Y$212,FS$17&amp;$C59,防護具!$Q$30:$Q$212))-FR59,0)</f>
        <v>0</v>
      </c>
      <c r="FT60" s="642">
        <f>IFERROR(
SUM(FS60,SUMIF(防護具!$Y$30:$Y$212,FT$17&amp;$C59,防護具!$Q$30:$Q$212))-FS59,0)</f>
        <v>0</v>
      </c>
      <c r="FU60" s="642">
        <f>IFERROR(
SUM(FT60,SUMIF(防護具!$Y$30:$Y$212,FU$17&amp;$C59,防護具!$Q$30:$Q$212))-FT59,0)</f>
        <v>0</v>
      </c>
      <c r="FV60" s="642">
        <f>IFERROR(
SUM(FU60,SUMIF(防護具!$Y$30:$Y$212,FV$17&amp;$C59,防護具!$Q$30:$Q$212))-FU59,0)</f>
        <v>0</v>
      </c>
      <c r="FW60" s="642">
        <f>IFERROR(
SUM(FV60,SUMIF(防護具!$Y$30:$Y$212,FW$17&amp;$C59,防護具!$Q$30:$Q$212))-FV59,0)</f>
        <v>0</v>
      </c>
      <c r="FX60" s="642">
        <f>IFERROR(
SUM(FW60,SUMIF(防護具!$Y$30:$Y$212,FX$17&amp;$C59,防護具!$Q$30:$Q$212))-FW59,0)</f>
        <v>0</v>
      </c>
      <c r="FY60" s="642">
        <f>IFERROR(
SUM(FX60,SUMIF(防護具!$Y$30:$Y$212,FY$17&amp;$C59,防護具!$Q$30:$Q$212))-FX59,0)</f>
        <v>0</v>
      </c>
      <c r="FZ60" s="642">
        <f>IFERROR(
SUM(FY60,SUMIF(防護具!$Y$30:$Y$212,FZ$17&amp;$C59,防護具!$Q$30:$Q$212))-FY59,0)</f>
        <v>0</v>
      </c>
      <c r="GA60" s="642">
        <f>IFERROR(
SUM(FZ60,SUMIF(防護具!$Y$30:$Y$212,GA$17&amp;$C59,防護具!$Q$30:$Q$212))-FZ59,0)</f>
        <v>0</v>
      </c>
      <c r="GB60" s="642">
        <f>IFERROR(
SUM(GA60,SUMIF(防護具!$Y$30:$Y$212,GB$17&amp;$C59,防護具!$Q$30:$Q$212))-GA59,0)</f>
        <v>0</v>
      </c>
      <c r="GC60" s="642">
        <f>IFERROR(
SUM(GB60,SUMIF(防護具!$Y$30:$Y$212,GC$17&amp;$C59,防護具!$Q$30:$Q$212))-GB59,0)</f>
        <v>0</v>
      </c>
      <c r="GD60" s="642">
        <f>IFERROR(
SUM(GC60,SUMIF(防護具!$Y$30:$Y$212,GD$17&amp;$C59,防護具!$Q$30:$Q$212))-GC59,0)</f>
        <v>0</v>
      </c>
      <c r="GE60" s="642">
        <f>IFERROR(
SUM(GD60,SUMIF(防護具!$Y$30:$Y$212,GE$17&amp;$C59,防護具!$Q$30:$Q$212))-GD59,0)</f>
        <v>0</v>
      </c>
      <c r="GF60" s="642">
        <f>IFERROR(
SUM(GE60,SUMIF(防護具!$Y$30:$Y$212,GF$17&amp;$C59,防護具!$Q$30:$Q$212))-GE59,0)</f>
        <v>0</v>
      </c>
      <c r="GG60" s="642">
        <f>IFERROR(
SUM(GF60,SUMIF(防護具!$Y$30:$Y$212,GG$17&amp;$C59,防護具!$Q$30:$Q$212))-GF59,0)</f>
        <v>0</v>
      </c>
      <c r="GH60" s="642">
        <f>IFERROR(
SUM(GG60,SUMIF(防護具!$Y$30:$Y$212,GH$17&amp;$C59,防護具!$Q$30:$Q$212))-GG59,0)</f>
        <v>0</v>
      </c>
      <c r="GI60" s="642">
        <f>IFERROR(
SUM(GH60,SUMIF(防護具!$Y$30:$Y$212,GI$17&amp;$C59,防護具!$Q$30:$Q$212))-GH59,0)</f>
        <v>0</v>
      </c>
      <c r="GJ60" s="642">
        <f>IFERROR(
SUM(GI60,SUMIF(防護具!$Y$30:$Y$212,GJ$17&amp;$C59,防護具!$Q$30:$Q$212))-GI59,0)</f>
        <v>0</v>
      </c>
    </row>
    <row r="61" spans="2:192" s="655" customFormat="1">
      <c r="B61" s="656"/>
      <c r="C61" s="641"/>
      <c r="D61" s="768" t="s">
        <v>1468</v>
      </c>
      <c r="E61" s="773"/>
      <c r="F61" s="706"/>
      <c r="G61" s="642">
        <f>SUMIF(防護具!$Y$13:$Y$29,G$17&amp;PPE差引簿!C59,防護具!$Q$13:$Q$29)</f>
        <v>1000</v>
      </c>
      <c r="H61" s="642">
        <f xml:space="preserve">
IF(G61-VLOOKUP($C59,$C$3:$D$15,2,FALSE)*H$21&lt;0,0,G61-VLOOKUP($C59,$C$3:$D$15,2,FALSE)*H$21)</f>
        <v>1000</v>
      </c>
      <c r="I61" s="642">
        <f t="shared" ref="I61:BT61" si="2602" xml:space="preserve">
IF(H61-VLOOKUP($C59,$C$3:$D$15,2,FALSE)*I$21&lt;0,0,H61-VLOOKUP($C59,$C$3:$D$15,2,FALSE)*I$21)</f>
        <v>1000</v>
      </c>
      <c r="J61" s="642">
        <f t="shared" si="2602"/>
        <v>1000</v>
      </c>
      <c r="K61" s="642">
        <f t="shared" si="2602"/>
        <v>1000</v>
      </c>
      <c r="L61" s="642">
        <f t="shared" si="2602"/>
        <v>1000</v>
      </c>
      <c r="M61" s="642">
        <f t="shared" si="2602"/>
        <v>1000</v>
      </c>
      <c r="N61" s="642">
        <f t="shared" si="2602"/>
        <v>1000</v>
      </c>
      <c r="O61" s="642">
        <f t="shared" si="2602"/>
        <v>1000</v>
      </c>
      <c r="P61" s="642">
        <f t="shared" si="2602"/>
        <v>1000</v>
      </c>
      <c r="Q61" s="642">
        <f t="shared" si="2602"/>
        <v>1000</v>
      </c>
      <c r="R61" s="642">
        <f t="shared" si="2602"/>
        <v>1000</v>
      </c>
      <c r="S61" s="642">
        <f t="shared" si="2602"/>
        <v>1000</v>
      </c>
      <c r="T61" s="642">
        <f t="shared" si="2602"/>
        <v>1000</v>
      </c>
      <c r="U61" s="642">
        <f t="shared" si="2602"/>
        <v>1000</v>
      </c>
      <c r="V61" s="642">
        <f t="shared" si="2602"/>
        <v>1000</v>
      </c>
      <c r="W61" s="642">
        <f t="shared" si="2602"/>
        <v>1000</v>
      </c>
      <c r="X61" s="642">
        <f t="shared" si="2602"/>
        <v>1000</v>
      </c>
      <c r="Y61" s="642">
        <f t="shared" si="2602"/>
        <v>1000</v>
      </c>
      <c r="Z61" s="642">
        <f t="shared" si="2602"/>
        <v>1000</v>
      </c>
      <c r="AA61" s="642">
        <f t="shared" si="2602"/>
        <v>1000</v>
      </c>
      <c r="AB61" s="642">
        <f t="shared" si="2602"/>
        <v>1000</v>
      </c>
      <c r="AC61" s="642">
        <f t="shared" si="2602"/>
        <v>1000</v>
      </c>
      <c r="AD61" s="642">
        <f t="shared" si="2602"/>
        <v>1000</v>
      </c>
      <c r="AE61" s="642">
        <f t="shared" si="2602"/>
        <v>1000</v>
      </c>
      <c r="AF61" s="642">
        <f t="shared" si="2602"/>
        <v>1000</v>
      </c>
      <c r="AG61" s="642">
        <f t="shared" si="2602"/>
        <v>1000</v>
      </c>
      <c r="AH61" s="642">
        <f t="shared" si="2602"/>
        <v>1000</v>
      </c>
      <c r="AI61" s="642">
        <f t="shared" si="2602"/>
        <v>1000</v>
      </c>
      <c r="AJ61" s="642">
        <f t="shared" si="2602"/>
        <v>1000</v>
      </c>
      <c r="AK61" s="642">
        <f t="shared" si="2602"/>
        <v>1000</v>
      </c>
      <c r="AL61" s="642">
        <f t="shared" si="2602"/>
        <v>1000</v>
      </c>
      <c r="AM61" s="642">
        <f t="shared" si="2602"/>
        <v>1000</v>
      </c>
      <c r="AN61" s="642">
        <f t="shared" si="2602"/>
        <v>1000</v>
      </c>
      <c r="AO61" s="642">
        <f t="shared" si="2602"/>
        <v>1000</v>
      </c>
      <c r="AP61" s="642">
        <f t="shared" si="2602"/>
        <v>1000</v>
      </c>
      <c r="AQ61" s="642">
        <f t="shared" si="2602"/>
        <v>1000</v>
      </c>
      <c r="AR61" s="642">
        <f t="shared" si="2602"/>
        <v>1000</v>
      </c>
      <c r="AS61" s="642">
        <f t="shared" si="2602"/>
        <v>1000</v>
      </c>
      <c r="AT61" s="642">
        <f t="shared" si="2602"/>
        <v>1000</v>
      </c>
      <c r="AU61" s="642">
        <f t="shared" si="2602"/>
        <v>1000</v>
      </c>
      <c r="AV61" s="642">
        <f t="shared" si="2602"/>
        <v>1000</v>
      </c>
      <c r="AW61" s="642">
        <f t="shared" si="2602"/>
        <v>1000</v>
      </c>
      <c r="AX61" s="642">
        <f t="shared" si="2602"/>
        <v>1000</v>
      </c>
      <c r="AY61" s="642">
        <f t="shared" si="2602"/>
        <v>1000</v>
      </c>
      <c r="AZ61" s="642">
        <f t="shared" si="2602"/>
        <v>1000</v>
      </c>
      <c r="BA61" s="642">
        <f t="shared" si="2602"/>
        <v>1000</v>
      </c>
      <c r="BB61" s="642">
        <f t="shared" si="2602"/>
        <v>1000</v>
      </c>
      <c r="BC61" s="642">
        <f t="shared" si="2602"/>
        <v>1000</v>
      </c>
      <c r="BD61" s="642">
        <f t="shared" si="2602"/>
        <v>1000</v>
      </c>
      <c r="BE61" s="642">
        <f t="shared" si="2602"/>
        <v>1000</v>
      </c>
      <c r="BF61" s="642">
        <f t="shared" si="2602"/>
        <v>1000</v>
      </c>
      <c r="BG61" s="642">
        <f t="shared" si="2602"/>
        <v>1000</v>
      </c>
      <c r="BH61" s="642">
        <f t="shared" si="2602"/>
        <v>1000</v>
      </c>
      <c r="BI61" s="642">
        <f t="shared" si="2602"/>
        <v>1000</v>
      </c>
      <c r="BJ61" s="642">
        <f t="shared" si="2602"/>
        <v>1000</v>
      </c>
      <c r="BK61" s="642">
        <f t="shared" si="2602"/>
        <v>1000</v>
      </c>
      <c r="BL61" s="642">
        <f t="shared" si="2602"/>
        <v>1000</v>
      </c>
      <c r="BM61" s="642">
        <f t="shared" si="2602"/>
        <v>1000</v>
      </c>
      <c r="BN61" s="642">
        <f t="shared" si="2602"/>
        <v>1000</v>
      </c>
      <c r="BO61" s="642">
        <f t="shared" si="2602"/>
        <v>1000</v>
      </c>
      <c r="BP61" s="642">
        <f t="shared" si="2602"/>
        <v>1000</v>
      </c>
      <c r="BQ61" s="642">
        <f t="shared" si="2602"/>
        <v>1000</v>
      </c>
      <c r="BR61" s="642">
        <f t="shared" si="2602"/>
        <v>1000</v>
      </c>
      <c r="BS61" s="642">
        <f t="shared" si="2602"/>
        <v>1000</v>
      </c>
      <c r="BT61" s="642">
        <f t="shared" si="2602"/>
        <v>1000</v>
      </c>
      <c r="BU61" s="642">
        <f t="shared" ref="BU61:EF61" si="2603" xml:space="preserve">
IF(BT61-VLOOKUP($C59,$C$3:$D$15,2,FALSE)*BU$21&lt;0,0,BT61-VLOOKUP($C59,$C$3:$D$15,2,FALSE)*BU$21)</f>
        <v>1000</v>
      </c>
      <c r="BV61" s="642">
        <f t="shared" si="2603"/>
        <v>1000</v>
      </c>
      <c r="BW61" s="642">
        <f t="shared" si="2603"/>
        <v>1000</v>
      </c>
      <c r="BX61" s="642">
        <f t="shared" si="2603"/>
        <v>1000</v>
      </c>
      <c r="BY61" s="642">
        <f t="shared" si="2603"/>
        <v>1000</v>
      </c>
      <c r="BZ61" s="642">
        <f t="shared" si="2603"/>
        <v>1000</v>
      </c>
      <c r="CA61" s="642">
        <f t="shared" si="2603"/>
        <v>1000</v>
      </c>
      <c r="CB61" s="642">
        <f t="shared" si="2603"/>
        <v>1000</v>
      </c>
      <c r="CC61" s="642">
        <f t="shared" si="2603"/>
        <v>1000</v>
      </c>
      <c r="CD61" s="642">
        <f t="shared" si="2603"/>
        <v>1000</v>
      </c>
      <c r="CE61" s="642">
        <f t="shared" si="2603"/>
        <v>1000</v>
      </c>
      <c r="CF61" s="642">
        <f t="shared" si="2603"/>
        <v>1000</v>
      </c>
      <c r="CG61" s="642">
        <f t="shared" si="2603"/>
        <v>1000</v>
      </c>
      <c r="CH61" s="642">
        <f t="shared" si="2603"/>
        <v>1000</v>
      </c>
      <c r="CI61" s="642">
        <f t="shared" si="2603"/>
        <v>1000</v>
      </c>
      <c r="CJ61" s="642">
        <f t="shared" si="2603"/>
        <v>1000</v>
      </c>
      <c r="CK61" s="642">
        <f t="shared" si="2603"/>
        <v>1000</v>
      </c>
      <c r="CL61" s="642">
        <f t="shared" si="2603"/>
        <v>1000</v>
      </c>
      <c r="CM61" s="642">
        <f t="shared" si="2603"/>
        <v>1000</v>
      </c>
      <c r="CN61" s="642">
        <f t="shared" si="2603"/>
        <v>1000</v>
      </c>
      <c r="CO61" s="642">
        <f t="shared" si="2603"/>
        <v>1000</v>
      </c>
      <c r="CP61" s="642">
        <f t="shared" si="2603"/>
        <v>1000</v>
      </c>
      <c r="CQ61" s="642">
        <f t="shared" si="2603"/>
        <v>1000</v>
      </c>
      <c r="CR61" s="642">
        <f t="shared" si="2603"/>
        <v>1000</v>
      </c>
      <c r="CS61" s="642">
        <f t="shared" si="2603"/>
        <v>1000</v>
      </c>
      <c r="CT61" s="642">
        <f t="shared" si="2603"/>
        <v>1000</v>
      </c>
      <c r="CU61" s="642">
        <f t="shared" si="2603"/>
        <v>1000</v>
      </c>
      <c r="CV61" s="642">
        <f t="shared" si="2603"/>
        <v>1000</v>
      </c>
      <c r="CW61" s="642">
        <f t="shared" si="2603"/>
        <v>1000</v>
      </c>
      <c r="CX61" s="642">
        <f t="shared" si="2603"/>
        <v>1000</v>
      </c>
      <c r="CY61" s="642">
        <f t="shared" si="2603"/>
        <v>1000</v>
      </c>
      <c r="CZ61" s="642">
        <f t="shared" si="2603"/>
        <v>1000</v>
      </c>
      <c r="DA61" s="642">
        <f t="shared" si="2603"/>
        <v>1000</v>
      </c>
      <c r="DB61" s="642">
        <f t="shared" si="2603"/>
        <v>1000</v>
      </c>
      <c r="DC61" s="642">
        <f t="shared" si="2603"/>
        <v>1000</v>
      </c>
      <c r="DD61" s="642">
        <f t="shared" si="2603"/>
        <v>1000</v>
      </c>
      <c r="DE61" s="642">
        <f t="shared" si="2603"/>
        <v>1000</v>
      </c>
      <c r="DF61" s="642">
        <f t="shared" si="2603"/>
        <v>1000</v>
      </c>
      <c r="DG61" s="642">
        <f t="shared" si="2603"/>
        <v>1000</v>
      </c>
      <c r="DH61" s="642">
        <f t="shared" si="2603"/>
        <v>1000</v>
      </c>
      <c r="DI61" s="642">
        <f t="shared" si="2603"/>
        <v>1000</v>
      </c>
      <c r="DJ61" s="642">
        <f t="shared" si="2603"/>
        <v>1000</v>
      </c>
      <c r="DK61" s="642">
        <f t="shared" si="2603"/>
        <v>1000</v>
      </c>
      <c r="DL61" s="642">
        <f t="shared" si="2603"/>
        <v>1000</v>
      </c>
      <c r="DM61" s="642">
        <f t="shared" si="2603"/>
        <v>1000</v>
      </c>
      <c r="DN61" s="642">
        <f t="shared" si="2603"/>
        <v>1000</v>
      </c>
      <c r="DO61" s="642">
        <f t="shared" si="2603"/>
        <v>1000</v>
      </c>
      <c r="DP61" s="642">
        <f t="shared" si="2603"/>
        <v>1000</v>
      </c>
      <c r="DQ61" s="642">
        <f t="shared" si="2603"/>
        <v>1000</v>
      </c>
      <c r="DR61" s="642">
        <f t="shared" si="2603"/>
        <v>1000</v>
      </c>
      <c r="DS61" s="642">
        <f t="shared" si="2603"/>
        <v>1000</v>
      </c>
      <c r="DT61" s="642">
        <f t="shared" si="2603"/>
        <v>1000</v>
      </c>
      <c r="DU61" s="642">
        <f t="shared" si="2603"/>
        <v>1000</v>
      </c>
      <c r="DV61" s="642">
        <f t="shared" si="2603"/>
        <v>1000</v>
      </c>
      <c r="DW61" s="642">
        <f t="shared" si="2603"/>
        <v>1000</v>
      </c>
      <c r="DX61" s="642">
        <f t="shared" si="2603"/>
        <v>1000</v>
      </c>
      <c r="DY61" s="642">
        <f t="shared" si="2603"/>
        <v>1000</v>
      </c>
      <c r="DZ61" s="642">
        <f t="shared" si="2603"/>
        <v>1000</v>
      </c>
      <c r="EA61" s="642">
        <f t="shared" si="2603"/>
        <v>1000</v>
      </c>
      <c r="EB61" s="642">
        <f t="shared" si="2603"/>
        <v>1000</v>
      </c>
      <c r="EC61" s="642">
        <f t="shared" si="2603"/>
        <v>1000</v>
      </c>
      <c r="ED61" s="642">
        <f t="shared" si="2603"/>
        <v>1000</v>
      </c>
      <c r="EE61" s="642">
        <f t="shared" si="2603"/>
        <v>1000</v>
      </c>
      <c r="EF61" s="642">
        <f t="shared" si="2603"/>
        <v>1000</v>
      </c>
      <c r="EG61" s="642">
        <f t="shared" ref="EG61:GJ61" si="2604" xml:space="preserve">
IF(EF61-VLOOKUP($C59,$C$3:$D$15,2,FALSE)*EG$21&lt;0,0,EF61-VLOOKUP($C59,$C$3:$D$15,2,FALSE)*EG$21)</f>
        <v>1000</v>
      </c>
      <c r="EH61" s="642">
        <f t="shared" si="2604"/>
        <v>1000</v>
      </c>
      <c r="EI61" s="642">
        <f t="shared" si="2604"/>
        <v>1000</v>
      </c>
      <c r="EJ61" s="642">
        <f t="shared" si="2604"/>
        <v>1000</v>
      </c>
      <c r="EK61" s="642">
        <f t="shared" si="2604"/>
        <v>1000</v>
      </c>
      <c r="EL61" s="642">
        <f t="shared" si="2604"/>
        <v>1000</v>
      </c>
      <c r="EM61" s="642">
        <f t="shared" si="2604"/>
        <v>1000</v>
      </c>
      <c r="EN61" s="642">
        <f t="shared" si="2604"/>
        <v>1000</v>
      </c>
      <c r="EO61" s="642">
        <f t="shared" si="2604"/>
        <v>1000</v>
      </c>
      <c r="EP61" s="642">
        <f t="shared" si="2604"/>
        <v>1000</v>
      </c>
      <c r="EQ61" s="642">
        <f t="shared" si="2604"/>
        <v>1000</v>
      </c>
      <c r="ER61" s="642">
        <f t="shared" si="2604"/>
        <v>1000</v>
      </c>
      <c r="ES61" s="642">
        <f t="shared" si="2604"/>
        <v>1000</v>
      </c>
      <c r="ET61" s="642">
        <f t="shared" si="2604"/>
        <v>1000</v>
      </c>
      <c r="EU61" s="642">
        <f t="shared" si="2604"/>
        <v>1000</v>
      </c>
      <c r="EV61" s="642">
        <f t="shared" si="2604"/>
        <v>1000</v>
      </c>
      <c r="EW61" s="642">
        <f t="shared" si="2604"/>
        <v>1000</v>
      </c>
      <c r="EX61" s="642">
        <f t="shared" si="2604"/>
        <v>1000</v>
      </c>
      <c r="EY61" s="642">
        <f t="shared" si="2604"/>
        <v>1000</v>
      </c>
      <c r="EZ61" s="642">
        <f t="shared" si="2604"/>
        <v>1000</v>
      </c>
      <c r="FA61" s="642">
        <f t="shared" si="2604"/>
        <v>1000</v>
      </c>
      <c r="FB61" s="642">
        <f t="shared" si="2604"/>
        <v>1000</v>
      </c>
      <c r="FC61" s="642">
        <f t="shared" si="2604"/>
        <v>1000</v>
      </c>
      <c r="FD61" s="642">
        <f t="shared" si="2604"/>
        <v>1000</v>
      </c>
      <c r="FE61" s="642">
        <f t="shared" si="2604"/>
        <v>1000</v>
      </c>
      <c r="FF61" s="642">
        <f t="shared" si="2604"/>
        <v>1000</v>
      </c>
      <c r="FG61" s="642">
        <f t="shared" si="2604"/>
        <v>1000</v>
      </c>
      <c r="FH61" s="642">
        <f t="shared" si="2604"/>
        <v>1000</v>
      </c>
      <c r="FI61" s="642">
        <f t="shared" si="2604"/>
        <v>1000</v>
      </c>
      <c r="FJ61" s="642">
        <f t="shared" si="2604"/>
        <v>1000</v>
      </c>
      <c r="FK61" s="642">
        <f t="shared" si="2604"/>
        <v>1000</v>
      </c>
      <c r="FL61" s="642">
        <f t="shared" si="2604"/>
        <v>1000</v>
      </c>
      <c r="FM61" s="642">
        <f t="shared" si="2604"/>
        <v>1000</v>
      </c>
      <c r="FN61" s="642">
        <f t="shared" si="2604"/>
        <v>1000</v>
      </c>
      <c r="FO61" s="642">
        <f t="shared" si="2604"/>
        <v>1000</v>
      </c>
      <c r="FP61" s="642">
        <f t="shared" si="2604"/>
        <v>1000</v>
      </c>
      <c r="FQ61" s="642">
        <f t="shared" si="2604"/>
        <v>1000</v>
      </c>
      <c r="FR61" s="642">
        <f t="shared" si="2604"/>
        <v>1000</v>
      </c>
      <c r="FS61" s="642">
        <f t="shared" si="2604"/>
        <v>1000</v>
      </c>
      <c r="FT61" s="642">
        <f t="shared" si="2604"/>
        <v>1000</v>
      </c>
      <c r="FU61" s="642">
        <f t="shared" si="2604"/>
        <v>1000</v>
      </c>
      <c r="FV61" s="642">
        <f t="shared" si="2604"/>
        <v>1000</v>
      </c>
      <c r="FW61" s="642">
        <f t="shared" si="2604"/>
        <v>1000</v>
      </c>
      <c r="FX61" s="642">
        <f t="shared" si="2604"/>
        <v>1000</v>
      </c>
      <c r="FY61" s="642">
        <f t="shared" si="2604"/>
        <v>1000</v>
      </c>
      <c r="FZ61" s="642">
        <f t="shared" si="2604"/>
        <v>1000</v>
      </c>
      <c r="GA61" s="642">
        <f t="shared" si="2604"/>
        <v>1000</v>
      </c>
      <c r="GB61" s="642">
        <f t="shared" si="2604"/>
        <v>1000</v>
      </c>
      <c r="GC61" s="642">
        <f t="shared" si="2604"/>
        <v>1000</v>
      </c>
      <c r="GD61" s="642">
        <f t="shared" si="2604"/>
        <v>1000</v>
      </c>
      <c r="GE61" s="642">
        <f t="shared" si="2604"/>
        <v>1000</v>
      </c>
      <c r="GF61" s="642">
        <f t="shared" si="2604"/>
        <v>1000</v>
      </c>
      <c r="GG61" s="642">
        <f t="shared" si="2604"/>
        <v>1000</v>
      </c>
      <c r="GH61" s="642">
        <f t="shared" si="2604"/>
        <v>1000</v>
      </c>
      <c r="GI61" s="642">
        <f t="shared" si="2604"/>
        <v>1000</v>
      </c>
      <c r="GJ61" s="642">
        <f t="shared" si="2604"/>
        <v>1000</v>
      </c>
    </row>
    <row r="62" spans="2:192" hidden="1">
      <c r="B62" s="638"/>
      <c r="C62" s="646" t="s">
        <v>1420</v>
      </c>
      <c r="D62" s="1895" t="e">
        <f>SUM(G62:GJ62)</f>
        <v>#REF!</v>
      </c>
      <c r="E62" s="1896"/>
      <c r="F62" s="647"/>
      <c r="G62" s="647" t="e">
        <f xml:space="preserve">
IF($G$20="休診日",0,
MIN(G63,IF((VLOOKUP($G$16&amp;$C62,#REF!,2,FALSE)-G64)&lt;0,0,VLOOKUP($G$16&amp;$C62,#REF!,2,FALSE)-G64)))</f>
        <v>#REF!</v>
      </c>
      <c r="H62" s="647" t="e">
        <f xml:space="preserve">
IF(H$20="休診日",0,
IF(H64&gt;=VLOOKUP(H$16&amp;$C62,#REF!,2,FALSE),0,
IF(AND(H64&lt;VLOOKUP(H$16&amp;$C62,#REF!,2,FALSE),H63&lt;=VLOOKUP(H$16&amp;$C62,#REF!,2,FALSE)),H63,
IF(AND(H64&lt;VLOOKUP(H$16&amp;$C62,#REF!,2,FALSE),H63&gt;VLOOKUP(H$16&amp;$C62,#REF!,2,FALSE)),
VLOOKUP(H$16&amp;$C62,#REF!,2,FALSE)-H64))))</f>
        <v>#REF!</v>
      </c>
      <c r="I62" s="647" t="e">
        <f xml:space="preserve">
IF(I$20="休診日",0,
IF(I64&gt;=VLOOKUP(I$16&amp;$C62,#REF!,2,FALSE),0,
IF(AND(I64&lt;VLOOKUP(I$16&amp;$C62,#REF!,2,FALSE),I63&lt;=VLOOKUP(I$16&amp;$C62,#REF!,2,FALSE)),I63,
IF(AND(I64&lt;VLOOKUP(I$16&amp;$C62,#REF!,2,FALSE),I63&gt;VLOOKUP(I$16&amp;$C62,#REF!,2,FALSE)),
VLOOKUP(I$16&amp;$C62,#REF!,2,FALSE)-I64))))</f>
        <v>#REF!</v>
      </c>
      <c r="J62" s="647" t="e">
        <f xml:space="preserve">
IF(J$20="休診日",0,
IF(J64&gt;=VLOOKUP(J$16&amp;$C62,#REF!,2,FALSE),0,
IF(AND(J64&lt;VLOOKUP(J$16&amp;$C62,#REF!,2,FALSE),J63&lt;=VLOOKUP(J$16&amp;$C62,#REF!,2,FALSE)),J63,
IF(AND(J64&lt;VLOOKUP(J$16&amp;$C62,#REF!,2,FALSE),J63&gt;VLOOKUP(J$16&amp;$C62,#REF!,2,FALSE)),
VLOOKUP(J$16&amp;$C62,#REF!,2,FALSE)-J64))))</f>
        <v>#REF!</v>
      </c>
      <c r="K62" s="647" t="e">
        <f xml:space="preserve">
IF(K$20="休診日",0,
IF(K64&gt;=VLOOKUP(K$16&amp;$C62,#REF!,2,FALSE),0,
IF(AND(K64&lt;VLOOKUP(K$16&amp;$C62,#REF!,2,FALSE),K63&lt;=VLOOKUP(K$16&amp;$C62,#REF!,2,FALSE)),K63,
IF(AND(K64&lt;VLOOKUP(K$16&amp;$C62,#REF!,2,FALSE),K63&gt;VLOOKUP(K$16&amp;$C62,#REF!,2,FALSE)),
VLOOKUP(K$16&amp;$C62,#REF!,2,FALSE)-K64))))</f>
        <v>#REF!</v>
      </c>
    </row>
    <row r="63" spans="2:192" hidden="1">
      <c r="B63" s="638"/>
      <c r="C63" s="646" t="s">
        <v>1416</v>
      </c>
      <c r="D63" s="1897"/>
      <c r="E63" s="1898"/>
      <c r="F63" s="647"/>
      <c r="G63" s="647" t="e">
        <f>SUMIF([1]消毒!$B$14:$B$113,$G$17&amp;$C62,[1]消毒!$AN$14:$AN$113)</f>
        <v>#VALUE!</v>
      </c>
      <c r="H63" s="647">
        <f>IFERROR(SUM(G63,SUMIF([1]消毒!$B$14:$B$113,H$17&amp;$C62,[1]消毒!$AN$14:$AN$113))-G62,0)</f>
        <v>0</v>
      </c>
      <c r="I63" s="647">
        <f>IFERROR(SUM(H63,SUMIF([1]消毒!$B$14:$B$113,I$17&amp;$C62,[1]消毒!$AN$14:$AN$113))-H62,0)</f>
        <v>0</v>
      </c>
      <c r="J63" s="647">
        <f>IFERROR(SUM(I63,SUMIF([1]消毒!$B$14:$B$113,J$17&amp;$C62,[1]消毒!$AN$14:$AN$113))-I62,0)</f>
        <v>0</v>
      </c>
      <c r="K63" s="647">
        <f>IFERROR(SUM(J63,SUMIF([1]消毒!$B$14:$B$113,K$17&amp;$C62,[1]消毒!$AN$14:$AN$113))-J62,0)</f>
        <v>0</v>
      </c>
    </row>
    <row r="64" spans="2:192" hidden="1">
      <c r="B64" s="638"/>
      <c r="C64" s="646" t="s">
        <v>1417</v>
      </c>
      <c r="D64" s="1897"/>
      <c r="E64" s="1898"/>
      <c r="F64" s="647"/>
      <c r="G64" s="647">
        <v>1000</v>
      </c>
      <c r="H64" s="647">
        <f>IFERROR(
IF(H$20="休診日",G64,
IF(G64-VLOOKUP(G$16&amp;$C62,#REF!,2,FALSE)&lt;0,0,G64-VLOOKUP(G$16&amp;$C62,#REF!,2,FALSE))),0)</f>
        <v>0</v>
      </c>
      <c r="I64" s="647">
        <f>IFERROR(
IF(I$20="休診日",H64,
IF(H64-VLOOKUP(H$16&amp;$C62,#REF!,2,FALSE)&lt;0,0,H64-VLOOKUP(H$16&amp;$C62,#REF!,2,FALSE))),0)</f>
        <v>0</v>
      </c>
      <c r="J64" s="647">
        <f>IFERROR(
IF(J$20="休診日",I64,
IF(I64-VLOOKUP(I$16&amp;$C62,#REF!,2,FALSE)&lt;0,0,I64-VLOOKUP(I$16&amp;$C62,#REF!,2,FALSE))),0)</f>
        <v>0</v>
      </c>
      <c r="K64" s="647">
        <f>IFERROR(
IF(K$20="休診日",J64,
IF(J64-VLOOKUP(J$16&amp;$C62,#REF!,2,FALSE)&lt;0,0,J64-VLOOKUP(J$16&amp;$C62,#REF!,2,FALSE))),0)</f>
        <v>0</v>
      </c>
    </row>
    <row r="65" spans="2:11" hidden="1">
      <c r="B65" s="638"/>
      <c r="C65" s="648" t="s">
        <v>1421</v>
      </c>
      <c r="D65" s="1895" t="e">
        <f>SUM(G65:GJ65)</f>
        <v>#REF!</v>
      </c>
      <c r="E65" s="1896"/>
      <c r="F65" s="649"/>
      <c r="G65" s="649" t="e">
        <f xml:space="preserve">
IF($G$20="休診日",0,
MIN(G66,IF((VLOOKUP($G$16&amp;$C65,#REF!,2,FALSE)-G67)&lt;0,0,VLOOKUP($G$16&amp;$C65,#REF!,2,FALSE)-G67)))</f>
        <v>#REF!</v>
      </c>
      <c r="H65" s="649" t="e">
        <f xml:space="preserve">
IF(H$20="休診日",0,
IF(H67&gt;=VLOOKUP(H$16&amp;$C65,#REF!,2,FALSE),0,
IF(AND(H67&lt;VLOOKUP(H$16&amp;$C65,#REF!,2,FALSE),H66&lt;=VLOOKUP(H$16&amp;$C65,#REF!,2,FALSE)),H66,
IF(AND(H67&lt;VLOOKUP(H$16&amp;$C65,#REF!,2,FALSE),H66&gt;VLOOKUP(H$16&amp;$C65,#REF!,2,FALSE)),
VLOOKUP(H$16&amp;$C65,#REF!,2,FALSE)-H67))))</f>
        <v>#REF!</v>
      </c>
      <c r="I65" s="649" t="e">
        <f xml:space="preserve">
IF(I$20="休診日",0,
IF(I67&gt;=VLOOKUP(I$16&amp;$C65,#REF!,2,FALSE),0,
IF(AND(I67&lt;VLOOKUP(I$16&amp;$C65,#REF!,2,FALSE),I66&lt;=VLOOKUP(I$16&amp;$C65,#REF!,2,FALSE)),I66,
IF(AND(I67&lt;VLOOKUP(I$16&amp;$C65,#REF!,2,FALSE),I66&gt;VLOOKUP(I$16&amp;$C65,#REF!,2,FALSE)),
VLOOKUP(I$16&amp;$C65,#REF!,2,FALSE)-I67))))</f>
        <v>#REF!</v>
      </c>
      <c r="J65" s="649" t="e">
        <f xml:space="preserve">
IF(J$20="休診日",0,
IF(J67&gt;=VLOOKUP(J$16&amp;$C65,#REF!,2,FALSE),0,
IF(AND(J67&lt;VLOOKUP(J$16&amp;$C65,#REF!,2,FALSE),J66&lt;=VLOOKUP(J$16&amp;$C65,#REF!,2,FALSE)),J66,
IF(AND(J67&lt;VLOOKUP(J$16&amp;$C65,#REF!,2,FALSE),J66&gt;VLOOKUP(J$16&amp;$C65,#REF!,2,FALSE)),
VLOOKUP(J$16&amp;$C65,#REF!,2,FALSE)-J67))))</f>
        <v>#REF!</v>
      </c>
      <c r="K65" s="649" t="e">
        <f xml:space="preserve">
IF(K$20="休診日",0,
IF(K67&gt;=VLOOKUP(K$16&amp;$C65,#REF!,2,FALSE),0,
IF(AND(K67&lt;VLOOKUP(K$16&amp;$C65,#REF!,2,FALSE),K66&lt;=VLOOKUP(K$16&amp;$C65,#REF!,2,FALSE)),K66,
IF(AND(K67&lt;VLOOKUP(K$16&amp;$C65,#REF!,2,FALSE),K66&gt;VLOOKUP(K$16&amp;$C65,#REF!,2,FALSE)),
VLOOKUP(K$16&amp;$C65,#REF!,2,FALSE)-K67))))</f>
        <v>#REF!</v>
      </c>
    </row>
    <row r="66" spans="2:11" hidden="1">
      <c r="B66" s="638"/>
      <c r="C66" s="648" t="s">
        <v>1416</v>
      </c>
      <c r="D66" s="1893"/>
      <c r="E66" s="1894"/>
      <c r="F66" s="649"/>
      <c r="G66" s="649" t="e">
        <f>SUMIF([1]消毒!$B$14:$B$113,$G$17&amp;$C65,[1]消毒!$AN$14:$AN$113)</f>
        <v>#VALUE!</v>
      </c>
      <c r="H66" s="649">
        <f>IFERROR(SUM(G66,SUMIF([1]消毒!$B$14:$B$113,H$17&amp;$C65,[1]消毒!$AN$14:$AN$113))-G65,0)</f>
        <v>0</v>
      </c>
      <c r="I66" s="649">
        <f>IFERROR(SUM(H66,SUMIF([1]消毒!$B$14:$B$113,I$17&amp;$C65,[1]消毒!$AN$14:$AN$113))-H65,0)</f>
        <v>0</v>
      </c>
      <c r="J66" s="649">
        <f>IFERROR(SUM(I66,SUMIF([1]消毒!$B$14:$B$113,J$17&amp;$C65,[1]消毒!$AN$14:$AN$113))-I65,0)</f>
        <v>0</v>
      </c>
      <c r="K66" s="649">
        <f>IFERROR(SUM(J66,SUMIF([1]消毒!$B$14:$B$113,K$17&amp;$C65,[1]消毒!$AN$14:$AN$113))-J65,0)</f>
        <v>0</v>
      </c>
    </row>
    <row r="67" spans="2:11" hidden="1">
      <c r="B67" s="638"/>
      <c r="C67" s="648" t="s">
        <v>1417</v>
      </c>
      <c r="D67" s="1893"/>
      <c r="E67" s="1894"/>
      <c r="F67" s="649"/>
      <c r="G67" s="649">
        <v>500</v>
      </c>
      <c r="H67" s="649">
        <f>IFERROR(
IF(H$20="休診日",G67,
IF(G67-VLOOKUP(G$16&amp;$C65,#REF!,2,FALSE)&lt;0,0,G67-VLOOKUP(G$16&amp;$C65,#REF!,2,FALSE))),0)</f>
        <v>0</v>
      </c>
      <c r="I67" s="649">
        <f>IFERROR(
IF(I$20="休診日",H67,
IF(H67-VLOOKUP(H$16&amp;$C65,#REF!,2,FALSE)&lt;0,0,H67-VLOOKUP(H$16&amp;$C65,#REF!,2,FALSE))),0)</f>
        <v>0</v>
      </c>
      <c r="J67" s="649">
        <f>IFERROR(
IF(J$20="休診日",I67,
IF(I67-VLOOKUP(I$16&amp;$C65,#REF!,2,FALSE)&lt;0,0,I67-VLOOKUP(I$16&amp;$C65,#REF!,2,FALSE))),0)</f>
        <v>0</v>
      </c>
      <c r="K67" s="649">
        <f>IFERROR(
IF(K$20="休診日",J67,
IF(J67-VLOOKUP(J$16&amp;$C65,#REF!,2,FALSE)&lt;0,0,J67-VLOOKUP(J$16&amp;$C65,#REF!,2,FALSE))),0)</f>
        <v>0</v>
      </c>
    </row>
    <row r="68" spans="2:11" hidden="1">
      <c r="B68" s="638"/>
      <c r="C68" s="646" t="s">
        <v>1422</v>
      </c>
      <c r="D68" s="1895" t="e">
        <f>SUM(G68:GJ68)</f>
        <v>#REF!</v>
      </c>
      <c r="E68" s="1896"/>
      <c r="F68" s="647"/>
      <c r="G68" s="647" t="e">
        <f xml:space="preserve">
IF($G$20="休診日",0,
MIN(G69,IF((VLOOKUP($G$16&amp;$C68,#REF!,2,FALSE)-G70)&lt;0,0,VLOOKUP($G$16&amp;$C68,#REF!,2,FALSE)-G70)))</f>
        <v>#REF!</v>
      </c>
      <c r="H68" s="647" t="e">
        <f xml:space="preserve">
IF(H$20="休診日",0,
IF(H70&gt;=VLOOKUP(H$16&amp;$C68,#REF!,2,FALSE),0,
IF(AND(H70&lt;VLOOKUP(H$16&amp;$C68,#REF!,2,FALSE),H69&lt;=VLOOKUP(H$16&amp;$C68,#REF!,2,FALSE)),H69,
IF(AND(H70&lt;VLOOKUP(H$16&amp;$C68,#REF!,2,FALSE),H69&gt;VLOOKUP(H$16&amp;$C68,#REF!,2,FALSE)),
VLOOKUP(H$16&amp;$C68,#REF!,2,FALSE)-H70))))</f>
        <v>#REF!</v>
      </c>
      <c r="I68" s="647" t="e">
        <f xml:space="preserve">
IF(I$20="休診日",0,
IF(I70&gt;=VLOOKUP(I$16&amp;$C68,#REF!,2,FALSE),0,
IF(AND(I70&lt;VLOOKUP(I$16&amp;$C68,#REF!,2,FALSE),I69&lt;=VLOOKUP(I$16&amp;$C68,#REF!,2,FALSE)),I69,
IF(AND(I70&lt;VLOOKUP(I$16&amp;$C68,#REF!,2,FALSE),I69&gt;VLOOKUP(I$16&amp;$C68,#REF!,2,FALSE)),
VLOOKUP(I$16&amp;$C68,#REF!,2,FALSE)-I70))))</f>
        <v>#REF!</v>
      </c>
      <c r="J68" s="647" t="e">
        <f xml:space="preserve">
IF(J$20="休診日",0,
IF(J70&gt;=VLOOKUP(J$16&amp;$C68,#REF!,2,FALSE),0,
IF(AND(J70&lt;VLOOKUP(J$16&amp;$C68,#REF!,2,FALSE),J69&lt;=VLOOKUP(J$16&amp;$C68,#REF!,2,FALSE)),J69,
IF(AND(J70&lt;VLOOKUP(J$16&amp;$C68,#REF!,2,FALSE),J69&gt;VLOOKUP(J$16&amp;$C68,#REF!,2,FALSE)),
VLOOKUP(J$16&amp;$C68,#REF!,2,FALSE)-J70))))</f>
        <v>#REF!</v>
      </c>
      <c r="K68" s="647" t="e">
        <f xml:space="preserve">
IF(K$20="休診日",0,
IF(K70&gt;=VLOOKUP(K$16&amp;$C68,#REF!,2,FALSE),0,
IF(AND(K70&lt;VLOOKUP(K$16&amp;$C68,#REF!,2,FALSE),K69&lt;=VLOOKUP(K$16&amp;$C68,#REF!,2,FALSE)),K69,
IF(AND(K70&lt;VLOOKUP(K$16&amp;$C68,#REF!,2,FALSE),K69&gt;VLOOKUP(K$16&amp;$C68,#REF!,2,FALSE)),
VLOOKUP(K$16&amp;$C68,#REF!,2,FALSE)-K70))))</f>
        <v>#REF!</v>
      </c>
    </row>
    <row r="69" spans="2:11" hidden="1">
      <c r="B69" s="638"/>
      <c r="C69" s="646" t="s">
        <v>1416</v>
      </c>
      <c r="D69" s="1897"/>
      <c r="E69" s="1898"/>
      <c r="F69" s="647"/>
      <c r="G69" s="647" t="e">
        <f>SUMIF([1]消毒!$B$14:$B$113,$G$17&amp;$C68,[1]消毒!$AN$14:$AN$113)</f>
        <v>#VALUE!</v>
      </c>
      <c r="H69" s="647">
        <f>IFERROR(SUM(G69,SUMIF([1]消毒!$B$14:$B$113,H$17&amp;$C68,[1]消毒!$AN$14:$AN$113))-G68,0)</f>
        <v>0</v>
      </c>
      <c r="I69" s="647">
        <f>IFERROR(SUM(H69,SUMIF([1]消毒!$B$14:$B$113,I$17&amp;$C68,[1]消毒!$AN$14:$AN$113))-H68,0)</f>
        <v>0</v>
      </c>
      <c r="J69" s="647">
        <f>IFERROR(SUM(I69,SUMIF([1]消毒!$B$14:$B$113,J$17&amp;$C68,[1]消毒!$AN$14:$AN$113))-I68,0)</f>
        <v>0</v>
      </c>
      <c r="K69" s="647">
        <f>IFERROR(SUM(J69,SUMIF([1]消毒!$B$14:$B$113,K$17&amp;$C68,[1]消毒!$AN$14:$AN$113))-J68,0)</f>
        <v>0</v>
      </c>
    </row>
    <row r="70" spans="2:11" hidden="1">
      <c r="B70" s="638"/>
      <c r="C70" s="646" t="s">
        <v>1417</v>
      </c>
      <c r="D70" s="1897"/>
      <c r="E70" s="1898"/>
      <c r="F70" s="647"/>
      <c r="G70" s="647">
        <v>500</v>
      </c>
      <c r="H70" s="647">
        <f>IFERROR(
IF(H$20="休診日",G70,
IF(G70-VLOOKUP(G$16&amp;$C68,#REF!,2,FALSE)&lt;0,0,G70-VLOOKUP(G$16&amp;$C68,#REF!,2,FALSE))),0)</f>
        <v>0</v>
      </c>
      <c r="I70" s="647">
        <f>IFERROR(
IF(I$20="休診日",H70,
IF(H70-VLOOKUP(H$16&amp;$C68,#REF!,2,FALSE)&lt;0,0,H70-VLOOKUP(H$16&amp;$C68,#REF!,2,FALSE))),0)</f>
        <v>0</v>
      </c>
      <c r="J70" s="647">
        <f>IFERROR(
IF(J$20="休診日",I70,
IF(I70-VLOOKUP(I$16&amp;$C68,#REF!,2,FALSE)&lt;0,0,I70-VLOOKUP(I$16&amp;$C68,#REF!,2,FALSE))),0)</f>
        <v>0</v>
      </c>
      <c r="K70" s="647">
        <f>IFERROR(
IF(K$20="休診日",J70,
IF(J70-VLOOKUP(J$16&amp;$C68,#REF!,2,FALSE)&lt;0,0,J70-VLOOKUP(J$16&amp;$C68,#REF!,2,FALSE))),0)</f>
        <v>0</v>
      </c>
    </row>
    <row r="71" spans="2:11">
      <c r="B71" s="634"/>
      <c r="C71" s="634"/>
      <c r="D71" s="634"/>
      <c r="E71" s="634"/>
      <c r="F71" s="634"/>
      <c r="G71" s="634"/>
      <c r="H71" s="634"/>
      <c r="I71" s="634"/>
      <c r="J71" s="634"/>
      <c r="K71" s="634"/>
    </row>
    <row r="72" spans="2:11">
      <c r="B72" s="634"/>
      <c r="C72" s="634"/>
      <c r="D72" s="634"/>
      <c r="E72" s="634"/>
      <c r="F72" s="634"/>
      <c r="G72" s="634"/>
      <c r="H72" s="634"/>
      <c r="I72" s="634"/>
      <c r="J72" s="634"/>
      <c r="K72" s="634"/>
    </row>
  </sheetData>
  <sheetProtection algorithmName="SHA-512" hashValue="Emed+4NS2Am83/p8+SoJr7YJDbq9fo5sIjBB753UaG1ebPTgeXGPLABSe+zrGLqDl3zcnYI33YX/90cd3ZxcTw==" saltValue="JITXPvIHfnrRyKwTTeZdaA==" spinCount="100000" sheet="1" objects="1" scenarios="1"/>
  <mergeCells count="27">
    <mergeCell ref="E2:F2"/>
    <mergeCell ref="E3:F3"/>
    <mergeCell ref="E4:F4"/>
    <mergeCell ref="E5:F5"/>
    <mergeCell ref="E6:F6"/>
    <mergeCell ref="C17:C20"/>
    <mergeCell ref="D21:E21"/>
    <mergeCell ref="D22:E22"/>
    <mergeCell ref="D17:F20"/>
    <mergeCell ref="E7:F7"/>
    <mergeCell ref="E8:F8"/>
    <mergeCell ref="E9:F9"/>
    <mergeCell ref="E10:F10"/>
    <mergeCell ref="E11:F11"/>
    <mergeCell ref="E12:F12"/>
    <mergeCell ref="E13:F13"/>
    <mergeCell ref="E14:F14"/>
    <mergeCell ref="E15:F15"/>
    <mergeCell ref="D67:E67"/>
    <mergeCell ref="D68:E68"/>
    <mergeCell ref="D69:E69"/>
    <mergeCell ref="D70:E70"/>
    <mergeCell ref="D62:E62"/>
    <mergeCell ref="D63:E63"/>
    <mergeCell ref="D64:E64"/>
    <mergeCell ref="D65:E65"/>
    <mergeCell ref="D66:E66"/>
  </mergeCells>
  <phoneticPr fontId="9"/>
  <conditionalFormatting sqref="F62:K70 G17:GJ20 F21:GJ61">
    <cfRule type="expression" dxfId="119" priority="4">
      <formula>F$20="休診日"</formula>
    </cfRule>
  </conditionalFormatting>
  <conditionalFormatting sqref="G62:K70 G23:GJ61">
    <cfRule type="cellIs" dxfId="118" priority="3" operator="greaterThan">
      <formula>0</formula>
    </cfRule>
  </conditionalFormatting>
  <conditionalFormatting sqref="G19:GJ19">
    <cfRule type="cellIs" dxfId="117" priority="2" operator="greaterThan">
      <formula>0</formula>
    </cfRule>
  </conditionalFormatting>
  <conditionalFormatting sqref="E2:GJ15">
    <cfRule type="cellIs" dxfId="116" priority="1" operator="greaterThan">
      <formula>0</formula>
    </cfRule>
  </conditionalFormatting>
  <dataValidations count="1">
    <dataValidation type="list" allowBlank="1" showInputMessage="1" showErrorMessage="1" sqref="G20:GJ20" xr:uid="{4EC83739-2E34-4AC3-BD35-6A9735B509C6}">
      <formula1>#REF!</formula1>
    </dataValidation>
  </dataValidations>
  <pageMargins left="0.7" right="0.7" top="0.75" bottom="0.75" header="0.3" footer="0.3"/>
  <pageSetup paperSize="9" orientation="portrait" copies="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8">
    <pageSetUpPr fitToPage="1"/>
  </sheetPr>
  <dimension ref="A1:EO70"/>
  <sheetViews>
    <sheetView topLeftCell="V1" workbookViewId="0">
      <selection activeCell="AH21" sqref="AH21"/>
    </sheetView>
  </sheetViews>
  <sheetFormatPr defaultColWidth="9" defaultRowHeight="9.75"/>
  <cols>
    <col min="1" max="1" width="3.625" style="20" customWidth="1"/>
    <col min="2" max="16384" width="9" style="20"/>
  </cols>
  <sheetData>
    <row r="1" spans="1:145" s="64" customFormat="1">
      <c r="A1" s="67"/>
      <c r="B1" s="67"/>
      <c r="C1" s="71" t="s">
        <v>503</v>
      </c>
      <c r="D1" s="71"/>
      <c r="E1" s="71"/>
      <c r="F1" s="71"/>
      <c r="G1" s="71"/>
      <c r="H1" s="71"/>
      <c r="I1" s="71"/>
      <c r="J1" s="71"/>
      <c r="K1" s="71" t="s">
        <v>504</v>
      </c>
      <c r="L1" s="71"/>
      <c r="M1" s="71"/>
      <c r="N1" s="71"/>
      <c r="O1" s="71"/>
      <c r="P1" s="71"/>
      <c r="Q1" s="71"/>
      <c r="R1" s="71"/>
      <c r="S1" s="71" t="s">
        <v>529</v>
      </c>
      <c r="T1" s="71"/>
      <c r="U1" s="71"/>
      <c r="V1" s="71"/>
      <c r="W1" s="71"/>
      <c r="X1" s="71"/>
      <c r="Y1" s="71"/>
      <c r="Z1" s="71"/>
      <c r="AA1" s="71" t="s">
        <v>564</v>
      </c>
      <c r="AB1" s="71"/>
      <c r="AC1" s="71"/>
      <c r="AD1" s="71"/>
      <c r="AE1" s="71"/>
      <c r="AF1" s="71"/>
      <c r="AG1" s="71"/>
      <c r="AH1" s="71"/>
      <c r="AI1" s="71" t="s">
        <v>531</v>
      </c>
      <c r="AJ1" s="71"/>
      <c r="AK1" s="71"/>
      <c r="AL1" s="71"/>
      <c r="AM1" s="71"/>
      <c r="AN1" s="71"/>
      <c r="AO1" s="71"/>
      <c r="AP1" s="71"/>
      <c r="AQ1" s="71" t="s">
        <v>565</v>
      </c>
      <c r="AR1" s="71"/>
      <c r="AS1" s="71"/>
      <c r="AT1" s="71"/>
      <c r="AU1" s="71"/>
      <c r="AV1" s="71"/>
      <c r="AW1" s="71"/>
      <c r="AX1" s="71"/>
      <c r="AY1" s="71" t="s">
        <v>533</v>
      </c>
      <c r="AZ1" s="71"/>
      <c r="BA1" s="71"/>
      <c r="BB1" s="71"/>
      <c r="BC1" s="71"/>
      <c r="BD1" s="71"/>
      <c r="BE1" s="71"/>
      <c r="BF1" s="71"/>
      <c r="BG1" s="71" t="s">
        <v>512</v>
      </c>
      <c r="BH1" s="71"/>
      <c r="BI1" s="71"/>
      <c r="BJ1" s="71"/>
      <c r="BK1" s="71"/>
      <c r="BL1" s="71"/>
      <c r="BM1" s="71"/>
      <c r="BN1" s="71"/>
      <c r="BO1" s="71" t="s">
        <v>515</v>
      </c>
      <c r="BP1" s="71"/>
      <c r="BQ1" s="71"/>
      <c r="BR1" s="71"/>
      <c r="BS1" s="71"/>
      <c r="BT1" s="71"/>
      <c r="BU1" s="71"/>
      <c r="BV1" s="71"/>
      <c r="BW1" s="71" t="s">
        <v>516</v>
      </c>
      <c r="BX1" s="71"/>
      <c r="BY1" s="71"/>
      <c r="BZ1" s="71"/>
      <c r="CA1" s="71"/>
      <c r="CB1" s="71"/>
      <c r="CC1" s="71"/>
      <c r="CD1" s="71"/>
      <c r="CE1" s="71" t="s">
        <v>517</v>
      </c>
      <c r="CF1" s="71"/>
      <c r="CG1" s="71"/>
      <c r="CH1" s="71"/>
      <c r="CI1" s="71"/>
      <c r="CJ1" s="71"/>
      <c r="CK1" s="71"/>
      <c r="CL1" s="71"/>
      <c r="CM1" s="71" t="s">
        <v>566</v>
      </c>
      <c r="CN1" s="71"/>
      <c r="CO1" s="71"/>
      <c r="CP1" s="71"/>
      <c r="CQ1" s="71"/>
      <c r="CR1" s="71"/>
      <c r="CS1" s="71"/>
      <c r="CT1" s="71"/>
      <c r="CU1" s="71" t="s">
        <v>567</v>
      </c>
      <c r="CV1" s="71"/>
      <c r="CW1" s="71"/>
      <c r="CX1" s="71"/>
      <c r="CY1" s="71"/>
      <c r="CZ1" s="71"/>
      <c r="DA1" s="71"/>
      <c r="DB1" s="71"/>
      <c r="DC1" s="71" t="s">
        <v>519</v>
      </c>
      <c r="DD1" s="71"/>
      <c r="DE1" s="71"/>
      <c r="DF1" s="71"/>
      <c r="DG1" s="71"/>
      <c r="DH1" s="71"/>
      <c r="DI1" s="71"/>
      <c r="DJ1" s="71"/>
      <c r="DK1" s="71" t="s">
        <v>520</v>
      </c>
      <c r="DL1" s="71"/>
      <c r="DM1" s="71"/>
      <c r="DN1" s="71"/>
      <c r="DO1" s="71"/>
      <c r="DP1" s="71"/>
      <c r="DQ1" s="71"/>
      <c r="DR1" s="71"/>
      <c r="DS1" s="71" t="s">
        <v>568</v>
      </c>
      <c r="DT1" s="71"/>
      <c r="DU1" s="71"/>
      <c r="DV1" s="71" t="s">
        <v>581</v>
      </c>
      <c r="DW1" s="71"/>
      <c r="DX1" s="71"/>
      <c r="DZ1" s="71" t="s">
        <v>1469</v>
      </c>
      <c r="EA1" s="71"/>
      <c r="EB1" s="71"/>
      <c r="EC1" s="71"/>
      <c r="ED1" s="71"/>
      <c r="EE1" s="71"/>
      <c r="EF1" s="71"/>
      <c r="EG1" s="71"/>
      <c r="EH1" s="71" t="s">
        <v>1470</v>
      </c>
      <c r="EI1" s="71"/>
      <c r="EJ1" s="71"/>
      <c r="EK1" s="71"/>
      <c r="EL1" s="71"/>
      <c r="EM1" s="71"/>
      <c r="EN1" s="71"/>
      <c r="EO1" s="71"/>
    </row>
    <row r="2" spans="1:145" s="64" customFormat="1">
      <c r="A2" s="67"/>
      <c r="B2" s="67" t="s">
        <v>569</v>
      </c>
      <c r="C2" s="67" t="s">
        <v>570</v>
      </c>
      <c r="D2" s="67" t="s">
        <v>571</v>
      </c>
      <c r="E2" s="67" t="s">
        <v>572</v>
      </c>
      <c r="F2" s="67" t="s">
        <v>573</v>
      </c>
      <c r="G2" s="67" t="s">
        <v>574</v>
      </c>
      <c r="H2" s="67" t="s">
        <v>575</v>
      </c>
      <c r="I2" s="67" t="s">
        <v>576</v>
      </c>
      <c r="J2" s="67" t="s">
        <v>577</v>
      </c>
      <c r="K2" s="67" t="s">
        <v>570</v>
      </c>
      <c r="L2" s="67" t="s">
        <v>571</v>
      </c>
      <c r="M2" s="67" t="s">
        <v>572</v>
      </c>
      <c r="N2" s="67" t="s">
        <v>573</v>
      </c>
      <c r="O2" s="67" t="s">
        <v>574</v>
      </c>
      <c r="P2" s="67" t="s">
        <v>575</v>
      </c>
      <c r="Q2" s="67" t="s">
        <v>576</v>
      </c>
      <c r="R2" s="67" t="s">
        <v>577</v>
      </c>
      <c r="S2" s="67" t="s">
        <v>570</v>
      </c>
      <c r="T2" s="67" t="s">
        <v>571</v>
      </c>
      <c r="U2" s="67" t="s">
        <v>572</v>
      </c>
      <c r="V2" s="67" t="s">
        <v>573</v>
      </c>
      <c r="W2" s="67" t="s">
        <v>574</v>
      </c>
      <c r="X2" s="67" t="s">
        <v>575</v>
      </c>
      <c r="Y2" s="67" t="s">
        <v>576</v>
      </c>
      <c r="Z2" s="67" t="s">
        <v>577</v>
      </c>
      <c r="AA2" s="67" t="s">
        <v>570</v>
      </c>
      <c r="AB2" s="67" t="s">
        <v>571</v>
      </c>
      <c r="AC2" s="67" t="s">
        <v>572</v>
      </c>
      <c r="AD2" s="67" t="s">
        <v>573</v>
      </c>
      <c r="AE2" s="67" t="s">
        <v>574</v>
      </c>
      <c r="AF2" s="67" t="s">
        <v>575</v>
      </c>
      <c r="AG2" s="67" t="s">
        <v>576</v>
      </c>
      <c r="AH2" s="67" t="s">
        <v>577</v>
      </c>
      <c r="AI2" s="67" t="s">
        <v>570</v>
      </c>
      <c r="AJ2" s="67" t="s">
        <v>571</v>
      </c>
      <c r="AK2" s="67" t="s">
        <v>572</v>
      </c>
      <c r="AL2" s="67" t="s">
        <v>573</v>
      </c>
      <c r="AM2" s="67" t="s">
        <v>574</v>
      </c>
      <c r="AN2" s="67" t="s">
        <v>575</v>
      </c>
      <c r="AO2" s="67" t="s">
        <v>576</v>
      </c>
      <c r="AP2" s="67" t="s">
        <v>577</v>
      </c>
      <c r="AQ2" s="67" t="s">
        <v>570</v>
      </c>
      <c r="AR2" s="67" t="s">
        <v>571</v>
      </c>
      <c r="AS2" s="67" t="s">
        <v>572</v>
      </c>
      <c r="AT2" s="67" t="s">
        <v>573</v>
      </c>
      <c r="AU2" s="67" t="s">
        <v>574</v>
      </c>
      <c r="AV2" s="67" t="s">
        <v>575</v>
      </c>
      <c r="AW2" s="67" t="s">
        <v>576</v>
      </c>
      <c r="AX2" s="67" t="s">
        <v>577</v>
      </c>
      <c r="AY2" s="67" t="s">
        <v>570</v>
      </c>
      <c r="AZ2" s="67" t="s">
        <v>571</v>
      </c>
      <c r="BA2" s="67" t="s">
        <v>572</v>
      </c>
      <c r="BB2" s="67" t="s">
        <v>573</v>
      </c>
      <c r="BC2" s="67" t="s">
        <v>574</v>
      </c>
      <c r="BD2" s="67" t="s">
        <v>575</v>
      </c>
      <c r="BE2" s="67" t="s">
        <v>576</v>
      </c>
      <c r="BF2" s="67" t="s">
        <v>577</v>
      </c>
      <c r="BG2" s="67" t="s">
        <v>570</v>
      </c>
      <c r="BH2" s="67" t="s">
        <v>571</v>
      </c>
      <c r="BI2" s="67" t="s">
        <v>572</v>
      </c>
      <c r="BJ2" s="67" t="s">
        <v>573</v>
      </c>
      <c r="BK2" s="67" t="s">
        <v>574</v>
      </c>
      <c r="BL2" s="67" t="s">
        <v>575</v>
      </c>
      <c r="BM2" s="67" t="s">
        <v>576</v>
      </c>
      <c r="BN2" s="67" t="s">
        <v>577</v>
      </c>
      <c r="BO2" s="67" t="s">
        <v>570</v>
      </c>
      <c r="BP2" s="67" t="s">
        <v>571</v>
      </c>
      <c r="BQ2" s="67" t="s">
        <v>572</v>
      </c>
      <c r="BR2" s="67" t="s">
        <v>573</v>
      </c>
      <c r="BS2" s="67" t="s">
        <v>574</v>
      </c>
      <c r="BT2" s="67" t="s">
        <v>575</v>
      </c>
      <c r="BU2" s="67" t="s">
        <v>576</v>
      </c>
      <c r="BV2" s="67" t="s">
        <v>577</v>
      </c>
      <c r="BW2" s="67" t="s">
        <v>570</v>
      </c>
      <c r="BX2" s="67" t="s">
        <v>571</v>
      </c>
      <c r="BY2" s="67" t="s">
        <v>572</v>
      </c>
      <c r="BZ2" s="67" t="s">
        <v>573</v>
      </c>
      <c r="CA2" s="67" t="s">
        <v>574</v>
      </c>
      <c r="CB2" s="67" t="s">
        <v>575</v>
      </c>
      <c r="CC2" s="67" t="s">
        <v>576</v>
      </c>
      <c r="CD2" s="67" t="s">
        <v>577</v>
      </c>
      <c r="CE2" s="67" t="s">
        <v>570</v>
      </c>
      <c r="CF2" s="67" t="s">
        <v>571</v>
      </c>
      <c r="CG2" s="67" t="s">
        <v>572</v>
      </c>
      <c r="CH2" s="67" t="s">
        <v>573</v>
      </c>
      <c r="CI2" s="67" t="s">
        <v>574</v>
      </c>
      <c r="CJ2" s="67" t="s">
        <v>575</v>
      </c>
      <c r="CK2" s="67" t="s">
        <v>576</v>
      </c>
      <c r="CL2" s="67" t="s">
        <v>577</v>
      </c>
      <c r="CM2" s="67" t="s">
        <v>570</v>
      </c>
      <c r="CN2" s="67" t="s">
        <v>571</v>
      </c>
      <c r="CO2" s="67" t="s">
        <v>572</v>
      </c>
      <c r="CP2" s="67" t="s">
        <v>573</v>
      </c>
      <c r="CQ2" s="67" t="s">
        <v>574</v>
      </c>
      <c r="CR2" s="67" t="s">
        <v>575</v>
      </c>
      <c r="CS2" s="67" t="s">
        <v>576</v>
      </c>
      <c r="CT2" s="67" t="s">
        <v>577</v>
      </c>
      <c r="CU2" s="67" t="s">
        <v>570</v>
      </c>
      <c r="CV2" s="67" t="s">
        <v>571</v>
      </c>
      <c r="CW2" s="67" t="s">
        <v>572</v>
      </c>
      <c r="CX2" s="67" t="s">
        <v>573</v>
      </c>
      <c r="CY2" s="67" t="s">
        <v>574</v>
      </c>
      <c r="CZ2" s="67" t="s">
        <v>575</v>
      </c>
      <c r="DA2" s="67" t="s">
        <v>576</v>
      </c>
      <c r="DB2" s="67" t="s">
        <v>577</v>
      </c>
      <c r="DC2" s="67" t="s">
        <v>570</v>
      </c>
      <c r="DD2" s="67" t="s">
        <v>571</v>
      </c>
      <c r="DE2" s="67" t="s">
        <v>572</v>
      </c>
      <c r="DF2" s="67" t="s">
        <v>573</v>
      </c>
      <c r="DG2" s="67" t="s">
        <v>574</v>
      </c>
      <c r="DH2" s="67" t="s">
        <v>575</v>
      </c>
      <c r="DI2" s="67" t="s">
        <v>576</v>
      </c>
      <c r="DJ2" s="67" t="s">
        <v>577</v>
      </c>
      <c r="DK2" s="67" t="s">
        <v>570</v>
      </c>
      <c r="DL2" s="67" t="s">
        <v>571</v>
      </c>
      <c r="DM2" s="67" t="s">
        <v>572</v>
      </c>
      <c r="DN2" s="67" t="s">
        <v>573</v>
      </c>
      <c r="DO2" s="67" t="s">
        <v>574</v>
      </c>
      <c r="DP2" s="67" t="s">
        <v>575</v>
      </c>
      <c r="DQ2" s="67" t="s">
        <v>576</v>
      </c>
      <c r="DR2" s="67" t="s">
        <v>577</v>
      </c>
      <c r="DS2" s="67" t="s">
        <v>496</v>
      </c>
      <c r="DT2" s="67" t="s">
        <v>497</v>
      </c>
      <c r="DU2" s="67" t="s">
        <v>499</v>
      </c>
      <c r="DV2" s="67" t="s">
        <v>578</v>
      </c>
      <c r="DW2" s="67" t="s">
        <v>579</v>
      </c>
      <c r="DX2" s="67" t="s">
        <v>580</v>
      </c>
      <c r="DZ2" s="67" t="s">
        <v>570</v>
      </c>
      <c r="EA2" s="67" t="s">
        <v>571</v>
      </c>
      <c r="EB2" s="67" t="s">
        <v>572</v>
      </c>
      <c r="EC2" s="67" t="s">
        <v>573</v>
      </c>
      <c r="ED2" s="67" t="s">
        <v>574</v>
      </c>
      <c r="EE2" s="67" t="s">
        <v>575</v>
      </c>
      <c r="EF2" s="67" t="s">
        <v>576</v>
      </c>
      <c r="EG2" s="67" t="s">
        <v>577</v>
      </c>
      <c r="EH2" s="67" t="s">
        <v>570</v>
      </c>
      <c r="EI2" s="67" t="s">
        <v>571</v>
      </c>
      <c r="EJ2" s="67" t="s">
        <v>572</v>
      </c>
      <c r="EK2" s="67" t="s">
        <v>573</v>
      </c>
      <c r="EL2" s="67" t="s">
        <v>574</v>
      </c>
      <c r="EM2" s="67" t="s">
        <v>575</v>
      </c>
      <c r="EN2" s="67" t="s">
        <v>576</v>
      </c>
      <c r="EO2" s="67" t="s">
        <v>577</v>
      </c>
    </row>
    <row r="3" spans="1:145" s="64" customFormat="1">
      <c r="A3" s="114">
        <v>102</v>
      </c>
      <c r="B3" s="69">
        <v>12960000</v>
      </c>
      <c r="C3" s="69">
        <v>0</v>
      </c>
      <c r="D3" s="69">
        <v>0</v>
      </c>
      <c r="E3" s="69">
        <v>0</v>
      </c>
      <c r="F3" s="69">
        <v>0</v>
      </c>
      <c r="G3" s="69">
        <v>0</v>
      </c>
      <c r="H3" s="69">
        <v>0</v>
      </c>
      <c r="I3" s="69">
        <v>0</v>
      </c>
      <c r="J3" s="69">
        <v>0</v>
      </c>
      <c r="K3" s="69">
        <v>0</v>
      </c>
      <c r="L3" s="69">
        <v>0</v>
      </c>
      <c r="M3" s="69">
        <v>0</v>
      </c>
      <c r="N3" s="69">
        <v>0</v>
      </c>
      <c r="O3" s="69">
        <v>0</v>
      </c>
      <c r="P3" s="69">
        <v>0</v>
      </c>
      <c r="Q3" s="69">
        <v>0</v>
      </c>
      <c r="R3" s="69">
        <v>0</v>
      </c>
      <c r="S3" s="69">
        <v>46918040</v>
      </c>
      <c r="T3" s="69">
        <v>0</v>
      </c>
      <c r="U3" s="69">
        <v>46918040</v>
      </c>
      <c r="V3" s="69">
        <v>46918040</v>
      </c>
      <c r="W3" s="69">
        <v>12960000</v>
      </c>
      <c r="X3" s="69">
        <v>12960000</v>
      </c>
      <c r="Y3" s="69">
        <v>12960000</v>
      </c>
      <c r="Z3" s="69">
        <v>12960000</v>
      </c>
      <c r="AA3" s="69">
        <v>0</v>
      </c>
      <c r="AB3" s="69">
        <v>0</v>
      </c>
      <c r="AC3" s="69">
        <v>0</v>
      </c>
      <c r="AD3" s="69">
        <v>0</v>
      </c>
      <c r="AE3" s="69">
        <v>0</v>
      </c>
      <c r="AF3" s="69">
        <v>0</v>
      </c>
      <c r="AG3" s="69">
        <v>0</v>
      </c>
      <c r="AH3" s="69">
        <v>0</v>
      </c>
      <c r="AI3" s="69">
        <v>0</v>
      </c>
      <c r="AJ3" s="69">
        <v>0</v>
      </c>
      <c r="AK3" s="69">
        <v>0</v>
      </c>
      <c r="AL3" s="69">
        <v>0</v>
      </c>
      <c r="AM3" s="69">
        <v>0</v>
      </c>
      <c r="AN3" s="69">
        <v>0</v>
      </c>
      <c r="AO3" s="69">
        <v>0</v>
      </c>
      <c r="AP3" s="69">
        <v>0</v>
      </c>
      <c r="AQ3" s="69">
        <v>0</v>
      </c>
      <c r="AR3" s="69">
        <v>0</v>
      </c>
      <c r="AS3" s="69">
        <v>0</v>
      </c>
      <c r="AT3" s="69">
        <v>0</v>
      </c>
      <c r="AU3" s="69">
        <v>0</v>
      </c>
      <c r="AV3" s="69">
        <v>0</v>
      </c>
      <c r="AW3" s="69">
        <v>0</v>
      </c>
      <c r="AX3" s="69">
        <v>0</v>
      </c>
      <c r="AY3" s="69">
        <v>0</v>
      </c>
      <c r="AZ3" s="69">
        <v>0</v>
      </c>
      <c r="BA3" s="69">
        <v>0</v>
      </c>
      <c r="BB3" s="69">
        <v>0</v>
      </c>
      <c r="BC3" s="69">
        <v>0</v>
      </c>
      <c r="BD3" s="69">
        <v>0</v>
      </c>
      <c r="BE3" s="69">
        <v>0</v>
      </c>
      <c r="BF3" s="69">
        <v>0</v>
      </c>
      <c r="BG3" s="69">
        <v>0</v>
      </c>
      <c r="BH3" s="69">
        <v>0</v>
      </c>
      <c r="BI3" s="69">
        <v>0</v>
      </c>
      <c r="BJ3" s="69">
        <v>0</v>
      </c>
      <c r="BK3" s="69">
        <v>0</v>
      </c>
      <c r="BL3" s="69">
        <v>0</v>
      </c>
      <c r="BM3" s="69">
        <v>0</v>
      </c>
      <c r="BN3" s="69">
        <v>0</v>
      </c>
      <c r="BO3" s="69">
        <v>0</v>
      </c>
      <c r="BP3" s="69">
        <v>0</v>
      </c>
      <c r="BQ3" s="69">
        <v>0</v>
      </c>
      <c r="BR3" s="69">
        <v>0</v>
      </c>
      <c r="BS3" s="69">
        <v>0</v>
      </c>
      <c r="BT3" s="69">
        <v>0</v>
      </c>
      <c r="BU3" s="69">
        <v>0</v>
      </c>
      <c r="BV3" s="69">
        <v>0</v>
      </c>
      <c r="BW3" s="69">
        <v>0</v>
      </c>
      <c r="BX3" s="69">
        <v>0</v>
      </c>
      <c r="BY3" s="69">
        <v>0</v>
      </c>
      <c r="BZ3" s="69">
        <v>0</v>
      </c>
      <c r="CA3" s="69">
        <v>0</v>
      </c>
      <c r="CB3" s="69">
        <v>0</v>
      </c>
      <c r="CC3" s="69">
        <v>0</v>
      </c>
      <c r="CD3" s="69">
        <v>0</v>
      </c>
      <c r="CE3" s="69">
        <v>0</v>
      </c>
      <c r="CF3" s="69">
        <v>0</v>
      </c>
      <c r="CG3" s="69">
        <v>0</v>
      </c>
      <c r="CH3" s="69">
        <v>0</v>
      </c>
      <c r="CI3" s="69">
        <v>0</v>
      </c>
      <c r="CJ3" s="69">
        <v>0</v>
      </c>
      <c r="CK3" s="69">
        <v>0</v>
      </c>
      <c r="CL3" s="69">
        <v>0</v>
      </c>
      <c r="CM3" s="69">
        <v>0</v>
      </c>
      <c r="CN3" s="69">
        <v>0</v>
      </c>
      <c r="CO3" s="69">
        <v>0</v>
      </c>
      <c r="CP3" s="69">
        <v>0</v>
      </c>
      <c r="CQ3" s="69">
        <v>0</v>
      </c>
      <c r="CR3" s="69">
        <v>0</v>
      </c>
      <c r="CS3" s="69">
        <v>0</v>
      </c>
      <c r="CT3" s="69">
        <v>0</v>
      </c>
      <c r="CU3" s="69">
        <v>0</v>
      </c>
      <c r="CV3" s="69">
        <v>0</v>
      </c>
      <c r="CW3" s="69">
        <v>0</v>
      </c>
      <c r="CX3" s="69">
        <v>0</v>
      </c>
      <c r="CY3" s="69">
        <v>0</v>
      </c>
      <c r="CZ3" s="69">
        <v>0</v>
      </c>
      <c r="DA3" s="69">
        <v>0</v>
      </c>
      <c r="DB3" s="69">
        <v>0</v>
      </c>
      <c r="DC3" s="69">
        <v>0</v>
      </c>
      <c r="DD3" s="69">
        <v>0</v>
      </c>
      <c r="DE3" s="69">
        <v>0</v>
      </c>
      <c r="DF3" s="69">
        <v>0</v>
      </c>
      <c r="DG3" s="69">
        <v>0</v>
      </c>
      <c r="DH3" s="69">
        <v>0</v>
      </c>
      <c r="DI3" s="69">
        <v>0</v>
      </c>
      <c r="DJ3" s="69">
        <v>0</v>
      </c>
      <c r="DK3" s="69">
        <v>0</v>
      </c>
      <c r="DL3" s="69">
        <v>0</v>
      </c>
      <c r="DM3" s="69">
        <v>0</v>
      </c>
      <c r="DN3" s="69">
        <v>0</v>
      </c>
      <c r="DO3" s="69">
        <v>0</v>
      </c>
      <c r="DP3" s="69">
        <v>0</v>
      </c>
      <c r="DQ3" s="69">
        <v>0</v>
      </c>
      <c r="DR3" s="69">
        <v>0</v>
      </c>
      <c r="DS3" s="114">
        <v>2023</v>
      </c>
      <c r="DT3" s="114">
        <v>3</v>
      </c>
      <c r="DU3" s="114">
        <v>9</v>
      </c>
      <c r="DV3" s="116" t="s">
        <v>599</v>
      </c>
      <c r="DW3" s="116" t="s">
        <v>600</v>
      </c>
      <c r="DX3" s="116" t="s">
        <v>583</v>
      </c>
      <c r="DY3" s="64" t="str">
        <f>IF(B3=SUM(J3,R3,Z3,AH3,AP3,AX3,BF3,BN3,BV3,CD3,CL3,CT3,DB3,DJ3,DR3),"○","×")</f>
        <v>○</v>
      </c>
      <c r="DZ3" s="69">
        <v>0</v>
      </c>
      <c r="EA3" s="69">
        <v>0</v>
      </c>
      <c r="EB3" s="69">
        <v>0</v>
      </c>
      <c r="EC3" s="69">
        <v>0</v>
      </c>
      <c r="ED3" s="69">
        <v>0</v>
      </c>
      <c r="EE3" s="69">
        <v>0</v>
      </c>
      <c r="EF3" s="69">
        <v>0</v>
      </c>
      <c r="EG3" s="69">
        <v>0</v>
      </c>
      <c r="EH3" s="69">
        <v>0</v>
      </c>
      <c r="EI3" s="69">
        <v>0</v>
      </c>
      <c r="EJ3" s="69">
        <v>0</v>
      </c>
      <c r="EK3" s="69">
        <v>0</v>
      </c>
      <c r="EL3" s="69">
        <v>0</v>
      </c>
      <c r="EM3" s="69">
        <v>0</v>
      </c>
      <c r="EN3" s="69">
        <v>0</v>
      </c>
      <c r="EO3" s="69">
        <v>0</v>
      </c>
    </row>
    <row r="4" spans="1:145">
      <c r="A4" s="114">
        <v>103</v>
      </c>
      <c r="B4" s="102">
        <v>847000</v>
      </c>
      <c r="C4" s="102">
        <v>0</v>
      </c>
      <c r="D4" s="102">
        <v>0</v>
      </c>
      <c r="E4" s="102">
        <v>0</v>
      </c>
      <c r="F4" s="102">
        <v>0</v>
      </c>
      <c r="G4" s="102">
        <v>0</v>
      </c>
      <c r="H4" s="102">
        <v>0</v>
      </c>
      <c r="I4" s="102">
        <v>0</v>
      </c>
      <c r="J4" s="102">
        <v>0</v>
      </c>
      <c r="K4" s="102">
        <v>0</v>
      </c>
      <c r="L4" s="102">
        <v>0</v>
      </c>
      <c r="M4" s="102">
        <v>0</v>
      </c>
      <c r="N4" s="102">
        <v>0</v>
      </c>
      <c r="O4" s="102">
        <v>0</v>
      </c>
      <c r="P4" s="102">
        <v>0</v>
      </c>
      <c r="Q4" s="102">
        <v>0</v>
      </c>
      <c r="R4" s="102">
        <v>0</v>
      </c>
      <c r="S4" s="102">
        <v>847930</v>
      </c>
      <c r="T4" s="102">
        <v>0</v>
      </c>
      <c r="U4" s="102">
        <v>847930</v>
      </c>
      <c r="V4" s="102">
        <v>847930</v>
      </c>
      <c r="W4" s="102">
        <v>1965600</v>
      </c>
      <c r="X4" s="102">
        <v>847930</v>
      </c>
      <c r="Y4" s="102">
        <v>847930</v>
      </c>
      <c r="Z4" s="102">
        <v>847000</v>
      </c>
      <c r="AA4" s="102">
        <v>0</v>
      </c>
      <c r="AB4" s="102">
        <v>0</v>
      </c>
      <c r="AC4" s="102">
        <v>0</v>
      </c>
      <c r="AD4" s="102">
        <v>0</v>
      </c>
      <c r="AE4" s="102">
        <v>0</v>
      </c>
      <c r="AF4" s="102">
        <v>0</v>
      </c>
      <c r="AG4" s="102">
        <v>0</v>
      </c>
      <c r="AH4" s="102">
        <v>0</v>
      </c>
      <c r="AI4" s="102">
        <v>0</v>
      </c>
      <c r="AJ4" s="102">
        <v>0</v>
      </c>
      <c r="AK4" s="102">
        <v>0</v>
      </c>
      <c r="AL4" s="102">
        <v>0</v>
      </c>
      <c r="AM4" s="102">
        <v>0</v>
      </c>
      <c r="AN4" s="102">
        <v>0</v>
      </c>
      <c r="AO4" s="102">
        <v>0</v>
      </c>
      <c r="AP4" s="102">
        <v>0</v>
      </c>
      <c r="AQ4" s="102">
        <v>0</v>
      </c>
      <c r="AR4" s="102">
        <v>0</v>
      </c>
      <c r="AS4" s="102">
        <v>0</v>
      </c>
      <c r="AT4" s="102">
        <v>0</v>
      </c>
      <c r="AU4" s="102">
        <v>0</v>
      </c>
      <c r="AV4" s="102">
        <v>0</v>
      </c>
      <c r="AW4" s="102">
        <v>0</v>
      </c>
      <c r="AX4" s="102">
        <v>0</v>
      </c>
      <c r="AY4" s="102">
        <v>0</v>
      </c>
      <c r="AZ4" s="102">
        <v>0</v>
      </c>
      <c r="BA4" s="102">
        <v>0</v>
      </c>
      <c r="BB4" s="102">
        <v>0</v>
      </c>
      <c r="BC4" s="102">
        <v>0</v>
      </c>
      <c r="BD4" s="102">
        <v>0</v>
      </c>
      <c r="BE4" s="102">
        <v>0</v>
      </c>
      <c r="BF4" s="102">
        <v>0</v>
      </c>
      <c r="BG4" s="102">
        <v>0</v>
      </c>
      <c r="BH4" s="102">
        <v>0</v>
      </c>
      <c r="BI4" s="102">
        <v>0</v>
      </c>
      <c r="BJ4" s="102">
        <v>0</v>
      </c>
      <c r="BK4" s="102">
        <v>0</v>
      </c>
      <c r="BL4" s="102">
        <v>0</v>
      </c>
      <c r="BM4" s="102">
        <v>0</v>
      </c>
      <c r="BN4" s="102">
        <v>0</v>
      </c>
      <c r="BO4" s="102">
        <v>0</v>
      </c>
      <c r="BP4" s="102">
        <v>0</v>
      </c>
      <c r="BQ4" s="102">
        <v>0</v>
      </c>
      <c r="BR4" s="102">
        <v>0</v>
      </c>
      <c r="BS4" s="102">
        <v>0</v>
      </c>
      <c r="BT4" s="102">
        <v>0</v>
      </c>
      <c r="BU4" s="102">
        <v>0</v>
      </c>
      <c r="BV4" s="102">
        <v>0</v>
      </c>
      <c r="BW4" s="102">
        <v>0</v>
      </c>
      <c r="BX4" s="102">
        <v>0</v>
      </c>
      <c r="BY4" s="102">
        <v>0</v>
      </c>
      <c r="BZ4" s="102">
        <v>0</v>
      </c>
      <c r="CA4" s="102">
        <v>0</v>
      </c>
      <c r="CB4" s="102">
        <v>0</v>
      </c>
      <c r="CC4" s="102">
        <v>0</v>
      </c>
      <c r="CD4" s="102">
        <v>0</v>
      </c>
      <c r="CE4" s="102">
        <v>0</v>
      </c>
      <c r="CF4" s="102">
        <v>0</v>
      </c>
      <c r="CG4" s="102">
        <v>0</v>
      </c>
      <c r="CH4" s="102">
        <v>0</v>
      </c>
      <c r="CI4" s="102">
        <v>0</v>
      </c>
      <c r="CJ4" s="102">
        <v>0</v>
      </c>
      <c r="CK4" s="102">
        <v>0</v>
      </c>
      <c r="CL4" s="102">
        <v>0</v>
      </c>
      <c r="CM4" s="102">
        <v>0</v>
      </c>
      <c r="CN4" s="102">
        <v>0</v>
      </c>
      <c r="CO4" s="102">
        <v>0</v>
      </c>
      <c r="CP4" s="102">
        <v>0</v>
      </c>
      <c r="CQ4" s="102">
        <v>0</v>
      </c>
      <c r="CR4" s="102">
        <v>0</v>
      </c>
      <c r="CS4" s="102">
        <v>0</v>
      </c>
      <c r="CT4" s="102">
        <v>0</v>
      </c>
      <c r="CU4" s="102">
        <v>0</v>
      </c>
      <c r="CV4" s="102">
        <v>0</v>
      </c>
      <c r="CW4" s="102">
        <v>0</v>
      </c>
      <c r="CX4" s="102">
        <v>0</v>
      </c>
      <c r="CY4" s="102">
        <v>0</v>
      </c>
      <c r="CZ4" s="102">
        <v>0</v>
      </c>
      <c r="DA4" s="102">
        <v>0</v>
      </c>
      <c r="DB4" s="102">
        <v>0</v>
      </c>
      <c r="DC4" s="102">
        <v>0</v>
      </c>
      <c r="DD4" s="102">
        <v>0</v>
      </c>
      <c r="DE4" s="102">
        <v>0</v>
      </c>
      <c r="DF4" s="102">
        <v>0</v>
      </c>
      <c r="DG4" s="102">
        <v>0</v>
      </c>
      <c r="DH4" s="102">
        <v>0</v>
      </c>
      <c r="DI4" s="102">
        <v>0</v>
      </c>
      <c r="DJ4" s="102">
        <v>0</v>
      </c>
      <c r="DK4" s="102">
        <v>0</v>
      </c>
      <c r="DL4" s="102">
        <v>0</v>
      </c>
      <c r="DM4" s="102">
        <v>0</v>
      </c>
      <c r="DN4" s="102">
        <v>0</v>
      </c>
      <c r="DO4" s="102">
        <v>0</v>
      </c>
      <c r="DP4" s="102">
        <v>0</v>
      </c>
      <c r="DQ4" s="102">
        <v>0</v>
      </c>
      <c r="DR4" s="102">
        <v>0</v>
      </c>
      <c r="DS4" s="66">
        <v>2023</v>
      </c>
      <c r="DT4" s="66">
        <v>3</v>
      </c>
      <c r="DU4" s="66">
        <v>9</v>
      </c>
      <c r="DV4" s="66" t="s">
        <v>1012</v>
      </c>
      <c r="DW4" s="66" t="s">
        <v>614</v>
      </c>
      <c r="DX4" s="66" t="s">
        <v>583</v>
      </c>
      <c r="DY4" s="64" t="str">
        <f t="shared" ref="DY4:DY53" si="0">IF(B4=SUM(J4,R4,Z4,AH4,AP4,AX4,BF4,BN4,BV4,CD4,CL4,CT4,DB4,DJ4,DR4),"○","×")</f>
        <v>○</v>
      </c>
      <c r="DZ4" s="102">
        <v>0</v>
      </c>
      <c r="EA4" s="102">
        <v>0</v>
      </c>
      <c r="EB4" s="102">
        <v>0</v>
      </c>
      <c r="EC4" s="102">
        <v>0</v>
      </c>
      <c r="ED4" s="102">
        <v>0</v>
      </c>
      <c r="EE4" s="102">
        <v>0</v>
      </c>
      <c r="EF4" s="102">
        <v>0</v>
      </c>
      <c r="EG4" s="102">
        <v>0</v>
      </c>
      <c r="EH4" s="102">
        <v>0</v>
      </c>
      <c r="EI4" s="102">
        <v>0</v>
      </c>
      <c r="EJ4" s="102">
        <v>0</v>
      </c>
      <c r="EK4" s="102">
        <v>0</v>
      </c>
      <c r="EL4" s="102">
        <v>0</v>
      </c>
      <c r="EM4" s="102">
        <v>0</v>
      </c>
      <c r="EN4" s="102">
        <v>0</v>
      </c>
      <c r="EO4" s="102">
        <v>0</v>
      </c>
    </row>
    <row r="5" spans="1:145">
      <c r="A5" s="114">
        <v>104</v>
      </c>
      <c r="B5" s="102">
        <v>2624000</v>
      </c>
      <c r="C5" s="102">
        <v>0</v>
      </c>
      <c r="D5" s="102">
        <v>0</v>
      </c>
      <c r="E5" s="102">
        <v>0</v>
      </c>
      <c r="F5" s="102">
        <v>0</v>
      </c>
      <c r="G5" s="102">
        <v>0</v>
      </c>
      <c r="H5" s="102">
        <v>0</v>
      </c>
      <c r="I5" s="102">
        <v>0</v>
      </c>
      <c r="J5" s="102">
        <v>0</v>
      </c>
      <c r="K5" s="102">
        <v>0</v>
      </c>
      <c r="L5" s="102">
        <v>0</v>
      </c>
      <c r="M5" s="102">
        <v>0</v>
      </c>
      <c r="N5" s="102">
        <v>0</v>
      </c>
      <c r="O5" s="102">
        <v>0</v>
      </c>
      <c r="P5" s="102">
        <v>0</v>
      </c>
      <c r="Q5" s="102">
        <v>0</v>
      </c>
      <c r="R5" s="102">
        <v>0</v>
      </c>
      <c r="S5" s="102">
        <v>2624385</v>
      </c>
      <c r="T5" s="102">
        <v>0</v>
      </c>
      <c r="U5" s="102">
        <v>2624385</v>
      </c>
      <c r="V5" s="102">
        <v>2624385</v>
      </c>
      <c r="W5" s="102">
        <v>17690400</v>
      </c>
      <c r="X5" s="102">
        <v>2624385</v>
      </c>
      <c r="Y5" s="102">
        <v>2624385</v>
      </c>
      <c r="Z5" s="102">
        <v>2624000</v>
      </c>
      <c r="AA5" s="102">
        <v>0</v>
      </c>
      <c r="AB5" s="102">
        <v>0</v>
      </c>
      <c r="AC5" s="102">
        <v>0</v>
      </c>
      <c r="AD5" s="102">
        <v>0</v>
      </c>
      <c r="AE5" s="102">
        <v>0</v>
      </c>
      <c r="AF5" s="102">
        <v>0</v>
      </c>
      <c r="AG5" s="102">
        <v>0</v>
      </c>
      <c r="AH5" s="102">
        <v>0</v>
      </c>
      <c r="AI5" s="102">
        <v>0</v>
      </c>
      <c r="AJ5" s="102">
        <v>0</v>
      </c>
      <c r="AK5" s="102">
        <v>0</v>
      </c>
      <c r="AL5" s="102">
        <v>0</v>
      </c>
      <c r="AM5" s="102">
        <v>0</v>
      </c>
      <c r="AN5" s="102">
        <v>0</v>
      </c>
      <c r="AO5" s="102">
        <v>0</v>
      </c>
      <c r="AP5" s="102">
        <v>0</v>
      </c>
      <c r="AQ5" s="102">
        <v>0</v>
      </c>
      <c r="AR5" s="102">
        <v>0</v>
      </c>
      <c r="AS5" s="102">
        <v>0</v>
      </c>
      <c r="AT5" s="102">
        <v>0</v>
      </c>
      <c r="AU5" s="102">
        <v>0</v>
      </c>
      <c r="AV5" s="102">
        <v>0</v>
      </c>
      <c r="AW5" s="102">
        <v>0</v>
      </c>
      <c r="AX5" s="102">
        <v>0</v>
      </c>
      <c r="AY5" s="102">
        <v>0</v>
      </c>
      <c r="AZ5" s="102">
        <v>0</v>
      </c>
      <c r="BA5" s="102">
        <v>0</v>
      </c>
      <c r="BB5" s="102">
        <v>0</v>
      </c>
      <c r="BC5" s="102">
        <v>0</v>
      </c>
      <c r="BD5" s="102">
        <v>0</v>
      </c>
      <c r="BE5" s="102">
        <v>0</v>
      </c>
      <c r="BF5" s="102">
        <v>0</v>
      </c>
      <c r="BG5" s="102">
        <v>0</v>
      </c>
      <c r="BH5" s="102">
        <v>0</v>
      </c>
      <c r="BI5" s="102">
        <v>0</v>
      </c>
      <c r="BJ5" s="102">
        <v>0</v>
      </c>
      <c r="BK5" s="102">
        <v>0</v>
      </c>
      <c r="BL5" s="102">
        <v>0</v>
      </c>
      <c r="BM5" s="102">
        <v>0</v>
      </c>
      <c r="BN5" s="102">
        <v>0</v>
      </c>
      <c r="BO5" s="102">
        <v>0</v>
      </c>
      <c r="BP5" s="102">
        <v>0</v>
      </c>
      <c r="BQ5" s="102">
        <v>0</v>
      </c>
      <c r="BR5" s="102">
        <v>0</v>
      </c>
      <c r="BS5" s="102">
        <v>0</v>
      </c>
      <c r="BT5" s="102">
        <v>0</v>
      </c>
      <c r="BU5" s="102">
        <v>0</v>
      </c>
      <c r="BV5" s="102">
        <v>0</v>
      </c>
      <c r="BW5" s="102">
        <v>0</v>
      </c>
      <c r="BX5" s="102">
        <v>0</v>
      </c>
      <c r="BY5" s="102">
        <v>0</v>
      </c>
      <c r="BZ5" s="102">
        <v>0</v>
      </c>
      <c r="CA5" s="102">
        <v>0</v>
      </c>
      <c r="CB5" s="102">
        <v>0</v>
      </c>
      <c r="CC5" s="102">
        <v>0</v>
      </c>
      <c r="CD5" s="102">
        <v>0</v>
      </c>
      <c r="CE5" s="102">
        <v>0</v>
      </c>
      <c r="CF5" s="102">
        <v>0</v>
      </c>
      <c r="CG5" s="102">
        <v>0</v>
      </c>
      <c r="CH5" s="102">
        <v>0</v>
      </c>
      <c r="CI5" s="102">
        <v>0</v>
      </c>
      <c r="CJ5" s="102">
        <v>0</v>
      </c>
      <c r="CK5" s="102">
        <v>0</v>
      </c>
      <c r="CL5" s="102">
        <v>0</v>
      </c>
      <c r="CM5" s="102">
        <v>0</v>
      </c>
      <c r="CN5" s="102">
        <v>0</v>
      </c>
      <c r="CO5" s="102">
        <v>0</v>
      </c>
      <c r="CP5" s="102">
        <v>0</v>
      </c>
      <c r="CQ5" s="102">
        <v>0</v>
      </c>
      <c r="CR5" s="102">
        <v>0</v>
      </c>
      <c r="CS5" s="102">
        <v>0</v>
      </c>
      <c r="CT5" s="102">
        <v>0</v>
      </c>
      <c r="CU5" s="102">
        <v>0</v>
      </c>
      <c r="CV5" s="102">
        <v>0</v>
      </c>
      <c r="CW5" s="102">
        <v>0</v>
      </c>
      <c r="CX5" s="102">
        <v>0</v>
      </c>
      <c r="CY5" s="102">
        <v>0</v>
      </c>
      <c r="CZ5" s="102">
        <v>0</v>
      </c>
      <c r="DA5" s="102">
        <v>0</v>
      </c>
      <c r="DB5" s="102">
        <v>0</v>
      </c>
      <c r="DC5" s="102">
        <v>0</v>
      </c>
      <c r="DD5" s="102">
        <v>0</v>
      </c>
      <c r="DE5" s="102">
        <v>0</v>
      </c>
      <c r="DF5" s="102">
        <v>0</v>
      </c>
      <c r="DG5" s="102">
        <v>0</v>
      </c>
      <c r="DH5" s="102">
        <v>0</v>
      </c>
      <c r="DI5" s="102">
        <v>0</v>
      </c>
      <c r="DJ5" s="102">
        <v>0</v>
      </c>
      <c r="DK5" s="102">
        <v>0</v>
      </c>
      <c r="DL5" s="102">
        <v>0</v>
      </c>
      <c r="DM5" s="102">
        <v>0</v>
      </c>
      <c r="DN5" s="102">
        <v>0</v>
      </c>
      <c r="DO5" s="102">
        <v>0</v>
      </c>
      <c r="DP5" s="102">
        <v>0</v>
      </c>
      <c r="DQ5" s="102">
        <v>0</v>
      </c>
      <c r="DR5" s="102">
        <v>0</v>
      </c>
      <c r="DS5" s="66">
        <v>2023</v>
      </c>
      <c r="DT5" s="66">
        <v>3</v>
      </c>
      <c r="DU5" s="66">
        <v>9</v>
      </c>
      <c r="DV5" s="66" t="s">
        <v>621</v>
      </c>
      <c r="DW5" s="66" t="s">
        <v>610</v>
      </c>
      <c r="DX5" s="66" t="s">
        <v>583</v>
      </c>
      <c r="DY5" s="64" t="str">
        <f t="shared" si="0"/>
        <v>○</v>
      </c>
      <c r="DZ5" s="102">
        <v>0</v>
      </c>
      <c r="EA5" s="102">
        <v>0</v>
      </c>
      <c r="EB5" s="102">
        <v>0</v>
      </c>
      <c r="EC5" s="102">
        <v>0</v>
      </c>
      <c r="ED5" s="102">
        <v>0</v>
      </c>
      <c r="EE5" s="102">
        <v>0</v>
      </c>
      <c r="EF5" s="102">
        <v>0</v>
      </c>
      <c r="EG5" s="102">
        <v>0</v>
      </c>
      <c r="EH5" s="102">
        <v>0</v>
      </c>
      <c r="EI5" s="102">
        <v>0</v>
      </c>
      <c r="EJ5" s="102">
        <v>0</v>
      </c>
      <c r="EK5" s="102">
        <v>0</v>
      </c>
      <c r="EL5" s="102">
        <v>0</v>
      </c>
      <c r="EM5" s="102">
        <v>0</v>
      </c>
      <c r="EN5" s="102">
        <v>0</v>
      </c>
      <c r="EO5" s="102">
        <v>0</v>
      </c>
    </row>
    <row r="6" spans="1:145">
      <c r="A6" s="114">
        <v>105</v>
      </c>
      <c r="B6" s="102">
        <v>2981000</v>
      </c>
      <c r="C6" s="102">
        <v>0</v>
      </c>
      <c r="D6" s="102">
        <v>0</v>
      </c>
      <c r="E6" s="102">
        <v>0</v>
      </c>
      <c r="F6" s="102">
        <v>0</v>
      </c>
      <c r="G6" s="102">
        <v>0</v>
      </c>
      <c r="H6" s="102">
        <v>0</v>
      </c>
      <c r="I6" s="102">
        <v>0</v>
      </c>
      <c r="J6" s="102">
        <v>0</v>
      </c>
      <c r="K6" s="102">
        <v>0</v>
      </c>
      <c r="L6" s="102">
        <v>0</v>
      </c>
      <c r="M6" s="102">
        <v>0</v>
      </c>
      <c r="N6" s="102">
        <v>0</v>
      </c>
      <c r="O6" s="102">
        <v>0</v>
      </c>
      <c r="P6" s="102">
        <v>0</v>
      </c>
      <c r="Q6" s="102">
        <v>0</v>
      </c>
      <c r="R6" s="102">
        <v>0</v>
      </c>
      <c r="S6" s="102">
        <v>2981520</v>
      </c>
      <c r="T6" s="102">
        <v>0</v>
      </c>
      <c r="U6" s="102">
        <v>2981520</v>
      </c>
      <c r="V6" s="102">
        <v>2981520</v>
      </c>
      <c r="W6" s="102">
        <v>16380000</v>
      </c>
      <c r="X6" s="102">
        <v>2981520</v>
      </c>
      <c r="Y6" s="102">
        <v>2981520</v>
      </c>
      <c r="Z6" s="102">
        <v>2981000</v>
      </c>
      <c r="AA6" s="102">
        <v>0</v>
      </c>
      <c r="AB6" s="102">
        <v>0</v>
      </c>
      <c r="AC6" s="102">
        <v>0</v>
      </c>
      <c r="AD6" s="102">
        <v>0</v>
      </c>
      <c r="AE6" s="102">
        <v>0</v>
      </c>
      <c r="AF6" s="102">
        <v>0</v>
      </c>
      <c r="AG6" s="102">
        <v>0</v>
      </c>
      <c r="AH6" s="102">
        <v>0</v>
      </c>
      <c r="AI6" s="102">
        <v>0</v>
      </c>
      <c r="AJ6" s="102">
        <v>0</v>
      </c>
      <c r="AK6" s="102">
        <v>0</v>
      </c>
      <c r="AL6" s="102">
        <v>0</v>
      </c>
      <c r="AM6" s="102">
        <v>0</v>
      </c>
      <c r="AN6" s="102">
        <v>0</v>
      </c>
      <c r="AO6" s="102">
        <v>0</v>
      </c>
      <c r="AP6" s="102">
        <v>0</v>
      </c>
      <c r="AQ6" s="102">
        <v>0</v>
      </c>
      <c r="AR6" s="102">
        <v>0</v>
      </c>
      <c r="AS6" s="102">
        <v>0</v>
      </c>
      <c r="AT6" s="102">
        <v>0</v>
      </c>
      <c r="AU6" s="102">
        <v>0</v>
      </c>
      <c r="AV6" s="102">
        <v>0</v>
      </c>
      <c r="AW6" s="102">
        <v>0</v>
      </c>
      <c r="AX6" s="102">
        <v>0</v>
      </c>
      <c r="AY6" s="102">
        <v>0</v>
      </c>
      <c r="AZ6" s="102">
        <v>0</v>
      </c>
      <c r="BA6" s="102">
        <v>0</v>
      </c>
      <c r="BB6" s="102">
        <v>0</v>
      </c>
      <c r="BC6" s="102">
        <v>0</v>
      </c>
      <c r="BD6" s="102">
        <v>0</v>
      </c>
      <c r="BE6" s="102">
        <v>0</v>
      </c>
      <c r="BF6" s="102">
        <v>0</v>
      </c>
      <c r="BG6" s="102">
        <v>0</v>
      </c>
      <c r="BH6" s="102">
        <v>0</v>
      </c>
      <c r="BI6" s="102">
        <v>0</v>
      </c>
      <c r="BJ6" s="102">
        <v>0</v>
      </c>
      <c r="BK6" s="102">
        <v>0</v>
      </c>
      <c r="BL6" s="102">
        <v>0</v>
      </c>
      <c r="BM6" s="102">
        <v>0</v>
      </c>
      <c r="BN6" s="102">
        <v>0</v>
      </c>
      <c r="BO6" s="102">
        <v>0</v>
      </c>
      <c r="BP6" s="102">
        <v>0</v>
      </c>
      <c r="BQ6" s="102">
        <v>0</v>
      </c>
      <c r="BR6" s="102">
        <v>0</v>
      </c>
      <c r="BS6" s="102">
        <v>0</v>
      </c>
      <c r="BT6" s="102">
        <v>0</v>
      </c>
      <c r="BU6" s="102">
        <v>0</v>
      </c>
      <c r="BV6" s="102">
        <v>0</v>
      </c>
      <c r="BW6" s="102">
        <v>0</v>
      </c>
      <c r="BX6" s="102">
        <v>0</v>
      </c>
      <c r="BY6" s="102">
        <v>0</v>
      </c>
      <c r="BZ6" s="102">
        <v>0</v>
      </c>
      <c r="CA6" s="102">
        <v>0</v>
      </c>
      <c r="CB6" s="102">
        <v>0</v>
      </c>
      <c r="CC6" s="102">
        <v>0</v>
      </c>
      <c r="CD6" s="102">
        <v>0</v>
      </c>
      <c r="CE6" s="102">
        <v>0</v>
      </c>
      <c r="CF6" s="102">
        <v>0</v>
      </c>
      <c r="CG6" s="102">
        <v>0</v>
      </c>
      <c r="CH6" s="102">
        <v>0</v>
      </c>
      <c r="CI6" s="102">
        <v>0</v>
      </c>
      <c r="CJ6" s="102">
        <v>0</v>
      </c>
      <c r="CK6" s="102">
        <v>0</v>
      </c>
      <c r="CL6" s="102">
        <v>0</v>
      </c>
      <c r="CM6" s="102">
        <v>0</v>
      </c>
      <c r="CN6" s="102">
        <v>0</v>
      </c>
      <c r="CO6" s="102">
        <v>0</v>
      </c>
      <c r="CP6" s="102">
        <v>0</v>
      </c>
      <c r="CQ6" s="102">
        <v>0</v>
      </c>
      <c r="CR6" s="102">
        <v>0</v>
      </c>
      <c r="CS6" s="102">
        <v>0</v>
      </c>
      <c r="CT6" s="102">
        <v>0</v>
      </c>
      <c r="CU6" s="102">
        <v>0</v>
      </c>
      <c r="CV6" s="102">
        <v>0</v>
      </c>
      <c r="CW6" s="102">
        <v>0</v>
      </c>
      <c r="CX6" s="102">
        <v>0</v>
      </c>
      <c r="CY6" s="102">
        <v>0</v>
      </c>
      <c r="CZ6" s="102">
        <v>0</v>
      </c>
      <c r="DA6" s="102">
        <v>0</v>
      </c>
      <c r="DB6" s="102">
        <v>0</v>
      </c>
      <c r="DC6" s="102">
        <v>0</v>
      </c>
      <c r="DD6" s="102">
        <v>0</v>
      </c>
      <c r="DE6" s="102">
        <v>0</v>
      </c>
      <c r="DF6" s="102">
        <v>0</v>
      </c>
      <c r="DG6" s="102">
        <v>0</v>
      </c>
      <c r="DH6" s="102">
        <v>0</v>
      </c>
      <c r="DI6" s="102">
        <v>0</v>
      </c>
      <c r="DJ6" s="102">
        <v>0</v>
      </c>
      <c r="DK6" s="102">
        <v>0</v>
      </c>
      <c r="DL6" s="102">
        <v>0</v>
      </c>
      <c r="DM6" s="102">
        <v>0</v>
      </c>
      <c r="DN6" s="102">
        <v>0</v>
      </c>
      <c r="DO6" s="102">
        <v>0</v>
      </c>
      <c r="DP6" s="102">
        <v>0</v>
      </c>
      <c r="DQ6" s="102">
        <v>0</v>
      </c>
      <c r="DR6" s="102">
        <v>0</v>
      </c>
      <c r="DS6" s="66">
        <v>2023</v>
      </c>
      <c r="DT6" s="66">
        <v>3</v>
      </c>
      <c r="DU6" s="66">
        <v>9</v>
      </c>
      <c r="DV6" s="66" t="s">
        <v>586</v>
      </c>
      <c r="DW6" s="66" t="s">
        <v>601</v>
      </c>
      <c r="DX6" s="66" t="s">
        <v>583</v>
      </c>
      <c r="DY6" s="64" t="str">
        <f t="shared" si="0"/>
        <v>○</v>
      </c>
      <c r="DZ6" s="102">
        <v>0</v>
      </c>
      <c r="EA6" s="102">
        <v>0</v>
      </c>
      <c r="EB6" s="102">
        <v>0</v>
      </c>
      <c r="EC6" s="102">
        <v>0</v>
      </c>
      <c r="ED6" s="102">
        <v>0</v>
      </c>
      <c r="EE6" s="102">
        <v>0</v>
      </c>
      <c r="EF6" s="102">
        <v>0</v>
      </c>
      <c r="EG6" s="102">
        <v>0</v>
      </c>
      <c r="EH6" s="102">
        <v>0</v>
      </c>
      <c r="EI6" s="102">
        <v>0</v>
      </c>
      <c r="EJ6" s="102">
        <v>0</v>
      </c>
      <c r="EK6" s="102">
        <v>0</v>
      </c>
      <c r="EL6" s="102">
        <v>0</v>
      </c>
      <c r="EM6" s="102">
        <v>0</v>
      </c>
      <c r="EN6" s="102">
        <v>0</v>
      </c>
      <c r="EO6" s="102">
        <v>0</v>
      </c>
    </row>
    <row r="7" spans="1:145">
      <c r="A7" s="114">
        <v>106</v>
      </c>
      <c r="B7" s="102">
        <v>6009000</v>
      </c>
      <c r="C7" s="102">
        <v>0</v>
      </c>
      <c r="D7" s="102">
        <v>0</v>
      </c>
      <c r="E7" s="102">
        <v>0</v>
      </c>
      <c r="F7" s="102">
        <v>0</v>
      </c>
      <c r="G7" s="102">
        <v>0</v>
      </c>
      <c r="H7" s="102">
        <v>0</v>
      </c>
      <c r="I7" s="102">
        <v>0</v>
      </c>
      <c r="J7" s="102">
        <v>0</v>
      </c>
      <c r="K7" s="102">
        <v>0</v>
      </c>
      <c r="L7" s="102">
        <v>0</v>
      </c>
      <c r="M7" s="102">
        <v>0</v>
      </c>
      <c r="N7" s="102">
        <v>0</v>
      </c>
      <c r="O7" s="102">
        <v>0</v>
      </c>
      <c r="P7" s="102">
        <v>0</v>
      </c>
      <c r="Q7" s="102">
        <v>0</v>
      </c>
      <c r="R7" s="102">
        <v>0</v>
      </c>
      <c r="S7" s="102">
        <v>6009100</v>
      </c>
      <c r="T7" s="102">
        <v>0</v>
      </c>
      <c r="U7" s="102">
        <v>6009100</v>
      </c>
      <c r="V7" s="102">
        <v>6009100</v>
      </c>
      <c r="W7" s="102">
        <v>22932000</v>
      </c>
      <c r="X7" s="102">
        <v>6009100</v>
      </c>
      <c r="Y7" s="102">
        <v>6009100</v>
      </c>
      <c r="Z7" s="102">
        <v>6009000</v>
      </c>
      <c r="AA7" s="102">
        <v>0</v>
      </c>
      <c r="AB7" s="102">
        <v>0</v>
      </c>
      <c r="AC7" s="102">
        <v>0</v>
      </c>
      <c r="AD7" s="102">
        <v>0</v>
      </c>
      <c r="AE7" s="102">
        <v>0</v>
      </c>
      <c r="AF7" s="102">
        <v>0</v>
      </c>
      <c r="AG7" s="102">
        <v>0</v>
      </c>
      <c r="AH7" s="102">
        <v>0</v>
      </c>
      <c r="AI7" s="102">
        <v>0</v>
      </c>
      <c r="AJ7" s="102">
        <v>0</v>
      </c>
      <c r="AK7" s="102">
        <v>0</v>
      </c>
      <c r="AL7" s="102">
        <v>0</v>
      </c>
      <c r="AM7" s="102">
        <v>0</v>
      </c>
      <c r="AN7" s="102">
        <v>0</v>
      </c>
      <c r="AO7" s="102">
        <v>0</v>
      </c>
      <c r="AP7" s="102">
        <v>0</v>
      </c>
      <c r="AQ7" s="102">
        <v>0</v>
      </c>
      <c r="AR7" s="102">
        <v>0</v>
      </c>
      <c r="AS7" s="102">
        <v>0</v>
      </c>
      <c r="AT7" s="102">
        <v>0</v>
      </c>
      <c r="AU7" s="102">
        <v>0</v>
      </c>
      <c r="AV7" s="102">
        <v>0</v>
      </c>
      <c r="AW7" s="102">
        <v>0</v>
      </c>
      <c r="AX7" s="102">
        <v>0</v>
      </c>
      <c r="AY7" s="102">
        <v>0</v>
      </c>
      <c r="AZ7" s="102">
        <v>0</v>
      </c>
      <c r="BA7" s="102">
        <v>0</v>
      </c>
      <c r="BB7" s="102">
        <v>0</v>
      </c>
      <c r="BC7" s="102">
        <v>0</v>
      </c>
      <c r="BD7" s="102">
        <v>0</v>
      </c>
      <c r="BE7" s="102">
        <v>0</v>
      </c>
      <c r="BF7" s="102">
        <v>0</v>
      </c>
      <c r="BG7" s="102">
        <v>0</v>
      </c>
      <c r="BH7" s="102">
        <v>0</v>
      </c>
      <c r="BI7" s="102">
        <v>0</v>
      </c>
      <c r="BJ7" s="102">
        <v>0</v>
      </c>
      <c r="BK7" s="102">
        <v>0</v>
      </c>
      <c r="BL7" s="102">
        <v>0</v>
      </c>
      <c r="BM7" s="102">
        <v>0</v>
      </c>
      <c r="BN7" s="102">
        <v>0</v>
      </c>
      <c r="BO7" s="102">
        <v>0</v>
      </c>
      <c r="BP7" s="102">
        <v>0</v>
      </c>
      <c r="BQ7" s="102">
        <v>0</v>
      </c>
      <c r="BR7" s="102">
        <v>0</v>
      </c>
      <c r="BS7" s="102">
        <v>0</v>
      </c>
      <c r="BT7" s="102">
        <v>0</v>
      </c>
      <c r="BU7" s="102">
        <v>0</v>
      </c>
      <c r="BV7" s="102">
        <v>0</v>
      </c>
      <c r="BW7" s="102">
        <v>0</v>
      </c>
      <c r="BX7" s="102">
        <v>0</v>
      </c>
      <c r="BY7" s="102">
        <v>0</v>
      </c>
      <c r="BZ7" s="102">
        <v>0</v>
      </c>
      <c r="CA7" s="102">
        <v>0</v>
      </c>
      <c r="CB7" s="102">
        <v>0</v>
      </c>
      <c r="CC7" s="102">
        <v>0</v>
      </c>
      <c r="CD7" s="102">
        <v>0</v>
      </c>
      <c r="CE7" s="102">
        <v>0</v>
      </c>
      <c r="CF7" s="102">
        <v>0</v>
      </c>
      <c r="CG7" s="102">
        <v>0</v>
      </c>
      <c r="CH7" s="102">
        <v>0</v>
      </c>
      <c r="CI7" s="102">
        <v>0</v>
      </c>
      <c r="CJ7" s="102">
        <v>0</v>
      </c>
      <c r="CK7" s="102">
        <v>0</v>
      </c>
      <c r="CL7" s="102">
        <v>0</v>
      </c>
      <c r="CM7" s="102">
        <v>0</v>
      </c>
      <c r="CN7" s="102">
        <v>0</v>
      </c>
      <c r="CO7" s="102">
        <v>0</v>
      </c>
      <c r="CP7" s="102">
        <v>0</v>
      </c>
      <c r="CQ7" s="102">
        <v>0</v>
      </c>
      <c r="CR7" s="102">
        <v>0</v>
      </c>
      <c r="CS7" s="102">
        <v>0</v>
      </c>
      <c r="CT7" s="102">
        <v>0</v>
      </c>
      <c r="CU7" s="102">
        <v>0</v>
      </c>
      <c r="CV7" s="102">
        <v>0</v>
      </c>
      <c r="CW7" s="102">
        <v>0</v>
      </c>
      <c r="CX7" s="102">
        <v>0</v>
      </c>
      <c r="CY7" s="102">
        <v>0</v>
      </c>
      <c r="CZ7" s="102">
        <v>0</v>
      </c>
      <c r="DA7" s="102">
        <v>0</v>
      </c>
      <c r="DB7" s="102">
        <v>0</v>
      </c>
      <c r="DC7" s="102">
        <v>0</v>
      </c>
      <c r="DD7" s="102">
        <v>0</v>
      </c>
      <c r="DE7" s="102">
        <v>0</v>
      </c>
      <c r="DF7" s="102">
        <v>0</v>
      </c>
      <c r="DG7" s="102">
        <v>0</v>
      </c>
      <c r="DH7" s="102">
        <v>0</v>
      </c>
      <c r="DI7" s="102">
        <v>0</v>
      </c>
      <c r="DJ7" s="102">
        <v>0</v>
      </c>
      <c r="DK7" s="102">
        <v>0</v>
      </c>
      <c r="DL7" s="102">
        <v>0</v>
      </c>
      <c r="DM7" s="102">
        <v>0</v>
      </c>
      <c r="DN7" s="102">
        <v>0</v>
      </c>
      <c r="DO7" s="102">
        <v>0</v>
      </c>
      <c r="DP7" s="102">
        <v>0</v>
      </c>
      <c r="DQ7" s="102">
        <v>0</v>
      </c>
      <c r="DR7" s="102">
        <v>0</v>
      </c>
      <c r="DS7" s="66">
        <v>2023</v>
      </c>
      <c r="DT7" s="66">
        <v>3</v>
      </c>
      <c r="DU7" s="66">
        <v>9</v>
      </c>
      <c r="DV7" s="66" t="s">
        <v>586</v>
      </c>
      <c r="DW7" s="66" t="s">
        <v>620</v>
      </c>
      <c r="DX7" s="66" t="s">
        <v>597</v>
      </c>
      <c r="DY7" s="64" t="str">
        <f t="shared" si="0"/>
        <v>○</v>
      </c>
      <c r="DZ7" s="102">
        <v>0</v>
      </c>
      <c r="EA7" s="102">
        <v>0</v>
      </c>
      <c r="EB7" s="102">
        <v>0</v>
      </c>
      <c r="EC7" s="102">
        <v>0</v>
      </c>
      <c r="ED7" s="102">
        <v>0</v>
      </c>
      <c r="EE7" s="102">
        <v>0</v>
      </c>
      <c r="EF7" s="102">
        <v>0</v>
      </c>
      <c r="EG7" s="102">
        <v>0</v>
      </c>
      <c r="EH7" s="102">
        <v>0</v>
      </c>
      <c r="EI7" s="102">
        <v>0</v>
      </c>
      <c r="EJ7" s="102">
        <v>0</v>
      </c>
      <c r="EK7" s="102">
        <v>0</v>
      </c>
      <c r="EL7" s="102">
        <v>0</v>
      </c>
      <c r="EM7" s="102">
        <v>0</v>
      </c>
      <c r="EN7" s="102">
        <v>0</v>
      </c>
      <c r="EO7" s="102">
        <v>0</v>
      </c>
    </row>
    <row r="8" spans="1:145">
      <c r="A8" s="114">
        <v>108</v>
      </c>
      <c r="B8" s="102">
        <v>5173000</v>
      </c>
      <c r="C8" s="102">
        <v>0</v>
      </c>
      <c r="D8" s="102">
        <v>0</v>
      </c>
      <c r="E8" s="102">
        <v>0</v>
      </c>
      <c r="F8" s="102">
        <v>0</v>
      </c>
      <c r="G8" s="102">
        <v>0</v>
      </c>
      <c r="H8" s="102">
        <v>0</v>
      </c>
      <c r="I8" s="102">
        <v>0</v>
      </c>
      <c r="J8" s="102">
        <v>0</v>
      </c>
      <c r="K8" s="102">
        <v>0</v>
      </c>
      <c r="L8" s="102">
        <v>0</v>
      </c>
      <c r="M8" s="102">
        <v>0</v>
      </c>
      <c r="N8" s="102">
        <v>0</v>
      </c>
      <c r="O8" s="102">
        <v>0</v>
      </c>
      <c r="P8" s="102">
        <v>0</v>
      </c>
      <c r="Q8" s="102">
        <v>0</v>
      </c>
      <c r="R8" s="102">
        <v>0</v>
      </c>
      <c r="S8" s="102">
        <v>5173130</v>
      </c>
      <c r="T8" s="102">
        <v>0</v>
      </c>
      <c r="U8" s="102">
        <v>5173130</v>
      </c>
      <c r="V8" s="102">
        <v>5173130</v>
      </c>
      <c r="W8" s="102">
        <v>6552000</v>
      </c>
      <c r="X8" s="102">
        <v>5173130</v>
      </c>
      <c r="Y8" s="102">
        <v>5173130</v>
      </c>
      <c r="Z8" s="102">
        <v>5173000</v>
      </c>
      <c r="AA8" s="102">
        <v>0</v>
      </c>
      <c r="AB8" s="102">
        <v>0</v>
      </c>
      <c r="AC8" s="102">
        <v>0</v>
      </c>
      <c r="AD8" s="102">
        <v>0</v>
      </c>
      <c r="AE8" s="102">
        <v>0</v>
      </c>
      <c r="AF8" s="102">
        <v>0</v>
      </c>
      <c r="AG8" s="102">
        <v>0</v>
      </c>
      <c r="AH8" s="102">
        <v>0</v>
      </c>
      <c r="AI8" s="102">
        <v>0</v>
      </c>
      <c r="AJ8" s="102">
        <v>0</v>
      </c>
      <c r="AK8" s="102">
        <v>0</v>
      </c>
      <c r="AL8" s="102">
        <v>0</v>
      </c>
      <c r="AM8" s="102">
        <v>0</v>
      </c>
      <c r="AN8" s="102">
        <v>0</v>
      </c>
      <c r="AO8" s="102">
        <v>0</v>
      </c>
      <c r="AP8" s="102">
        <v>0</v>
      </c>
      <c r="AQ8" s="102">
        <v>0</v>
      </c>
      <c r="AR8" s="102">
        <v>0</v>
      </c>
      <c r="AS8" s="102">
        <v>0</v>
      </c>
      <c r="AT8" s="102">
        <v>0</v>
      </c>
      <c r="AU8" s="102">
        <v>0</v>
      </c>
      <c r="AV8" s="102">
        <v>0</v>
      </c>
      <c r="AW8" s="102">
        <v>0</v>
      </c>
      <c r="AX8" s="102">
        <v>0</v>
      </c>
      <c r="AY8" s="102">
        <v>0</v>
      </c>
      <c r="AZ8" s="102">
        <v>0</v>
      </c>
      <c r="BA8" s="102">
        <v>0</v>
      </c>
      <c r="BB8" s="102">
        <v>0</v>
      </c>
      <c r="BC8" s="102">
        <v>0</v>
      </c>
      <c r="BD8" s="102">
        <v>0</v>
      </c>
      <c r="BE8" s="102">
        <v>0</v>
      </c>
      <c r="BF8" s="102">
        <v>0</v>
      </c>
      <c r="BG8" s="102">
        <v>0</v>
      </c>
      <c r="BH8" s="102">
        <v>0</v>
      </c>
      <c r="BI8" s="102">
        <v>0</v>
      </c>
      <c r="BJ8" s="102">
        <v>0</v>
      </c>
      <c r="BK8" s="102">
        <v>0</v>
      </c>
      <c r="BL8" s="102">
        <v>0</v>
      </c>
      <c r="BM8" s="102">
        <v>0</v>
      </c>
      <c r="BN8" s="102">
        <v>0</v>
      </c>
      <c r="BO8" s="102">
        <v>0</v>
      </c>
      <c r="BP8" s="102">
        <v>0</v>
      </c>
      <c r="BQ8" s="102">
        <v>0</v>
      </c>
      <c r="BR8" s="102">
        <v>0</v>
      </c>
      <c r="BS8" s="102">
        <v>0</v>
      </c>
      <c r="BT8" s="102">
        <v>0</v>
      </c>
      <c r="BU8" s="102">
        <v>0</v>
      </c>
      <c r="BV8" s="102">
        <v>0</v>
      </c>
      <c r="BW8" s="102">
        <v>0</v>
      </c>
      <c r="BX8" s="102">
        <v>0</v>
      </c>
      <c r="BY8" s="102">
        <v>0</v>
      </c>
      <c r="BZ8" s="102">
        <v>0</v>
      </c>
      <c r="CA8" s="102">
        <v>0</v>
      </c>
      <c r="CB8" s="102">
        <v>0</v>
      </c>
      <c r="CC8" s="102">
        <v>0</v>
      </c>
      <c r="CD8" s="102">
        <v>0</v>
      </c>
      <c r="CE8" s="102">
        <v>0</v>
      </c>
      <c r="CF8" s="102">
        <v>0</v>
      </c>
      <c r="CG8" s="102">
        <v>0</v>
      </c>
      <c r="CH8" s="102">
        <v>0</v>
      </c>
      <c r="CI8" s="102">
        <v>0</v>
      </c>
      <c r="CJ8" s="102">
        <v>0</v>
      </c>
      <c r="CK8" s="102">
        <v>0</v>
      </c>
      <c r="CL8" s="102">
        <v>0</v>
      </c>
      <c r="CM8" s="102">
        <v>0</v>
      </c>
      <c r="CN8" s="102">
        <v>0</v>
      </c>
      <c r="CO8" s="102">
        <v>0</v>
      </c>
      <c r="CP8" s="102">
        <v>0</v>
      </c>
      <c r="CQ8" s="102">
        <v>0</v>
      </c>
      <c r="CR8" s="102">
        <v>0</v>
      </c>
      <c r="CS8" s="102">
        <v>0</v>
      </c>
      <c r="CT8" s="102">
        <v>0</v>
      </c>
      <c r="CU8" s="102">
        <v>0</v>
      </c>
      <c r="CV8" s="102">
        <v>0</v>
      </c>
      <c r="CW8" s="102">
        <v>0</v>
      </c>
      <c r="CX8" s="102">
        <v>0</v>
      </c>
      <c r="CY8" s="102">
        <v>0</v>
      </c>
      <c r="CZ8" s="102">
        <v>0</v>
      </c>
      <c r="DA8" s="102">
        <v>0</v>
      </c>
      <c r="DB8" s="102">
        <v>0</v>
      </c>
      <c r="DC8" s="102">
        <v>0</v>
      </c>
      <c r="DD8" s="102">
        <v>0</v>
      </c>
      <c r="DE8" s="102">
        <v>0</v>
      </c>
      <c r="DF8" s="102">
        <v>0</v>
      </c>
      <c r="DG8" s="102">
        <v>0</v>
      </c>
      <c r="DH8" s="102">
        <v>0</v>
      </c>
      <c r="DI8" s="102">
        <v>0</v>
      </c>
      <c r="DJ8" s="102">
        <v>0</v>
      </c>
      <c r="DK8" s="102">
        <v>0</v>
      </c>
      <c r="DL8" s="102">
        <v>0</v>
      </c>
      <c r="DM8" s="102">
        <v>0</v>
      </c>
      <c r="DN8" s="102">
        <v>0</v>
      </c>
      <c r="DO8" s="102">
        <v>0</v>
      </c>
      <c r="DP8" s="102">
        <v>0</v>
      </c>
      <c r="DQ8" s="102">
        <v>0</v>
      </c>
      <c r="DR8" s="102">
        <v>0</v>
      </c>
      <c r="DS8" s="66">
        <v>2023</v>
      </c>
      <c r="DT8" s="66">
        <v>3</v>
      </c>
      <c r="DU8" s="66">
        <v>9</v>
      </c>
      <c r="DV8" s="66" t="s">
        <v>1012</v>
      </c>
      <c r="DW8" s="66" t="s">
        <v>626</v>
      </c>
      <c r="DX8" s="66" t="s">
        <v>583</v>
      </c>
      <c r="DY8" s="64" t="str">
        <f t="shared" si="0"/>
        <v>○</v>
      </c>
      <c r="DZ8" s="102">
        <v>0</v>
      </c>
      <c r="EA8" s="102">
        <v>0</v>
      </c>
      <c r="EB8" s="102">
        <v>0</v>
      </c>
      <c r="EC8" s="102">
        <v>0</v>
      </c>
      <c r="ED8" s="102">
        <v>0</v>
      </c>
      <c r="EE8" s="102">
        <v>0</v>
      </c>
      <c r="EF8" s="102">
        <v>0</v>
      </c>
      <c r="EG8" s="102">
        <v>0</v>
      </c>
      <c r="EH8" s="102">
        <v>0</v>
      </c>
      <c r="EI8" s="102">
        <v>0</v>
      </c>
      <c r="EJ8" s="102">
        <v>0</v>
      </c>
      <c r="EK8" s="102">
        <v>0</v>
      </c>
      <c r="EL8" s="102">
        <v>0</v>
      </c>
      <c r="EM8" s="102">
        <v>0</v>
      </c>
      <c r="EN8" s="102">
        <v>0</v>
      </c>
      <c r="EO8" s="102">
        <v>0</v>
      </c>
    </row>
    <row r="9" spans="1:145">
      <c r="A9" s="114">
        <v>109</v>
      </c>
      <c r="B9" s="102">
        <v>1341000</v>
      </c>
      <c r="C9" s="102">
        <v>0</v>
      </c>
      <c r="D9" s="102">
        <v>0</v>
      </c>
      <c r="E9" s="102">
        <v>0</v>
      </c>
      <c r="F9" s="102">
        <v>0</v>
      </c>
      <c r="G9" s="102">
        <v>0</v>
      </c>
      <c r="H9" s="102">
        <v>0</v>
      </c>
      <c r="I9" s="102">
        <v>0</v>
      </c>
      <c r="J9" s="102">
        <v>0</v>
      </c>
      <c r="K9" s="102">
        <v>0</v>
      </c>
      <c r="L9" s="102">
        <v>0</v>
      </c>
      <c r="M9" s="102">
        <v>0</v>
      </c>
      <c r="N9" s="102">
        <v>0</v>
      </c>
      <c r="O9" s="102">
        <v>0</v>
      </c>
      <c r="P9" s="102">
        <v>0</v>
      </c>
      <c r="Q9" s="102">
        <v>0</v>
      </c>
      <c r="R9" s="102">
        <v>0</v>
      </c>
      <c r="S9" s="102">
        <v>1341000</v>
      </c>
      <c r="T9" s="102">
        <v>0</v>
      </c>
      <c r="U9" s="102">
        <v>1341000</v>
      </c>
      <c r="V9" s="102">
        <v>1341000</v>
      </c>
      <c r="W9" s="102">
        <v>5241600</v>
      </c>
      <c r="X9" s="102">
        <v>1341000</v>
      </c>
      <c r="Y9" s="102">
        <v>1341000</v>
      </c>
      <c r="Z9" s="102">
        <v>1341000</v>
      </c>
      <c r="AA9" s="102">
        <v>0</v>
      </c>
      <c r="AB9" s="102">
        <v>0</v>
      </c>
      <c r="AC9" s="102">
        <v>0</v>
      </c>
      <c r="AD9" s="102">
        <v>0</v>
      </c>
      <c r="AE9" s="102">
        <v>0</v>
      </c>
      <c r="AF9" s="102">
        <v>0</v>
      </c>
      <c r="AG9" s="102">
        <v>0</v>
      </c>
      <c r="AH9" s="102">
        <v>0</v>
      </c>
      <c r="AI9" s="102">
        <v>0</v>
      </c>
      <c r="AJ9" s="102">
        <v>0</v>
      </c>
      <c r="AK9" s="102">
        <v>0</v>
      </c>
      <c r="AL9" s="102">
        <v>0</v>
      </c>
      <c r="AM9" s="102">
        <v>0</v>
      </c>
      <c r="AN9" s="102">
        <v>0</v>
      </c>
      <c r="AO9" s="102">
        <v>0</v>
      </c>
      <c r="AP9" s="102">
        <v>0</v>
      </c>
      <c r="AQ9" s="102">
        <v>0</v>
      </c>
      <c r="AR9" s="102">
        <v>0</v>
      </c>
      <c r="AS9" s="102">
        <v>0</v>
      </c>
      <c r="AT9" s="102">
        <v>0</v>
      </c>
      <c r="AU9" s="102">
        <v>0</v>
      </c>
      <c r="AV9" s="102">
        <v>0</v>
      </c>
      <c r="AW9" s="102">
        <v>0</v>
      </c>
      <c r="AX9" s="102">
        <v>0</v>
      </c>
      <c r="AY9" s="102">
        <v>0</v>
      </c>
      <c r="AZ9" s="102">
        <v>0</v>
      </c>
      <c r="BA9" s="102">
        <v>0</v>
      </c>
      <c r="BB9" s="102">
        <v>0</v>
      </c>
      <c r="BC9" s="102">
        <v>0</v>
      </c>
      <c r="BD9" s="102">
        <v>0</v>
      </c>
      <c r="BE9" s="102">
        <v>0</v>
      </c>
      <c r="BF9" s="102">
        <v>0</v>
      </c>
      <c r="BG9" s="102">
        <v>0</v>
      </c>
      <c r="BH9" s="102">
        <v>0</v>
      </c>
      <c r="BI9" s="102">
        <v>0</v>
      </c>
      <c r="BJ9" s="102">
        <v>0</v>
      </c>
      <c r="BK9" s="102">
        <v>0</v>
      </c>
      <c r="BL9" s="102">
        <v>0</v>
      </c>
      <c r="BM9" s="102">
        <v>0</v>
      </c>
      <c r="BN9" s="102">
        <v>0</v>
      </c>
      <c r="BO9" s="102">
        <v>0</v>
      </c>
      <c r="BP9" s="102">
        <v>0</v>
      </c>
      <c r="BQ9" s="102">
        <v>0</v>
      </c>
      <c r="BR9" s="102">
        <v>0</v>
      </c>
      <c r="BS9" s="102">
        <v>0</v>
      </c>
      <c r="BT9" s="102">
        <v>0</v>
      </c>
      <c r="BU9" s="102">
        <v>0</v>
      </c>
      <c r="BV9" s="102">
        <v>0</v>
      </c>
      <c r="BW9" s="102">
        <v>0</v>
      </c>
      <c r="BX9" s="102">
        <v>0</v>
      </c>
      <c r="BY9" s="102">
        <v>0</v>
      </c>
      <c r="BZ9" s="102">
        <v>0</v>
      </c>
      <c r="CA9" s="102">
        <v>0</v>
      </c>
      <c r="CB9" s="102">
        <v>0</v>
      </c>
      <c r="CC9" s="102">
        <v>0</v>
      </c>
      <c r="CD9" s="102">
        <v>0</v>
      </c>
      <c r="CE9" s="102">
        <v>0</v>
      </c>
      <c r="CF9" s="102">
        <v>0</v>
      </c>
      <c r="CG9" s="102">
        <v>0</v>
      </c>
      <c r="CH9" s="102">
        <v>0</v>
      </c>
      <c r="CI9" s="102">
        <v>0</v>
      </c>
      <c r="CJ9" s="102">
        <v>0</v>
      </c>
      <c r="CK9" s="102">
        <v>0</v>
      </c>
      <c r="CL9" s="102">
        <v>0</v>
      </c>
      <c r="CM9" s="102">
        <v>0</v>
      </c>
      <c r="CN9" s="102">
        <v>0</v>
      </c>
      <c r="CO9" s="102">
        <v>0</v>
      </c>
      <c r="CP9" s="102">
        <v>0</v>
      </c>
      <c r="CQ9" s="102">
        <v>0</v>
      </c>
      <c r="CR9" s="102">
        <v>0</v>
      </c>
      <c r="CS9" s="102">
        <v>0</v>
      </c>
      <c r="CT9" s="102">
        <v>0</v>
      </c>
      <c r="CU9" s="102">
        <v>0</v>
      </c>
      <c r="CV9" s="102">
        <v>0</v>
      </c>
      <c r="CW9" s="102">
        <v>0</v>
      </c>
      <c r="CX9" s="102">
        <v>0</v>
      </c>
      <c r="CY9" s="102">
        <v>0</v>
      </c>
      <c r="CZ9" s="102">
        <v>0</v>
      </c>
      <c r="DA9" s="102">
        <v>0</v>
      </c>
      <c r="DB9" s="102">
        <v>0</v>
      </c>
      <c r="DC9" s="102">
        <v>0</v>
      </c>
      <c r="DD9" s="102">
        <v>0</v>
      </c>
      <c r="DE9" s="102">
        <v>0</v>
      </c>
      <c r="DF9" s="102">
        <v>0</v>
      </c>
      <c r="DG9" s="102">
        <v>0</v>
      </c>
      <c r="DH9" s="102">
        <v>0</v>
      </c>
      <c r="DI9" s="102">
        <v>0</v>
      </c>
      <c r="DJ9" s="102">
        <v>0</v>
      </c>
      <c r="DK9" s="102">
        <v>0</v>
      </c>
      <c r="DL9" s="102">
        <v>0</v>
      </c>
      <c r="DM9" s="102">
        <v>0</v>
      </c>
      <c r="DN9" s="102">
        <v>0</v>
      </c>
      <c r="DO9" s="102">
        <v>0</v>
      </c>
      <c r="DP9" s="102">
        <v>0</v>
      </c>
      <c r="DQ9" s="102">
        <v>0</v>
      </c>
      <c r="DR9" s="102">
        <v>0</v>
      </c>
      <c r="DS9" s="66">
        <v>2023</v>
      </c>
      <c r="DT9" s="66">
        <v>3</v>
      </c>
      <c r="DU9" s="66">
        <v>9</v>
      </c>
      <c r="DV9" s="66" t="s">
        <v>616</v>
      </c>
      <c r="DW9" s="66" t="s">
        <v>617</v>
      </c>
      <c r="DX9" s="66" t="s">
        <v>583</v>
      </c>
      <c r="DY9" s="64" t="str">
        <f t="shared" si="0"/>
        <v>○</v>
      </c>
      <c r="DZ9" s="102">
        <v>0</v>
      </c>
      <c r="EA9" s="102">
        <v>0</v>
      </c>
      <c r="EB9" s="102">
        <v>0</v>
      </c>
      <c r="EC9" s="102">
        <v>0</v>
      </c>
      <c r="ED9" s="102">
        <v>0</v>
      </c>
      <c r="EE9" s="102">
        <v>0</v>
      </c>
      <c r="EF9" s="102">
        <v>0</v>
      </c>
      <c r="EG9" s="102">
        <v>0</v>
      </c>
      <c r="EH9" s="102">
        <v>0</v>
      </c>
      <c r="EI9" s="102">
        <v>0</v>
      </c>
      <c r="EJ9" s="102">
        <v>0</v>
      </c>
      <c r="EK9" s="102">
        <v>0</v>
      </c>
      <c r="EL9" s="102">
        <v>0</v>
      </c>
      <c r="EM9" s="102">
        <v>0</v>
      </c>
      <c r="EN9" s="102">
        <v>0</v>
      </c>
      <c r="EO9" s="102">
        <v>0</v>
      </c>
    </row>
    <row r="10" spans="1:145">
      <c r="A10" s="114">
        <v>110</v>
      </c>
      <c r="B10" s="102">
        <v>11138000</v>
      </c>
      <c r="C10" s="102">
        <v>0</v>
      </c>
      <c r="D10" s="102">
        <v>0</v>
      </c>
      <c r="E10" s="102">
        <v>0</v>
      </c>
      <c r="F10" s="102">
        <v>0</v>
      </c>
      <c r="G10" s="102">
        <v>0</v>
      </c>
      <c r="H10" s="102">
        <v>0</v>
      </c>
      <c r="I10" s="102">
        <v>0</v>
      </c>
      <c r="J10" s="102">
        <v>0</v>
      </c>
      <c r="K10" s="102">
        <v>0</v>
      </c>
      <c r="L10" s="102">
        <v>0</v>
      </c>
      <c r="M10" s="102">
        <v>0</v>
      </c>
      <c r="N10" s="102">
        <v>0</v>
      </c>
      <c r="O10" s="102">
        <v>0</v>
      </c>
      <c r="P10" s="102">
        <v>0</v>
      </c>
      <c r="Q10" s="102">
        <v>0</v>
      </c>
      <c r="R10" s="102">
        <v>0</v>
      </c>
      <c r="S10" s="102">
        <v>11686560</v>
      </c>
      <c r="T10" s="102">
        <v>0</v>
      </c>
      <c r="U10" s="102">
        <v>11686560</v>
      </c>
      <c r="V10" s="102">
        <v>11686560</v>
      </c>
      <c r="W10" s="102">
        <v>11138400</v>
      </c>
      <c r="X10" s="102">
        <v>11138400</v>
      </c>
      <c r="Y10" s="102">
        <v>11138400</v>
      </c>
      <c r="Z10" s="102">
        <v>11138000</v>
      </c>
      <c r="AA10" s="102">
        <v>0</v>
      </c>
      <c r="AB10" s="102">
        <v>0</v>
      </c>
      <c r="AC10" s="102">
        <v>0</v>
      </c>
      <c r="AD10" s="102">
        <v>0</v>
      </c>
      <c r="AE10" s="102">
        <v>0</v>
      </c>
      <c r="AF10" s="102">
        <v>0</v>
      </c>
      <c r="AG10" s="102">
        <v>0</v>
      </c>
      <c r="AH10" s="102">
        <v>0</v>
      </c>
      <c r="AI10" s="102">
        <v>0</v>
      </c>
      <c r="AJ10" s="102">
        <v>0</v>
      </c>
      <c r="AK10" s="102">
        <v>0</v>
      </c>
      <c r="AL10" s="102">
        <v>0</v>
      </c>
      <c r="AM10" s="102">
        <v>0</v>
      </c>
      <c r="AN10" s="102">
        <v>0</v>
      </c>
      <c r="AO10" s="102">
        <v>0</v>
      </c>
      <c r="AP10" s="102">
        <v>0</v>
      </c>
      <c r="AQ10" s="102">
        <v>0</v>
      </c>
      <c r="AR10" s="102">
        <v>0</v>
      </c>
      <c r="AS10" s="102">
        <v>0</v>
      </c>
      <c r="AT10" s="102">
        <v>0</v>
      </c>
      <c r="AU10" s="102">
        <v>0</v>
      </c>
      <c r="AV10" s="102">
        <v>0</v>
      </c>
      <c r="AW10" s="102">
        <v>0</v>
      </c>
      <c r="AX10" s="102">
        <v>0</v>
      </c>
      <c r="AY10" s="102">
        <v>0</v>
      </c>
      <c r="AZ10" s="102">
        <v>0</v>
      </c>
      <c r="BA10" s="102">
        <v>0</v>
      </c>
      <c r="BB10" s="102">
        <v>0</v>
      </c>
      <c r="BC10" s="102">
        <v>0</v>
      </c>
      <c r="BD10" s="102">
        <v>0</v>
      </c>
      <c r="BE10" s="102">
        <v>0</v>
      </c>
      <c r="BF10" s="102">
        <v>0</v>
      </c>
      <c r="BG10" s="102">
        <v>0</v>
      </c>
      <c r="BH10" s="102">
        <v>0</v>
      </c>
      <c r="BI10" s="102">
        <v>0</v>
      </c>
      <c r="BJ10" s="102">
        <v>0</v>
      </c>
      <c r="BK10" s="102">
        <v>0</v>
      </c>
      <c r="BL10" s="102">
        <v>0</v>
      </c>
      <c r="BM10" s="102">
        <v>0</v>
      </c>
      <c r="BN10" s="102">
        <v>0</v>
      </c>
      <c r="BO10" s="102">
        <v>0</v>
      </c>
      <c r="BP10" s="102">
        <v>0</v>
      </c>
      <c r="BQ10" s="102">
        <v>0</v>
      </c>
      <c r="BR10" s="102">
        <v>0</v>
      </c>
      <c r="BS10" s="102">
        <v>0</v>
      </c>
      <c r="BT10" s="102">
        <v>0</v>
      </c>
      <c r="BU10" s="102">
        <v>0</v>
      </c>
      <c r="BV10" s="102">
        <v>0</v>
      </c>
      <c r="BW10" s="102">
        <v>0</v>
      </c>
      <c r="BX10" s="102">
        <v>0</v>
      </c>
      <c r="BY10" s="102">
        <v>0</v>
      </c>
      <c r="BZ10" s="102">
        <v>0</v>
      </c>
      <c r="CA10" s="102">
        <v>0</v>
      </c>
      <c r="CB10" s="102">
        <v>0</v>
      </c>
      <c r="CC10" s="102">
        <v>0</v>
      </c>
      <c r="CD10" s="102">
        <v>0</v>
      </c>
      <c r="CE10" s="102">
        <v>0</v>
      </c>
      <c r="CF10" s="102">
        <v>0</v>
      </c>
      <c r="CG10" s="102">
        <v>0</v>
      </c>
      <c r="CH10" s="102">
        <v>0</v>
      </c>
      <c r="CI10" s="102">
        <v>0</v>
      </c>
      <c r="CJ10" s="102">
        <v>0</v>
      </c>
      <c r="CK10" s="102">
        <v>0</v>
      </c>
      <c r="CL10" s="102">
        <v>0</v>
      </c>
      <c r="CM10" s="102">
        <v>0</v>
      </c>
      <c r="CN10" s="102">
        <v>0</v>
      </c>
      <c r="CO10" s="102">
        <v>0</v>
      </c>
      <c r="CP10" s="102">
        <v>0</v>
      </c>
      <c r="CQ10" s="102">
        <v>0</v>
      </c>
      <c r="CR10" s="102">
        <v>0</v>
      </c>
      <c r="CS10" s="102">
        <v>0</v>
      </c>
      <c r="CT10" s="102">
        <v>0</v>
      </c>
      <c r="CU10" s="102">
        <v>0</v>
      </c>
      <c r="CV10" s="102">
        <v>0</v>
      </c>
      <c r="CW10" s="102">
        <v>0</v>
      </c>
      <c r="CX10" s="102">
        <v>0</v>
      </c>
      <c r="CY10" s="102">
        <v>0</v>
      </c>
      <c r="CZ10" s="102">
        <v>0</v>
      </c>
      <c r="DA10" s="102">
        <v>0</v>
      </c>
      <c r="DB10" s="102">
        <v>0</v>
      </c>
      <c r="DC10" s="102">
        <v>0</v>
      </c>
      <c r="DD10" s="102">
        <v>0</v>
      </c>
      <c r="DE10" s="102">
        <v>0</v>
      </c>
      <c r="DF10" s="102">
        <v>0</v>
      </c>
      <c r="DG10" s="102">
        <v>0</v>
      </c>
      <c r="DH10" s="102">
        <v>0</v>
      </c>
      <c r="DI10" s="102">
        <v>0</v>
      </c>
      <c r="DJ10" s="102">
        <v>0</v>
      </c>
      <c r="DK10" s="102">
        <v>0</v>
      </c>
      <c r="DL10" s="102">
        <v>0</v>
      </c>
      <c r="DM10" s="102">
        <v>0</v>
      </c>
      <c r="DN10" s="102">
        <v>0</v>
      </c>
      <c r="DO10" s="102">
        <v>0</v>
      </c>
      <c r="DP10" s="102">
        <v>0</v>
      </c>
      <c r="DQ10" s="102">
        <v>0</v>
      </c>
      <c r="DR10" s="102">
        <v>0</v>
      </c>
      <c r="DS10" s="66">
        <v>2023</v>
      </c>
      <c r="DT10" s="66">
        <v>3</v>
      </c>
      <c r="DU10" s="66">
        <v>9</v>
      </c>
      <c r="DV10" s="66" t="s">
        <v>1012</v>
      </c>
      <c r="DW10" s="66" t="s">
        <v>615</v>
      </c>
      <c r="DX10" s="66" t="s">
        <v>583</v>
      </c>
      <c r="DY10" s="64" t="str">
        <f t="shared" si="0"/>
        <v>○</v>
      </c>
      <c r="DZ10" s="102">
        <v>0</v>
      </c>
      <c r="EA10" s="102">
        <v>0</v>
      </c>
      <c r="EB10" s="102">
        <v>0</v>
      </c>
      <c r="EC10" s="102">
        <v>0</v>
      </c>
      <c r="ED10" s="102">
        <v>0</v>
      </c>
      <c r="EE10" s="102">
        <v>0</v>
      </c>
      <c r="EF10" s="102">
        <v>0</v>
      </c>
      <c r="EG10" s="102">
        <v>0</v>
      </c>
      <c r="EH10" s="102">
        <v>0</v>
      </c>
      <c r="EI10" s="102">
        <v>0</v>
      </c>
      <c r="EJ10" s="102">
        <v>0</v>
      </c>
      <c r="EK10" s="102">
        <v>0</v>
      </c>
      <c r="EL10" s="102">
        <v>0</v>
      </c>
      <c r="EM10" s="102">
        <v>0</v>
      </c>
      <c r="EN10" s="102">
        <v>0</v>
      </c>
      <c r="EO10" s="102">
        <v>0</v>
      </c>
    </row>
    <row r="11" spans="1:145">
      <c r="A11" s="114">
        <v>111</v>
      </c>
      <c r="B11" s="102">
        <v>6474000</v>
      </c>
      <c r="C11" s="102">
        <v>0</v>
      </c>
      <c r="D11" s="102">
        <v>0</v>
      </c>
      <c r="E11" s="102">
        <v>0</v>
      </c>
      <c r="F11" s="102">
        <v>0</v>
      </c>
      <c r="G11" s="102">
        <v>0</v>
      </c>
      <c r="H11" s="102">
        <v>0</v>
      </c>
      <c r="I11" s="102">
        <v>0</v>
      </c>
      <c r="J11" s="102">
        <v>0</v>
      </c>
      <c r="K11" s="102">
        <v>0</v>
      </c>
      <c r="L11" s="102">
        <v>0</v>
      </c>
      <c r="M11" s="102">
        <v>0</v>
      </c>
      <c r="N11" s="102">
        <v>0</v>
      </c>
      <c r="O11" s="102">
        <v>0</v>
      </c>
      <c r="P11" s="102">
        <v>0</v>
      </c>
      <c r="Q11" s="102">
        <v>0</v>
      </c>
      <c r="R11" s="102">
        <v>0</v>
      </c>
      <c r="S11" s="102">
        <v>6474409</v>
      </c>
      <c r="T11" s="102">
        <v>0</v>
      </c>
      <c r="U11" s="102">
        <v>6474409</v>
      </c>
      <c r="V11" s="102">
        <v>6474409</v>
      </c>
      <c r="W11" s="102">
        <v>23587200</v>
      </c>
      <c r="X11" s="102">
        <v>6474409</v>
      </c>
      <c r="Y11" s="102">
        <v>6474409</v>
      </c>
      <c r="Z11" s="102">
        <v>6474000</v>
      </c>
      <c r="AA11" s="102">
        <v>0</v>
      </c>
      <c r="AB11" s="102">
        <v>0</v>
      </c>
      <c r="AC11" s="102">
        <v>0</v>
      </c>
      <c r="AD11" s="102">
        <v>0</v>
      </c>
      <c r="AE11" s="102">
        <v>0</v>
      </c>
      <c r="AF11" s="102">
        <v>0</v>
      </c>
      <c r="AG11" s="102">
        <v>0</v>
      </c>
      <c r="AH11" s="102">
        <v>0</v>
      </c>
      <c r="AI11" s="102">
        <v>0</v>
      </c>
      <c r="AJ11" s="102">
        <v>0</v>
      </c>
      <c r="AK11" s="102">
        <v>0</v>
      </c>
      <c r="AL11" s="102">
        <v>0</v>
      </c>
      <c r="AM11" s="102">
        <v>0</v>
      </c>
      <c r="AN11" s="102">
        <v>0</v>
      </c>
      <c r="AO11" s="102">
        <v>0</v>
      </c>
      <c r="AP11" s="102">
        <v>0</v>
      </c>
      <c r="AQ11" s="102">
        <v>0</v>
      </c>
      <c r="AR11" s="102">
        <v>0</v>
      </c>
      <c r="AS11" s="102">
        <v>0</v>
      </c>
      <c r="AT11" s="102">
        <v>0</v>
      </c>
      <c r="AU11" s="102">
        <v>0</v>
      </c>
      <c r="AV11" s="102">
        <v>0</v>
      </c>
      <c r="AW11" s="102">
        <v>0</v>
      </c>
      <c r="AX11" s="102">
        <v>0</v>
      </c>
      <c r="AY11" s="102">
        <v>0</v>
      </c>
      <c r="AZ11" s="102">
        <v>0</v>
      </c>
      <c r="BA11" s="102">
        <v>0</v>
      </c>
      <c r="BB11" s="102">
        <v>0</v>
      </c>
      <c r="BC11" s="102">
        <v>0</v>
      </c>
      <c r="BD11" s="102">
        <v>0</v>
      </c>
      <c r="BE11" s="102">
        <v>0</v>
      </c>
      <c r="BF11" s="102">
        <v>0</v>
      </c>
      <c r="BG11" s="102">
        <v>0</v>
      </c>
      <c r="BH11" s="102">
        <v>0</v>
      </c>
      <c r="BI11" s="102">
        <v>0</v>
      </c>
      <c r="BJ11" s="102">
        <v>0</v>
      </c>
      <c r="BK11" s="102">
        <v>0</v>
      </c>
      <c r="BL11" s="102">
        <v>0</v>
      </c>
      <c r="BM11" s="102">
        <v>0</v>
      </c>
      <c r="BN11" s="102">
        <v>0</v>
      </c>
      <c r="BO11" s="102">
        <v>0</v>
      </c>
      <c r="BP11" s="102">
        <v>0</v>
      </c>
      <c r="BQ11" s="102">
        <v>0</v>
      </c>
      <c r="BR11" s="102">
        <v>0</v>
      </c>
      <c r="BS11" s="102">
        <v>0</v>
      </c>
      <c r="BT11" s="102">
        <v>0</v>
      </c>
      <c r="BU11" s="102">
        <v>0</v>
      </c>
      <c r="BV11" s="102">
        <v>0</v>
      </c>
      <c r="BW11" s="102">
        <v>0</v>
      </c>
      <c r="BX11" s="102">
        <v>0</v>
      </c>
      <c r="BY11" s="102">
        <v>0</v>
      </c>
      <c r="BZ11" s="102">
        <v>0</v>
      </c>
      <c r="CA11" s="102">
        <v>0</v>
      </c>
      <c r="CB11" s="102">
        <v>0</v>
      </c>
      <c r="CC11" s="102">
        <v>0</v>
      </c>
      <c r="CD11" s="102">
        <v>0</v>
      </c>
      <c r="CE11" s="102">
        <v>0</v>
      </c>
      <c r="CF11" s="102">
        <v>0</v>
      </c>
      <c r="CG11" s="102">
        <v>0</v>
      </c>
      <c r="CH11" s="102">
        <v>0</v>
      </c>
      <c r="CI11" s="102">
        <v>0</v>
      </c>
      <c r="CJ11" s="102">
        <v>0</v>
      </c>
      <c r="CK11" s="102">
        <v>0</v>
      </c>
      <c r="CL11" s="102">
        <v>0</v>
      </c>
      <c r="CM11" s="102">
        <v>0</v>
      </c>
      <c r="CN11" s="102">
        <v>0</v>
      </c>
      <c r="CO11" s="102">
        <v>0</v>
      </c>
      <c r="CP11" s="102">
        <v>0</v>
      </c>
      <c r="CQ11" s="102">
        <v>0</v>
      </c>
      <c r="CR11" s="102">
        <v>0</v>
      </c>
      <c r="CS11" s="102">
        <v>0</v>
      </c>
      <c r="CT11" s="102">
        <v>0</v>
      </c>
      <c r="CU11" s="102">
        <v>0</v>
      </c>
      <c r="CV11" s="102">
        <v>0</v>
      </c>
      <c r="CW11" s="102">
        <v>0</v>
      </c>
      <c r="CX11" s="102">
        <v>0</v>
      </c>
      <c r="CY11" s="102">
        <v>0</v>
      </c>
      <c r="CZ11" s="102">
        <v>0</v>
      </c>
      <c r="DA11" s="102">
        <v>0</v>
      </c>
      <c r="DB11" s="102">
        <v>0</v>
      </c>
      <c r="DC11" s="102">
        <v>0</v>
      </c>
      <c r="DD11" s="102">
        <v>0</v>
      </c>
      <c r="DE11" s="102">
        <v>0</v>
      </c>
      <c r="DF11" s="102">
        <v>0</v>
      </c>
      <c r="DG11" s="102">
        <v>0</v>
      </c>
      <c r="DH11" s="102">
        <v>0</v>
      </c>
      <c r="DI11" s="102">
        <v>0</v>
      </c>
      <c r="DJ11" s="102">
        <v>0</v>
      </c>
      <c r="DK11" s="102">
        <v>0</v>
      </c>
      <c r="DL11" s="102">
        <v>0</v>
      </c>
      <c r="DM11" s="102">
        <v>0</v>
      </c>
      <c r="DN11" s="102">
        <v>0</v>
      </c>
      <c r="DO11" s="102">
        <v>0</v>
      </c>
      <c r="DP11" s="102">
        <v>0</v>
      </c>
      <c r="DQ11" s="102">
        <v>0</v>
      </c>
      <c r="DR11" s="102">
        <v>0</v>
      </c>
      <c r="DS11" s="66">
        <v>2023</v>
      </c>
      <c r="DT11" s="66">
        <v>3</v>
      </c>
      <c r="DU11" s="66">
        <v>9</v>
      </c>
      <c r="DV11" s="66" t="s">
        <v>1012</v>
      </c>
      <c r="DW11" s="66" t="s">
        <v>602</v>
      </c>
      <c r="DX11" s="66" t="s">
        <v>583</v>
      </c>
      <c r="DY11" s="64" t="str">
        <f t="shared" si="0"/>
        <v>○</v>
      </c>
      <c r="DZ11" s="102">
        <v>0</v>
      </c>
      <c r="EA11" s="102">
        <v>0</v>
      </c>
      <c r="EB11" s="102">
        <v>0</v>
      </c>
      <c r="EC11" s="102">
        <v>0</v>
      </c>
      <c r="ED11" s="102">
        <v>0</v>
      </c>
      <c r="EE11" s="102">
        <v>0</v>
      </c>
      <c r="EF11" s="102">
        <v>0</v>
      </c>
      <c r="EG11" s="102">
        <v>0</v>
      </c>
      <c r="EH11" s="102">
        <v>0</v>
      </c>
      <c r="EI11" s="102">
        <v>0</v>
      </c>
      <c r="EJ11" s="102">
        <v>0</v>
      </c>
      <c r="EK11" s="102">
        <v>0</v>
      </c>
      <c r="EL11" s="102">
        <v>0</v>
      </c>
      <c r="EM11" s="102">
        <v>0</v>
      </c>
      <c r="EN11" s="102">
        <v>0</v>
      </c>
      <c r="EO11" s="102">
        <v>0</v>
      </c>
    </row>
    <row r="12" spans="1:145">
      <c r="A12" s="114">
        <v>114</v>
      </c>
      <c r="B12" s="102">
        <v>1017000</v>
      </c>
      <c r="C12" s="102">
        <v>0</v>
      </c>
      <c r="D12" s="102">
        <v>0</v>
      </c>
      <c r="E12" s="102">
        <v>0</v>
      </c>
      <c r="F12" s="102">
        <v>0</v>
      </c>
      <c r="G12" s="102">
        <v>0</v>
      </c>
      <c r="H12" s="102">
        <v>0</v>
      </c>
      <c r="I12" s="102">
        <v>0</v>
      </c>
      <c r="J12" s="102">
        <v>0</v>
      </c>
      <c r="K12" s="102">
        <v>0</v>
      </c>
      <c r="L12" s="102">
        <v>0</v>
      </c>
      <c r="M12" s="102">
        <v>0</v>
      </c>
      <c r="N12" s="102">
        <v>0</v>
      </c>
      <c r="O12" s="102">
        <v>0</v>
      </c>
      <c r="P12" s="102">
        <v>0</v>
      </c>
      <c r="Q12" s="102">
        <v>0</v>
      </c>
      <c r="R12" s="102">
        <v>0</v>
      </c>
      <c r="S12" s="102">
        <v>1017419</v>
      </c>
      <c r="T12" s="102">
        <v>0</v>
      </c>
      <c r="U12" s="102">
        <v>1017419</v>
      </c>
      <c r="V12" s="102">
        <v>1017419</v>
      </c>
      <c r="W12" s="102">
        <v>3931200</v>
      </c>
      <c r="X12" s="102">
        <v>1017419</v>
      </c>
      <c r="Y12" s="102">
        <v>1017419</v>
      </c>
      <c r="Z12" s="102">
        <v>1017000</v>
      </c>
      <c r="AA12" s="102">
        <v>0</v>
      </c>
      <c r="AB12" s="102">
        <v>0</v>
      </c>
      <c r="AC12" s="102">
        <v>0</v>
      </c>
      <c r="AD12" s="102">
        <v>0</v>
      </c>
      <c r="AE12" s="102">
        <v>0</v>
      </c>
      <c r="AF12" s="102">
        <v>0</v>
      </c>
      <c r="AG12" s="102">
        <v>0</v>
      </c>
      <c r="AH12" s="102">
        <v>0</v>
      </c>
      <c r="AI12" s="102">
        <v>0</v>
      </c>
      <c r="AJ12" s="102">
        <v>0</v>
      </c>
      <c r="AK12" s="102">
        <v>0</v>
      </c>
      <c r="AL12" s="102">
        <v>0</v>
      </c>
      <c r="AM12" s="102">
        <v>0</v>
      </c>
      <c r="AN12" s="102">
        <v>0</v>
      </c>
      <c r="AO12" s="102">
        <v>0</v>
      </c>
      <c r="AP12" s="102">
        <v>0</v>
      </c>
      <c r="AQ12" s="102">
        <v>0</v>
      </c>
      <c r="AR12" s="102">
        <v>0</v>
      </c>
      <c r="AS12" s="102">
        <v>0</v>
      </c>
      <c r="AT12" s="102">
        <v>0</v>
      </c>
      <c r="AU12" s="102">
        <v>0</v>
      </c>
      <c r="AV12" s="102">
        <v>0</v>
      </c>
      <c r="AW12" s="102">
        <v>0</v>
      </c>
      <c r="AX12" s="102">
        <v>0</v>
      </c>
      <c r="AY12" s="102">
        <v>0</v>
      </c>
      <c r="AZ12" s="102">
        <v>0</v>
      </c>
      <c r="BA12" s="102">
        <v>0</v>
      </c>
      <c r="BB12" s="102">
        <v>0</v>
      </c>
      <c r="BC12" s="102">
        <v>0</v>
      </c>
      <c r="BD12" s="102">
        <v>0</v>
      </c>
      <c r="BE12" s="102">
        <v>0</v>
      </c>
      <c r="BF12" s="102">
        <v>0</v>
      </c>
      <c r="BG12" s="102">
        <v>0</v>
      </c>
      <c r="BH12" s="102">
        <v>0</v>
      </c>
      <c r="BI12" s="102">
        <v>0</v>
      </c>
      <c r="BJ12" s="102">
        <v>0</v>
      </c>
      <c r="BK12" s="102">
        <v>0</v>
      </c>
      <c r="BL12" s="102">
        <v>0</v>
      </c>
      <c r="BM12" s="102">
        <v>0</v>
      </c>
      <c r="BN12" s="102">
        <v>0</v>
      </c>
      <c r="BO12" s="102">
        <v>0</v>
      </c>
      <c r="BP12" s="102">
        <v>0</v>
      </c>
      <c r="BQ12" s="102">
        <v>0</v>
      </c>
      <c r="BR12" s="102">
        <v>0</v>
      </c>
      <c r="BS12" s="102">
        <v>0</v>
      </c>
      <c r="BT12" s="102">
        <v>0</v>
      </c>
      <c r="BU12" s="102">
        <v>0</v>
      </c>
      <c r="BV12" s="102">
        <v>0</v>
      </c>
      <c r="BW12" s="102">
        <v>0</v>
      </c>
      <c r="BX12" s="102">
        <v>0</v>
      </c>
      <c r="BY12" s="102">
        <v>0</v>
      </c>
      <c r="BZ12" s="102">
        <v>0</v>
      </c>
      <c r="CA12" s="102">
        <v>0</v>
      </c>
      <c r="CB12" s="102">
        <v>0</v>
      </c>
      <c r="CC12" s="102">
        <v>0</v>
      </c>
      <c r="CD12" s="102">
        <v>0</v>
      </c>
      <c r="CE12" s="102">
        <v>0</v>
      </c>
      <c r="CF12" s="102">
        <v>0</v>
      </c>
      <c r="CG12" s="102">
        <v>0</v>
      </c>
      <c r="CH12" s="102">
        <v>0</v>
      </c>
      <c r="CI12" s="102">
        <v>0</v>
      </c>
      <c r="CJ12" s="102">
        <v>0</v>
      </c>
      <c r="CK12" s="102">
        <v>0</v>
      </c>
      <c r="CL12" s="102">
        <v>0</v>
      </c>
      <c r="CM12" s="102">
        <v>0</v>
      </c>
      <c r="CN12" s="102">
        <v>0</v>
      </c>
      <c r="CO12" s="102">
        <v>0</v>
      </c>
      <c r="CP12" s="102">
        <v>0</v>
      </c>
      <c r="CQ12" s="102">
        <v>0</v>
      </c>
      <c r="CR12" s="102">
        <v>0</v>
      </c>
      <c r="CS12" s="102">
        <v>0</v>
      </c>
      <c r="CT12" s="102">
        <v>0</v>
      </c>
      <c r="CU12" s="102">
        <v>0</v>
      </c>
      <c r="CV12" s="102">
        <v>0</v>
      </c>
      <c r="CW12" s="102">
        <v>0</v>
      </c>
      <c r="CX12" s="102">
        <v>0</v>
      </c>
      <c r="CY12" s="102">
        <v>0</v>
      </c>
      <c r="CZ12" s="102">
        <v>0</v>
      </c>
      <c r="DA12" s="102">
        <v>0</v>
      </c>
      <c r="DB12" s="102">
        <v>0</v>
      </c>
      <c r="DC12" s="102">
        <v>0</v>
      </c>
      <c r="DD12" s="102">
        <v>0</v>
      </c>
      <c r="DE12" s="102">
        <v>0</v>
      </c>
      <c r="DF12" s="102">
        <v>0</v>
      </c>
      <c r="DG12" s="102">
        <v>0</v>
      </c>
      <c r="DH12" s="102">
        <v>0</v>
      </c>
      <c r="DI12" s="102">
        <v>0</v>
      </c>
      <c r="DJ12" s="102">
        <v>0</v>
      </c>
      <c r="DK12" s="102">
        <v>0</v>
      </c>
      <c r="DL12" s="102">
        <v>0</v>
      </c>
      <c r="DM12" s="102">
        <v>0</v>
      </c>
      <c r="DN12" s="102">
        <v>0</v>
      </c>
      <c r="DO12" s="102">
        <v>0</v>
      </c>
      <c r="DP12" s="102">
        <v>0</v>
      </c>
      <c r="DQ12" s="102">
        <v>0</v>
      </c>
      <c r="DR12" s="102">
        <v>0</v>
      </c>
      <c r="DS12" s="66">
        <v>2023</v>
      </c>
      <c r="DT12" s="66">
        <v>3</v>
      </c>
      <c r="DU12" s="66">
        <v>9</v>
      </c>
      <c r="DV12" s="66" t="s">
        <v>618</v>
      </c>
      <c r="DW12" s="66" t="s">
        <v>619</v>
      </c>
      <c r="DX12" s="66" t="s">
        <v>583</v>
      </c>
      <c r="DY12" s="64" t="str">
        <f t="shared" si="0"/>
        <v>○</v>
      </c>
      <c r="DZ12" s="102">
        <v>0</v>
      </c>
      <c r="EA12" s="102">
        <v>0</v>
      </c>
      <c r="EB12" s="102">
        <v>0</v>
      </c>
      <c r="EC12" s="102">
        <v>0</v>
      </c>
      <c r="ED12" s="102">
        <v>0</v>
      </c>
      <c r="EE12" s="102">
        <v>0</v>
      </c>
      <c r="EF12" s="102">
        <v>0</v>
      </c>
      <c r="EG12" s="102">
        <v>0</v>
      </c>
      <c r="EH12" s="102">
        <v>0</v>
      </c>
      <c r="EI12" s="102">
        <v>0</v>
      </c>
      <c r="EJ12" s="102">
        <v>0</v>
      </c>
      <c r="EK12" s="102">
        <v>0</v>
      </c>
      <c r="EL12" s="102">
        <v>0</v>
      </c>
      <c r="EM12" s="102">
        <v>0</v>
      </c>
      <c r="EN12" s="102">
        <v>0</v>
      </c>
      <c r="EO12" s="102">
        <v>0</v>
      </c>
    </row>
    <row r="13" spans="1:145">
      <c r="A13" s="114">
        <v>115</v>
      </c>
      <c r="B13" s="102">
        <v>3254000</v>
      </c>
      <c r="C13" s="102">
        <v>0</v>
      </c>
      <c r="D13" s="102">
        <v>0</v>
      </c>
      <c r="E13" s="102">
        <v>0</v>
      </c>
      <c r="F13" s="102">
        <v>0</v>
      </c>
      <c r="G13" s="102">
        <v>0</v>
      </c>
      <c r="H13" s="102">
        <v>0</v>
      </c>
      <c r="I13" s="102">
        <v>0</v>
      </c>
      <c r="J13" s="102">
        <v>0</v>
      </c>
      <c r="K13" s="102">
        <v>0</v>
      </c>
      <c r="L13" s="102">
        <v>0</v>
      </c>
      <c r="M13" s="102">
        <v>0</v>
      </c>
      <c r="N13" s="102">
        <v>0</v>
      </c>
      <c r="O13" s="102">
        <v>0</v>
      </c>
      <c r="P13" s="102">
        <v>0</v>
      </c>
      <c r="Q13" s="102">
        <v>0</v>
      </c>
      <c r="R13" s="102">
        <v>0</v>
      </c>
      <c r="S13" s="102">
        <v>3254240</v>
      </c>
      <c r="T13" s="102">
        <v>0</v>
      </c>
      <c r="U13" s="102">
        <v>3254240</v>
      </c>
      <c r="V13" s="102">
        <v>3254240</v>
      </c>
      <c r="W13" s="102">
        <v>23587200</v>
      </c>
      <c r="X13" s="102">
        <v>3254240</v>
      </c>
      <c r="Y13" s="102">
        <v>3254240</v>
      </c>
      <c r="Z13" s="102">
        <v>3254000</v>
      </c>
      <c r="AA13" s="102">
        <v>0</v>
      </c>
      <c r="AB13" s="102">
        <v>0</v>
      </c>
      <c r="AC13" s="102">
        <v>0</v>
      </c>
      <c r="AD13" s="102">
        <v>0</v>
      </c>
      <c r="AE13" s="102">
        <v>0</v>
      </c>
      <c r="AF13" s="102">
        <v>0</v>
      </c>
      <c r="AG13" s="102">
        <v>0</v>
      </c>
      <c r="AH13" s="102">
        <v>0</v>
      </c>
      <c r="AI13" s="102">
        <v>0</v>
      </c>
      <c r="AJ13" s="102">
        <v>0</v>
      </c>
      <c r="AK13" s="102">
        <v>0</v>
      </c>
      <c r="AL13" s="102">
        <v>0</v>
      </c>
      <c r="AM13" s="102">
        <v>0</v>
      </c>
      <c r="AN13" s="102">
        <v>0</v>
      </c>
      <c r="AO13" s="102">
        <v>0</v>
      </c>
      <c r="AP13" s="102">
        <v>0</v>
      </c>
      <c r="AQ13" s="102">
        <v>0</v>
      </c>
      <c r="AR13" s="102">
        <v>0</v>
      </c>
      <c r="AS13" s="102">
        <v>0</v>
      </c>
      <c r="AT13" s="102">
        <v>0</v>
      </c>
      <c r="AU13" s="102">
        <v>0</v>
      </c>
      <c r="AV13" s="102">
        <v>0</v>
      </c>
      <c r="AW13" s="102">
        <v>0</v>
      </c>
      <c r="AX13" s="102">
        <v>0</v>
      </c>
      <c r="AY13" s="102">
        <v>0</v>
      </c>
      <c r="AZ13" s="102">
        <v>0</v>
      </c>
      <c r="BA13" s="102">
        <v>0</v>
      </c>
      <c r="BB13" s="102">
        <v>0</v>
      </c>
      <c r="BC13" s="102">
        <v>0</v>
      </c>
      <c r="BD13" s="102">
        <v>0</v>
      </c>
      <c r="BE13" s="102">
        <v>0</v>
      </c>
      <c r="BF13" s="102">
        <v>0</v>
      </c>
      <c r="BG13" s="102">
        <v>0</v>
      </c>
      <c r="BH13" s="102">
        <v>0</v>
      </c>
      <c r="BI13" s="102">
        <v>0</v>
      </c>
      <c r="BJ13" s="102">
        <v>0</v>
      </c>
      <c r="BK13" s="102">
        <v>0</v>
      </c>
      <c r="BL13" s="102">
        <v>0</v>
      </c>
      <c r="BM13" s="102">
        <v>0</v>
      </c>
      <c r="BN13" s="102">
        <v>0</v>
      </c>
      <c r="BO13" s="102">
        <v>0</v>
      </c>
      <c r="BP13" s="102">
        <v>0</v>
      </c>
      <c r="BQ13" s="102">
        <v>0</v>
      </c>
      <c r="BR13" s="102">
        <v>0</v>
      </c>
      <c r="BS13" s="102">
        <v>0</v>
      </c>
      <c r="BT13" s="102">
        <v>0</v>
      </c>
      <c r="BU13" s="102">
        <v>0</v>
      </c>
      <c r="BV13" s="102">
        <v>0</v>
      </c>
      <c r="BW13" s="102">
        <v>0</v>
      </c>
      <c r="BX13" s="102">
        <v>0</v>
      </c>
      <c r="BY13" s="102">
        <v>0</v>
      </c>
      <c r="BZ13" s="102">
        <v>0</v>
      </c>
      <c r="CA13" s="102">
        <v>0</v>
      </c>
      <c r="CB13" s="102">
        <v>0</v>
      </c>
      <c r="CC13" s="102">
        <v>0</v>
      </c>
      <c r="CD13" s="102">
        <v>0</v>
      </c>
      <c r="CE13" s="102">
        <v>0</v>
      </c>
      <c r="CF13" s="102">
        <v>0</v>
      </c>
      <c r="CG13" s="102">
        <v>0</v>
      </c>
      <c r="CH13" s="102">
        <v>0</v>
      </c>
      <c r="CI13" s="102">
        <v>0</v>
      </c>
      <c r="CJ13" s="102">
        <v>0</v>
      </c>
      <c r="CK13" s="102">
        <v>0</v>
      </c>
      <c r="CL13" s="102">
        <v>0</v>
      </c>
      <c r="CM13" s="102">
        <v>0</v>
      </c>
      <c r="CN13" s="102">
        <v>0</v>
      </c>
      <c r="CO13" s="102">
        <v>0</v>
      </c>
      <c r="CP13" s="102">
        <v>0</v>
      </c>
      <c r="CQ13" s="102">
        <v>0</v>
      </c>
      <c r="CR13" s="102">
        <v>0</v>
      </c>
      <c r="CS13" s="102">
        <v>0</v>
      </c>
      <c r="CT13" s="102">
        <v>0</v>
      </c>
      <c r="CU13" s="102">
        <v>0</v>
      </c>
      <c r="CV13" s="102">
        <v>0</v>
      </c>
      <c r="CW13" s="102">
        <v>0</v>
      </c>
      <c r="CX13" s="102">
        <v>0</v>
      </c>
      <c r="CY13" s="102">
        <v>0</v>
      </c>
      <c r="CZ13" s="102">
        <v>0</v>
      </c>
      <c r="DA13" s="102">
        <v>0</v>
      </c>
      <c r="DB13" s="102">
        <v>0</v>
      </c>
      <c r="DC13" s="102">
        <v>0</v>
      </c>
      <c r="DD13" s="102">
        <v>0</v>
      </c>
      <c r="DE13" s="102">
        <v>0</v>
      </c>
      <c r="DF13" s="102">
        <v>0</v>
      </c>
      <c r="DG13" s="102">
        <v>0</v>
      </c>
      <c r="DH13" s="102">
        <v>0</v>
      </c>
      <c r="DI13" s="102">
        <v>0</v>
      </c>
      <c r="DJ13" s="102">
        <v>0</v>
      </c>
      <c r="DK13" s="102">
        <v>0</v>
      </c>
      <c r="DL13" s="102">
        <v>0</v>
      </c>
      <c r="DM13" s="102">
        <v>0</v>
      </c>
      <c r="DN13" s="102">
        <v>0</v>
      </c>
      <c r="DO13" s="102">
        <v>0</v>
      </c>
      <c r="DP13" s="102">
        <v>0</v>
      </c>
      <c r="DQ13" s="102">
        <v>0</v>
      </c>
      <c r="DR13" s="102">
        <v>0</v>
      </c>
      <c r="DS13" s="66">
        <v>2023</v>
      </c>
      <c r="DT13" s="66">
        <v>3</v>
      </c>
      <c r="DU13" s="66">
        <v>9</v>
      </c>
      <c r="DV13" s="66" t="s">
        <v>586</v>
      </c>
      <c r="DW13" s="66" t="s">
        <v>613</v>
      </c>
      <c r="DX13" s="66" t="s">
        <v>583</v>
      </c>
      <c r="DY13" s="64" t="str">
        <f t="shared" si="0"/>
        <v>○</v>
      </c>
      <c r="DZ13" s="102">
        <v>0</v>
      </c>
      <c r="EA13" s="102">
        <v>0</v>
      </c>
      <c r="EB13" s="102">
        <v>0</v>
      </c>
      <c r="EC13" s="102">
        <v>0</v>
      </c>
      <c r="ED13" s="102">
        <v>0</v>
      </c>
      <c r="EE13" s="102">
        <v>0</v>
      </c>
      <c r="EF13" s="102">
        <v>0</v>
      </c>
      <c r="EG13" s="102">
        <v>0</v>
      </c>
      <c r="EH13" s="102">
        <v>0</v>
      </c>
      <c r="EI13" s="102">
        <v>0</v>
      </c>
      <c r="EJ13" s="102">
        <v>0</v>
      </c>
      <c r="EK13" s="102">
        <v>0</v>
      </c>
      <c r="EL13" s="102">
        <v>0</v>
      </c>
      <c r="EM13" s="102">
        <v>0</v>
      </c>
      <c r="EN13" s="102">
        <v>0</v>
      </c>
      <c r="EO13" s="102">
        <v>0</v>
      </c>
    </row>
    <row r="14" spans="1:145">
      <c r="A14" s="114">
        <v>116</v>
      </c>
      <c r="B14" s="102">
        <v>1330000</v>
      </c>
      <c r="C14" s="102">
        <v>0</v>
      </c>
      <c r="D14" s="102">
        <v>0</v>
      </c>
      <c r="E14" s="102">
        <v>0</v>
      </c>
      <c r="F14" s="102">
        <v>0</v>
      </c>
      <c r="G14" s="102">
        <v>0</v>
      </c>
      <c r="H14" s="102">
        <v>0</v>
      </c>
      <c r="I14" s="102">
        <v>0</v>
      </c>
      <c r="J14" s="102">
        <v>0</v>
      </c>
      <c r="K14" s="102">
        <v>0</v>
      </c>
      <c r="L14" s="102">
        <v>0</v>
      </c>
      <c r="M14" s="102">
        <v>0</v>
      </c>
      <c r="N14" s="102">
        <v>0</v>
      </c>
      <c r="O14" s="102">
        <v>0</v>
      </c>
      <c r="P14" s="102">
        <v>0</v>
      </c>
      <c r="Q14" s="102">
        <v>0</v>
      </c>
      <c r="R14" s="102">
        <v>0</v>
      </c>
      <c r="S14" s="102">
        <v>1330556</v>
      </c>
      <c r="T14" s="102">
        <v>0</v>
      </c>
      <c r="U14" s="102">
        <v>1330556</v>
      </c>
      <c r="V14" s="102">
        <v>1330556</v>
      </c>
      <c r="W14" s="102">
        <v>15724800</v>
      </c>
      <c r="X14" s="102">
        <v>1330556</v>
      </c>
      <c r="Y14" s="102">
        <v>1330556</v>
      </c>
      <c r="Z14" s="102">
        <v>1330000</v>
      </c>
      <c r="AA14" s="102">
        <v>0</v>
      </c>
      <c r="AB14" s="102">
        <v>0</v>
      </c>
      <c r="AC14" s="102">
        <v>0</v>
      </c>
      <c r="AD14" s="102">
        <v>0</v>
      </c>
      <c r="AE14" s="102">
        <v>0</v>
      </c>
      <c r="AF14" s="102">
        <v>0</v>
      </c>
      <c r="AG14" s="102">
        <v>0</v>
      </c>
      <c r="AH14" s="102">
        <v>0</v>
      </c>
      <c r="AI14" s="102">
        <v>0</v>
      </c>
      <c r="AJ14" s="102">
        <v>0</v>
      </c>
      <c r="AK14" s="102">
        <v>0</v>
      </c>
      <c r="AL14" s="102">
        <v>0</v>
      </c>
      <c r="AM14" s="102">
        <v>0</v>
      </c>
      <c r="AN14" s="102">
        <v>0</v>
      </c>
      <c r="AO14" s="102">
        <v>0</v>
      </c>
      <c r="AP14" s="102">
        <v>0</v>
      </c>
      <c r="AQ14" s="102">
        <v>0</v>
      </c>
      <c r="AR14" s="102">
        <v>0</v>
      </c>
      <c r="AS14" s="102">
        <v>0</v>
      </c>
      <c r="AT14" s="102">
        <v>0</v>
      </c>
      <c r="AU14" s="102">
        <v>0</v>
      </c>
      <c r="AV14" s="102">
        <v>0</v>
      </c>
      <c r="AW14" s="102">
        <v>0</v>
      </c>
      <c r="AX14" s="102">
        <v>0</v>
      </c>
      <c r="AY14" s="102">
        <v>0</v>
      </c>
      <c r="AZ14" s="102">
        <v>0</v>
      </c>
      <c r="BA14" s="102">
        <v>0</v>
      </c>
      <c r="BB14" s="102">
        <v>0</v>
      </c>
      <c r="BC14" s="102">
        <v>0</v>
      </c>
      <c r="BD14" s="102">
        <v>0</v>
      </c>
      <c r="BE14" s="102">
        <v>0</v>
      </c>
      <c r="BF14" s="102">
        <v>0</v>
      </c>
      <c r="BG14" s="102">
        <v>0</v>
      </c>
      <c r="BH14" s="102">
        <v>0</v>
      </c>
      <c r="BI14" s="102">
        <v>0</v>
      </c>
      <c r="BJ14" s="102">
        <v>0</v>
      </c>
      <c r="BK14" s="102">
        <v>0</v>
      </c>
      <c r="BL14" s="102">
        <v>0</v>
      </c>
      <c r="BM14" s="102">
        <v>0</v>
      </c>
      <c r="BN14" s="102">
        <v>0</v>
      </c>
      <c r="BO14" s="102">
        <v>0</v>
      </c>
      <c r="BP14" s="102">
        <v>0</v>
      </c>
      <c r="BQ14" s="102">
        <v>0</v>
      </c>
      <c r="BR14" s="102">
        <v>0</v>
      </c>
      <c r="BS14" s="102">
        <v>0</v>
      </c>
      <c r="BT14" s="102">
        <v>0</v>
      </c>
      <c r="BU14" s="102">
        <v>0</v>
      </c>
      <c r="BV14" s="102">
        <v>0</v>
      </c>
      <c r="BW14" s="102">
        <v>0</v>
      </c>
      <c r="BX14" s="102">
        <v>0</v>
      </c>
      <c r="BY14" s="102">
        <v>0</v>
      </c>
      <c r="BZ14" s="102">
        <v>0</v>
      </c>
      <c r="CA14" s="102">
        <v>0</v>
      </c>
      <c r="CB14" s="102">
        <v>0</v>
      </c>
      <c r="CC14" s="102">
        <v>0</v>
      </c>
      <c r="CD14" s="102">
        <v>0</v>
      </c>
      <c r="CE14" s="102">
        <v>0</v>
      </c>
      <c r="CF14" s="102">
        <v>0</v>
      </c>
      <c r="CG14" s="102">
        <v>0</v>
      </c>
      <c r="CH14" s="102">
        <v>0</v>
      </c>
      <c r="CI14" s="102">
        <v>0</v>
      </c>
      <c r="CJ14" s="102">
        <v>0</v>
      </c>
      <c r="CK14" s="102">
        <v>0</v>
      </c>
      <c r="CL14" s="102">
        <v>0</v>
      </c>
      <c r="CM14" s="102">
        <v>0</v>
      </c>
      <c r="CN14" s="102">
        <v>0</v>
      </c>
      <c r="CO14" s="102">
        <v>0</v>
      </c>
      <c r="CP14" s="102">
        <v>0</v>
      </c>
      <c r="CQ14" s="102">
        <v>0</v>
      </c>
      <c r="CR14" s="102">
        <v>0</v>
      </c>
      <c r="CS14" s="102">
        <v>0</v>
      </c>
      <c r="CT14" s="102">
        <v>0</v>
      </c>
      <c r="CU14" s="102">
        <v>0</v>
      </c>
      <c r="CV14" s="102">
        <v>0</v>
      </c>
      <c r="CW14" s="102">
        <v>0</v>
      </c>
      <c r="CX14" s="102">
        <v>0</v>
      </c>
      <c r="CY14" s="102">
        <v>0</v>
      </c>
      <c r="CZ14" s="102">
        <v>0</v>
      </c>
      <c r="DA14" s="102">
        <v>0</v>
      </c>
      <c r="DB14" s="102">
        <v>0</v>
      </c>
      <c r="DC14" s="102">
        <v>0</v>
      </c>
      <c r="DD14" s="102">
        <v>0</v>
      </c>
      <c r="DE14" s="102">
        <v>0</v>
      </c>
      <c r="DF14" s="102">
        <v>0</v>
      </c>
      <c r="DG14" s="102">
        <v>0</v>
      </c>
      <c r="DH14" s="102">
        <v>0</v>
      </c>
      <c r="DI14" s="102">
        <v>0</v>
      </c>
      <c r="DJ14" s="102">
        <v>0</v>
      </c>
      <c r="DK14" s="102">
        <v>0</v>
      </c>
      <c r="DL14" s="102">
        <v>0</v>
      </c>
      <c r="DM14" s="102">
        <v>0</v>
      </c>
      <c r="DN14" s="102">
        <v>0</v>
      </c>
      <c r="DO14" s="102">
        <v>0</v>
      </c>
      <c r="DP14" s="102">
        <v>0</v>
      </c>
      <c r="DQ14" s="102">
        <v>0</v>
      </c>
      <c r="DR14" s="102">
        <v>0</v>
      </c>
      <c r="DS14" s="66">
        <v>2023</v>
      </c>
      <c r="DT14" s="66">
        <v>3</v>
      </c>
      <c r="DU14" s="66">
        <v>9</v>
      </c>
      <c r="DV14" s="66" t="s">
        <v>618</v>
      </c>
      <c r="DW14" s="66" t="s">
        <v>627</v>
      </c>
      <c r="DX14" s="66" t="s">
        <v>583</v>
      </c>
      <c r="DY14" s="64" t="str">
        <f t="shared" si="0"/>
        <v>○</v>
      </c>
      <c r="DZ14" s="102">
        <v>0</v>
      </c>
      <c r="EA14" s="102">
        <v>0</v>
      </c>
      <c r="EB14" s="102">
        <v>0</v>
      </c>
      <c r="EC14" s="102">
        <v>0</v>
      </c>
      <c r="ED14" s="102">
        <v>0</v>
      </c>
      <c r="EE14" s="102">
        <v>0</v>
      </c>
      <c r="EF14" s="102">
        <v>0</v>
      </c>
      <c r="EG14" s="102">
        <v>0</v>
      </c>
      <c r="EH14" s="102">
        <v>0</v>
      </c>
      <c r="EI14" s="102">
        <v>0</v>
      </c>
      <c r="EJ14" s="102">
        <v>0</v>
      </c>
      <c r="EK14" s="102">
        <v>0</v>
      </c>
      <c r="EL14" s="102">
        <v>0</v>
      </c>
      <c r="EM14" s="102">
        <v>0</v>
      </c>
      <c r="EN14" s="102">
        <v>0</v>
      </c>
      <c r="EO14" s="102">
        <v>0</v>
      </c>
    </row>
    <row r="15" spans="1:145">
      <c r="A15" s="114">
        <v>117</v>
      </c>
      <c r="B15" s="102">
        <v>1870000</v>
      </c>
      <c r="C15" s="102">
        <v>0</v>
      </c>
      <c r="D15" s="102">
        <v>0</v>
      </c>
      <c r="E15" s="102">
        <v>0</v>
      </c>
      <c r="F15" s="102">
        <v>0</v>
      </c>
      <c r="G15" s="102">
        <v>0</v>
      </c>
      <c r="H15" s="102">
        <v>0</v>
      </c>
      <c r="I15" s="102">
        <v>0</v>
      </c>
      <c r="J15" s="102">
        <v>0</v>
      </c>
      <c r="K15" s="102">
        <v>0</v>
      </c>
      <c r="L15" s="102">
        <v>0</v>
      </c>
      <c r="M15" s="102">
        <v>0</v>
      </c>
      <c r="N15" s="102">
        <v>0</v>
      </c>
      <c r="O15" s="102">
        <v>0</v>
      </c>
      <c r="P15" s="102">
        <v>0</v>
      </c>
      <c r="Q15" s="102">
        <v>0</v>
      </c>
      <c r="R15" s="102">
        <v>0</v>
      </c>
      <c r="S15" s="102">
        <v>1870677</v>
      </c>
      <c r="T15" s="102">
        <v>0</v>
      </c>
      <c r="U15" s="102">
        <v>1870677</v>
      </c>
      <c r="V15" s="102">
        <v>1870677</v>
      </c>
      <c r="W15" s="102">
        <v>3931200</v>
      </c>
      <c r="X15" s="102">
        <v>1870677</v>
      </c>
      <c r="Y15" s="102">
        <v>1870677</v>
      </c>
      <c r="Z15" s="102">
        <v>1870000</v>
      </c>
      <c r="AA15" s="102">
        <v>0</v>
      </c>
      <c r="AB15" s="102">
        <v>0</v>
      </c>
      <c r="AC15" s="102">
        <v>0</v>
      </c>
      <c r="AD15" s="102">
        <v>0</v>
      </c>
      <c r="AE15" s="102">
        <v>0</v>
      </c>
      <c r="AF15" s="102">
        <v>0</v>
      </c>
      <c r="AG15" s="102">
        <v>0</v>
      </c>
      <c r="AH15" s="102">
        <v>0</v>
      </c>
      <c r="AI15" s="102">
        <v>0</v>
      </c>
      <c r="AJ15" s="102">
        <v>0</v>
      </c>
      <c r="AK15" s="102">
        <v>0</v>
      </c>
      <c r="AL15" s="102">
        <v>0</v>
      </c>
      <c r="AM15" s="102">
        <v>0</v>
      </c>
      <c r="AN15" s="102">
        <v>0</v>
      </c>
      <c r="AO15" s="102">
        <v>0</v>
      </c>
      <c r="AP15" s="102">
        <v>0</v>
      </c>
      <c r="AQ15" s="102">
        <v>0</v>
      </c>
      <c r="AR15" s="102">
        <v>0</v>
      </c>
      <c r="AS15" s="102">
        <v>0</v>
      </c>
      <c r="AT15" s="102">
        <v>0</v>
      </c>
      <c r="AU15" s="102">
        <v>0</v>
      </c>
      <c r="AV15" s="102">
        <v>0</v>
      </c>
      <c r="AW15" s="102">
        <v>0</v>
      </c>
      <c r="AX15" s="102">
        <v>0</v>
      </c>
      <c r="AY15" s="102">
        <v>0</v>
      </c>
      <c r="AZ15" s="102">
        <v>0</v>
      </c>
      <c r="BA15" s="102">
        <v>0</v>
      </c>
      <c r="BB15" s="102">
        <v>0</v>
      </c>
      <c r="BC15" s="102">
        <v>0</v>
      </c>
      <c r="BD15" s="102">
        <v>0</v>
      </c>
      <c r="BE15" s="102">
        <v>0</v>
      </c>
      <c r="BF15" s="102">
        <v>0</v>
      </c>
      <c r="BG15" s="102">
        <v>0</v>
      </c>
      <c r="BH15" s="102">
        <v>0</v>
      </c>
      <c r="BI15" s="102">
        <v>0</v>
      </c>
      <c r="BJ15" s="102">
        <v>0</v>
      </c>
      <c r="BK15" s="102">
        <v>0</v>
      </c>
      <c r="BL15" s="102">
        <v>0</v>
      </c>
      <c r="BM15" s="102">
        <v>0</v>
      </c>
      <c r="BN15" s="102">
        <v>0</v>
      </c>
      <c r="BO15" s="102">
        <v>0</v>
      </c>
      <c r="BP15" s="102">
        <v>0</v>
      </c>
      <c r="BQ15" s="102">
        <v>0</v>
      </c>
      <c r="BR15" s="102">
        <v>0</v>
      </c>
      <c r="BS15" s="102">
        <v>0</v>
      </c>
      <c r="BT15" s="102">
        <v>0</v>
      </c>
      <c r="BU15" s="102">
        <v>0</v>
      </c>
      <c r="BV15" s="102">
        <v>0</v>
      </c>
      <c r="BW15" s="102">
        <v>0</v>
      </c>
      <c r="BX15" s="102">
        <v>0</v>
      </c>
      <c r="BY15" s="102">
        <v>0</v>
      </c>
      <c r="BZ15" s="102">
        <v>0</v>
      </c>
      <c r="CA15" s="102">
        <v>0</v>
      </c>
      <c r="CB15" s="102">
        <v>0</v>
      </c>
      <c r="CC15" s="102">
        <v>0</v>
      </c>
      <c r="CD15" s="102">
        <v>0</v>
      </c>
      <c r="CE15" s="102">
        <v>0</v>
      </c>
      <c r="CF15" s="102">
        <v>0</v>
      </c>
      <c r="CG15" s="102">
        <v>0</v>
      </c>
      <c r="CH15" s="102">
        <v>0</v>
      </c>
      <c r="CI15" s="102">
        <v>0</v>
      </c>
      <c r="CJ15" s="102">
        <v>0</v>
      </c>
      <c r="CK15" s="102">
        <v>0</v>
      </c>
      <c r="CL15" s="102">
        <v>0</v>
      </c>
      <c r="CM15" s="102">
        <v>0</v>
      </c>
      <c r="CN15" s="102">
        <v>0</v>
      </c>
      <c r="CO15" s="102">
        <v>0</v>
      </c>
      <c r="CP15" s="102">
        <v>0</v>
      </c>
      <c r="CQ15" s="102">
        <v>0</v>
      </c>
      <c r="CR15" s="102">
        <v>0</v>
      </c>
      <c r="CS15" s="102">
        <v>0</v>
      </c>
      <c r="CT15" s="102">
        <v>0</v>
      </c>
      <c r="CU15" s="102">
        <v>0</v>
      </c>
      <c r="CV15" s="102">
        <v>0</v>
      </c>
      <c r="CW15" s="102">
        <v>0</v>
      </c>
      <c r="CX15" s="102">
        <v>0</v>
      </c>
      <c r="CY15" s="102">
        <v>0</v>
      </c>
      <c r="CZ15" s="102">
        <v>0</v>
      </c>
      <c r="DA15" s="102">
        <v>0</v>
      </c>
      <c r="DB15" s="102">
        <v>0</v>
      </c>
      <c r="DC15" s="102">
        <v>0</v>
      </c>
      <c r="DD15" s="102">
        <v>0</v>
      </c>
      <c r="DE15" s="102">
        <v>0</v>
      </c>
      <c r="DF15" s="102">
        <v>0</v>
      </c>
      <c r="DG15" s="102">
        <v>0</v>
      </c>
      <c r="DH15" s="102">
        <v>0</v>
      </c>
      <c r="DI15" s="102">
        <v>0</v>
      </c>
      <c r="DJ15" s="102">
        <v>0</v>
      </c>
      <c r="DK15" s="102">
        <v>0</v>
      </c>
      <c r="DL15" s="102">
        <v>0</v>
      </c>
      <c r="DM15" s="102">
        <v>0</v>
      </c>
      <c r="DN15" s="102">
        <v>0</v>
      </c>
      <c r="DO15" s="102">
        <v>0</v>
      </c>
      <c r="DP15" s="102">
        <v>0</v>
      </c>
      <c r="DQ15" s="102">
        <v>0</v>
      </c>
      <c r="DR15" s="102">
        <v>0</v>
      </c>
      <c r="DS15" s="66">
        <v>2023</v>
      </c>
      <c r="DT15" s="66">
        <v>3</v>
      </c>
      <c r="DU15" s="66">
        <v>9</v>
      </c>
      <c r="DV15" s="66" t="s">
        <v>1012</v>
      </c>
      <c r="DW15" s="66" t="s">
        <v>625</v>
      </c>
      <c r="DX15" s="66" t="s">
        <v>583</v>
      </c>
      <c r="DY15" s="64" t="str">
        <f t="shared" si="0"/>
        <v>○</v>
      </c>
      <c r="DZ15" s="102">
        <v>0</v>
      </c>
      <c r="EA15" s="102">
        <v>0</v>
      </c>
      <c r="EB15" s="102">
        <v>0</v>
      </c>
      <c r="EC15" s="102">
        <v>0</v>
      </c>
      <c r="ED15" s="102">
        <v>0</v>
      </c>
      <c r="EE15" s="102">
        <v>0</v>
      </c>
      <c r="EF15" s="102">
        <v>0</v>
      </c>
      <c r="EG15" s="102">
        <v>0</v>
      </c>
      <c r="EH15" s="102">
        <v>0</v>
      </c>
      <c r="EI15" s="102">
        <v>0</v>
      </c>
      <c r="EJ15" s="102">
        <v>0</v>
      </c>
      <c r="EK15" s="102">
        <v>0</v>
      </c>
      <c r="EL15" s="102">
        <v>0</v>
      </c>
      <c r="EM15" s="102">
        <v>0</v>
      </c>
      <c r="EN15" s="102">
        <v>0</v>
      </c>
      <c r="EO15" s="102">
        <v>0</v>
      </c>
    </row>
    <row r="16" spans="1:145">
      <c r="A16" s="114">
        <v>118</v>
      </c>
      <c r="B16" s="102">
        <v>5625000</v>
      </c>
      <c r="C16" s="102">
        <v>0</v>
      </c>
      <c r="D16" s="102">
        <v>0</v>
      </c>
      <c r="E16" s="102">
        <v>0</v>
      </c>
      <c r="F16" s="102">
        <v>0</v>
      </c>
      <c r="G16" s="102">
        <v>0</v>
      </c>
      <c r="H16" s="102">
        <v>0</v>
      </c>
      <c r="I16" s="102">
        <v>0</v>
      </c>
      <c r="J16" s="102">
        <v>0</v>
      </c>
      <c r="K16" s="102">
        <v>0</v>
      </c>
      <c r="L16" s="102">
        <v>0</v>
      </c>
      <c r="M16" s="102">
        <v>0</v>
      </c>
      <c r="N16" s="102">
        <v>0</v>
      </c>
      <c r="O16" s="102">
        <v>0</v>
      </c>
      <c r="P16" s="102">
        <v>0</v>
      </c>
      <c r="Q16" s="102">
        <v>0</v>
      </c>
      <c r="R16" s="102">
        <v>0</v>
      </c>
      <c r="S16" s="102">
        <v>5625446</v>
      </c>
      <c r="T16" s="102">
        <v>0</v>
      </c>
      <c r="U16" s="102">
        <v>5625446</v>
      </c>
      <c r="V16" s="102">
        <v>5625446</v>
      </c>
      <c r="W16" s="102">
        <v>11793600</v>
      </c>
      <c r="X16" s="102">
        <v>5625446</v>
      </c>
      <c r="Y16" s="102">
        <v>5625446</v>
      </c>
      <c r="Z16" s="102">
        <v>5625000</v>
      </c>
      <c r="AA16" s="102">
        <v>0</v>
      </c>
      <c r="AB16" s="102">
        <v>0</v>
      </c>
      <c r="AC16" s="102">
        <v>0</v>
      </c>
      <c r="AD16" s="102">
        <v>0</v>
      </c>
      <c r="AE16" s="102">
        <v>0</v>
      </c>
      <c r="AF16" s="102">
        <v>0</v>
      </c>
      <c r="AG16" s="102">
        <v>0</v>
      </c>
      <c r="AH16" s="102">
        <v>0</v>
      </c>
      <c r="AI16" s="102">
        <v>0</v>
      </c>
      <c r="AJ16" s="102">
        <v>0</v>
      </c>
      <c r="AK16" s="102">
        <v>0</v>
      </c>
      <c r="AL16" s="102">
        <v>0</v>
      </c>
      <c r="AM16" s="102">
        <v>0</v>
      </c>
      <c r="AN16" s="102">
        <v>0</v>
      </c>
      <c r="AO16" s="102">
        <v>0</v>
      </c>
      <c r="AP16" s="102">
        <v>0</v>
      </c>
      <c r="AQ16" s="102">
        <v>0</v>
      </c>
      <c r="AR16" s="102">
        <v>0</v>
      </c>
      <c r="AS16" s="102">
        <v>0</v>
      </c>
      <c r="AT16" s="102">
        <v>0</v>
      </c>
      <c r="AU16" s="102">
        <v>0</v>
      </c>
      <c r="AV16" s="102">
        <v>0</v>
      </c>
      <c r="AW16" s="102">
        <v>0</v>
      </c>
      <c r="AX16" s="102">
        <v>0</v>
      </c>
      <c r="AY16" s="102">
        <v>0</v>
      </c>
      <c r="AZ16" s="102">
        <v>0</v>
      </c>
      <c r="BA16" s="102">
        <v>0</v>
      </c>
      <c r="BB16" s="102">
        <v>0</v>
      </c>
      <c r="BC16" s="102">
        <v>0</v>
      </c>
      <c r="BD16" s="102">
        <v>0</v>
      </c>
      <c r="BE16" s="102">
        <v>0</v>
      </c>
      <c r="BF16" s="102">
        <v>0</v>
      </c>
      <c r="BG16" s="102">
        <v>0</v>
      </c>
      <c r="BH16" s="102">
        <v>0</v>
      </c>
      <c r="BI16" s="102">
        <v>0</v>
      </c>
      <c r="BJ16" s="102">
        <v>0</v>
      </c>
      <c r="BK16" s="102">
        <v>0</v>
      </c>
      <c r="BL16" s="102">
        <v>0</v>
      </c>
      <c r="BM16" s="102">
        <v>0</v>
      </c>
      <c r="BN16" s="102">
        <v>0</v>
      </c>
      <c r="BO16" s="102">
        <v>0</v>
      </c>
      <c r="BP16" s="102">
        <v>0</v>
      </c>
      <c r="BQ16" s="102">
        <v>0</v>
      </c>
      <c r="BR16" s="102">
        <v>0</v>
      </c>
      <c r="BS16" s="102">
        <v>0</v>
      </c>
      <c r="BT16" s="102">
        <v>0</v>
      </c>
      <c r="BU16" s="102">
        <v>0</v>
      </c>
      <c r="BV16" s="102">
        <v>0</v>
      </c>
      <c r="BW16" s="102">
        <v>0</v>
      </c>
      <c r="BX16" s="102">
        <v>0</v>
      </c>
      <c r="BY16" s="102">
        <v>0</v>
      </c>
      <c r="BZ16" s="102">
        <v>0</v>
      </c>
      <c r="CA16" s="102">
        <v>0</v>
      </c>
      <c r="CB16" s="102">
        <v>0</v>
      </c>
      <c r="CC16" s="102">
        <v>0</v>
      </c>
      <c r="CD16" s="102">
        <v>0</v>
      </c>
      <c r="CE16" s="102">
        <v>0</v>
      </c>
      <c r="CF16" s="102">
        <v>0</v>
      </c>
      <c r="CG16" s="102">
        <v>0</v>
      </c>
      <c r="CH16" s="102">
        <v>0</v>
      </c>
      <c r="CI16" s="102">
        <v>0</v>
      </c>
      <c r="CJ16" s="102">
        <v>0</v>
      </c>
      <c r="CK16" s="102">
        <v>0</v>
      </c>
      <c r="CL16" s="102">
        <v>0</v>
      </c>
      <c r="CM16" s="102">
        <v>0</v>
      </c>
      <c r="CN16" s="102">
        <v>0</v>
      </c>
      <c r="CO16" s="102">
        <v>0</v>
      </c>
      <c r="CP16" s="102">
        <v>0</v>
      </c>
      <c r="CQ16" s="102">
        <v>0</v>
      </c>
      <c r="CR16" s="102">
        <v>0</v>
      </c>
      <c r="CS16" s="102">
        <v>0</v>
      </c>
      <c r="CT16" s="102">
        <v>0</v>
      </c>
      <c r="CU16" s="102">
        <v>0</v>
      </c>
      <c r="CV16" s="102">
        <v>0</v>
      </c>
      <c r="CW16" s="102">
        <v>0</v>
      </c>
      <c r="CX16" s="102">
        <v>0</v>
      </c>
      <c r="CY16" s="102">
        <v>0</v>
      </c>
      <c r="CZ16" s="102">
        <v>0</v>
      </c>
      <c r="DA16" s="102">
        <v>0</v>
      </c>
      <c r="DB16" s="102">
        <v>0</v>
      </c>
      <c r="DC16" s="102">
        <v>0</v>
      </c>
      <c r="DD16" s="102">
        <v>0</v>
      </c>
      <c r="DE16" s="102">
        <v>0</v>
      </c>
      <c r="DF16" s="102">
        <v>0</v>
      </c>
      <c r="DG16" s="102">
        <v>0</v>
      </c>
      <c r="DH16" s="102">
        <v>0</v>
      </c>
      <c r="DI16" s="102">
        <v>0</v>
      </c>
      <c r="DJ16" s="102">
        <v>0</v>
      </c>
      <c r="DK16" s="102">
        <v>0</v>
      </c>
      <c r="DL16" s="102">
        <v>0</v>
      </c>
      <c r="DM16" s="102">
        <v>0</v>
      </c>
      <c r="DN16" s="102">
        <v>0</v>
      </c>
      <c r="DO16" s="102">
        <v>0</v>
      </c>
      <c r="DP16" s="102">
        <v>0</v>
      </c>
      <c r="DQ16" s="102">
        <v>0</v>
      </c>
      <c r="DR16" s="102">
        <v>0</v>
      </c>
      <c r="DS16" s="66">
        <v>2023</v>
      </c>
      <c r="DT16" s="66">
        <v>3</v>
      </c>
      <c r="DU16" s="66">
        <v>9</v>
      </c>
      <c r="DV16" s="66" t="s">
        <v>586</v>
      </c>
      <c r="DW16" s="66" t="s">
        <v>587</v>
      </c>
      <c r="DX16" s="66" t="s">
        <v>583</v>
      </c>
      <c r="DY16" s="64" t="str">
        <f t="shared" si="0"/>
        <v>○</v>
      </c>
      <c r="DZ16" s="102">
        <v>0</v>
      </c>
      <c r="EA16" s="102">
        <v>0</v>
      </c>
      <c r="EB16" s="102">
        <v>0</v>
      </c>
      <c r="EC16" s="102">
        <v>0</v>
      </c>
      <c r="ED16" s="102">
        <v>0</v>
      </c>
      <c r="EE16" s="102">
        <v>0</v>
      </c>
      <c r="EF16" s="102">
        <v>0</v>
      </c>
      <c r="EG16" s="102">
        <v>0</v>
      </c>
      <c r="EH16" s="102">
        <v>0</v>
      </c>
      <c r="EI16" s="102">
        <v>0</v>
      </c>
      <c r="EJ16" s="102">
        <v>0</v>
      </c>
      <c r="EK16" s="102">
        <v>0</v>
      </c>
      <c r="EL16" s="102">
        <v>0</v>
      </c>
      <c r="EM16" s="102">
        <v>0</v>
      </c>
      <c r="EN16" s="102">
        <v>0</v>
      </c>
      <c r="EO16" s="102">
        <v>0</v>
      </c>
    </row>
    <row r="17" spans="1:145">
      <c r="A17" s="114">
        <v>119</v>
      </c>
      <c r="B17" s="102">
        <v>18948000</v>
      </c>
      <c r="C17" s="102">
        <v>0</v>
      </c>
      <c r="D17" s="102">
        <v>0</v>
      </c>
      <c r="E17" s="102">
        <v>0</v>
      </c>
      <c r="F17" s="102">
        <v>0</v>
      </c>
      <c r="G17" s="102">
        <v>0</v>
      </c>
      <c r="H17" s="102">
        <v>0</v>
      </c>
      <c r="I17" s="102">
        <v>0</v>
      </c>
      <c r="J17" s="102">
        <v>0</v>
      </c>
      <c r="K17" s="102">
        <v>0</v>
      </c>
      <c r="L17" s="102">
        <v>0</v>
      </c>
      <c r="M17" s="102">
        <v>0</v>
      </c>
      <c r="N17" s="102">
        <v>0</v>
      </c>
      <c r="O17" s="102">
        <v>0</v>
      </c>
      <c r="P17" s="102">
        <v>0</v>
      </c>
      <c r="Q17" s="102">
        <v>0</v>
      </c>
      <c r="R17" s="102">
        <v>0</v>
      </c>
      <c r="S17" s="102">
        <v>18948620</v>
      </c>
      <c r="T17" s="102">
        <v>0</v>
      </c>
      <c r="U17" s="102">
        <v>18948620</v>
      </c>
      <c r="V17" s="102">
        <v>18948620</v>
      </c>
      <c r="W17" s="102">
        <v>26208000</v>
      </c>
      <c r="X17" s="102">
        <v>18948620</v>
      </c>
      <c r="Y17" s="102">
        <v>18948620</v>
      </c>
      <c r="Z17" s="102">
        <v>18948000</v>
      </c>
      <c r="AA17" s="102">
        <v>0</v>
      </c>
      <c r="AB17" s="102">
        <v>0</v>
      </c>
      <c r="AC17" s="102">
        <v>0</v>
      </c>
      <c r="AD17" s="102">
        <v>0</v>
      </c>
      <c r="AE17" s="102">
        <v>0</v>
      </c>
      <c r="AF17" s="102">
        <v>0</v>
      </c>
      <c r="AG17" s="102">
        <v>0</v>
      </c>
      <c r="AH17" s="102">
        <v>0</v>
      </c>
      <c r="AI17" s="102">
        <v>0</v>
      </c>
      <c r="AJ17" s="102">
        <v>0</v>
      </c>
      <c r="AK17" s="102">
        <v>0</v>
      </c>
      <c r="AL17" s="102">
        <v>0</v>
      </c>
      <c r="AM17" s="102">
        <v>0</v>
      </c>
      <c r="AN17" s="102">
        <v>0</v>
      </c>
      <c r="AO17" s="102">
        <v>0</v>
      </c>
      <c r="AP17" s="102">
        <v>0</v>
      </c>
      <c r="AQ17" s="102">
        <v>0</v>
      </c>
      <c r="AR17" s="102">
        <v>0</v>
      </c>
      <c r="AS17" s="102">
        <v>0</v>
      </c>
      <c r="AT17" s="102">
        <v>0</v>
      </c>
      <c r="AU17" s="102">
        <v>0</v>
      </c>
      <c r="AV17" s="102">
        <v>0</v>
      </c>
      <c r="AW17" s="102">
        <v>0</v>
      </c>
      <c r="AX17" s="102">
        <v>0</v>
      </c>
      <c r="AY17" s="102">
        <v>0</v>
      </c>
      <c r="AZ17" s="102">
        <v>0</v>
      </c>
      <c r="BA17" s="102">
        <v>0</v>
      </c>
      <c r="BB17" s="102">
        <v>0</v>
      </c>
      <c r="BC17" s="102">
        <v>0</v>
      </c>
      <c r="BD17" s="102">
        <v>0</v>
      </c>
      <c r="BE17" s="102">
        <v>0</v>
      </c>
      <c r="BF17" s="102">
        <v>0</v>
      </c>
      <c r="BG17" s="102">
        <v>0</v>
      </c>
      <c r="BH17" s="102">
        <v>0</v>
      </c>
      <c r="BI17" s="102">
        <v>0</v>
      </c>
      <c r="BJ17" s="102">
        <v>0</v>
      </c>
      <c r="BK17" s="102">
        <v>0</v>
      </c>
      <c r="BL17" s="102">
        <v>0</v>
      </c>
      <c r="BM17" s="102">
        <v>0</v>
      </c>
      <c r="BN17" s="102">
        <v>0</v>
      </c>
      <c r="BO17" s="102">
        <v>0</v>
      </c>
      <c r="BP17" s="102">
        <v>0</v>
      </c>
      <c r="BQ17" s="102">
        <v>0</v>
      </c>
      <c r="BR17" s="102">
        <v>0</v>
      </c>
      <c r="BS17" s="102">
        <v>0</v>
      </c>
      <c r="BT17" s="102">
        <v>0</v>
      </c>
      <c r="BU17" s="102">
        <v>0</v>
      </c>
      <c r="BV17" s="102">
        <v>0</v>
      </c>
      <c r="BW17" s="102">
        <v>0</v>
      </c>
      <c r="BX17" s="102">
        <v>0</v>
      </c>
      <c r="BY17" s="102">
        <v>0</v>
      </c>
      <c r="BZ17" s="102">
        <v>0</v>
      </c>
      <c r="CA17" s="102">
        <v>0</v>
      </c>
      <c r="CB17" s="102">
        <v>0</v>
      </c>
      <c r="CC17" s="102">
        <v>0</v>
      </c>
      <c r="CD17" s="102">
        <v>0</v>
      </c>
      <c r="CE17" s="102">
        <v>0</v>
      </c>
      <c r="CF17" s="102">
        <v>0</v>
      </c>
      <c r="CG17" s="102">
        <v>0</v>
      </c>
      <c r="CH17" s="102">
        <v>0</v>
      </c>
      <c r="CI17" s="102">
        <v>0</v>
      </c>
      <c r="CJ17" s="102">
        <v>0</v>
      </c>
      <c r="CK17" s="102">
        <v>0</v>
      </c>
      <c r="CL17" s="102">
        <v>0</v>
      </c>
      <c r="CM17" s="102">
        <v>0</v>
      </c>
      <c r="CN17" s="102">
        <v>0</v>
      </c>
      <c r="CO17" s="102">
        <v>0</v>
      </c>
      <c r="CP17" s="102">
        <v>0</v>
      </c>
      <c r="CQ17" s="102">
        <v>0</v>
      </c>
      <c r="CR17" s="102">
        <v>0</v>
      </c>
      <c r="CS17" s="102">
        <v>0</v>
      </c>
      <c r="CT17" s="102">
        <v>0</v>
      </c>
      <c r="CU17" s="102">
        <v>0</v>
      </c>
      <c r="CV17" s="102">
        <v>0</v>
      </c>
      <c r="CW17" s="102">
        <v>0</v>
      </c>
      <c r="CX17" s="102">
        <v>0</v>
      </c>
      <c r="CY17" s="102">
        <v>0</v>
      </c>
      <c r="CZ17" s="102">
        <v>0</v>
      </c>
      <c r="DA17" s="102">
        <v>0</v>
      </c>
      <c r="DB17" s="102">
        <v>0</v>
      </c>
      <c r="DC17" s="102">
        <v>0</v>
      </c>
      <c r="DD17" s="102">
        <v>0</v>
      </c>
      <c r="DE17" s="102">
        <v>0</v>
      </c>
      <c r="DF17" s="102">
        <v>0</v>
      </c>
      <c r="DG17" s="102">
        <v>0</v>
      </c>
      <c r="DH17" s="102">
        <v>0</v>
      </c>
      <c r="DI17" s="102">
        <v>0</v>
      </c>
      <c r="DJ17" s="102">
        <v>0</v>
      </c>
      <c r="DK17" s="102">
        <v>0</v>
      </c>
      <c r="DL17" s="102">
        <v>0</v>
      </c>
      <c r="DM17" s="102">
        <v>0</v>
      </c>
      <c r="DN17" s="102">
        <v>0</v>
      </c>
      <c r="DO17" s="102">
        <v>0</v>
      </c>
      <c r="DP17" s="102">
        <v>0</v>
      </c>
      <c r="DQ17" s="102">
        <v>0</v>
      </c>
      <c r="DR17" s="102">
        <v>0</v>
      </c>
      <c r="DS17" s="66">
        <v>2023</v>
      </c>
      <c r="DT17" s="66">
        <v>3</v>
      </c>
      <c r="DU17" s="66">
        <v>9</v>
      </c>
      <c r="DV17" s="66" t="s">
        <v>586</v>
      </c>
      <c r="DW17" s="66" t="s">
        <v>623</v>
      </c>
      <c r="DX17" s="66" t="s">
        <v>583</v>
      </c>
      <c r="DY17" s="64" t="str">
        <f t="shared" si="0"/>
        <v>○</v>
      </c>
      <c r="DZ17" s="102">
        <v>0</v>
      </c>
      <c r="EA17" s="102">
        <v>0</v>
      </c>
      <c r="EB17" s="102">
        <v>0</v>
      </c>
      <c r="EC17" s="102">
        <v>0</v>
      </c>
      <c r="ED17" s="102">
        <v>0</v>
      </c>
      <c r="EE17" s="102">
        <v>0</v>
      </c>
      <c r="EF17" s="102">
        <v>0</v>
      </c>
      <c r="EG17" s="102">
        <v>0</v>
      </c>
      <c r="EH17" s="102">
        <v>0</v>
      </c>
      <c r="EI17" s="102">
        <v>0</v>
      </c>
      <c r="EJ17" s="102">
        <v>0</v>
      </c>
      <c r="EK17" s="102">
        <v>0</v>
      </c>
      <c r="EL17" s="102">
        <v>0</v>
      </c>
      <c r="EM17" s="102">
        <v>0</v>
      </c>
      <c r="EN17" s="102">
        <v>0</v>
      </c>
      <c r="EO17" s="102">
        <v>0</v>
      </c>
    </row>
    <row r="18" spans="1:145">
      <c r="A18" s="114">
        <v>120</v>
      </c>
      <c r="B18" s="102">
        <v>131000</v>
      </c>
      <c r="C18" s="102">
        <v>0</v>
      </c>
      <c r="D18" s="102">
        <v>0</v>
      </c>
      <c r="E18" s="102">
        <v>0</v>
      </c>
      <c r="F18" s="102">
        <v>0</v>
      </c>
      <c r="G18" s="102">
        <v>0</v>
      </c>
      <c r="H18" s="102">
        <v>0</v>
      </c>
      <c r="I18" s="102">
        <v>0</v>
      </c>
      <c r="J18" s="102">
        <v>0</v>
      </c>
      <c r="K18" s="102">
        <v>0</v>
      </c>
      <c r="L18" s="102">
        <v>0</v>
      </c>
      <c r="M18" s="102">
        <v>0</v>
      </c>
      <c r="N18" s="102">
        <v>0</v>
      </c>
      <c r="O18" s="102">
        <v>0</v>
      </c>
      <c r="P18" s="102">
        <v>0</v>
      </c>
      <c r="Q18" s="102">
        <v>0</v>
      </c>
      <c r="R18" s="102">
        <v>0</v>
      </c>
      <c r="S18" s="102">
        <v>131120</v>
      </c>
      <c r="T18" s="102">
        <v>0</v>
      </c>
      <c r="U18" s="102">
        <v>131120</v>
      </c>
      <c r="V18" s="102">
        <v>131120</v>
      </c>
      <c r="W18" s="102">
        <v>446400</v>
      </c>
      <c r="X18" s="102">
        <v>131120</v>
      </c>
      <c r="Y18" s="102">
        <v>131120</v>
      </c>
      <c r="Z18" s="102">
        <v>131000</v>
      </c>
      <c r="AA18" s="102">
        <v>0</v>
      </c>
      <c r="AB18" s="102">
        <v>0</v>
      </c>
      <c r="AC18" s="102">
        <v>0</v>
      </c>
      <c r="AD18" s="102">
        <v>0</v>
      </c>
      <c r="AE18" s="102">
        <v>0</v>
      </c>
      <c r="AF18" s="102">
        <v>0</v>
      </c>
      <c r="AG18" s="102">
        <v>0</v>
      </c>
      <c r="AH18" s="102">
        <v>0</v>
      </c>
      <c r="AI18" s="102">
        <v>0</v>
      </c>
      <c r="AJ18" s="102">
        <v>0</v>
      </c>
      <c r="AK18" s="102">
        <v>0</v>
      </c>
      <c r="AL18" s="102">
        <v>0</v>
      </c>
      <c r="AM18" s="102">
        <v>0</v>
      </c>
      <c r="AN18" s="102">
        <v>0</v>
      </c>
      <c r="AO18" s="102">
        <v>0</v>
      </c>
      <c r="AP18" s="102">
        <v>0</v>
      </c>
      <c r="AQ18" s="102">
        <v>0</v>
      </c>
      <c r="AR18" s="102">
        <v>0</v>
      </c>
      <c r="AS18" s="102">
        <v>0</v>
      </c>
      <c r="AT18" s="102">
        <v>0</v>
      </c>
      <c r="AU18" s="102">
        <v>0</v>
      </c>
      <c r="AV18" s="102">
        <v>0</v>
      </c>
      <c r="AW18" s="102">
        <v>0</v>
      </c>
      <c r="AX18" s="102">
        <v>0</v>
      </c>
      <c r="AY18" s="102">
        <v>0</v>
      </c>
      <c r="AZ18" s="102">
        <v>0</v>
      </c>
      <c r="BA18" s="102">
        <v>0</v>
      </c>
      <c r="BB18" s="102">
        <v>0</v>
      </c>
      <c r="BC18" s="102">
        <v>0</v>
      </c>
      <c r="BD18" s="102">
        <v>0</v>
      </c>
      <c r="BE18" s="102">
        <v>0</v>
      </c>
      <c r="BF18" s="102">
        <v>0</v>
      </c>
      <c r="BG18" s="102">
        <v>0</v>
      </c>
      <c r="BH18" s="102">
        <v>0</v>
      </c>
      <c r="BI18" s="102">
        <v>0</v>
      </c>
      <c r="BJ18" s="102">
        <v>0</v>
      </c>
      <c r="BK18" s="102">
        <v>0</v>
      </c>
      <c r="BL18" s="102">
        <v>0</v>
      </c>
      <c r="BM18" s="102">
        <v>0</v>
      </c>
      <c r="BN18" s="102">
        <v>0</v>
      </c>
      <c r="BO18" s="102">
        <v>0</v>
      </c>
      <c r="BP18" s="102">
        <v>0</v>
      </c>
      <c r="BQ18" s="102">
        <v>0</v>
      </c>
      <c r="BR18" s="102">
        <v>0</v>
      </c>
      <c r="BS18" s="102">
        <v>0</v>
      </c>
      <c r="BT18" s="102">
        <v>0</v>
      </c>
      <c r="BU18" s="102">
        <v>0</v>
      </c>
      <c r="BV18" s="102">
        <v>0</v>
      </c>
      <c r="BW18" s="102">
        <v>0</v>
      </c>
      <c r="BX18" s="102">
        <v>0</v>
      </c>
      <c r="BY18" s="102">
        <v>0</v>
      </c>
      <c r="BZ18" s="102">
        <v>0</v>
      </c>
      <c r="CA18" s="102">
        <v>0</v>
      </c>
      <c r="CB18" s="102">
        <v>0</v>
      </c>
      <c r="CC18" s="102">
        <v>0</v>
      </c>
      <c r="CD18" s="102">
        <v>0</v>
      </c>
      <c r="CE18" s="102">
        <v>0</v>
      </c>
      <c r="CF18" s="102">
        <v>0</v>
      </c>
      <c r="CG18" s="102">
        <v>0</v>
      </c>
      <c r="CH18" s="102">
        <v>0</v>
      </c>
      <c r="CI18" s="102">
        <v>0</v>
      </c>
      <c r="CJ18" s="102">
        <v>0</v>
      </c>
      <c r="CK18" s="102">
        <v>0</v>
      </c>
      <c r="CL18" s="102">
        <v>0</v>
      </c>
      <c r="CM18" s="102">
        <v>0</v>
      </c>
      <c r="CN18" s="102">
        <v>0</v>
      </c>
      <c r="CO18" s="102">
        <v>0</v>
      </c>
      <c r="CP18" s="102">
        <v>0</v>
      </c>
      <c r="CQ18" s="102">
        <v>0</v>
      </c>
      <c r="CR18" s="102">
        <v>0</v>
      </c>
      <c r="CS18" s="102">
        <v>0</v>
      </c>
      <c r="CT18" s="102">
        <v>0</v>
      </c>
      <c r="CU18" s="102">
        <v>0</v>
      </c>
      <c r="CV18" s="102">
        <v>0</v>
      </c>
      <c r="CW18" s="102">
        <v>0</v>
      </c>
      <c r="CX18" s="102">
        <v>0</v>
      </c>
      <c r="CY18" s="102">
        <v>0</v>
      </c>
      <c r="CZ18" s="102">
        <v>0</v>
      </c>
      <c r="DA18" s="102">
        <v>0</v>
      </c>
      <c r="DB18" s="102">
        <v>0</v>
      </c>
      <c r="DC18" s="102">
        <v>0</v>
      </c>
      <c r="DD18" s="102">
        <v>0</v>
      </c>
      <c r="DE18" s="102">
        <v>0</v>
      </c>
      <c r="DF18" s="102">
        <v>0</v>
      </c>
      <c r="DG18" s="102">
        <v>0</v>
      </c>
      <c r="DH18" s="102">
        <v>0</v>
      </c>
      <c r="DI18" s="102">
        <v>0</v>
      </c>
      <c r="DJ18" s="102">
        <v>0</v>
      </c>
      <c r="DK18" s="102">
        <v>0</v>
      </c>
      <c r="DL18" s="102">
        <v>0</v>
      </c>
      <c r="DM18" s="102">
        <v>0</v>
      </c>
      <c r="DN18" s="102">
        <v>0</v>
      </c>
      <c r="DO18" s="102">
        <v>0</v>
      </c>
      <c r="DP18" s="102">
        <v>0</v>
      </c>
      <c r="DQ18" s="102">
        <v>0</v>
      </c>
      <c r="DR18" s="102">
        <v>0</v>
      </c>
      <c r="DS18" s="66">
        <v>2023</v>
      </c>
      <c r="DT18" s="66">
        <v>3</v>
      </c>
      <c r="DU18" s="66">
        <v>9</v>
      </c>
      <c r="DV18" s="66" t="s">
        <v>605</v>
      </c>
      <c r="DW18" s="66" t="s">
        <v>606</v>
      </c>
      <c r="DX18" s="66" t="s">
        <v>583</v>
      </c>
      <c r="DY18" s="64" t="str">
        <f t="shared" si="0"/>
        <v>○</v>
      </c>
      <c r="DZ18" s="102">
        <v>0</v>
      </c>
      <c r="EA18" s="102">
        <v>0</v>
      </c>
      <c r="EB18" s="102">
        <v>0</v>
      </c>
      <c r="EC18" s="102">
        <v>0</v>
      </c>
      <c r="ED18" s="102">
        <v>0</v>
      </c>
      <c r="EE18" s="102">
        <v>0</v>
      </c>
      <c r="EF18" s="102">
        <v>0</v>
      </c>
      <c r="EG18" s="102">
        <v>0</v>
      </c>
      <c r="EH18" s="102">
        <v>0</v>
      </c>
      <c r="EI18" s="102">
        <v>0</v>
      </c>
      <c r="EJ18" s="102">
        <v>0</v>
      </c>
      <c r="EK18" s="102">
        <v>0</v>
      </c>
      <c r="EL18" s="102">
        <v>0</v>
      </c>
      <c r="EM18" s="102">
        <v>0</v>
      </c>
      <c r="EN18" s="102">
        <v>0</v>
      </c>
      <c r="EO18" s="102">
        <v>0</v>
      </c>
    </row>
    <row r="19" spans="1:145">
      <c r="A19" s="114">
        <v>121</v>
      </c>
      <c r="B19" s="102">
        <v>1571000</v>
      </c>
      <c r="C19" s="102">
        <v>0</v>
      </c>
      <c r="D19" s="102">
        <v>0</v>
      </c>
      <c r="E19" s="102">
        <v>0</v>
      </c>
      <c r="F19" s="102">
        <v>0</v>
      </c>
      <c r="G19" s="102">
        <v>0</v>
      </c>
      <c r="H19" s="102">
        <v>0</v>
      </c>
      <c r="I19" s="102">
        <v>0</v>
      </c>
      <c r="J19" s="102">
        <v>0</v>
      </c>
      <c r="K19" s="102">
        <v>0</v>
      </c>
      <c r="L19" s="102">
        <v>0</v>
      </c>
      <c r="M19" s="102">
        <v>0</v>
      </c>
      <c r="N19" s="102">
        <v>0</v>
      </c>
      <c r="O19" s="102">
        <v>0</v>
      </c>
      <c r="P19" s="102">
        <v>0</v>
      </c>
      <c r="Q19" s="102">
        <v>0</v>
      </c>
      <c r="R19" s="102">
        <v>0</v>
      </c>
      <c r="S19" s="102">
        <v>1571000</v>
      </c>
      <c r="T19" s="102">
        <v>0</v>
      </c>
      <c r="U19" s="102">
        <v>1571000</v>
      </c>
      <c r="V19" s="102">
        <v>1571000</v>
      </c>
      <c r="W19" s="102">
        <v>3276000</v>
      </c>
      <c r="X19" s="102">
        <v>1571000</v>
      </c>
      <c r="Y19" s="102">
        <v>1571000</v>
      </c>
      <c r="Z19" s="102">
        <v>1571000</v>
      </c>
      <c r="AA19" s="102">
        <v>0</v>
      </c>
      <c r="AB19" s="102">
        <v>0</v>
      </c>
      <c r="AC19" s="102">
        <v>0</v>
      </c>
      <c r="AD19" s="102">
        <v>0</v>
      </c>
      <c r="AE19" s="102">
        <v>0</v>
      </c>
      <c r="AF19" s="102">
        <v>0</v>
      </c>
      <c r="AG19" s="102">
        <v>0</v>
      </c>
      <c r="AH19" s="102">
        <v>0</v>
      </c>
      <c r="AI19" s="102">
        <v>0</v>
      </c>
      <c r="AJ19" s="102">
        <v>0</v>
      </c>
      <c r="AK19" s="102">
        <v>0</v>
      </c>
      <c r="AL19" s="102">
        <v>0</v>
      </c>
      <c r="AM19" s="102">
        <v>0</v>
      </c>
      <c r="AN19" s="102">
        <v>0</v>
      </c>
      <c r="AO19" s="102">
        <v>0</v>
      </c>
      <c r="AP19" s="102">
        <v>0</v>
      </c>
      <c r="AQ19" s="102">
        <v>0</v>
      </c>
      <c r="AR19" s="102">
        <v>0</v>
      </c>
      <c r="AS19" s="102">
        <v>0</v>
      </c>
      <c r="AT19" s="102">
        <v>0</v>
      </c>
      <c r="AU19" s="102">
        <v>0</v>
      </c>
      <c r="AV19" s="102">
        <v>0</v>
      </c>
      <c r="AW19" s="102">
        <v>0</v>
      </c>
      <c r="AX19" s="102">
        <v>0</v>
      </c>
      <c r="AY19" s="102">
        <v>0</v>
      </c>
      <c r="AZ19" s="102">
        <v>0</v>
      </c>
      <c r="BA19" s="102">
        <v>0</v>
      </c>
      <c r="BB19" s="102">
        <v>0</v>
      </c>
      <c r="BC19" s="102">
        <v>0</v>
      </c>
      <c r="BD19" s="102">
        <v>0</v>
      </c>
      <c r="BE19" s="102">
        <v>0</v>
      </c>
      <c r="BF19" s="102">
        <v>0</v>
      </c>
      <c r="BG19" s="102">
        <v>0</v>
      </c>
      <c r="BH19" s="102">
        <v>0</v>
      </c>
      <c r="BI19" s="102">
        <v>0</v>
      </c>
      <c r="BJ19" s="102">
        <v>0</v>
      </c>
      <c r="BK19" s="102">
        <v>0</v>
      </c>
      <c r="BL19" s="102">
        <v>0</v>
      </c>
      <c r="BM19" s="102">
        <v>0</v>
      </c>
      <c r="BN19" s="102">
        <v>0</v>
      </c>
      <c r="BO19" s="102">
        <v>0</v>
      </c>
      <c r="BP19" s="102">
        <v>0</v>
      </c>
      <c r="BQ19" s="102">
        <v>0</v>
      </c>
      <c r="BR19" s="102">
        <v>0</v>
      </c>
      <c r="BS19" s="102">
        <v>0</v>
      </c>
      <c r="BT19" s="102">
        <v>0</v>
      </c>
      <c r="BU19" s="102">
        <v>0</v>
      </c>
      <c r="BV19" s="102">
        <v>0</v>
      </c>
      <c r="BW19" s="102">
        <v>0</v>
      </c>
      <c r="BX19" s="102">
        <v>0</v>
      </c>
      <c r="BY19" s="102">
        <v>0</v>
      </c>
      <c r="BZ19" s="102">
        <v>0</v>
      </c>
      <c r="CA19" s="102">
        <v>0</v>
      </c>
      <c r="CB19" s="102">
        <v>0</v>
      </c>
      <c r="CC19" s="102">
        <v>0</v>
      </c>
      <c r="CD19" s="102">
        <v>0</v>
      </c>
      <c r="CE19" s="102">
        <v>0</v>
      </c>
      <c r="CF19" s="102">
        <v>0</v>
      </c>
      <c r="CG19" s="102">
        <v>0</v>
      </c>
      <c r="CH19" s="102">
        <v>0</v>
      </c>
      <c r="CI19" s="102">
        <v>0</v>
      </c>
      <c r="CJ19" s="102">
        <v>0</v>
      </c>
      <c r="CK19" s="102">
        <v>0</v>
      </c>
      <c r="CL19" s="102">
        <v>0</v>
      </c>
      <c r="CM19" s="102">
        <v>0</v>
      </c>
      <c r="CN19" s="102">
        <v>0</v>
      </c>
      <c r="CO19" s="102">
        <v>0</v>
      </c>
      <c r="CP19" s="102">
        <v>0</v>
      </c>
      <c r="CQ19" s="102">
        <v>0</v>
      </c>
      <c r="CR19" s="102">
        <v>0</v>
      </c>
      <c r="CS19" s="102">
        <v>0</v>
      </c>
      <c r="CT19" s="102">
        <v>0</v>
      </c>
      <c r="CU19" s="102">
        <v>0</v>
      </c>
      <c r="CV19" s="102">
        <v>0</v>
      </c>
      <c r="CW19" s="102">
        <v>0</v>
      </c>
      <c r="CX19" s="102">
        <v>0</v>
      </c>
      <c r="CY19" s="102">
        <v>0</v>
      </c>
      <c r="CZ19" s="102">
        <v>0</v>
      </c>
      <c r="DA19" s="102">
        <v>0</v>
      </c>
      <c r="DB19" s="102">
        <v>0</v>
      </c>
      <c r="DC19" s="102">
        <v>0</v>
      </c>
      <c r="DD19" s="102">
        <v>0</v>
      </c>
      <c r="DE19" s="102">
        <v>0</v>
      </c>
      <c r="DF19" s="102">
        <v>0</v>
      </c>
      <c r="DG19" s="102">
        <v>0</v>
      </c>
      <c r="DH19" s="102">
        <v>0</v>
      </c>
      <c r="DI19" s="102">
        <v>0</v>
      </c>
      <c r="DJ19" s="102">
        <v>0</v>
      </c>
      <c r="DK19" s="102">
        <v>0</v>
      </c>
      <c r="DL19" s="102">
        <v>0</v>
      </c>
      <c r="DM19" s="102">
        <v>0</v>
      </c>
      <c r="DN19" s="102">
        <v>0</v>
      </c>
      <c r="DO19" s="102">
        <v>0</v>
      </c>
      <c r="DP19" s="102">
        <v>0</v>
      </c>
      <c r="DQ19" s="102">
        <v>0</v>
      </c>
      <c r="DR19" s="102">
        <v>0</v>
      </c>
      <c r="DS19" s="66">
        <v>2023</v>
      </c>
      <c r="DT19" s="66">
        <v>3</v>
      </c>
      <c r="DU19" s="66">
        <v>9</v>
      </c>
      <c r="DV19" s="66" t="s">
        <v>593</v>
      </c>
      <c r="DW19" s="66" t="s">
        <v>594</v>
      </c>
      <c r="DX19" s="66" t="s">
        <v>583</v>
      </c>
      <c r="DY19" s="64" t="str">
        <f t="shared" si="0"/>
        <v>○</v>
      </c>
      <c r="DZ19" s="102">
        <v>0</v>
      </c>
      <c r="EA19" s="102">
        <v>0</v>
      </c>
      <c r="EB19" s="102">
        <v>0</v>
      </c>
      <c r="EC19" s="102">
        <v>0</v>
      </c>
      <c r="ED19" s="102">
        <v>0</v>
      </c>
      <c r="EE19" s="102">
        <v>0</v>
      </c>
      <c r="EF19" s="102">
        <v>0</v>
      </c>
      <c r="EG19" s="102">
        <v>0</v>
      </c>
      <c r="EH19" s="102">
        <v>0</v>
      </c>
      <c r="EI19" s="102">
        <v>0</v>
      </c>
      <c r="EJ19" s="102">
        <v>0</v>
      </c>
      <c r="EK19" s="102">
        <v>0</v>
      </c>
      <c r="EL19" s="102">
        <v>0</v>
      </c>
      <c r="EM19" s="102">
        <v>0</v>
      </c>
      <c r="EN19" s="102">
        <v>0</v>
      </c>
      <c r="EO19" s="102">
        <v>0</v>
      </c>
    </row>
    <row r="20" spans="1:145">
      <c r="A20" s="114">
        <v>123</v>
      </c>
      <c r="B20" s="102">
        <v>3466000</v>
      </c>
      <c r="C20" s="102">
        <v>0</v>
      </c>
      <c r="D20" s="102">
        <v>0</v>
      </c>
      <c r="E20" s="102">
        <v>0</v>
      </c>
      <c r="F20" s="102">
        <v>0</v>
      </c>
      <c r="G20" s="102">
        <v>0</v>
      </c>
      <c r="H20" s="102">
        <v>0</v>
      </c>
      <c r="I20" s="102">
        <v>0</v>
      </c>
      <c r="J20" s="102">
        <v>0</v>
      </c>
      <c r="K20" s="102">
        <v>0</v>
      </c>
      <c r="L20" s="102">
        <v>0</v>
      </c>
      <c r="M20" s="102">
        <v>0</v>
      </c>
      <c r="N20" s="102">
        <v>0</v>
      </c>
      <c r="O20" s="102">
        <v>0</v>
      </c>
      <c r="P20" s="102">
        <v>0</v>
      </c>
      <c r="Q20" s="102">
        <v>0</v>
      </c>
      <c r="R20" s="102">
        <v>0</v>
      </c>
      <c r="S20" s="102">
        <v>3466191</v>
      </c>
      <c r="T20" s="102">
        <v>0</v>
      </c>
      <c r="U20" s="102">
        <v>3466191</v>
      </c>
      <c r="V20" s="102">
        <v>3466191</v>
      </c>
      <c r="W20" s="102">
        <v>13104000</v>
      </c>
      <c r="X20" s="102">
        <v>3466191</v>
      </c>
      <c r="Y20" s="102">
        <v>3466191</v>
      </c>
      <c r="Z20" s="102">
        <v>3466000</v>
      </c>
      <c r="AA20" s="102">
        <v>0</v>
      </c>
      <c r="AB20" s="102">
        <v>0</v>
      </c>
      <c r="AC20" s="102">
        <v>0</v>
      </c>
      <c r="AD20" s="102">
        <v>0</v>
      </c>
      <c r="AE20" s="102">
        <v>0</v>
      </c>
      <c r="AF20" s="102">
        <v>0</v>
      </c>
      <c r="AG20" s="102">
        <v>0</v>
      </c>
      <c r="AH20" s="102">
        <v>0</v>
      </c>
      <c r="AI20" s="102">
        <v>0</v>
      </c>
      <c r="AJ20" s="102">
        <v>0</v>
      </c>
      <c r="AK20" s="102">
        <v>0</v>
      </c>
      <c r="AL20" s="102">
        <v>0</v>
      </c>
      <c r="AM20" s="102">
        <v>0</v>
      </c>
      <c r="AN20" s="102">
        <v>0</v>
      </c>
      <c r="AO20" s="102">
        <v>0</v>
      </c>
      <c r="AP20" s="102">
        <v>0</v>
      </c>
      <c r="AQ20" s="102">
        <v>0</v>
      </c>
      <c r="AR20" s="102">
        <v>0</v>
      </c>
      <c r="AS20" s="102">
        <v>0</v>
      </c>
      <c r="AT20" s="102">
        <v>0</v>
      </c>
      <c r="AU20" s="102">
        <v>0</v>
      </c>
      <c r="AV20" s="102">
        <v>0</v>
      </c>
      <c r="AW20" s="102">
        <v>0</v>
      </c>
      <c r="AX20" s="102">
        <v>0</v>
      </c>
      <c r="AY20" s="102">
        <v>0</v>
      </c>
      <c r="AZ20" s="102">
        <v>0</v>
      </c>
      <c r="BA20" s="102">
        <v>0</v>
      </c>
      <c r="BB20" s="102">
        <v>0</v>
      </c>
      <c r="BC20" s="102">
        <v>0</v>
      </c>
      <c r="BD20" s="102">
        <v>0</v>
      </c>
      <c r="BE20" s="102">
        <v>0</v>
      </c>
      <c r="BF20" s="102">
        <v>0</v>
      </c>
      <c r="BG20" s="102">
        <v>0</v>
      </c>
      <c r="BH20" s="102">
        <v>0</v>
      </c>
      <c r="BI20" s="102">
        <v>0</v>
      </c>
      <c r="BJ20" s="102">
        <v>0</v>
      </c>
      <c r="BK20" s="102">
        <v>0</v>
      </c>
      <c r="BL20" s="102">
        <v>0</v>
      </c>
      <c r="BM20" s="102">
        <v>0</v>
      </c>
      <c r="BN20" s="102">
        <v>0</v>
      </c>
      <c r="BO20" s="102">
        <v>0</v>
      </c>
      <c r="BP20" s="102">
        <v>0</v>
      </c>
      <c r="BQ20" s="102">
        <v>0</v>
      </c>
      <c r="BR20" s="102">
        <v>0</v>
      </c>
      <c r="BS20" s="102">
        <v>0</v>
      </c>
      <c r="BT20" s="102">
        <v>0</v>
      </c>
      <c r="BU20" s="102">
        <v>0</v>
      </c>
      <c r="BV20" s="102">
        <v>0</v>
      </c>
      <c r="BW20" s="102">
        <v>0</v>
      </c>
      <c r="BX20" s="102">
        <v>0</v>
      </c>
      <c r="BY20" s="102">
        <v>0</v>
      </c>
      <c r="BZ20" s="102">
        <v>0</v>
      </c>
      <c r="CA20" s="102">
        <v>0</v>
      </c>
      <c r="CB20" s="102">
        <v>0</v>
      </c>
      <c r="CC20" s="102">
        <v>0</v>
      </c>
      <c r="CD20" s="102">
        <v>0</v>
      </c>
      <c r="CE20" s="102">
        <v>0</v>
      </c>
      <c r="CF20" s="102">
        <v>0</v>
      </c>
      <c r="CG20" s="102">
        <v>0</v>
      </c>
      <c r="CH20" s="102">
        <v>0</v>
      </c>
      <c r="CI20" s="102">
        <v>0</v>
      </c>
      <c r="CJ20" s="102">
        <v>0</v>
      </c>
      <c r="CK20" s="102">
        <v>0</v>
      </c>
      <c r="CL20" s="102">
        <v>0</v>
      </c>
      <c r="CM20" s="102">
        <v>0</v>
      </c>
      <c r="CN20" s="102">
        <v>0</v>
      </c>
      <c r="CO20" s="102">
        <v>0</v>
      </c>
      <c r="CP20" s="102">
        <v>0</v>
      </c>
      <c r="CQ20" s="102">
        <v>0</v>
      </c>
      <c r="CR20" s="102">
        <v>0</v>
      </c>
      <c r="CS20" s="102">
        <v>0</v>
      </c>
      <c r="CT20" s="102">
        <v>0</v>
      </c>
      <c r="CU20" s="102">
        <v>0</v>
      </c>
      <c r="CV20" s="102">
        <v>0</v>
      </c>
      <c r="CW20" s="102">
        <v>0</v>
      </c>
      <c r="CX20" s="102">
        <v>0</v>
      </c>
      <c r="CY20" s="102">
        <v>0</v>
      </c>
      <c r="CZ20" s="102">
        <v>0</v>
      </c>
      <c r="DA20" s="102">
        <v>0</v>
      </c>
      <c r="DB20" s="102">
        <v>0</v>
      </c>
      <c r="DC20" s="102">
        <v>0</v>
      </c>
      <c r="DD20" s="102">
        <v>0</v>
      </c>
      <c r="DE20" s="102">
        <v>0</v>
      </c>
      <c r="DF20" s="102">
        <v>0</v>
      </c>
      <c r="DG20" s="102">
        <v>0</v>
      </c>
      <c r="DH20" s="102">
        <v>0</v>
      </c>
      <c r="DI20" s="102">
        <v>0</v>
      </c>
      <c r="DJ20" s="102">
        <v>0</v>
      </c>
      <c r="DK20" s="102">
        <v>0</v>
      </c>
      <c r="DL20" s="102">
        <v>0</v>
      </c>
      <c r="DM20" s="102">
        <v>0</v>
      </c>
      <c r="DN20" s="102">
        <v>0</v>
      </c>
      <c r="DO20" s="102">
        <v>0</v>
      </c>
      <c r="DP20" s="102">
        <v>0</v>
      </c>
      <c r="DQ20" s="102">
        <v>0</v>
      </c>
      <c r="DR20" s="102">
        <v>0</v>
      </c>
      <c r="DS20" s="66">
        <v>2023</v>
      </c>
      <c r="DT20" s="66">
        <v>3</v>
      </c>
      <c r="DU20" s="66">
        <v>9</v>
      </c>
      <c r="DV20" s="66" t="s">
        <v>586</v>
      </c>
      <c r="DW20" s="66" t="s">
        <v>607</v>
      </c>
      <c r="DX20" s="66" t="s">
        <v>583</v>
      </c>
      <c r="DY20" s="64" t="str">
        <f t="shared" si="0"/>
        <v>○</v>
      </c>
      <c r="DZ20" s="102">
        <v>0</v>
      </c>
      <c r="EA20" s="102">
        <v>0</v>
      </c>
      <c r="EB20" s="102">
        <v>0</v>
      </c>
      <c r="EC20" s="102">
        <v>0</v>
      </c>
      <c r="ED20" s="102">
        <v>0</v>
      </c>
      <c r="EE20" s="102">
        <v>0</v>
      </c>
      <c r="EF20" s="102">
        <v>0</v>
      </c>
      <c r="EG20" s="102">
        <v>0</v>
      </c>
      <c r="EH20" s="102">
        <v>0</v>
      </c>
      <c r="EI20" s="102">
        <v>0</v>
      </c>
      <c r="EJ20" s="102">
        <v>0</v>
      </c>
      <c r="EK20" s="102">
        <v>0</v>
      </c>
      <c r="EL20" s="102">
        <v>0</v>
      </c>
      <c r="EM20" s="102">
        <v>0</v>
      </c>
      <c r="EN20" s="102">
        <v>0</v>
      </c>
      <c r="EO20" s="102">
        <v>0</v>
      </c>
    </row>
    <row r="21" spans="1:145">
      <c r="A21" s="114">
        <v>124</v>
      </c>
      <c r="B21" s="102">
        <v>1126000</v>
      </c>
      <c r="C21" s="102">
        <v>0</v>
      </c>
      <c r="D21" s="102">
        <v>0</v>
      </c>
      <c r="E21" s="102">
        <v>0</v>
      </c>
      <c r="F21" s="102">
        <v>0</v>
      </c>
      <c r="G21" s="102">
        <v>0</v>
      </c>
      <c r="H21" s="102">
        <v>0</v>
      </c>
      <c r="I21" s="102">
        <v>0</v>
      </c>
      <c r="J21" s="102">
        <v>0</v>
      </c>
      <c r="K21" s="102">
        <v>0</v>
      </c>
      <c r="L21" s="102">
        <v>0</v>
      </c>
      <c r="M21" s="102">
        <v>0</v>
      </c>
      <c r="N21" s="102">
        <v>0</v>
      </c>
      <c r="O21" s="102">
        <v>0</v>
      </c>
      <c r="P21" s="102">
        <v>0</v>
      </c>
      <c r="Q21" s="102">
        <v>0</v>
      </c>
      <c r="R21" s="102">
        <v>0</v>
      </c>
      <c r="S21" s="102">
        <v>1126620</v>
      </c>
      <c r="T21" s="102">
        <v>0</v>
      </c>
      <c r="U21" s="102">
        <v>1126620</v>
      </c>
      <c r="V21" s="102">
        <v>1126620</v>
      </c>
      <c r="W21" s="102">
        <v>9828000</v>
      </c>
      <c r="X21" s="102">
        <v>1126620</v>
      </c>
      <c r="Y21" s="102">
        <v>1126620</v>
      </c>
      <c r="Z21" s="102">
        <v>1126000</v>
      </c>
      <c r="AA21" s="102">
        <v>0</v>
      </c>
      <c r="AB21" s="102">
        <v>0</v>
      </c>
      <c r="AC21" s="102">
        <v>0</v>
      </c>
      <c r="AD21" s="102">
        <v>0</v>
      </c>
      <c r="AE21" s="102">
        <v>0</v>
      </c>
      <c r="AF21" s="102">
        <v>0</v>
      </c>
      <c r="AG21" s="102">
        <v>0</v>
      </c>
      <c r="AH21" s="102">
        <v>0</v>
      </c>
      <c r="AI21" s="102">
        <v>0</v>
      </c>
      <c r="AJ21" s="102">
        <v>0</v>
      </c>
      <c r="AK21" s="102">
        <v>0</v>
      </c>
      <c r="AL21" s="102">
        <v>0</v>
      </c>
      <c r="AM21" s="102">
        <v>0</v>
      </c>
      <c r="AN21" s="102">
        <v>0</v>
      </c>
      <c r="AO21" s="102">
        <v>0</v>
      </c>
      <c r="AP21" s="102">
        <v>0</v>
      </c>
      <c r="AQ21" s="102">
        <v>0</v>
      </c>
      <c r="AR21" s="102">
        <v>0</v>
      </c>
      <c r="AS21" s="102">
        <v>0</v>
      </c>
      <c r="AT21" s="102">
        <v>0</v>
      </c>
      <c r="AU21" s="102">
        <v>0</v>
      </c>
      <c r="AV21" s="102">
        <v>0</v>
      </c>
      <c r="AW21" s="102">
        <v>0</v>
      </c>
      <c r="AX21" s="102">
        <v>0</v>
      </c>
      <c r="AY21" s="102">
        <v>0</v>
      </c>
      <c r="AZ21" s="102">
        <v>0</v>
      </c>
      <c r="BA21" s="102">
        <v>0</v>
      </c>
      <c r="BB21" s="102">
        <v>0</v>
      </c>
      <c r="BC21" s="102">
        <v>0</v>
      </c>
      <c r="BD21" s="102">
        <v>0</v>
      </c>
      <c r="BE21" s="102">
        <v>0</v>
      </c>
      <c r="BF21" s="102">
        <v>0</v>
      </c>
      <c r="BG21" s="102">
        <v>0</v>
      </c>
      <c r="BH21" s="102">
        <v>0</v>
      </c>
      <c r="BI21" s="102">
        <v>0</v>
      </c>
      <c r="BJ21" s="102">
        <v>0</v>
      </c>
      <c r="BK21" s="102">
        <v>0</v>
      </c>
      <c r="BL21" s="102">
        <v>0</v>
      </c>
      <c r="BM21" s="102">
        <v>0</v>
      </c>
      <c r="BN21" s="102">
        <v>0</v>
      </c>
      <c r="BO21" s="102">
        <v>0</v>
      </c>
      <c r="BP21" s="102">
        <v>0</v>
      </c>
      <c r="BQ21" s="102">
        <v>0</v>
      </c>
      <c r="BR21" s="102">
        <v>0</v>
      </c>
      <c r="BS21" s="102">
        <v>0</v>
      </c>
      <c r="BT21" s="102">
        <v>0</v>
      </c>
      <c r="BU21" s="102">
        <v>0</v>
      </c>
      <c r="BV21" s="102">
        <v>0</v>
      </c>
      <c r="BW21" s="102">
        <v>0</v>
      </c>
      <c r="BX21" s="102">
        <v>0</v>
      </c>
      <c r="BY21" s="102">
        <v>0</v>
      </c>
      <c r="BZ21" s="102">
        <v>0</v>
      </c>
      <c r="CA21" s="102">
        <v>0</v>
      </c>
      <c r="CB21" s="102">
        <v>0</v>
      </c>
      <c r="CC21" s="102">
        <v>0</v>
      </c>
      <c r="CD21" s="102">
        <v>0</v>
      </c>
      <c r="CE21" s="102">
        <v>0</v>
      </c>
      <c r="CF21" s="102">
        <v>0</v>
      </c>
      <c r="CG21" s="102">
        <v>0</v>
      </c>
      <c r="CH21" s="102">
        <v>0</v>
      </c>
      <c r="CI21" s="102">
        <v>0</v>
      </c>
      <c r="CJ21" s="102">
        <v>0</v>
      </c>
      <c r="CK21" s="102">
        <v>0</v>
      </c>
      <c r="CL21" s="102">
        <v>0</v>
      </c>
      <c r="CM21" s="102">
        <v>0</v>
      </c>
      <c r="CN21" s="102">
        <v>0</v>
      </c>
      <c r="CO21" s="102">
        <v>0</v>
      </c>
      <c r="CP21" s="102">
        <v>0</v>
      </c>
      <c r="CQ21" s="102">
        <v>0</v>
      </c>
      <c r="CR21" s="102">
        <v>0</v>
      </c>
      <c r="CS21" s="102">
        <v>0</v>
      </c>
      <c r="CT21" s="102">
        <v>0</v>
      </c>
      <c r="CU21" s="102">
        <v>0</v>
      </c>
      <c r="CV21" s="102">
        <v>0</v>
      </c>
      <c r="CW21" s="102">
        <v>0</v>
      </c>
      <c r="CX21" s="102">
        <v>0</v>
      </c>
      <c r="CY21" s="102">
        <v>0</v>
      </c>
      <c r="CZ21" s="102">
        <v>0</v>
      </c>
      <c r="DA21" s="102">
        <v>0</v>
      </c>
      <c r="DB21" s="102">
        <v>0</v>
      </c>
      <c r="DC21" s="102">
        <v>0</v>
      </c>
      <c r="DD21" s="102">
        <v>0</v>
      </c>
      <c r="DE21" s="102">
        <v>0</v>
      </c>
      <c r="DF21" s="102">
        <v>0</v>
      </c>
      <c r="DG21" s="102">
        <v>0</v>
      </c>
      <c r="DH21" s="102">
        <v>0</v>
      </c>
      <c r="DI21" s="102">
        <v>0</v>
      </c>
      <c r="DJ21" s="102">
        <v>0</v>
      </c>
      <c r="DK21" s="102">
        <v>0</v>
      </c>
      <c r="DL21" s="102">
        <v>0</v>
      </c>
      <c r="DM21" s="102">
        <v>0</v>
      </c>
      <c r="DN21" s="102">
        <v>0</v>
      </c>
      <c r="DO21" s="102">
        <v>0</v>
      </c>
      <c r="DP21" s="102">
        <v>0</v>
      </c>
      <c r="DQ21" s="102">
        <v>0</v>
      </c>
      <c r="DR21" s="102">
        <v>0</v>
      </c>
      <c r="DS21" s="66">
        <v>2023</v>
      </c>
      <c r="DT21" s="66">
        <v>3</v>
      </c>
      <c r="DU21" s="66">
        <v>9</v>
      </c>
      <c r="DV21" s="66" t="s">
        <v>612</v>
      </c>
      <c r="DW21" s="66" t="s">
        <v>1013</v>
      </c>
      <c r="DX21" s="66" t="s">
        <v>583</v>
      </c>
      <c r="DY21" s="64" t="str">
        <f t="shared" si="0"/>
        <v>○</v>
      </c>
      <c r="DZ21" s="102">
        <v>0</v>
      </c>
      <c r="EA21" s="102">
        <v>0</v>
      </c>
      <c r="EB21" s="102">
        <v>0</v>
      </c>
      <c r="EC21" s="102">
        <v>0</v>
      </c>
      <c r="ED21" s="102">
        <v>0</v>
      </c>
      <c r="EE21" s="102">
        <v>0</v>
      </c>
      <c r="EF21" s="102">
        <v>0</v>
      </c>
      <c r="EG21" s="102">
        <v>0</v>
      </c>
      <c r="EH21" s="102">
        <v>0</v>
      </c>
      <c r="EI21" s="102">
        <v>0</v>
      </c>
      <c r="EJ21" s="102">
        <v>0</v>
      </c>
      <c r="EK21" s="102">
        <v>0</v>
      </c>
      <c r="EL21" s="102">
        <v>0</v>
      </c>
      <c r="EM21" s="102">
        <v>0</v>
      </c>
      <c r="EN21" s="102">
        <v>0</v>
      </c>
      <c r="EO21" s="102">
        <v>0</v>
      </c>
    </row>
    <row r="22" spans="1:145">
      <c r="A22" s="114">
        <v>125</v>
      </c>
      <c r="B22" s="102">
        <v>4070000</v>
      </c>
      <c r="C22" s="102">
        <v>0</v>
      </c>
      <c r="D22" s="102">
        <v>0</v>
      </c>
      <c r="E22" s="102">
        <v>0</v>
      </c>
      <c r="F22" s="102">
        <v>0</v>
      </c>
      <c r="G22" s="102">
        <v>0</v>
      </c>
      <c r="H22" s="102">
        <v>0</v>
      </c>
      <c r="I22" s="102">
        <v>0</v>
      </c>
      <c r="J22" s="102">
        <v>0</v>
      </c>
      <c r="K22" s="102">
        <v>0</v>
      </c>
      <c r="L22" s="102">
        <v>0</v>
      </c>
      <c r="M22" s="102">
        <v>0</v>
      </c>
      <c r="N22" s="102">
        <v>0</v>
      </c>
      <c r="O22" s="102">
        <v>0</v>
      </c>
      <c r="P22" s="102">
        <v>0</v>
      </c>
      <c r="Q22" s="102">
        <v>0</v>
      </c>
      <c r="R22" s="102">
        <v>0</v>
      </c>
      <c r="S22" s="102">
        <v>4070660</v>
      </c>
      <c r="T22" s="102">
        <v>0</v>
      </c>
      <c r="U22" s="102">
        <v>4070660</v>
      </c>
      <c r="V22" s="102">
        <v>4070660</v>
      </c>
      <c r="W22" s="102">
        <v>30139200</v>
      </c>
      <c r="X22" s="102">
        <v>4070660</v>
      </c>
      <c r="Y22" s="102">
        <v>4070660</v>
      </c>
      <c r="Z22" s="102">
        <v>4070000</v>
      </c>
      <c r="AA22" s="102">
        <v>0</v>
      </c>
      <c r="AB22" s="102">
        <v>0</v>
      </c>
      <c r="AC22" s="102">
        <v>0</v>
      </c>
      <c r="AD22" s="102">
        <v>0</v>
      </c>
      <c r="AE22" s="102">
        <v>0</v>
      </c>
      <c r="AF22" s="102">
        <v>0</v>
      </c>
      <c r="AG22" s="102">
        <v>0</v>
      </c>
      <c r="AH22" s="102">
        <v>0</v>
      </c>
      <c r="AI22" s="102">
        <v>0</v>
      </c>
      <c r="AJ22" s="102">
        <v>0</v>
      </c>
      <c r="AK22" s="102">
        <v>0</v>
      </c>
      <c r="AL22" s="102">
        <v>0</v>
      </c>
      <c r="AM22" s="102">
        <v>0</v>
      </c>
      <c r="AN22" s="102">
        <v>0</v>
      </c>
      <c r="AO22" s="102">
        <v>0</v>
      </c>
      <c r="AP22" s="102">
        <v>0</v>
      </c>
      <c r="AQ22" s="102">
        <v>0</v>
      </c>
      <c r="AR22" s="102">
        <v>0</v>
      </c>
      <c r="AS22" s="102">
        <v>0</v>
      </c>
      <c r="AT22" s="102">
        <v>0</v>
      </c>
      <c r="AU22" s="102">
        <v>0</v>
      </c>
      <c r="AV22" s="102">
        <v>0</v>
      </c>
      <c r="AW22" s="102">
        <v>0</v>
      </c>
      <c r="AX22" s="102">
        <v>0</v>
      </c>
      <c r="AY22" s="102">
        <v>0</v>
      </c>
      <c r="AZ22" s="102">
        <v>0</v>
      </c>
      <c r="BA22" s="102">
        <v>0</v>
      </c>
      <c r="BB22" s="102">
        <v>0</v>
      </c>
      <c r="BC22" s="102">
        <v>0</v>
      </c>
      <c r="BD22" s="102">
        <v>0</v>
      </c>
      <c r="BE22" s="102">
        <v>0</v>
      </c>
      <c r="BF22" s="102">
        <v>0</v>
      </c>
      <c r="BG22" s="102">
        <v>0</v>
      </c>
      <c r="BH22" s="102">
        <v>0</v>
      </c>
      <c r="BI22" s="102">
        <v>0</v>
      </c>
      <c r="BJ22" s="102">
        <v>0</v>
      </c>
      <c r="BK22" s="102">
        <v>0</v>
      </c>
      <c r="BL22" s="102">
        <v>0</v>
      </c>
      <c r="BM22" s="102">
        <v>0</v>
      </c>
      <c r="BN22" s="102">
        <v>0</v>
      </c>
      <c r="BO22" s="102">
        <v>0</v>
      </c>
      <c r="BP22" s="102">
        <v>0</v>
      </c>
      <c r="BQ22" s="102">
        <v>0</v>
      </c>
      <c r="BR22" s="102">
        <v>0</v>
      </c>
      <c r="BS22" s="102">
        <v>0</v>
      </c>
      <c r="BT22" s="102">
        <v>0</v>
      </c>
      <c r="BU22" s="102">
        <v>0</v>
      </c>
      <c r="BV22" s="102">
        <v>0</v>
      </c>
      <c r="BW22" s="102">
        <v>0</v>
      </c>
      <c r="BX22" s="102">
        <v>0</v>
      </c>
      <c r="BY22" s="102">
        <v>0</v>
      </c>
      <c r="BZ22" s="102">
        <v>0</v>
      </c>
      <c r="CA22" s="102">
        <v>0</v>
      </c>
      <c r="CB22" s="102">
        <v>0</v>
      </c>
      <c r="CC22" s="102">
        <v>0</v>
      </c>
      <c r="CD22" s="102">
        <v>0</v>
      </c>
      <c r="CE22" s="102">
        <v>0</v>
      </c>
      <c r="CF22" s="102">
        <v>0</v>
      </c>
      <c r="CG22" s="102">
        <v>0</v>
      </c>
      <c r="CH22" s="102">
        <v>0</v>
      </c>
      <c r="CI22" s="102">
        <v>0</v>
      </c>
      <c r="CJ22" s="102">
        <v>0</v>
      </c>
      <c r="CK22" s="102">
        <v>0</v>
      </c>
      <c r="CL22" s="102">
        <v>0</v>
      </c>
      <c r="CM22" s="102">
        <v>0</v>
      </c>
      <c r="CN22" s="102">
        <v>0</v>
      </c>
      <c r="CO22" s="102">
        <v>0</v>
      </c>
      <c r="CP22" s="102">
        <v>0</v>
      </c>
      <c r="CQ22" s="102">
        <v>0</v>
      </c>
      <c r="CR22" s="102">
        <v>0</v>
      </c>
      <c r="CS22" s="102">
        <v>0</v>
      </c>
      <c r="CT22" s="102">
        <v>0</v>
      </c>
      <c r="CU22" s="102">
        <v>0</v>
      </c>
      <c r="CV22" s="102">
        <v>0</v>
      </c>
      <c r="CW22" s="102">
        <v>0</v>
      </c>
      <c r="CX22" s="102">
        <v>0</v>
      </c>
      <c r="CY22" s="102">
        <v>0</v>
      </c>
      <c r="CZ22" s="102">
        <v>0</v>
      </c>
      <c r="DA22" s="102">
        <v>0</v>
      </c>
      <c r="DB22" s="102">
        <v>0</v>
      </c>
      <c r="DC22" s="102">
        <v>0</v>
      </c>
      <c r="DD22" s="102">
        <v>0</v>
      </c>
      <c r="DE22" s="102">
        <v>0</v>
      </c>
      <c r="DF22" s="102">
        <v>0</v>
      </c>
      <c r="DG22" s="102">
        <v>0</v>
      </c>
      <c r="DH22" s="102">
        <v>0</v>
      </c>
      <c r="DI22" s="102">
        <v>0</v>
      </c>
      <c r="DJ22" s="102">
        <v>0</v>
      </c>
      <c r="DK22" s="102">
        <v>0</v>
      </c>
      <c r="DL22" s="102">
        <v>0</v>
      </c>
      <c r="DM22" s="102">
        <v>0</v>
      </c>
      <c r="DN22" s="102">
        <v>0</v>
      </c>
      <c r="DO22" s="102">
        <v>0</v>
      </c>
      <c r="DP22" s="102">
        <v>0</v>
      </c>
      <c r="DQ22" s="102">
        <v>0</v>
      </c>
      <c r="DR22" s="102">
        <v>0</v>
      </c>
      <c r="DS22" s="66">
        <v>2023</v>
      </c>
      <c r="DT22" s="66">
        <v>3</v>
      </c>
      <c r="DU22" s="66">
        <v>9</v>
      </c>
      <c r="DV22" s="66" t="s">
        <v>1012</v>
      </c>
      <c r="DW22" s="66" t="s">
        <v>624</v>
      </c>
      <c r="DX22" s="66" t="s">
        <v>583</v>
      </c>
      <c r="DY22" s="64" t="str">
        <f t="shared" si="0"/>
        <v>○</v>
      </c>
      <c r="DZ22" s="102">
        <v>0</v>
      </c>
      <c r="EA22" s="102">
        <v>0</v>
      </c>
      <c r="EB22" s="102">
        <v>0</v>
      </c>
      <c r="EC22" s="102">
        <v>0</v>
      </c>
      <c r="ED22" s="102">
        <v>0</v>
      </c>
      <c r="EE22" s="102">
        <v>0</v>
      </c>
      <c r="EF22" s="102">
        <v>0</v>
      </c>
      <c r="EG22" s="102">
        <v>0</v>
      </c>
      <c r="EH22" s="102">
        <v>0</v>
      </c>
      <c r="EI22" s="102">
        <v>0</v>
      </c>
      <c r="EJ22" s="102">
        <v>0</v>
      </c>
      <c r="EK22" s="102">
        <v>0</v>
      </c>
      <c r="EL22" s="102">
        <v>0</v>
      </c>
      <c r="EM22" s="102">
        <v>0</v>
      </c>
      <c r="EN22" s="102">
        <v>0</v>
      </c>
      <c r="EO22" s="102">
        <v>0</v>
      </c>
    </row>
    <row r="23" spans="1:145">
      <c r="A23" s="114">
        <v>126</v>
      </c>
      <c r="B23" s="102">
        <v>1636000</v>
      </c>
      <c r="C23" s="102">
        <v>0</v>
      </c>
      <c r="D23" s="102">
        <v>0</v>
      </c>
      <c r="E23" s="102">
        <v>0</v>
      </c>
      <c r="F23" s="102">
        <v>0</v>
      </c>
      <c r="G23" s="102">
        <v>0</v>
      </c>
      <c r="H23" s="102">
        <v>0</v>
      </c>
      <c r="I23" s="102">
        <v>0</v>
      </c>
      <c r="J23" s="102">
        <v>0</v>
      </c>
      <c r="K23" s="102">
        <v>0</v>
      </c>
      <c r="L23" s="102">
        <v>0</v>
      </c>
      <c r="M23" s="102">
        <v>0</v>
      </c>
      <c r="N23" s="102">
        <v>0</v>
      </c>
      <c r="O23" s="102">
        <v>0</v>
      </c>
      <c r="P23" s="102">
        <v>0</v>
      </c>
      <c r="Q23" s="102">
        <v>0</v>
      </c>
      <c r="R23" s="102">
        <v>0</v>
      </c>
      <c r="S23" s="102">
        <v>1636800</v>
      </c>
      <c r="T23" s="102">
        <v>0</v>
      </c>
      <c r="U23" s="102">
        <v>1636800</v>
      </c>
      <c r="V23" s="102">
        <v>1636800</v>
      </c>
      <c r="W23" s="102">
        <v>8517600</v>
      </c>
      <c r="X23" s="102">
        <v>1636800</v>
      </c>
      <c r="Y23" s="102">
        <v>1636800</v>
      </c>
      <c r="Z23" s="102">
        <v>1636000</v>
      </c>
      <c r="AA23" s="102">
        <v>0</v>
      </c>
      <c r="AB23" s="102">
        <v>0</v>
      </c>
      <c r="AC23" s="102">
        <v>0</v>
      </c>
      <c r="AD23" s="102">
        <v>0</v>
      </c>
      <c r="AE23" s="102">
        <v>0</v>
      </c>
      <c r="AF23" s="102">
        <v>0</v>
      </c>
      <c r="AG23" s="102">
        <v>0</v>
      </c>
      <c r="AH23" s="102">
        <v>0</v>
      </c>
      <c r="AI23" s="102">
        <v>0</v>
      </c>
      <c r="AJ23" s="102">
        <v>0</v>
      </c>
      <c r="AK23" s="102">
        <v>0</v>
      </c>
      <c r="AL23" s="102">
        <v>0</v>
      </c>
      <c r="AM23" s="102">
        <v>0</v>
      </c>
      <c r="AN23" s="102">
        <v>0</v>
      </c>
      <c r="AO23" s="102">
        <v>0</v>
      </c>
      <c r="AP23" s="102">
        <v>0</v>
      </c>
      <c r="AQ23" s="102">
        <v>0</v>
      </c>
      <c r="AR23" s="102">
        <v>0</v>
      </c>
      <c r="AS23" s="102">
        <v>0</v>
      </c>
      <c r="AT23" s="102">
        <v>0</v>
      </c>
      <c r="AU23" s="102">
        <v>0</v>
      </c>
      <c r="AV23" s="102">
        <v>0</v>
      </c>
      <c r="AW23" s="102">
        <v>0</v>
      </c>
      <c r="AX23" s="102">
        <v>0</v>
      </c>
      <c r="AY23" s="102">
        <v>0</v>
      </c>
      <c r="AZ23" s="102">
        <v>0</v>
      </c>
      <c r="BA23" s="102">
        <v>0</v>
      </c>
      <c r="BB23" s="102">
        <v>0</v>
      </c>
      <c r="BC23" s="102">
        <v>0</v>
      </c>
      <c r="BD23" s="102">
        <v>0</v>
      </c>
      <c r="BE23" s="102">
        <v>0</v>
      </c>
      <c r="BF23" s="102">
        <v>0</v>
      </c>
      <c r="BG23" s="102">
        <v>0</v>
      </c>
      <c r="BH23" s="102">
        <v>0</v>
      </c>
      <c r="BI23" s="102">
        <v>0</v>
      </c>
      <c r="BJ23" s="102">
        <v>0</v>
      </c>
      <c r="BK23" s="102">
        <v>0</v>
      </c>
      <c r="BL23" s="102">
        <v>0</v>
      </c>
      <c r="BM23" s="102">
        <v>0</v>
      </c>
      <c r="BN23" s="102">
        <v>0</v>
      </c>
      <c r="BO23" s="102">
        <v>0</v>
      </c>
      <c r="BP23" s="102">
        <v>0</v>
      </c>
      <c r="BQ23" s="102">
        <v>0</v>
      </c>
      <c r="BR23" s="102">
        <v>0</v>
      </c>
      <c r="BS23" s="102">
        <v>0</v>
      </c>
      <c r="BT23" s="102">
        <v>0</v>
      </c>
      <c r="BU23" s="102">
        <v>0</v>
      </c>
      <c r="BV23" s="102">
        <v>0</v>
      </c>
      <c r="BW23" s="102">
        <v>0</v>
      </c>
      <c r="BX23" s="102">
        <v>0</v>
      </c>
      <c r="BY23" s="102">
        <v>0</v>
      </c>
      <c r="BZ23" s="102">
        <v>0</v>
      </c>
      <c r="CA23" s="102">
        <v>0</v>
      </c>
      <c r="CB23" s="102">
        <v>0</v>
      </c>
      <c r="CC23" s="102">
        <v>0</v>
      </c>
      <c r="CD23" s="102">
        <v>0</v>
      </c>
      <c r="CE23" s="102">
        <v>0</v>
      </c>
      <c r="CF23" s="102">
        <v>0</v>
      </c>
      <c r="CG23" s="102">
        <v>0</v>
      </c>
      <c r="CH23" s="102">
        <v>0</v>
      </c>
      <c r="CI23" s="102">
        <v>0</v>
      </c>
      <c r="CJ23" s="102">
        <v>0</v>
      </c>
      <c r="CK23" s="102">
        <v>0</v>
      </c>
      <c r="CL23" s="102">
        <v>0</v>
      </c>
      <c r="CM23" s="102">
        <v>0</v>
      </c>
      <c r="CN23" s="102">
        <v>0</v>
      </c>
      <c r="CO23" s="102">
        <v>0</v>
      </c>
      <c r="CP23" s="102">
        <v>0</v>
      </c>
      <c r="CQ23" s="102">
        <v>0</v>
      </c>
      <c r="CR23" s="102">
        <v>0</v>
      </c>
      <c r="CS23" s="102">
        <v>0</v>
      </c>
      <c r="CT23" s="102">
        <v>0</v>
      </c>
      <c r="CU23" s="102">
        <v>0</v>
      </c>
      <c r="CV23" s="102">
        <v>0</v>
      </c>
      <c r="CW23" s="102">
        <v>0</v>
      </c>
      <c r="CX23" s="102">
        <v>0</v>
      </c>
      <c r="CY23" s="102">
        <v>0</v>
      </c>
      <c r="CZ23" s="102">
        <v>0</v>
      </c>
      <c r="DA23" s="102">
        <v>0</v>
      </c>
      <c r="DB23" s="102">
        <v>0</v>
      </c>
      <c r="DC23" s="102">
        <v>0</v>
      </c>
      <c r="DD23" s="102">
        <v>0</v>
      </c>
      <c r="DE23" s="102">
        <v>0</v>
      </c>
      <c r="DF23" s="102">
        <v>0</v>
      </c>
      <c r="DG23" s="102">
        <v>0</v>
      </c>
      <c r="DH23" s="102">
        <v>0</v>
      </c>
      <c r="DI23" s="102">
        <v>0</v>
      </c>
      <c r="DJ23" s="102">
        <v>0</v>
      </c>
      <c r="DK23" s="102">
        <v>0</v>
      </c>
      <c r="DL23" s="102">
        <v>0</v>
      </c>
      <c r="DM23" s="102">
        <v>0</v>
      </c>
      <c r="DN23" s="102">
        <v>0</v>
      </c>
      <c r="DO23" s="102">
        <v>0</v>
      </c>
      <c r="DP23" s="102">
        <v>0</v>
      </c>
      <c r="DQ23" s="102">
        <v>0</v>
      </c>
      <c r="DR23" s="102">
        <v>0</v>
      </c>
      <c r="DS23" s="66">
        <v>2023</v>
      </c>
      <c r="DT23" s="66">
        <v>3</v>
      </c>
      <c r="DU23" s="66">
        <v>9</v>
      </c>
      <c r="DV23" s="66" t="s">
        <v>1012</v>
      </c>
      <c r="DW23" s="66" t="s">
        <v>613</v>
      </c>
      <c r="DX23" s="66" t="s">
        <v>583</v>
      </c>
      <c r="DY23" s="64" t="str">
        <f t="shared" si="0"/>
        <v>○</v>
      </c>
      <c r="DZ23" s="102">
        <v>0</v>
      </c>
      <c r="EA23" s="102">
        <v>0</v>
      </c>
      <c r="EB23" s="102">
        <v>0</v>
      </c>
      <c r="EC23" s="102">
        <v>0</v>
      </c>
      <c r="ED23" s="102">
        <v>0</v>
      </c>
      <c r="EE23" s="102">
        <v>0</v>
      </c>
      <c r="EF23" s="102">
        <v>0</v>
      </c>
      <c r="EG23" s="102">
        <v>0</v>
      </c>
      <c r="EH23" s="102">
        <v>0</v>
      </c>
      <c r="EI23" s="102">
        <v>0</v>
      </c>
      <c r="EJ23" s="102">
        <v>0</v>
      </c>
      <c r="EK23" s="102">
        <v>0</v>
      </c>
      <c r="EL23" s="102">
        <v>0</v>
      </c>
      <c r="EM23" s="102">
        <v>0</v>
      </c>
      <c r="EN23" s="102">
        <v>0</v>
      </c>
      <c r="EO23" s="102">
        <v>0</v>
      </c>
    </row>
    <row r="24" spans="1:145">
      <c r="A24" s="114">
        <v>127</v>
      </c>
      <c r="B24" s="102">
        <v>2521000</v>
      </c>
      <c r="C24" s="102">
        <v>0</v>
      </c>
      <c r="D24" s="102">
        <v>0</v>
      </c>
      <c r="E24" s="102">
        <v>0</v>
      </c>
      <c r="F24" s="102">
        <v>0</v>
      </c>
      <c r="G24" s="102">
        <v>0</v>
      </c>
      <c r="H24" s="102">
        <v>0</v>
      </c>
      <c r="I24" s="102">
        <v>0</v>
      </c>
      <c r="J24" s="102">
        <v>0</v>
      </c>
      <c r="K24" s="102">
        <v>0</v>
      </c>
      <c r="L24" s="102">
        <v>0</v>
      </c>
      <c r="M24" s="102">
        <v>0</v>
      </c>
      <c r="N24" s="102">
        <v>0</v>
      </c>
      <c r="O24" s="102">
        <v>0</v>
      </c>
      <c r="P24" s="102">
        <v>0</v>
      </c>
      <c r="Q24" s="102">
        <v>0</v>
      </c>
      <c r="R24" s="102">
        <v>0</v>
      </c>
      <c r="S24" s="102">
        <v>2521948</v>
      </c>
      <c r="T24" s="102">
        <v>0</v>
      </c>
      <c r="U24" s="102">
        <v>2521948</v>
      </c>
      <c r="V24" s="102">
        <v>2521948</v>
      </c>
      <c r="W24" s="102">
        <v>6552000</v>
      </c>
      <c r="X24" s="102">
        <v>2521948</v>
      </c>
      <c r="Y24" s="102">
        <v>2521948</v>
      </c>
      <c r="Z24" s="102">
        <v>2521000</v>
      </c>
      <c r="AA24" s="102">
        <v>0</v>
      </c>
      <c r="AB24" s="102">
        <v>0</v>
      </c>
      <c r="AC24" s="102">
        <v>0</v>
      </c>
      <c r="AD24" s="102">
        <v>0</v>
      </c>
      <c r="AE24" s="102">
        <v>0</v>
      </c>
      <c r="AF24" s="102">
        <v>0</v>
      </c>
      <c r="AG24" s="102">
        <v>0</v>
      </c>
      <c r="AH24" s="102">
        <v>0</v>
      </c>
      <c r="AI24" s="102">
        <v>0</v>
      </c>
      <c r="AJ24" s="102">
        <v>0</v>
      </c>
      <c r="AK24" s="102">
        <v>0</v>
      </c>
      <c r="AL24" s="102">
        <v>0</v>
      </c>
      <c r="AM24" s="102">
        <v>0</v>
      </c>
      <c r="AN24" s="102">
        <v>0</v>
      </c>
      <c r="AO24" s="102">
        <v>0</v>
      </c>
      <c r="AP24" s="102">
        <v>0</v>
      </c>
      <c r="AQ24" s="102">
        <v>0</v>
      </c>
      <c r="AR24" s="102">
        <v>0</v>
      </c>
      <c r="AS24" s="102">
        <v>0</v>
      </c>
      <c r="AT24" s="102">
        <v>0</v>
      </c>
      <c r="AU24" s="102">
        <v>0</v>
      </c>
      <c r="AV24" s="102">
        <v>0</v>
      </c>
      <c r="AW24" s="102">
        <v>0</v>
      </c>
      <c r="AX24" s="102">
        <v>0</v>
      </c>
      <c r="AY24" s="102">
        <v>0</v>
      </c>
      <c r="AZ24" s="102">
        <v>0</v>
      </c>
      <c r="BA24" s="102">
        <v>0</v>
      </c>
      <c r="BB24" s="102">
        <v>0</v>
      </c>
      <c r="BC24" s="102">
        <v>0</v>
      </c>
      <c r="BD24" s="102">
        <v>0</v>
      </c>
      <c r="BE24" s="102">
        <v>0</v>
      </c>
      <c r="BF24" s="102">
        <v>0</v>
      </c>
      <c r="BG24" s="102">
        <v>0</v>
      </c>
      <c r="BH24" s="102">
        <v>0</v>
      </c>
      <c r="BI24" s="102">
        <v>0</v>
      </c>
      <c r="BJ24" s="102">
        <v>0</v>
      </c>
      <c r="BK24" s="102">
        <v>0</v>
      </c>
      <c r="BL24" s="102">
        <v>0</v>
      </c>
      <c r="BM24" s="102">
        <v>0</v>
      </c>
      <c r="BN24" s="102">
        <v>0</v>
      </c>
      <c r="BO24" s="102">
        <v>0</v>
      </c>
      <c r="BP24" s="102">
        <v>0</v>
      </c>
      <c r="BQ24" s="102">
        <v>0</v>
      </c>
      <c r="BR24" s="102">
        <v>0</v>
      </c>
      <c r="BS24" s="102">
        <v>0</v>
      </c>
      <c r="BT24" s="102">
        <v>0</v>
      </c>
      <c r="BU24" s="102">
        <v>0</v>
      </c>
      <c r="BV24" s="102">
        <v>0</v>
      </c>
      <c r="BW24" s="102">
        <v>0</v>
      </c>
      <c r="BX24" s="102">
        <v>0</v>
      </c>
      <c r="BY24" s="102">
        <v>0</v>
      </c>
      <c r="BZ24" s="102">
        <v>0</v>
      </c>
      <c r="CA24" s="102">
        <v>0</v>
      </c>
      <c r="CB24" s="102">
        <v>0</v>
      </c>
      <c r="CC24" s="102">
        <v>0</v>
      </c>
      <c r="CD24" s="102">
        <v>0</v>
      </c>
      <c r="CE24" s="102">
        <v>0</v>
      </c>
      <c r="CF24" s="102">
        <v>0</v>
      </c>
      <c r="CG24" s="102">
        <v>0</v>
      </c>
      <c r="CH24" s="102">
        <v>0</v>
      </c>
      <c r="CI24" s="102">
        <v>0</v>
      </c>
      <c r="CJ24" s="102">
        <v>0</v>
      </c>
      <c r="CK24" s="102">
        <v>0</v>
      </c>
      <c r="CL24" s="102">
        <v>0</v>
      </c>
      <c r="CM24" s="102">
        <v>0</v>
      </c>
      <c r="CN24" s="102">
        <v>0</v>
      </c>
      <c r="CO24" s="102">
        <v>0</v>
      </c>
      <c r="CP24" s="102">
        <v>0</v>
      </c>
      <c r="CQ24" s="102">
        <v>0</v>
      </c>
      <c r="CR24" s="102">
        <v>0</v>
      </c>
      <c r="CS24" s="102">
        <v>0</v>
      </c>
      <c r="CT24" s="102">
        <v>0</v>
      </c>
      <c r="CU24" s="102">
        <v>0</v>
      </c>
      <c r="CV24" s="102">
        <v>0</v>
      </c>
      <c r="CW24" s="102">
        <v>0</v>
      </c>
      <c r="CX24" s="102">
        <v>0</v>
      </c>
      <c r="CY24" s="102">
        <v>0</v>
      </c>
      <c r="CZ24" s="102">
        <v>0</v>
      </c>
      <c r="DA24" s="102">
        <v>0</v>
      </c>
      <c r="DB24" s="102">
        <v>0</v>
      </c>
      <c r="DC24" s="102">
        <v>0</v>
      </c>
      <c r="DD24" s="102">
        <v>0</v>
      </c>
      <c r="DE24" s="102">
        <v>0</v>
      </c>
      <c r="DF24" s="102">
        <v>0</v>
      </c>
      <c r="DG24" s="102">
        <v>0</v>
      </c>
      <c r="DH24" s="102">
        <v>0</v>
      </c>
      <c r="DI24" s="102">
        <v>0</v>
      </c>
      <c r="DJ24" s="102">
        <v>0</v>
      </c>
      <c r="DK24" s="102">
        <v>0</v>
      </c>
      <c r="DL24" s="102">
        <v>0</v>
      </c>
      <c r="DM24" s="102">
        <v>0</v>
      </c>
      <c r="DN24" s="102">
        <v>0</v>
      </c>
      <c r="DO24" s="102">
        <v>0</v>
      </c>
      <c r="DP24" s="102">
        <v>0</v>
      </c>
      <c r="DQ24" s="102">
        <v>0</v>
      </c>
      <c r="DR24" s="102">
        <v>0</v>
      </c>
      <c r="DS24" s="66">
        <v>2023</v>
      </c>
      <c r="DT24" s="66">
        <v>3</v>
      </c>
      <c r="DU24" s="66">
        <v>9</v>
      </c>
      <c r="DV24" s="66" t="s">
        <v>622</v>
      </c>
      <c r="DW24" s="66" t="s">
        <v>603</v>
      </c>
      <c r="DX24" s="66" t="s">
        <v>583</v>
      </c>
      <c r="DY24" s="64" t="str">
        <f t="shared" si="0"/>
        <v>○</v>
      </c>
      <c r="DZ24" s="102">
        <v>0</v>
      </c>
      <c r="EA24" s="102">
        <v>0</v>
      </c>
      <c r="EB24" s="102">
        <v>0</v>
      </c>
      <c r="EC24" s="102">
        <v>0</v>
      </c>
      <c r="ED24" s="102">
        <v>0</v>
      </c>
      <c r="EE24" s="102">
        <v>0</v>
      </c>
      <c r="EF24" s="102">
        <v>0</v>
      </c>
      <c r="EG24" s="102">
        <v>0</v>
      </c>
      <c r="EH24" s="102">
        <v>0</v>
      </c>
      <c r="EI24" s="102">
        <v>0</v>
      </c>
      <c r="EJ24" s="102">
        <v>0</v>
      </c>
      <c r="EK24" s="102">
        <v>0</v>
      </c>
      <c r="EL24" s="102">
        <v>0</v>
      </c>
      <c r="EM24" s="102">
        <v>0</v>
      </c>
      <c r="EN24" s="102">
        <v>0</v>
      </c>
      <c r="EO24" s="102">
        <v>0</v>
      </c>
    </row>
    <row r="25" spans="1:145">
      <c r="A25" s="114">
        <v>129</v>
      </c>
      <c r="B25" s="102">
        <v>170000</v>
      </c>
      <c r="C25" s="102">
        <v>0</v>
      </c>
      <c r="D25" s="102">
        <v>0</v>
      </c>
      <c r="E25" s="102">
        <v>0</v>
      </c>
      <c r="F25" s="102">
        <v>0</v>
      </c>
      <c r="G25" s="102">
        <v>0</v>
      </c>
      <c r="H25" s="102">
        <v>0</v>
      </c>
      <c r="I25" s="102">
        <v>0</v>
      </c>
      <c r="J25" s="102">
        <v>0</v>
      </c>
      <c r="K25" s="102">
        <v>0</v>
      </c>
      <c r="L25" s="102">
        <v>0</v>
      </c>
      <c r="M25" s="102">
        <v>0</v>
      </c>
      <c r="N25" s="102">
        <v>0</v>
      </c>
      <c r="O25" s="102">
        <v>0</v>
      </c>
      <c r="P25" s="102">
        <v>0</v>
      </c>
      <c r="Q25" s="102">
        <v>0</v>
      </c>
      <c r="R25" s="102">
        <v>0</v>
      </c>
      <c r="S25" s="102">
        <v>170665</v>
      </c>
      <c r="T25" s="102">
        <v>0</v>
      </c>
      <c r="U25" s="102">
        <v>170665</v>
      </c>
      <c r="V25" s="102">
        <v>170665</v>
      </c>
      <c r="W25" s="102">
        <v>432000</v>
      </c>
      <c r="X25" s="102">
        <v>170665</v>
      </c>
      <c r="Y25" s="102">
        <v>170665</v>
      </c>
      <c r="Z25" s="102">
        <v>170000</v>
      </c>
      <c r="AA25" s="102">
        <v>0</v>
      </c>
      <c r="AB25" s="102">
        <v>0</v>
      </c>
      <c r="AC25" s="102">
        <v>0</v>
      </c>
      <c r="AD25" s="102">
        <v>0</v>
      </c>
      <c r="AE25" s="102">
        <v>0</v>
      </c>
      <c r="AF25" s="102">
        <v>0</v>
      </c>
      <c r="AG25" s="102">
        <v>0</v>
      </c>
      <c r="AH25" s="102">
        <v>0</v>
      </c>
      <c r="AI25" s="102">
        <v>0</v>
      </c>
      <c r="AJ25" s="102">
        <v>0</v>
      </c>
      <c r="AK25" s="102">
        <v>0</v>
      </c>
      <c r="AL25" s="102">
        <v>0</v>
      </c>
      <c r="AM25" s="102">
        <v>0</v>
      </c>
      <c r="AN25" s="102">
        <v>0</v>
      </c>
      <c r="AO25" s="102">
        <v>0</v>
      </c>
      <c r="AP25" s="102">
        <v>0</v>
      </c>
      <c r="AQ25" s="102">
        <v>0</v>
      </c>
      <c r="AR25" s="102">
        <v>0</v>
      </c>
      <c r="AS25" s="102">
        <v>0</v>
      </c>
      <c r="AT25" s="102">
        <v>0</v>
      </c>
      <c r="AU25" s="102">
        <v>0</v>
      </c>
      <c r="AV25" s="102">
        <v>0</v>
      </c>
      <c r="AW25" s="102">
        <v>0</v>
      </c>
      <c r="AX25" s="102">
        <v>0</v>
      </c>
      <c r="AY25" s="102">
        <v>0</v>
      </c>
      <c r="AZ25" s="102">
        <v>0</v>
      </c>
      <c r="BA25" s="102">
        <v>0</v>
      </c>
      <c r="BB25" s="102">
        <v>0</v>
      </c>
      <c r="BC25" s="102">
        <v>0</v>
      </c>
      <c r="BD25" s="102">
        <v>0</v>
      </c>
      <c r="BE25" s="102">
        <v>0</v>
      </c>
      <c r="BF25" s="102">
        <v>0</v>
      </c>
      <c r="BG25" s="102">
        <v>0</v>
      </c>
      <c r="BH25" s="102">
        <v>0</v>
      </c>
      <c r="BI25" s="102">
        <v>0</v>
      </c>
      <c r="BJ25" s="102">
        <v>0</v>
      </c>
      <c r="BK25" s="102">
        <v>0</v>
      </c>
      <c r="BL25" s="102">
        <v>0</v>
      </c>
      <c r="BM25" s="102">
        <v>0</v>
      </c>
      <c r="BN25" s="102">
        <v>0</v>
      </c>
      <c r="BO25" s="102">
        <v>0</v>
      </c>
      <c r="BP25" s="102">
        <v>0</v>
      </c>
      <c r="BQ25" s="102">
        <v>0</v>
      </c>
      <c r="BR25" s="102">
        <v>0</v>
      </c>
      <c r="BS25" s="102">
        <v>0</v>
      </c>
      <c r="BT25" s="102">
        <v>0</v>
      </c>
      <c r="BU25" s="102">
        <v>0</v>
      </c>
      <c r="BV25" s="102">
        <v>0</v>
      </c>
      <c r="BW25" s="102">
        <v>0</v>
      </c>
      <c r="BX25" s="102">
        <v>0</v>
      </c>
      <c r="BY25" s="102">
        <v>0</v>
      </c>
      <c r="BZ25" s="102">
        <v>0</v>
      </c>
      <c r="CA25" s="102">
        <v>0</v>
      </c>
      <c r="CB25" s="102">
        <v>0</v>
      </c>
      <c r="CC25" s="102">
        <v>0</v>
      </c>
      <c r="CD25" s="102">
        <v>0</v>
      </c>
      <c r="CE25" s="102">
        <v>0</v>
      </c>
      <c r="CF25" s="102">
        <v>0</v>
      </c>
      <c r="CG25" s="102">
        <v>0</v>
      </c>
      <c r="CH25" s="102">
        <v>0</v>
      </c>
      <c r="CI25" s="102">
        <v>0</v>
      </c>
      <c r="CJ25" s="102">
        <v>0</v>
      </c>
      <c r="CK25" s="102">
        <v>0</v>
      </c>
      <c r="CL25" s="102">
        <v>0</v>
      </c>
      <c r="CM25" s="102">
        <v>0</v>
      </c>
      <c r="CN25" s="102">
        <v>0</v>
      </c>
      <c r="CO25" s="102">
        <v>0</v>
      </c>
      <c r="CP25" s="102">
        <v>0</v>
      </c>
      <c r="CQ25" s="102">
        <v>0</v>
      </c>
      <c r="CR25" s="102">
        <v>0</v>
      </c>
      <c r="CS25" s="102">
        <v>0</v>
      </c>
      <c r="CT25" s="102">
        <v>0</v>
      </c>
      <c r="CU25" s="102">
        <v>0</v>
      </c>
      <c r="CV25" s="102">
        <v>0</v>
      </c>
      <c r="CW25" s="102">
        <v>0</v>
      </c>
      <c r="CX25" s="102">
        <v>0</v>
      </c>
      <c r="CY25" s="102">
        <v>0</v>
      </c>
      <c r="CZ25" s="102">
        <v>0</v>
      </c>
      <c r="DA25" s="102">
        <v>0</v>
      </c>
      <c r="DB25" s="102">
        <v>0</v>
      </c>
      <c r="DC25" s="102">
        <v>0</v>
      </c>
      <c r="DD25" s="102">
        <v>0</v>
      </c>
      <c r="DE25" s="102">
        <v>0</v>
      </c>
      <c r="DF25" s="102">
        <v>0</v>
      </c>
      <c r="DG25" s="102">
        <v>0</v>
      </c>
      <c r="DH25" s="102">
        <v>0</v>
      </c>
      <c r="DI25" s="102">
        <v>0</v>
      </c>
      <c r="DJ25" s="102">
        <v>0</v>
      </c>
      <c r="DK25" s="102">
        <v>0</v>
      </c>
      <c r="DL25" s="102">
        <v>0</v>
      </c>
      <c r="DM25" s="102">
        <v>0</v>
      </c>
      <c r="DN25" s="102">
        <v>0</v>
      </c>
      <c r="DO25" s="102">
        <v>0</v>
      </c>
      <c r="DP25" s="102">
        <v>0</v>
      </c>
      <c r="DQ25" s="102">
        <v>0</v>
      </c>
      <c r="DR25" s="102">
        <v>0</v>
      </c>
      <c r="DS25" s="66">
        <v>2023</v>
      </c>
      <c r="DT25" s="66">
        <v>3</v>
      </c>
      <c r="DU25" s="66">
        <v>9</v>
      </c>
      <c r="DV25" s="66" t="s">
        <v>1012</v>
      </c>
      <c r="DW25" s="66" t="s">
        <v>603</v>
      </c>
      <c r="DX25" s="66" t="s">
        <v>583</v>
      </c>
      <c r="DY25" s="64" t="str">
        <f t="shared" si="0"/>
        <v>○</v>
      </c>
      <c r="DZ25" s="102">
        <v>0</v>
      </c>
      <c r="EA25" s="102">
        <v>0</v>
      </c>
      <c r="EB25" s="102">
        <v>0</v>
      </c>
      <c r="EC25" s="102">
        <v>0</v>
      </c>
      <c r="ED25" s="102">
        <v>0</v>
      </c>
      <c r="EE25" s="102">
        <v>0</v>
      </c>
      <c r="EF25" s="102">
        <v>0</v>
      </c>
      <c r="EG25" s="102">
        <v>0</v>
      </c>
      <c r="EH25" s="102">
        <v>0</v>
      </c>
      <c r="EI25" s="102">
        <v>0</v>
      </c>
      <c r="EJ25" s="102">
        <v>0</v>
      </c>
      <c r="EK25" s="102">
        <v>0</v>
      </c>
      <c r="EL25" s="102">
        <v>0</v>
      </c>
      <c r="EM25" s="102">
        <v>0</v>
      </c>
      <c r="EN25" s="102">
        <v>0</v>
      </c>
      <c r="EO25" s="102">
        <v>0</v>
      </c>
    </row>
    <row r="26" spans="1:145">
      <c r="A26" s="114">
        <v>130</v>
      </c>
      <c r="B26" s="102">
        <v>562000</v>
      </c>
      <c r="C26" s="102">
        <v>0</v>
      </c>
      <c r="D26" s="102">
        <v>0</v>
      </c>
      <c r="E26" s="102">
        <v>0</v>
      </c>
      <c r="F26" s="102">
        <v>0</v>
      </c>
      <c r="G26" s="102">
        <v>0</v>
      </c>
      <c r="H26" s="102">
        <v>0</v>
      </c>
      <c r="I26" s="102">
        <v>0</v>
      </c>
      <c r="J26" s="102">
        <v>0</v>
      </c>
      <c r="K26" s="102">
        <v>0</v>
      </c>
      <c r="L26" s="102">
        <v>0</v>
      </c>
      <c r="M26" s="102">
        <v>0</v>
      </c>
      <c r="N26" s="102">
        <v>0</v>
      </c>
      <c r="O26" s="102">
        <v>0</v>
      </c>
      <c r="P26" s="102">
        <v>0</v>
      </c>
      <c r="Q26" s="102">
        <v>0</v>
      </c>
      <c r="R26" s="102">
        <v>0</v>
      </c>
      <c r="S26" s="102">
        <v>562990</v>
      </c>
      <c r="T26" s="102">
        <v>0</v>
      </c>
      <c r="U26" s="102">
        <v>562990</v>
      </c>
      <c r="V26" s="102">
        <v>562990</v>
      </c>
      <c r="W26" s="102">
        <v>11138400</v>
      </c>
      <c r="X26" s="102">
        <v>562990</v>
      </c>
      <c r="Y26" s="102">
        <v>562990</v>
      </c>
      <c r="Z26" s="102">
        <v>562000</v>
      </c>
      <c r="AA26" s="102">
        <v>0</v>
      </c>
      <c r="AB26" s="102">
        <v>0</v>
      </c>
      <c r="AC26" s="102">
        <v>0</v>
      </c>
      <c r="AD26" s="102">
        <v>0</v>
      </c>
      <c r="AE26" s="102">
        <v>0</v>
      </c>
      <c r="AF26" s="102">
        <v>0</v>
      </c>
      <c r="AG26" s="102">
        <v>0</v>
      </c>
      <c r="AH26" s="102">
        <v>0</v>
      </c>
      <c r="AI26" s="102">
        <v>0</v>
      </c>
      <c r="AJ26" s="102">
        <v>0</v>
      </c>
      <c r="AK26" s="102">
        <v>0</v>
      </c>
      <c r="AL26" s="102">
        <v>0</v>
      </c>
      <c r="AM26" s="102">
        <v>0</v>
      </c>
      <c r="AN26" s="102">
        <v>0</v>
      </c>
      <c r="AO26" s="102">
        <v>0</v>
      </c>
      <c r="AP26" s="102">
        <v>0</v>
      </c>
      <c r="AQ26" s="102">
        <v>0</v>
      </c>
      <c r="AR26" s="102">
        <v>0</v>
      </c>
      <c r="AS26" s="102">
        <v>0</v>
      </c>
      <c r="AT26" s="102">
        <v>0</v>
      </c>
      <c r="AU26" s="102">
        <v>0</v>
      </c>
      <c r="AV26" s="102">
        <v>0</v>
      </c>
      <c r="AW26" s="102">
        <v>0</v>
      </c>
      <c r="AX26" s="102">
        <v>0</v>
      </c>
      <c r="AY26" s="102">
        <v>0</v>
      </c>
      <c r="AZ26" s="102">
        <v>0</v>
      </c>
      <c r="BA26" s="102">
        <v>0</v>
      </c>
      <c r="BB26" s="102">
        <v>0</v>
      </c>
      <c r="BC26" s="102">
        <v>0</v>
      </c>
      <c r="BD26" s="102">
        <v>0</v>
      </c>
      <c r="BE26" s="102">
        <v>0</v>
      </c>
      <c r="BF26" s="102">
        <v>0</v>
      </c>
      <c r="BG26" s="102">
        <v>0</v>
      </c>
      <c r="BH26" s="102">
        <v>0</v>
      </c>
      <c r="BI26" s="102">
        <v>0</v>
      </c>
      <c r="BJ26" s="102">
        <v>0</v>
      </c>
      <c r="BK26" s="102">
        <v>0</v>
      </c>
      <c r="BL26" s="102">
        <v>0</v>
      </c>
      <c r="BM26" s="102">
        <v>0</v>
      </c>
      <c r="BN26" s="102">
        <v>0</v>
      </c>
      <c r="BO26" s="102">
        <v>0</v>
      </c>
      <c r="BP26" s="102">
        <v>0</v>
      </c>
      <c r="BQ26" s="102">
        <v>0</v>
      </c>
      <c r="BR26" s="102">
        <v>0</v>
      </c>
      <c r="BS26" s="102">
        <v>0</v>
      </c>
      <c r="BT26" s="102">
        <v>0</v>
      </c>
      <c r="BU26" s="102">
        <v>0</v>
      </c>
      <c r="BV26" s="102">
        <v>0</v>
      </c>
      <c r="BW26" s="102">
        <v>0</v>
      </c>
      <c r="BX26" s="102">
        <v>0</v>
      </c>
      <c r="BY26" s="102">
        <v>0</v>
      </c>
      <c r="BZ26" s="102">
        <v>0</v>
      </c>
      <c r="CA26" s="102">
        <v>0</v>
      </c>
      <c r="CB26" s="102">
        <v>0</v>
      </c>
      <c r="CC26" s="102">
        <v>0</v>
      </c>
      <c r="CD26" s="102">
        <v>0</v>
      </c>
      <c r="CE26" s="102">
        <v>0</v>
      </c>
      <c r="CF26" s="102">
        <v>0</v>
      </c>
      <c r="CG26" s="102">
        <v>0</v>
      </c>
      <c r="CH26" s="102">
        <v>0</v>
      </c>
      <c r="CI26" s="102">
        <v>0</v>
      </c>
      <c r="CJ26" s="102">
        <v>0</v>
      </c>
      <c r="CK26" s="102">
        <v>0</v>
      </c>
      <c r="CL26" s="102">
        <v>0</v>
      </c>
      <c r="CM26" s="102">
        <v>0</v>
      </c>
      <c r="CN26" s="102">
        <v>0</v>
      </c>
      <c r="CO26" s="102">
        <v>0</v>
      </c>
      <c r="CP26" s="102">
        <v>0</v>
      </c>
      <c r="CQ26" s="102">
        <v>0</v>
      </c>
      <c r="CR26" s="102">
        <v>0</v>
      </c>
      <c r="CS26" s="102">
        <v>0</v>
      </c>
      <c r="CT26" s="102">
        <v>0</v>
      </c>
      <c r="CU26" s="102">
        <v>0</v>
      </c>
      <c r="CV26" s="102">
        <v>0</v>
      </c>
      <c r="CW26" s="102">
        <v>0</v>
      </c>
      <c r="CX26" s="102">
        <v>0</v>
      </c>
      <c r="CY26" s="102">
        <v>0</v>
      </c>
      <c r="CZ26" s="102">
        <v>0</v>
      </c>
      <c r="DA26" s="102">
        <v>0</v>
      </c>
      <c r="DB26" s="102">
        <v>0</v>
      </c>
      <c r="DC26" s="102">
        <v>0</v>
      </c>
      <c r="DD26" s="102">
        <v>0</v>
      </c>
      <c r="DE26" s="102">
        <v>0</v>
      </c>
      <c r="DF26" s="102">
        <v>0</v>
      </c>
      <c r="DG26" s="102">
        <v>0</v>
      </c>
      <c r="DH26" s="102">
        <v>0</v>
      </c>
      <c r="DI26" s="102">
        <v>0</v>
      </c>
      <c r="DJ26" s="102">
        <v>0</v>
      </c>
      <c r="DK26" s="102">
        <v>0</v>
      </c>
      <c r="DL26" s="102">
        <v>0</v>
      </c>
      <c r="DM26" s="102">
        <v>0</v>
      </c>
      <c r="DN26" s="102">
        <v>0</v>
      </c>
      <c r="DO26" s="102">
        <v>0</v>
      </c>
      <c r="DP26" s="102">
        <v>0</v>
      </c>
      <c r="DQ26" s="102">
        <v>0</v>
      </c>
      <c r="DR26" s="102">
        <v>0</v>
      </c>
      <c r="DS26" s="66">
        <v>2023</v>
      </c>
      <c r="DT26" s="66">
        <v>3</v>
      </c>
      <c r="DU26" s="66">
        <v>9</v>
      </c>
      <c r="DV26" s="66" t="s">
        <v>588</v>
      </c>
      <c r="DW26" s="66" t="s">
        <v>598</v>
      </c>
      <c r="DX26" s="66" t="s">
        <v>583</v>
      </c>
      <c r="DY26" s="64" t="str">
        <f t="shared" si="0"/>
        <v>○</v>
      </c>
      <c r="DZ26" s="102">
        <v>0</v>
      </c>
      <c r="EA26" s="102">
        <v>0</v>
      </c>
      <c r="EB26" s="102">
        <v>0</v>
      </c>
      <c r="EC26" s="102">
        <v>0</v>
      </c>
      <c r="ED26" s="102">
        <v>0</v>
      </c>
      <c r="EE26" s="102">
        <v>0</v>
      </c>
      <c r="EF26" s="102">
        <v>0</v>
      </c>
      <c r="EG26" s="102">
        <v>0</v>
      </c>
      <c r="EH26" s="102">
        <v>0</v>
      </c>
      <c r="EI26" s="102">
        <v>0</v>
      </c>
      <c r="EJ26" s="102">
        <v>0</v>
      </c>
      <c r="EK26" s="102">
        <v>0</v>
      </c>
      <c r="EL26" s="102">
        <v>0</v>
      </c>
      <c r="EM26" s="102">
        <v>0</v>
      </c>
      <c r="EN26" s="102">
        <v>0</v>
      </c>
      <c r="EO26" s="102">
        <v>0</v>
      </c>
    </row>
    <row r="27" spans="1:145">
      <c r="A27" s="114">
        <v>131</v>
      </c>
      <c r="B27" s="102">
        <v>8006000</v>
      </c>
      <c r="C27" s="102">
        <v>0</v>
      </c>
      <c r="D27" s="102">
        <v>0</v>
      </c>
      <c r="E27" s="102">
        <v>0</v>
      </c>
      <c r="F27" s="102">
        <v>0</v>
      </c>
      <c r="G27" s="102">
        <v>0</v>
      </c>
      <c r="H27" s="102">
        <v>0</v>
      </c>
      <c r="I27" s="102">
        <v>0</v>
      </c>
      <c r="J27" s="102">
        <v>0</v>
      </c>
      <c r="K27" s="102">
        <v>0</v>
      </c>
      <c r="L27" s="102">
        <v>0</v>
      </c>
      <c r="M27" s="102">
        <v>0</v>
      </c>
      <c r="N27" s="102">
        <v>0</v>
      </c>
      <c r="O27" s="102">
        <v>0</v>
      </c>
      <c r="P27" s="102">
        <v>0</v>
      </c>
      <c r="Q27" s="102">
        <v>0</v>
      </c>
      <c r="R27" s="102">
        <v>0</v>
      </c>
      <c r="S27" s="102">
        <v>8006630</v>
      </c>
      <c r="T27" s="102">
        <v>0</v>
      </c>
      <c r="U27" s="102">
        <v>8006630</v>
      </c>
      <c r="V27" s="102">
        <v>8006630</v>
      </c>
      <c r="W27" s="102">
        <v>9828000</v>
      </c>
      <c r="X27" s="102">
        <v>8006630</v>
      </c>
      <c r="Y27" s="102">
        <v>8006630</v>
      </c>
      <c r="Z27" s="102">
        <v>8006000</v>
      </c>
      <c r="AA27" s="102">
        <v>0</v>
      </c>
      <c r="AB27" s="102">
        <v>0</v>
      </c>
      <c r="AC27" s="102">
        <v>0</v>
      </c>
      <c r="AD27" s="102">
        <v>0</v>
      </c>
      <c r="AE27" s="102">
        <v>0</v>
      </c>
      <c r="AF27" s="102">
        <v>0</v>
      </c>
      <c r="AG27" s="102">
        <v>0</v>
      </c>
      <c r="AH27" s="102">
        <v>0</v>
      </c>
      <c r="AI27" s="102">
        <v>0</v>
      </c>
      <c r="AJ27" s="102">
        <v>0</v>
      </c>
      <c r="AK27" s="102">
        <v>0</v>
      </c>
      <c r="AL27" s="102">
        <v>0</v>
      </c>
      <c r="AM27" s="102">
        <v>0</v>
      </c>
      <c r="AN27" s="102">
        <v>0</v>
      </c>
      <c r="AO27" s="102">
        <v>0</v>
      </c>
      <c r="AP27" s="102">
        <v>0</v>
      </c>
      <c r="AQ27" s="102">
        <v>0</v>
      </c>
      <c r="AR27" s="102">
        <v>0</v>
      </c>
      <c r="AS27" s="102">
        <v>0</v>
      </c>
      <c r="AT27" s="102">
        <v>0</v>
      </c>
      <c r="AU27" s="102">
        <v>0</v>
      </c>
      <c r="AV27" s="102">
        <v>0</v>
      </c>
      <c r="AW27" s="102">
        <v>0</v>
      </c>
      <c r="AX27" s="102">
        <v>0</v>
      </c>
      <c r="AY27" s="102">
        <v>0</v>
      </c>
      <c r="AZ27" s="102">
        <v>0</v>
      </c>
      <c r="BA27" s="102">
        <v>0</v>
      </c>
      <c r="BB27" s="102">
        <v>0</v>
      </c>
      <c r="BC27" s="102">
        <v>0</v>
      </c>
      <c r="BD27" s="102">
        <v>0</v>
      </c>
      <c r="BE27" s="102">
        <v>0</v>
      </c>
      <c r="BF27" s="102">
        <v>0</v>
      </c>
      <c r="BG27" s="102">
        <v>0</v>
      </c>
      <c r="BH27" s="102">
        <v>0</v>
      </c>
      <c r="BI27" s="102">
        <v>0</v>
      </c>
      <c r="BJ27" s="102">
        <v>0</v>
      </c>
      <c r="BK27" s="102">
        <v>0</v>
      </c>
      <c r="BL27" s="102">
        <v>0</v>
      </c>
      <c r="BM27" s="102">
        <v>0</v>
      </c>
      <c r="BN27" s="102">
        <v>0</v>
      </c>
      <c r="BO27" s="102">
        <v>0</v>
      </c>
      <c r="BP27" s="102">
        <v>0</v>
      </c>
      <c r="BQ27" s="102">
        <v>0</v>
      </c>
      <c r="BR27" s="102">
        <v>0</v>
      </c>
      <c r="BS27" s="102">
        <v>0</v>
      </c>
      <c r="BT27" s="102">
        <v>0</v>
      </c>
      <c r="BU27" s="102">
        <v>0</v>
      </c>
      <c r="BV27" s="102">
        <v>0</v>
      </c>
      <c r="BW27" s="102">
        <v>0</v>
      </c>
      <c r="BX27" s="102">
        <v>0</v>
      </c>
      <c r="BY27" s="102">
        <v>0</v>
      </c>
      <c r="BZ27" s="102">
        <v>0</v>
      </c>
      <c r="CA27" s="102">
        <v>0</v>
      </c>
      <c r="CB27" s="102">
        <v>0</v>
      </c>
      <c r="CC27" s="102">
        <v>0</v>
      </c>
      <c r="CD27" s="102">
        <v>0</v>
      </c>
      <c r="CE27" s="102">
        <v>0</v>
      </c>
      <c r="CF27" s="102">
        <v>0</v>
      </c>
      <c r="CG27" s="102">
        <v>0</v>
      </c>
      <c r="CH27" s="102">
        <v>0</v>
      </c>
      <c r="CI27" s="102">
        <v>0</v>
      </c>
      <c r="CJ27" s="102">
        <v>0</v>
      </c>
      <c r="CK27" s="102">
        <v>0</v>
      </c>
      <c r="CL27" s="102">
        <v>0</v>
      </c>
      <c r="CM27" s="102">
        <v>0</v>
      </c>
      <c r="CN27" s="102">
        <v>0</v>
      </c>
      <c r="CO27" s="102">
        <v>0</v>
      </c>
      <c r="CP27" s="102">
        <v>0</v>
      </c>
      <c r="CQ27" s="102">
        <v>0</v>
      </c>
      <c r="CR27" s="102">
        <v>0</v>
      </c>
      <c r="CS27" s="102">
        <v>0</v>
      </c>
      <c r="CT27" s="102">
        <v>0</v>
      </c>
      <c r="CU27" s="102">
        <v>0</v>
      </c>
      <c r="CV27" s="102">
        <v>0</v>
      </c>
      <c r="CW27" s="102">
        <v>0</v>
      </c>
      <c r="CX27" s="102">
        <v>0</v>
      </c>
      <c r="CY27" s="102">
        <v>0</v>
      </c>
      <c r="CZ27" s="102">
        <v>0</v>
      </c>
      <c r="DA27" s="102">
        <v>0</v>
      </c>
      <c r="DB27" s="102">
        <v>0</v>
      </c>
      <c r="DC27" s="102">
        <v>0</v>
      </c>
      <c r="DD27" s="102">
        <v>0</v>
      </c>
      <c r="DE27" s="102">
        <v>0</v>
      </c>
      <c r="DF27" s="102">
        <v>0</v>
      </c>
      <c r="DG27" s="102">
        <v>0</v>
      </c>
      <c r="DH27" s="102">
        <v>0</v>
      </c>
      <c r="DI27" s="102">
        <v>0</v>
      </c>
      <c r="DJ27" s="102">
        <v>0</v>
      </c>
      <c r="DK27" s="102">
        <v>0</v>
      </c>
      <c r="DL27" s="102">
        <v>0</v>
      </c>
      <c r="DM27" s="102">
        <v>0</v>
      </c>
      <c r="DN27" s="102">
        <v>0</v>
      </c>
      <c r="DO27" s="102">
        <v>0</v>
      </c>
      <c r="DP27" s="102">
        <v>0</v>
      </c>
      <c r="DQ27" s="102">
        <v>0</v>
      </c>
      <c r="DR27" s="102">
        <v>0</v>
      </c>
      <c r="DS27" s="66">
        <v>2023</v>
      </c>
      <c r="DT27" s="66">
        <v>3</v>
      </c>
      <c r="DU27" s="66">
        <v>9</v>
      </c>
      <c r="DV27" s="66" t="s">
        <v>591</v>
      </c>
      <c r="DW27" s="66" t="s">
        <v>592</v>
      </c>
      <c r="DX27" s="66" t="s">
        <v>583</v>
      </c>
      <c r="DY27" s="64" t="str">
        <f t="shared" si="0"/>
        <v>○</v>
      </c>
      <c r="DZ27" s="102">
        <v>0</v>
      </c>
      <c r="EA27" s="102">
        <v>0</v>
      </c>
      <c r="EB27" s="102">
        <v>0</v>
      </c>
      <c r="EC27" s="102">
        <v>0</v>
      </c>
      <c r="ED27" s="102">
        <v>0</v>
      </c>
      <c r="EE27" s="102">
        <v>0</v>
      </c>
      <c r="EF27" s="102">
        <v>0</v>
      </c>
      <c r="EG27" s="102">
        <v>0</v>
      </c>
      <c r="EH27" s="102">
        <v>0</v>
      </c>
      <c r="EI27" s="102">
        <v>0</v>
      </c>
      <c r="EJ27" s="102">
        <v>0</v>
      </c>
      <c r="EK27" s="102">
        <v>0</v>
      </c>
      <c r="EL27" s="102">
        <v>0</v>
      </c>
      <c r="EM27" s="102">
        <v>0</v>
      </c>
      <c r="EN27" s="102">
        <v>0</v>
      </c>
      <c r="EO27" s="102">
        <v>0</v>
      </c>
    </row>
    <row r="28" spans="1:145">
      <c r="A28" s="114">
        <v>132</v>
      </c>
      <c r="B28" s="102">
        <v>2906000</v>
      </c>
      <c r="C28" s="102">
        <v>0</v>
      </c>
      <c r="D28" s="102">
        <v>0</v>
      </c>
      <c r="E28" s="102">
        <v>0</v>
      </c>
      <c r="F28" s="102">
        <v>0</v>
      </c>
      <c r="G28" s="102">
        <v>0</v>
      </c>
      <c r="H28" s="102">
        <v>0</v>
      </c>
      <c r="I28" s="102">
        <v>0</v>
      </c>
      <c r="J28" s="102">
        <v>0</v>
      </c>
      <c r="K28" s="102">
        <v>0</v>
      </c>
      <c r="L28" s="102">
        <v>0</v>
      </c>
      <c r="M28" s="102">
        <v>0</v>
      </c>
      <c r="N28" s="102">
        <v>0</v>
      </c>
      <c r="O28" s="102">
        <v>0</v>
      </c>
      <c r="P28" s="102">
        <v>0</v>
      </c>
      <c r="Q28" s="102">
        <v>0</v>
      </c>
      <c r="R28" s="102">
        <v>0</v>
      </c>
      <c r="S28" s="102">
        <v>2906330</v>
      </c>
      <c r="T28" s="102">
        <v>0</v>
      </c>
      <c r="U28" s="102">
        <v>2906330</v>
      </c>
      <c r="V28" s="102">
        <v>2906330</v>
      </c>
      <c r="W28" s="102">
        <v>10483200</v>
      </c>
      <c r="X28" s="102">
        <v>2906330</v>
      </c>
      <c r="Y28" s="102">
        <v>2906330</v>
      </c>
      <c r="Z28" s="102">
        <v>2906000</v>
      </c>
      <c r="AA28" s="102">
        <v>0</v>
      </c>
      <c r="AB28" s="102">
        <v>0</v>
      </c>
      <c r="AC28" s="102">
        <v>0</v>
      </c>
      <c r="AD28" s="102">
        <v>0</v>
      </c>
      <c r="AE28" s="102">
        <v>0</v>
      </c>
      <c r="AF28" s="102">
        <v>0</v>
      </c>
      <c r="AG28" s="102">
        <v>0</v>
      </c>
      <c r="AH28" s="102">
        <v>0</v>
      </c>
      <c r="AI28" s="102">
        <v>0</v>
      </c>
      <c r="AJ28" s="102">
        <v>0</v>
      </c>
      <c r="AK28" s="102">
        <v>0</v>
      </c>
      <c r="AL28" s="102">
        <v>0</v>
      </c>
      <c r="AM28" s="102">
        <v>0</v>
      </c>
      <c r="AN28" s="102">
        <v>0</v>
      </c>
      <c r="AO28" s="102">
        <v>0</v>
      </c>
      <c r="AP28" s="102">
        <v>0</v>
      </c>
      <c r="AQ28" s="102">
        <v>0</v>
      </c>
      <c r="AR28" s="102">
        <v>0</v>
      </c>
      <c r="AS28" s="102">
        <v>0</v>
      </c>
      <c r="AT28" s="102">
        <v>0</v>
      </c>
      <c r="AU28" s="102">
        <v>0</v>
      </c>
      <c r="AV28" s="102">
        <v>0</v>
      </c>
      <c r="AW28" s="102">
        <v>0</v>
      </c>
      <c r="AX28" s="102">
        <v>0</v>
      </c>
      <c r="AY28" s="102">
        <v>0</v>
      </c>
      <c r="AZ28" s="102">
        <v>0</v>
      </c>
      <c r="BA28" s="102">
        <v>0</v>
      </c>
      <c r="BB28" s="102">
        <v>0</v>
      </c>
      <c r="BC28" s="102">
        <v>0</v>
      </c>
      <c r="BD28" s="102">
        <v>0</v>
      </c>
      <c r="BE28" s="102">
        <v>0</v>
      </c>
      <c r="BF28" s="102">
        <v>0</v>
      </c>
      <c r="BG28" s="102">
        <v>0</v>
      </c>
      <c r="BH28" s="102">
        <v>0</v>
      </c>
      <c r="BI28" s="102">
        <v>0</v>
      </c>
      <c r="BJ28" s="102">
        <v>0</v>
      </c>
      <c r="BK28" s="102">
        <v>0</v>
      </c>
      <c r="BL28" s="102">
        <v>0</v>
      </c>
      <c r="BM28" s="102">
        <v>0</v>
      </c>
      <c r="BN28" s="102">
        <v>0</v>
      </c>
      <c r="BO28" s="102">
        <v>0</v>
      </c>
      <c r="BP28" s="102">
        <v>0</v>
      </c>
      <c r="BQ28" s="102">
        <v>0</v>
      </c>
      <c r="BR28" s="102">
        <v>0</v>
      </c>
      <c r="BS28" s="102">
        <v>0</v>
      </c>
      <c r="BT28" s="102">
        <v>0</v>
      </c>
      <c r="BU28" s="102">
        <v>0</v>
      </c>
      <c r="BV28" s="102">
        <v>0</v>
      </c>
      <c r="BW28" s="102">
        <v>0</v>
      </c>
      <c r="BX28" s="102">
        <v>0</v>
      </c>
      <c r="BY28" s="102">
        <v>0</v>
      </c>
      <c r="BZ28" s="102">
        <v>0</v>
      </c>
      <c r="CA28" s="102">
        <v>0</v>
      </c>
      <c r="CB28" s="102">
        <v>0</v>
      </c>
      <c r="CC28" s="102">
        <v>0</v>
      </c>
      <c r="CD28" s="102">
        <v>0</v>
      </c>
      <c r="CE28" s="102">
        <v>0</v>
      </c>
      <c r="CF28" s="102">
        <v>0</v>
      </c>
      <c r="CG28" s="102">
        <v>0</v>
      </c>
      <c r="CH28" s="102">
        <v>0</v>
      </c>
      <c r="CI28" s="102">
        <v>0</v>
      </c>
      <c r="CJ28" s="102">
        <v>0</v>
      </c>
      <c r="CK28" s="102">
        <v>0</v>
      </c>
      <c r="CL28" s="102">
        <v>0</v>
      </c>
      <c r="CM28" s="102">
        <v>0</v>
      </c>
      <c r="CN28" s="102">
        <v>0</v>
      </c>
      <c r="CO28" s="102">
        <v>0</v>
      </c>
      <c r="CP28" s="102">
        <v>0</v>
      </c>
      <c r="CQ28" s="102">
        <v>0</v>
      </c>
      <c r="CR28" s="102">
        <v>0</v>
      </c>
      <c r="CS28" s="102">
        <v>0</v>
      </c>
      <c r="CT28" s="102">
        <v>0</v>
      </c>
      <c r="CU28" s="102">
        <v>0</v>
      </c>
      <c r="CV28" s="102">
        <v>0</v>
      </c>
      <c r="CW28" s="102">
        <v>0</v>
      </c>
      <c r="CX28" s="102">
        <v>0</v>
      </c>
      <c r="CY28" s="102">
        <v>0</v>
      </c>
      <c r="CZ28" s="102">
        <v>0</v>
      </c>
      <c r="DA28" s="102">
        <v>0</v>
      </c>
      <c r="DB28" s="102">
        <v>0</v>
      </c>
      <c r="DC28" s="102">
        <v>0</v>
      </c>
      <c r="DD28" s="102">
        <v>0</v>
      </c>
      <c r="DE28" s="102">
        <v>0</v>
      </c>
      <c r="DF28" s="102">
        <v>0</v>
      </c>
      <c r="DG28" s="102">
        <v>0</v>
      </c>
      <c r="DH28" s="102">
        <v>0</v>
      </c>
      <c r="DI28" s="102">
        <v>0</v>
      </c>
      <c r="DJ28" s="102">
        <v>0</v>
      </c>
      <c r="DK28" s="102">
        <v>0</v>
      </c>
      <c r="DL28" s="102">
        <v>0</v>
      </c>
      <c r="DM28" s="102">
        <v>0</v>
      </c>
      <c r="DN28" s="102">
        <v>0</v>
      </c>
      <c r="DO28" s="102">
        <v>0</v>
      </c>
      <c r="DP28" s="102">
        <v>0</v>
      </c>
      <c r="DQ28" s="102">
        <v>0</v>
      </c>
      <c r="DR28" s="102">
        <v>0</v>
      </c>
      <c r="DS28" s="66">
        <v>2023</v>
      </c>
      <c r="DT28" s="66">
        <v>3</v>
      </c>
      <c r="DU28" s="66">
        <v>9</v>
      </c>
      <c r="DV28" s="66" t="s">
        <v>588</v>
      </c>
      <c r="DW28" s="66" t="s">
        <v>598</v>
      </c>
      <c r="DX28" s="66" t="s">
        <v>583</v>
      </c>
      <c r="DY28" s="64" t="str">
        <f t="shared" si="0"/>
        <v>○</v>
      </c>
      <c r="DZ28" s="102">
        <v>0</v>
      </c>
      <c r="EA28" s="102">
        <v>0</v>
      </c>
      <c r="EB28" s="102">
        <v>0</v>
      </c>
      <c r="EC28" s="102">
        <v>0</v>
      </c>
      <c r="ED28" s="102">
        <v>0</v>
      </c>
      <c r="EE28" s="102">
        <v>0</v>
      </c>
      <c r="EF28" s="102">
        <v>0</v>
      </c>
      <c r="EG28" s="102">
        <v>0</v>
      </c>
      <c r="EH28" s="102">
        <v>0</v>
      </c>
      <c r="EI28" s="102">
        <v>0</v>
      </c>
      <c r="EJ28" s="102">
        <v>0</v>
      </c>
      <c r="EK28" s="102">
        <v>0</v>
      </c>
      <c r="EL28" s="102">
        <v>0</v>
      </c>
      <c r="EM28" s="102">
        <v>0</v>
      </c>
      <c r="EN28" s="102">
        <v>0</v>
      </c>
      <c r="EO28" s="102">
        <v>0</v>
      </c>
    </row>
    <row r="29" spans="1:145">
      <c r="A29" s="114">
        <v>133</v>
      </c>
      <c r="B29" s="102">
        <v>825000</v>
      </c>
      <c r="C29" s="102">
        <v>0</v>
      </c>
      <c r="D29" s="102">
        <v>0</v>
      </c>
      <c r="E29" s="102">
        <v>0</v>
      </c>
      <c r="F29" s="102">
        <v>0</v>
      </c>
      <c r="G29" s="102">
        <v>0</v>
      </c>
      <c r="H29" s="102">
        <v>0</v>
      </c>
      <c r="I29" s="102">
        <v>0</v>
      </c>
      <c r="J29" s="102">
        <v>0</v>
      </c>
      <c r="K29" s="102">
        <v>0</v>
      </c>
      <c r="L29" s="102">
        <v>0</v>
      </c>
      <c r="M29" s="102">
        <v>0</v>
      </c>
      <c r="N29" s="102">
        <v>0</v>
      </c>
      <c r="O29" s="102">
        <v>0</v>
      </c>
      <c r="P29" s="102">
        <v>0</v>
      </c>
      <c r="Q29" s="102">
        <v>0</v>
      </c>
      <c r="R29" s="102">
        <v>0</v>
      </c>
      <c r="S29" s="102">
        <v>825421</v>
      </c>
      <c r="T29" s="102">
        <v>0</v>
      </c>
      <c r="U29" s="102">
        <v>825421</v>
      </c>
      <c r="V29" s="102">
        <v>825421</v>
      </c>
      <c r="W29" s="102">
        <v>4586400</v>
      </c>
      <c r="X29" s="102">
        <v>825421</v>
      </c>
      <c r="Y29" s="102">
        <v>825421</v>
      </c>
      <c r="Z29" s="102">
        <v>825000</v>
      </c>
      <c r="AA29" s="102">
        <v>0</v>
      </c>
      <c r="AB29" s="102">
        <v>0</v>
      </c>
      <c r="AC29" s="102">
        <v>0</v>
      </c>
      <c r="AD29" s="102">
        <v>0</v>
      </c>
      <c r="AE29" s="102">
        <v>0</v>
      </c>
      <c r="AF29" s="102">
        <v>0</v>
      </c>
      <c r="AG29" s="102">
        <v>0</v>
      </c>
      <c r="AH29" s="102">
        <v>0</v>
      </c>
      <c r="AI29" s="102">
        <v>0</v>
      </c>
      <c r="AJ29" s="102">
        <v>0</v>
      </c>
      <c r="AK29" s="102">
        <v>0</v>
      </c>
      <c r="AL29" s="102">
        <v>0</v>
      </c>
      <c r="AM29" s="102">
        <v>0</v>
      </c>
      <c r="AN29" s="102">
        <v>0</v>
      </c>
      <c r="AO29" s="102">
        <v>0</v>
      </c>
      <c r="AP29" s="102">
        <v>0</v>
      </c>
      <c r="AQ29" s="102">
        <v>0</v>
      </c>
      <c r="AR29" s="102">
        <v>0</v>
      </c>
      <c r="AS29" s="102">
        <v>0</v>
      </c>
      <c r="AT29" s="102">
        <v>0</v>
      </c>
      <c r="AU29" s="102">
        <v>0</v>
      </c>
      <c r="AV29" s="102">
        <v>0</v>
      </c>
      <c r="AW29" s="102">
        <v>0</v>
      </c>
      <c r="AX29" s="102">
        <v>0</v>
      </c>
      <c r="AY29" s="102">
        <v>0</v>
      </c>
      <c r="AZ29" s="102">
        <v>0</v>
      </c>
      <c r="BA29" s="102">
        <v>0</v>
      </c>
      <c r="BB29" s="102">
        <v>0</v>
      </c>
      <c r="BC29" s="102">
        <v>0</v>
      </c>
      <c r="BD29" s="102">
        <v>0</v>
      </c>
      <c r="BE29" s="102">
        <v>0</v>
      </c>
      <c r="BF29" s="102">
        <v>0</v>
      </c>
      <c r="BG29" s="102">
        <v>0</v>
      </c>
      <c r="BH29" s="102">
        <v>0</v>
      </c>
      <c r="BI29" s="102">
        <v>0</v>
      </c>
      <c r="BJ29" s="102">
        <v>0</v>
      </c>
      <c r="BK29" s="102">
        <v>0</v>
      </c>
      <c r="BL29" s="102">
        <v>0</v>
      </c>
      <c r="BM29" s="102">
        <v>0</v>
      </c>
      <c r="BN29" s="102">
        <v>0</v>
      </c>
      <c r="BO29" s="102">
        <v>0</v>
      </c>
      <c r="BP29" s="102">
        <v>0</v>
      </c>
      <c r="BQ29" s="102">
        <v>0</v>
      </c>
      <c r="BR29" s="102">
        <v>0</v>
      </c>
      <c r="BS29" s="102">
        <v>0</v>
      </c>
      <c r="BT29" s="102">
        <v>0</v>
      </c>
      <c r="BU29" s="102">
        <v>0</v>
      </c>
      <c r="BV29" s="102">
        <v>0</v>
      </c>
      <c r="BW29" s="102">
        <v>0</v>
      </c>
      <c r="BX29" s="102">
        <v>0</v>
      </c>
      <c r="BY29" s="102">
        <v>0</v>
      </c>
      <c r="BZ29" s="102">
        <v>0</v>
      </c>
      <c r="CA29" s="102">
        <v>0</v>
      </c>
      <c r="CB29" s="102">
        <v>0</v>
      </c>
      <c r="CC29" s="102">
        <v>0</v>
      </c>
      <c r="CD29" s="102">
        <v>0</v>
      </c>
      <c r="CE29" s="102">
        <v>0</v>
      </c>
      <c r="CF29" s="102">
        <v>0</v>
      </c>
      <c r="CG29" s="102">
        <v>0</v>
      </c>
      <c r="CH29" s="102">
        <v>0</v>
      </c>
      <c r="CI29" s="102">
        <v>0</v>
      </c>
      <c r="CJ29" s="102">
        <v>0</v>
      </c>
      <c r="CK29" s="102">
        <v>0</v>
      </c>
      <c r="CL29" s="102">
        <v>0</v>
      </c>
      <c r="CM29" s="102">
        <v>0</v>
      </c>
      <c r="CN29" s="102">
        <v>0</v>
      </c>
      <c r="CO29" s="102">
        <v>0</v>
      </c>
      <c r="CP29" s="102">
        <v>0</v>
      </c>
      <c r="CQ29" s="102">
        <v>0</v>
      </c>
      <c r="CR29" s="102">
        <v>0</v>
      </c>
      <c r="CS29" s="102">
        <v>0</v>
      </c>
      <c r="CT29" s="102">
        <v>0</v>
      </c>
      <c r="CU29" s="102">
        <v>0</v>
      </c>
      <c r="CV29" s="102">
        <v>0</v>
      </c>
      <c r="CW29" s="102">
        <v>0</v>
      </c>
      <c r="CX29" s="102">
        <v>0</v>
      </c>
      <c r="CY29" s="102">
        <v>0</v>
      </c>
      <c r="CZ29" s="102">
        <v>0</v>
      </c>
      <c r="DA29" s="102">
        <v>0</v>
      </c>
      <c r="DB29" s="102">
        <v>0</v>
      </c>
      <c r="DC29" s="102">
        <v>0</v>
      </c>
      <c r="DD29" s="102">
        <v>0</v>
      </c>
      <c r="DE29" s="102">
        <v>0</v>
      </c>
      <c r="DF29" s="102">
        <v>0</v>
      </c>
      <c r="DG29" s="102">
        <v>0</v>
      </c>
      <c r="DH29" s="102">
        <v>0</v>
      </c>
      <c r="DI29" s="102">
        <v>0</v>
      </c>
      <c r="DJ29" s="102">
        <v>0</v>
      </c>
      <c r="DK29" s="102">
        <v>0</v>
      </c>
      <c r="DL29" s="102">
        <v>0</v>
      </c>
      <c r="DM29" s="102">
        <v>0</v>
      </c>
      <c r="DN29" s="102">
        <v>0</v>
      </c>
      <c r="DO29" s="102">
        <v>0</v>
      </c>
      <c r="DP29" s="102">
        <v>0</v>
      </c>
      <c r="DQ29" s="102">
        <v>0</v>
      </c>
      <c r="DR29" s="102">
        <v>0</v>
      </c>
      <c r="DS29" s="66">
        <v>2023</v>
      </c>
      <c r="DT29" s="66">
        <v>3</v>
      </c>
      <c r="DU29" s="66">
        <v>9</v>
      </c>
      <c r="DV29" s="66" t="s">
        <v>588</v>
      </c>
      <c r="DW29" s="66" t="s">
        <v>598</v>
      </c>
      <c r="DX29" s="66" t="s">
        <v>583</v>
      </c>
      <c r="DY29" s="64" t="str">
        <f t="shared" si="0"/>
        <v>○</v>
      </c>
      <c r="DZ29" s="102">
        <v>0</v>
      </c>
      <c r="EA29" s="102">
        <v>0</v>
      </c>
      <c r="EB29" s="102">
        <v>0</v>
      </c>
      <c r="EC29" s="102">
        <v>0</v>
      </c>
      <c r="ED29" s="102">
        <v>0</v>
      </c>
      <c r="EE29" s="102">
        <v>0</v>
      </c>
      <c r="EF29" s="102">
        <v>0</v>
      </c>
      <c r="EG29" s="102">
        <v>0</v>
      </c>
      <c r="EH29" s="102">
        <v>0</v>
      </c>
      <c r="EI29" s="102">
        <v>0</v>
      </c>
      <c r="EJ29" s="102">
        <v>0</v>
      </c>
      <c r="EK29" s="102">
        <v>0</v>
      </c>
      <c r="EL29" s="102">
        <v>0</v>
      </c>
      <c r="EM29" s="102">
        <v>0</v>
      </c>
      <c r="EN29" s="102">
        <v>0</v>
      </c>
      <c r="EO29" s="102">
        <v>0</v>
      </c>
    </row>
    <row r="30" spans="1:145">
      <c r="A30" s="114">
        <v>134</v>
      </c>
      <c r="B30" s="102">
        <v>1373000</v>
      </c>
      <c r="C30" s="102">
        <v>0</v>
      </c>
      <c r="D30" s="102">
        <v>0</v>
      </c>
      <c r="E30" s="102">
        <v>0</v>
      </c>
      <c r="F30" s="102">
        <v>0</v>
      </c>
      <c r="G30" s="102">
        <v>0</v>
      </c>
      <c r="H30" s="102">
        <v>0</v>
      </c>
      <c r="I30" s="102">
        <v>0</v>
      </c>
      <c r="J30" s="102">
        <v>0</v>
      </c>
      <c r="K30" s="102">
        <v>0</v>
      </c>
      <c r="L30" s="102">
        <v>0</v>
      </c>
      <c r="M30" s="102">
        <v>0</v>
      </c>
      <c r="N30" s="102">
        <v>0</v>
      </c>
      <c r="O30" s="102">
        <v>0</v>
      </c>
      <c r="P30" s="102">
        <v>0</v>
      </c>
      <c r="Q30" s="102">
        <v>0</v>
      </c>
      <c r="R30" s="102">
        <v>0</v>
      </c>
      <c r="S30" s="102">
        <v>1373240</v>
      </c>
      <c r="T30" s="102">
        <v>0</v>
      </c>
      <c r="U30" s="102">
        <v>1373240</v>
      </c>
      <c r="V30" s="102">
        <v>1373240</v>
      </c>
      <c r="W30" s="102">
        <v>15069600</v>
      </c>
      <c r="X30" s="102">
        <v>1373240</v>
      </c>
      <c r="Y30" s="102">
        <v>1373240</v>
      </c>
      <c r="Z30" s="102">
        <v>1373000</v>
      </c>
      <c r="AA30" s="102">
        <v>0</v>
      </c>
      <c r="AB30" s="102">
        <v>0</v>
      </c>
      <c r="AC30" s="102">
        <v>0</v>
      </c>
      <c r="AD30" s="102">
        <v>0</v>
      </c>
      <c r="AE30" s="102">
        <v>0</v>
      </c>
      <c r="AF30" s="102">
        <v>0</v>
      </c>
      <c r="AG30" s="102">
        <v>0</v>
      </c>
      <c r="AH30" s="102">
        <v>0</v>
      </c>
      <c r="AI30" s="102">
        <v>0</v>
      </c>
      <c r="AJ30" s="102">
        <v>0</v>
      </c>
      <c r="AK30" s="102">
        <v>0</v>
      </c>
      <c r="AL30" s="102">
        <v>0</v>
      </c>
      <c r="AM30" s="102">
        <v>0</v>
      </c>
      <c r="AN30" s="102">
        <v>0</v>
      </c>
      <c r="AO30" s="102">
        <v>0</v>
      </c>
      <c r="AP30" s="102">
        <v>0</v>
      </c>
      <c r="AQ30" s="102">
        <v>0</v>
      </c>
      <c r="AR30" s="102">
        <v>0</v>
      </c>
      <c r="AS30" s="102">
        <v>0</v>
      </c>
      <c r="AT30" s="102">
        <v>0</v>
      </c>
      <c r="AU30" s="102">
        <v>0</v>
      </c>
      <c r="AV30" s="102">
        <v>0</v>
      </c>
      <c r="AW30" s="102">
        <v>0</v>
      </c>
      <c r="AX30" s="102">
        <v>0</v>
      </c>
      <c r="AY30" s="102">
        <v>0</v>
      </c>
      <c r="AZ30" s="102">
        <v>0</v>
      </c>
      <c r="BA30" s="102">
        <v>0</v>
      </c>
      <c r="BB30" s="102">
        <v>0</v>
      </c>
      <c r="BC30" s="102">
        <v>0</v>
      </c>
      <c r="BD30" s="102">
        <v>0</v>
      </c>
      <c r="BE30" s="102">
        <v>0</v>
      </c>
      <c r="BF30" s="102">
        <v>0</v>
      </c>
      <c r="BG30" s="102">
        <v>0</v>
      </c>
      <c r="BH30" s="102">
        <v>0</v>
      </c>
      <c r="BI30" s="102">
        <v>0</v>
      </c>
      <c r="BJ30" s="102">
        <v>0</v>
      </c>
      <c r="BK30" s="102">
        <v>0</v>
      </c>
      <c r="BL30" s="102">
        <v>0</v>
      </c>
      <c r="BM30" s="102">
        <v>0</v>
      </c>
      <c r="BN30" s="102">
        <v>0</v>
      </c>
      <c r="BO30" s="102">
        <v>0</v>
      </c>
      <c r="BP30" s="102">
        <v>0</v>
      </c>
      <c r="BQ30" s="102">
        <v>0</v>
      </c>
      <c r="BR30" s="102">
        <v>0</v>
      </c>
      <c r="BS30" s="102">
        <v>0</v>
      </c>
      <c r="BT30" s="102">
        <v>0</v>
      </c>
      <c r="BU30" s="102">
        <v>0</v>
      </c>
      <c r="BV30" s="102">
        <v>0</v>
      </c>
      <c r="BW30" s="102">
        <v>0</v>
      </c>
      <c r="BX30" s="102">
        <v>0</v>
      </c>
      <c r="BY30" s="102">
        <v>0</v>
      </c>
      <c r="BZ30" s="102">
        <v>0</v>
      </c>
      <c r="CA30" s="102">
        <v>0</v>
      </c>
      <c r="CB30" s="102">
        <v>0</v>
      </c>
      <c r="CC30" s="102">
        <v>0</v>
      </c>
      <c r="CD30" s="102">
        <v>0</v>
      </c>
      <c r="CE30" s="102">
        <v>0</v>
      </c>
      <c r="CF30" s="102">
        <v>0</v>
      </c>
      <c r="CG30" s="102">
        <v>0</v>
      </c>
      <c r="CH30" s="102">
        <v>0</v>
      </c>
      <c r="CI30" s="102">
        <v>0</v>
      </c>
      <c r="CJ30" s="102">
        <v>0</v>
      </c>
      <c r="CK30" s="102">
        <v>0</v>
      </c>
      <c r="CL30" s="102">
        <v>0</v>
      </c>
      <c r="CM30" s="102">
        <v>0</v>
      </c>
      <c r="CN30" s="102">
        <v>0</v>
      </c>
      <c r="CO30" s="102">
        <v>0</v>
      </c>
      <c r="CP30" s="102">
        <v>0</v>
      </c>
      <c r="CQ30" s="102">
        <v>0</v>
      </c>
      <c r="CR30" s="102">
        <v>0</v>
      </c>
      <c r="CS30" s="102">
        <v>0</v>
      </c>
      <c r="CT30" s="102">
        <v>0</v>
      </c>
      <c r="CU30" s="102">
        <v>0</v>
      </c>
      <c r="CV30" s="102">
        <v>0</v>
      </c>
      <c r="CW30" s="102">
        <v>0</v>
      </c>
      <c r="CX30" s="102">
        <v>0</v>
      </c>
      <c r="CY30" s="102">
        <v>0</v>
      </c>
      <c r="CZ30" s="102">
        <v>0</v>
      </c>
      <c r="DA30" s="102">
        <v>0</v>
      </c>
      <c r="DB30" s="102">
        <v>0</v>
      </c>
      <c r="DC30" s="102">
        <v>0</v>
      </c>
      <c r="DD30" s="102">
        <v>0</v>
      </c>
      <c r="DE30" s="102">
        <v>0</v>
      </c>
      <c r="DF30" s="102">
        <v>0</v>
      </c>
      <c r="DG30" s="102">
        <v>0</v>
      </c>
      <c r="DH30" s="102">
        <v>0</v>
      </c>
      <c r="DI30" s="102">
        <v>0</v>
      </c>
      <c r="DJ30" s="102">
        <v>0</v>
      </c>
      <c r="DK30" s="102">
        <v>0</v>
      </c>
      <c r="DL30" s="102">
        <v>0</v>
      </c>
      <c r="DM30" s="102">
        <v>0</v>
      </c>
      <c r="DN30" s="102">
        <v>0</v>
      </c>
      <c r="DO30" s="102">
        <v>0</v>
      </c>
      <c r="DP30" s="102">
        <v>0</v>
      </c>
      <c r="DQ30" s="102">
        <v>0</v>
      </c>
      <c r="DR30" s="102">
        <v>0</v>
      </c>
      <c r="DS30" s="66">
        <v>2023</v>
      </c>
      <c r="DT30" s="66">
        <v>3</v>
      </c>
      <c r="DU30" s="66">
        <v>9</v>
      </c>
      <c r="DV30" s="66" t="s">
        <v>588</v>
      </c>
      <c r="DW30" s="66" t="s">
        <v>598</v>
      </c>
      <c r="DX30" s="66" t="s">
        <v>583</v>
      </c>
      <c r="DY30" s="64" t="str">
        <f t="shared" si="0"/>
        <v>○</v>
      </c>
      <c r="DZ30" s="102">
        <v>0</v>
      </c>
      <c r="EA30" s="102">
        <v>0</v>
      </c>
      <c r="EB30" s="102">
        <v>0</v>
      </c>
      <c r="EC30" s="102">
        <v>0</v>
      </c>
      <c r="ED30" s="102">
        <v>0</v>
      </c>
      <c r="EE30" s="102">
        <v>0</v>
      </c>
      <c r="EF30" s="102">
        <v>0</v>
      </c>
      <c r="EG30" s="102">
        <v>0</v>
      </c>
      <c r="EH30" s="102">
        <v>0</v>
      </c>
      <c r="EI30" s="102">
        <v>0</v>
      </c>
      <c r="EJ30" s="102">
        <v>0</v>
      </c>
      <c r="EK30" s="102">
        <v>0</v>
      </c>
      <c r="EL30" s="102">
        <v>0</v>
      </c>
      <c r="EM30" s="102">
        <v>0</v>
      </c>
      <c r="EN30" s="102">
        <v>0</v>
      </c>
      <c r="EO30" s="102">
        <v>0</v>
      </c>
    </row>
    <row r="31" spans="1:145">
      <c r="A31" s="114">
        <v>135</v>
      </c>
      <c r="B31" s="102">
        <v>1018000</v>
      </c>
      <c r="C31" s="102">
        <v>0</v>
      </c>
      <c r="D31" s="102">
        <v>0</v>
      </c>
      <c r="E31" s="102">
        <v>0</v>
      </c>
      <c r="F31" s="102">
        <v>0</v>
      </c>
      <c r="G31" s="102">
        <v>0</v>
      </c>
      <c r="H31" s="102">
        <v>0</v>
      </c>
      <c r="I31" s="102">
        <v>0</v>
      </c>
      <c r="J31" s="102">
        <v>0</v>
      </c>
      <c r="K31" s="102">
        <v>0</v>
      </c>
      <c r="L31" s="102">
        <v>0</v>
      </c>
      <c r="M31" s="102">
        <v>0</v>
      </c>
      <c r="N31" s="102">
        <v>0</v>
      </c>
      <c r="O31" s="102">
        <v>0</v>
      </c>
      <c r="P31" s="102">
        <v>0</v>
      </c>
      <c r="Q31" s="102">
        <v>0</v>
      </c>
      <c r="R31" s="102">
        <v>0</v>
      </c>
      <c r="S31" s="102">
        <v>1018122</v>
      </c>
      <c r="T31" s="102">
        <v>0</v>
      </c>
      <c r="U31" s="102">
        <v>1018122</v>
      </c>
      <c r="V31" s="102">
        <v>1018122</v>
      </c>
      <c r="W31" s="102">
        <v>7207200</v>
      </c>
      <c r="X31" s="102">
        <v>1018122</v>
      </c>
      <c r="Y31" s="102">
        <v>1018122</v>
      </c>
      <c r="Z31" s="102">
        <v>1018000</v>
      </c>
      <c r="AA31" s="102">
        <v>0</v>
      </c>
      <c r="AB31" s="102">
        <v>0</v>
      </c>
      <c r="AC31" s="102">
        <v>0</v>
      </c>
      <c r="AD31" s="102">
        <v>0</v>
      </c>
      <c r="AE31" s="102">
        <v>0</v>
      </c>
      <c r="AF31" s="102">
        <v>0</v>
      </c>
      <c r="AG31" s="102">
        <v>0</v>
      </c>
      <c r="AH31" s="102">
        <v>0</v>
      </c>
      <c r="AI31" s="102">
        <v>0</v>
      </c>
      <c r="AJ31" s="102">
        <v>0</v>
      </c>
      <c r="AK31" s="102">
        <v>0</v>
      </c>
      <c r="AL31" s="102">
        <v>0</v>
      </c>
      <c r="AM31" s="102">
        <v>0</v>
      </c>
      <c r="AN31" s="102">
        <v>0</v>
      </c>
      <c r="AO31" s="102">
        <v>0</v>
      </c>
      <c r="AP31" s="102">
        <v>0</v>
      </c>
      <c r="AQ31" s="102">
        <v>0</v>
      </c>
      <c r="AR31" s="102">
        <v>0</v>
      </c>
      <c r="AS31" s="102">
        <v>0</v>
      </c>
      <c r="AT31" s="102">
        <v>0</v>
      </c>
      <c r="AU31" s="102">
        <v>0</v>
      </c>
      <c r="AV31" s="102">
        <v>0</v>
      </c>
      <c r="AW31" s="102">
        <v>0</v>
      </c>
      <c r="AX31" s="102">
        <v>0</v>
      </c>
      <c r="AY31" s="102">
        <v>0</v>
      </c>
      <c r="AZ31" s="102">
        <v>0</v>
      </c>
      <c r="BA31" s="102">
        <v>0</v>
      </c>
      <c r="BB31" s="102">
        <v>0</v>
      </c>
      <c r="BC31" s="102">
        <v>0</v>
      </c>
      <c r="BD31" s="102">
        <v>0</v>
      </c>
      <c r="BE31" s="102">
        <v>0</v>
      </c>
      <c r="BF31" s="102">
        <v>0</v>
      </c>
      <c r="BG31" s="102">
        <v>0</v>
      </c>
      <c r="BH31" s="102">
        <v>0</v>
      </c>
      <c r="BI31" s="102">
        <v>0</v>
      </c>
      <c r="BJ31" s="102">
        <v>0</v>
      </c>
      <c r="BK31" s="102">
        <v>0</v>
      </c>
      <c r="BL31" s="102">
        <v>0</v>
      </c>
      <c r="BM31" s="102">
        <v>0</v>
      </c>
      <c r="BN31" s="102">
        <v>0</v>
      </c>
      <c r="BO31" s="102">
        <v>0</v>
      </c>
      <c r="BP31" s="102">
        <v>0</v>
      </c>
      <c r="BQ31" s="102">
        <v>0</v>
      </c>
      <c r="BR31" s="102">
        <v>0</v>
      </c>
      <c r="BS31" s="102">
        <v>0</v>
      </c>
      <c r="BT31" s="102">
        <v>0</v>
      </c>
      <c r="BU31" s="102">
        <v>0</v>
      </c>
      <c r="BV31" s="102">
        <v>0</v>
      </c>
      <c r="BW31" s="102">
        <v>0</v>
      </c>
      <c r="BX31" s="102">
        <v>0</v>
      </c>
      <c r="BY31" s="102">
        <v>0</v>
      </c>
      <c r="BZ31" s="102">
        <v>0</v>
      </c>
      <c r="CA31" s="102">
        <v>0</v>
      </c>
      <c r="CB31" s="102">
        <v>0</v>
      </c>
      <c r="CC31" s="102">
        <v>0</v>
      </c>
      <c r="CD31" s="102">
        <v>0</v>
      </c>
      <c r="CE31" s="102">
        <v>0</v>
      </c>
      <c r="CF31" s="102">
        <v>0</v>
      </c>
      <c r="CG31" s="102">
        <v>0</v>
      </c>
      <c r="CH31" s="102">
        <v>0</v>
      </c>
      <c r="CI31" s="102">
        <v>0</v>
      </c>
      <c r="CJ31" s="102">
        <v>0</v>
      </c>
      <c r="CK31" s="102">
        <v>0</v>
      </c>
      <c r="CL31" s="102">
        <v>0</v>
      </c>
      <c r="CM31" s="102">
        <v>0</v>
      </c>
      <c r="CN31" s="102">
        <v>0</v>
      </c>
      <c r="CO31" s="102">
        <v>0</v>
      </c>
      <c r="CP31" s="102">
        <v>0</v>
      </c>
      <c r="CQ31" s="102">
        <v>0</v>
      </c>
      <c r="CR31" s="102">
        <v>0</v>
      </c>
      <c r="CS31" s="102">
        <v>0</v>
      </c>
      <c r="CT31" s="102">
        <v>0</v>
      </c>
      <c r="CU31" s="102">
        <v>0</v>
      </c>
      <c r="CV31" s="102">
        <v>0</v>
      </c>
      <c r="CW31" s="102">
        <v>0</v>
      </c>
      <c r="CX31" s="102">
        <v>0</v>
      </c>
      <c r="CY31" s="102">
        <v>0</v>
      </c>
      <c r="CZ31" s="102">
        <v>0</v>
      </c>
      <c r="DA31" s="102">
        <v>0</v>
      </c>
      <c r="DB31" s="102">
        <v>0</v>
      </c>
      <c r="DC31" s="102">
        <v>0</v>
      </c>
      <c r="DD31" s="102">
        <v>0</v>
      </c>
      <c r="DE31" s="102">
        <v>0</v>
      </c>
      <c r="DF31" s="102">
        <v>0</v>
      </c>
      <c r="DG31" s="102">
        <v>0</v>
      </c>
      <c r="DH31" s="102">
        <v>0</v>
      </c>
      <c r="DI31" s="102">
        <v>0</v>
      </c>
      <c r="DJ31" s="102">
        <v>0</v>
      </c>
      <c r="DK31" s="102">
        <v>0</v>
      </c>
      <c r="DL31" s="102">
        <v>0</v>
      </c>
      <c r="DM31" s="102">
        <v>0</v>
      </c>
      <c r="DN31" s="102">
        <v>0</v>
      </c>
      <c r="DO31" s="102">
        <v>0</v>
      </c>
      <c r="DP31" s="102">
        <v>0</v>
      </c>
      <c r="DQ31" s="102">
        <v>0</v>
      </c>
      <c r="DR31" s="102">
        <v>0</v>
      </c>
      <c r="DS31" s="66">
        <v>2023</v>
      </c>
      <c r="DT31" s="66">
        <v>3</v>
      </c>
      <c r="DU31" s="66">
        <v>9</v>
      </c>
      <c r="DV31" s="66" t="s">
        <v>588</v>
      </c>
      <c r="DW31" s="66" t="s">
        <v>598</v>
      </c>
      <c r="DX31" s="66" t="s">
        <v>583</v>
      </c>
      <c r="DY31" s="64" t="str">
        <f t="shared" si="0"/>
        <v>○</v>
      </c>
      <c r="DZ31" s="102">
        <v>0</v>
      </c>
      <c r="EA31" s="102">
        <v>0</v>
      </c>
      <c r="EB31" s="102">
        <v>0</v>
      </c>
      <c r="EC31" s="102">
        <v>0</v>
      </c>
      <c r="ED31" s="102">
        <v>0</v>
      </c>
      <c r="EE31" s="102">
        <v>0</v>
      </c>
      <c r="EF31" s="102">
        <v>0</v>
      </c>
      <c r="EG31" s="102">
        <v>0</v>
      </c>
      <c r="EH31" s="102">
        <v>0</v>
      </c>
      <c r="EI31" s="102">
        <v>0</v>
      </c>
      <c r="EJ31" s="102">
        <v>0</v>
      </c>
      <c r="EK31" s="102">
        <v>0</v>
      </c>
      <c r="EL31" s="102">
        <v>0</v>
      </c>
      <c r="EM31" s="102">
        <v>0</v>
      </c>
      <c r="EN31" s="102">
        <v>0</v>
      </c>
      <c r="EO31" s="102">
        <v>0</v>
      </c>
    </row>
    <row r="32" spans="1:145">
      <c r="A32" s="114">
        <v>136</v>
      </c>
      <c r="B32" s="102">
        <v>2517000</v>
      </c>
      <c r="C32" s="102">
        <v>0</v>
      </c>
      <c r="D32" s="102">
        <v>0</v>
      </c>
      <c r="E32" s="102">
        <v>0</v>
      </c>
      <c r="F32" s="102">
        <v>0</v>
      </c>
      <c r="G32" s="102">
        <v>0</v>
      </c>
      <c r="H32" s="102">
        <v>0</v>
      </c>
      <c r="I32" s="102">
        <v>0</v>
      </c>
      <c r="J32" s="102">
        <v>0</v>
      </c>
      <c r="K32" s="102">
        <v>0</v>
      </c>
      <c r="L32" s="102">
        <v>0</v>
      </c>
      <c r="M32" s="102">
        <v>0</v>
      </c>
      <c r="N32" s="102">
        <v>0</v>
      </c>
      <c r="O32" s="102">
        <v>0</v>
      </c>
      <c r="P32" s="102">
        <v>0</v>
      </c>
      <c r="Q32" s="102">
        <v>0</v>
      </c>
      <c r="R32" s="102">
        <v>0</v>
      </c>
      <c r="S32" s="102">
        <v>2517000</v>
      </c>
      <c r="T32" s="102">
        <v>0</v>
      </c>
      <c r="U32" s="102">
        <v>2517000</v>
      </c>
      <c r="V32" s="102">
        <v>2517000</v>
      </c>
      <c r="W32" s="102">
        <v>11793600</v>
      </c>
      <c r="X32" s="102">
        <v>2517000</v>
      </c>
      <c r="Y32" s="102">
        <v>2517000</v>
      </c>
      <c r="Z32" s="102">
        <v>2517000</v>
      </c>
      <c r="AA32" s="102">
        <v>0</v>
      </c>
      <c r="AB32" s="102">
        <v>0</v>
      </c>
      <c r="AC32" s="102">
        <v>0</v>
      </c>
      <c r="AD32" s="102">
        <v>0</v>
      </c>
      <c r="AE32" s="102">
        <v>0</v>
      </c>
      <c r="AF32" s="102">
        <v>0</v>
      </c>
      <c r="AG32" s="102">
        <v>0</v>
      </c>
      <c r="AH32" s="102">
        <v>0</v>
      </c>
      <c r="AI32" s="102">
        <v>0</v>
      </c>
      <c r="AJ32" s="102">
        <v>0</v>
      </c>
      <c r="AK32" s="102">
        <v>0</v>
      </c>
      <c r="AL32" s="102">
        <v>0</v>
      </c>
      <c r="AM32" s="102">
        <v>0</v>
      </c>
      <c r="AN32" s="102">
        <v>0</v>
      </c>
      <c r="AO32" s="102">
        <v>0</v>
      </c>
      <c r="AP32" s="102">
        <v>0</v>
      </c>
      <c r="AQ32" s="102">
        <v>0</v>
      </c>
      <c r="AR32" s="102">
        <v>0</v>
      </c>
      <c r="AS32" s="102">
        <v>0</v>
      </c>
      <c r="AT32" s="102">
        <v>0</v>
      </c>
      <c r="AU32" s="102">
        <v>0</v>
      </c>
      <c r="AV32" s="102">
        <v>0</v>
      </c>
      <c r="AW32" s="102">
        <v>0</v>
      </c>
      <c r="AX32" s="102">
        <v>0</v>
      </c>
      <c r="AY32" s="102">
        <v>0</v>
      </c>
      <c r="AZ32" s="102">
        <v>0</v>
      </c>
      <c r="BA32" s="102">
        <v>0</v>
      </c>
      <c r="BB32" s="102">
        <v>0</v>
      </c>
      <c r="BC32" s="102">
        <v>0</v>
      </c>
      <c r="BD32" s="102">
        <v>0</v>
      </c>
      <c r="BE32" s="102">
        <v>0</v>
      </c>
      <c r="BF32" s="102">
        <v>0</v>
      </c>
      <c r="BG32" s="102">
        <v>0</v>
      </c>
      <c r="BH32" s="102">
        <v>0</v>
      </c>
      <c r="BI32" s="102">
        <v>0</v>
      </c>
      <c r="BJ32" s="102">
        <v>0</v>
      </c>
      <c r="BK32" s="102">
        <v>0</v>
      </c>
      <c r="BL32" s="102">
        <v>0</v>
      </c>
      <c r="BM32" s="102">
        <v>0</v>
      </c>
      <c r="BN32" s="102">
        <v>0</v>
      </c>
      <c r="BO32" s="102">
        <v>0</v>
      </c>
      <c r="BP32" s="102">
        <v>0</v>
      </c>
      <c r="BQ32" s="102">
        <v>0</v>
      </c>
      <c r="BR32" s="102">
        <v>0</v>
      </c>
      <c r="BS32" s="102">
        <v>0</v>
      </c>
      <c r="BT32" s="102">
        <v>0</v>
      </c>
      <c r="BU32" s="102">
        <v>0</v>
      </c>
      <c r="BV32" s="102">
        <v>0</v>
      </c>
      <c r="BW32" s="102">
        <v>0</v>
      </c>
      <c r="BX32" s="102">
        <v>0</v>
      </c>
      <c r="BY32" s="102">
        <v>0</v>
      </c>
      <c r="BZ32" s="102">
        <v>0</v>
      </c>
      <c r="CA32" s="102">
        <v>0</v>
      </c>
      <c r="CB32" s="102">
        <v>0</v>
      </c>
      <c r="CC32" s="102">
        <v>0</v>
      </c>
      <c r="CD32" s="102">
        <v>0</v>
      </c>
      <c r="CE32" s="102">
        <v>0</v>
      </c>
      <c r="CF32" s="102">
        <v>0</v>
      </c>
      <c r="CG32" s="102">
        <v>0</v>
      </c>
      <c r="CH32" s="102">
        <v>0</v>
      </c>
      <c r="CI32" s="102">
        <v>0</v>
      </c>
      <c r="CJ32" s="102">
        <v>0</v>
      </c>
      <c r="CK32" s="102">
        <v>0</v>
      </c>
      <c r="CL32" s="102">
        <v>0</v>
      </c>
      <c r="CM32" s="102">
        <v>0</v>
      </c>
      <c r="CN32" s="102">
        <v>0</v>
      </c>
      <c r="CO32" s="102">
        <v>0</v>
      </c>
      <c r="CP32" s="102">
        <v>0</v>
      </c>
      <c r="CQ32" s="102">
        <v>0</v>
      </c>
      <c r="CR32" s="102">
        <v>0</v>
      </c>
      <c r="CS32" s="102">
        <v>0</v>
      </c>
      <c r="CT32" s="102">
        <v>0</v>
      </c>
      <c r="CU32" s="102">
        <v>0</v>
      </c>
      <c r="CV32" s="102">
        <v>0</v>
      </c>
      <c r="CW32" s="102">
        <v>0</v>
      </c>
      <c r="CX32" s="102">
        <v>0</v>
      </c>
      <c r="CY32" s="102">
        <v>0</v>
      </c>
      <c r="CZ32" s="102">
        <v>0</v>
      </c>
      <c r="DA32" s="102">
        <v>0</v>
      </c>
      <c r="DB32" s="102">
        <v>0</v>
      </c>
      <c r="DC32" s="102">
        <v>0</v>
      </c>
      <c r="DD32" s="102">
        <v>0</v>
      </c>
      <c r="DE32" s="102">
        <v>0</v>
      </c>
      <c r="DF32" s="102">
        <v>0</v>
      </c>
      <c r="DG32" s="102">
        <v>0</v>
      </c>
      <c r="DH32" s="102">
        <v>0</v>
      </c>
      <c r="DI32" s="102">
        <v>0</v>
      </c>
      <c r="DJ32" s="102">
        <v>0</v>
      </c>
      <c r="DK32" s="102">
        <v>0</v>
      </c>
      <c r="DL32" s="102">
        <v>0</v>
      </c>
      <c r="DM32" s="102">
        <v>0</v>
      </c>
      <c r="DN32" s="102">
        <v>0</v>
      </c>
      <c r="DO32" s="102">
        <v>0</v>
      </c>
      <c r="DP32" s="102">
        <v>0</v>
      </c>
      <c r="DQ32" s="102">
        <v>0</v>
      </c>
      <c r="DR32" s="102">
        <v>0</v>
      </c>
      <c r="DS32" s="66">
        <v>2023</v>
      </c>
      <c r="DT32" s="66">
        <v>3</v>
      </c>
      <c r="DU32" s="66">
        <v>9</v>
      </c>
      <c r="DV32" s="66" t="s">
        <v>586</v>
      </c>
      <c r="DW32" s="66" t="s">
        <v>1014</v>
      </c>
      <c r="DX32" s="66" t="s">
        <v>583</v>
      </c>
      <c r="DY32" s="64" t="str">
        <f t="shared" si="0"/>
        <v>○</v>
      </c>
      <c r="DZ32" s="102">
        <v>0</v>
      </c>
      <c r="EA32" s="102">
        <v>0</v>
      </c>
      <c r="EB32" s="102">
        <v>0</v>
      </c>
      <c r="EC32" s="102">
        <v>0</v>
      </c>
      <c r="ED32" s="102">
        <v>0</v>
      </c>
      <c r="EE32" s="102">
        <v>0</v>
      </c>
      <c r="EF32" s="102">
        <v>0</v>
      </c>
      <c r="EG32" s="102">
        <v>0</v>
      </c>
      <c r="EH32" s="102">
        <v>0</v>
      </c>
      <c r="EI32" s="102">
        <v>0</v>
      </c>
      <c r="EJ32" s="102">
        <v>0</v>
      </c>
      <c r="EK32" s="102">
        <v>0</v>
      </c>
      <c r="EL32" s="102">
        <v>0</v>
      </c>
      <c r="EM32" s="102">
        <v>0</v>
      </c>
      <c r="EN32" s="102">
        <v>0</v>
      </c>
      <c r="EO32" s="102">
        <v>0</v>
      </c>
    </row>
    <row r="33" spans="1:145">
      <c r="A33" s="114">
        <v>137</v>
      </c>
      <c r="B33" s="102">
        <v>387000</v>
      </c>
      <c r="C33" s="102">
        <v>0</v>
      </c>
      <c r="D33" s="102">
        <v>0</v>
      </c>
      <c r="E33" s="102">
        <v>0</v>
      </c>
      <c r="F33" s="102">
        <v>0</v>
      </c>
      <c r="G33" s="102">
        <v>0</v>
      </c>
      <c r="H33" s="102">
        <v>0</v>
      </c>
      <c r="I33" s="102">
        <v>0</v>
      </c>
      <c r="J33" s="102">
        <v>0</v>
      </c>
      <c r="K33" s="102">
        <v>0</v>
      </c>
      <c r="L33" s="102">
        <v>0</v>
      </c>
      <c r="M33" s="102">
        <v>0</v>
      </c>
      <c r="N33" s="102">
        <v>0</v>
      </c>
      <c r="O33" s="102">
        <v>0</v>
      </c>
      <c r="P33" s="102">
        <v>0</v>
      </c>
      <c r="Q33" s="102">
        <v>0</v>
      </c>
      <c r="R33" s="102">
        <v>0</v>
      </c>
      <c r="S33" s="102">
        <v>387884</v>
      </c>
      <c r="T33" s="102">
        <v>0</v>
      </c>
      <c r="U33" s="102">
        <v>387884</v>
      </c>
      <c r="V33" s="102">
        <v>387884</v>
      </c>
      <c r="W33" s="102">
        <v>3276000</v>
      </c>
      <c r="X33" s="102">
        <v>387884</v>
      </c>
      <c r="Y33" s="102">
        <v>387884</v>
      </c>
      <c r="Z33" s="102">
        <v>387000</v>
      </c>
      <c r="AA33" s="102">
        <v>0</v>
      </c>
      <c r="AB33" s="102">
        <v>0</v>
      </c>
      <c r="AC33" s="102">
        <v>0</v>
      </c>
      <c r="AD33" s="102">
        <v>0</v>
      </c>
      <c r="AE33" s="102">
        <v>0</v>
      </c>
      <c r="AF33" s="102">
        <v>0</v>
      </c>
      <c r="AG33" s="102">
        <v>0</v>
      </c>
      <c r="AH33" s="102">
        <v>0</v>
      </c>
      <c r="AI33" s="102">
        <v>0</v>
      </c>
      <c r="AJ33" s="102">
        <v>0</v>
      </c>
      <c r="AK33" s="102">
        <v>0</v>
      </c>
      <c r="AL33" s="102">
        <v>0</v>
      </c>
      <c r="AM33" s="102">
        <v>0</v>
      </c>
      <c r="AN33" s="102">
        <v>0</v>
      </c>
      <c r="AO33" s="102">
        <v>0</v>
      </c>
      <c r="AP33" s="102">
        <v>0</v>
      </c>
      <c r="AQ33" s="102">
        <v>0</v>
      </c>
      <c r="AR33" s="102">
        <v>0</v>
      </c>
      <c r="AS33" s="102">
        <v>0</v>
      </c>
      <c r="AT33" s="102">
        <v>0</v>
      </c>
      <c r="AU33" s="102">
        <v>0</v>
      </c>
      <c r="AV33" s="102">
        <v>0</v>
      </c>
      <c r="AW33" s="102">
        <v>0</v>
      </c>
      <c r="AX33" s="102">
        <v>0</v>
      </c>
      <c r="AY33" s="102">
        <v>0</v>
      </c>
      <c r="AZ33" s="102">
        <v>0</v>
      </c>
      <c r="BA33" s="102">
        <v>0</v>
      </c>
      <c r="BB33" s="102">
        <v>0</v>
      </c>
      <c r="BC33" s="102">
        <v>0</v>
      </c>
      <c r="BD33" s="102">
        <v>0</v>
      </c>
      <c r="BE33" s="102">
        <v>0</v>
      </c>
      <c r="BF33" s="102">
        <v>0</v>
      </c>
      <c r="BG33" s="102">
        <v>0</v>
      </c>
      <c r="BH33" s="102">
        <v>0</v>
      </c>
      <c r="BI33" s="102">
        <v>0</v>
      </c>
      <c r="BJ33" s="102">
        <v>0</v>
      </c>
      <c r="BK33" s="102">
        <v>0</v>
      </c>
      <c r="BL33" s="102">
        <v>0</v>
      </c>
      <c r="BM33" s="102">
        <v>0</v>
      </c>
      <c r="BN33" s="102">
        <v>0</v>
      </c>
      <c r="BO33" s="102">
        <v>0</v>
      </c>
      <c r="BP33" s="102">
        <v>0</v>
      </c>
      <c r="BQ33" s="102">
        <v>0</v>
      </c>
      <c r="BR33" s="102">
        <v>0</v>
      </c>
      <c r="BS33" s="102">
        <v>0</v>
      </c>
      <c r="BT33" s="102">
        <v>0</v>
      </c>
      <c r="BU33" s="102">
        <v>0</v>
      </c>
      <c r="BV33" s="102">
        <v>0</v>
      </c>
      <c r="BW33" s="102">
        <v>0</v>
      </c>
      <c r="BX33" s="102">
        <v>0</v>
      </c>
      <c r="BY33" s="102">
        <v>0</v>
      </c>
      <c r="BZ33" s="102">
        <v>0</v>
      </c>
      <c r="CA33" s="102">
        <v>0</v>
      </c>
      <c r="CB33" s="102">
        <v>0</v>
      </c>
      <c r="CC33" s="102">
        <v>0</v>
      </c>
      <c r="CD33" s="102">
        <v>0</v>
      </c>
      <c r="CE33" s="102">
        <v>0</v>
      </c>
      <c r="CF33" s="102">
        <v>0</v>
      </c>
      <c r="CG33" s="102">
        <v>0</v>
      </c>
      <c r="CH33" s="102">
        <v>0</v>
      </c>
      <c r="CI33" s="102">
        <v>0</v>
      </c>
      <c r="CJ33" s="102">
        <v>0</v>
      </c>
      <c r="CK33" s="102">
        <v>0</v>
      </c>
      <c r="CL33" s="102">
        <v>0</v>
      </c>
      <c r="CM33" s="102">
        <v>0</v>
      </c>
      <c r="CN33" s="102">
        <v>0</v>
      </c>
      <c r="CO33" s="102">
        <v>0</v>
      </c>
      <c r="CP33" s="102">
        <v>0</v>
      </c>
      <c r="CQ33" s="102">
        <v>0</v>
      </c>
      <c r="CR33" s="102">
        <v>0</v>
      </c>
      <c r="CS33" s="102">
        <v>0</v>
      </c>
      <c r="CT33" s="102">
        <v>0</v>
      </c>
      <c r="CU33" s="102">
        <v>0</v>
      </c>
      <c r="CV33" s="102">
        <v>0</v>
      </c>
      <c r="CW33" s="102">
        <v>0</v>
      </c>
      <c r="CX33" s="102">
        <v>0</v>
      </c>
      <c r="CY33" s="102">
        <v>0</v>
      </c>
      <c r="CZ33" s="102">
        <v>0</v>
      </c>
      <c r="DA33" s="102">
        <v>0</v>
      </c>
      <c r="DB33" s="102">
        <v>0</v>
      </c>
      <c r="DC33" s="102">
        <v>0</v>
      </c>
      <c r="DD33" s="102">
        <v>0</v>
      </c>
      <c r="DE33" s="102">
        <v>0</v>
      </c>
      <c r="DF33" s="102">
        <v>0</v>
      </c>
      <c r="DG33" s="102">
        <v>0</v>
      </c>
      <c r="DH33" s="102">
        <v>0</v>
      </c>
      <c r="DI33" s="102">
        <v>0</v>
      </c>
      <c r="DJ33" s="102">
        <v>0</v>
      </c>
      <c r="DK33" s="102">
        <v>0</v>
      </c>
      <c r="DL33" s="102">
        <v>0</v>
      </c>
      <c r="DM33" s="102">
        <v>0</v>
      </c>
      <c r="DN33" s="102">
        <v>0</v>
      </c>
      <c r="DO33" s="102">
        <v>0</v>
      </c>
      <c r="DP33" s="102">
        <v>0</v>
      </c>
      <c r="DQ33" s="102">
        <v>0</v>
      </c>
      <c r="DR33" s="102">
        <v>0</v>
      </c>
      <c r="DS33" s="66">
        <v>2023</v>
      </c>
      <c r="DT33" s="66">
        <v>3</v>
      </c>
      <c r="DU33" s="66">
        <v>9</v>
      </c>
      <c r="DV33" s="66" t="s">
        <v>582</v>
      </c>
      <c r="DW33" s="66" t="s">
        <v>1015</v>
      </c>
      <c r="DX33" s="66" t="s">
        <v>583</v>
      </c>
      <c r="DY33" s="64" t="str">
        <f t="shared" si="0"/>
        <v>○</v>
      </c>
      <c r="DZ33" s="102">
        <v>0</v>
      </c>
      <c r="EA33" s="102">
        <v>0</v>
      </c>
      <c r="EB33" s="102">
        <v>0</v>
      </c>
      <c r="EC33" s="102">
        <v>0</v>
      </c>
      <c r="ED33" s="102">
        <v>0</v>
      </c>
      <c r="EE33" s="102">
        <v>0</v>
      </c>
      <c r="EF33" s="102">
        <v>0</v>
      </c>
      <c r="EG33" s="102">
        <v>0</v>
      </c>
      <c r="EH33" s="102">
        <v>0</v>
      </c>
      <c r="EI33" s="102">
        <v>0</v>
      </c>
      <c r="EJ33" s="102">
        <v>0</v>
      </c>
      <c r="EK33" s="102">
        <v>0</v>
      </c>
      <c r="EL33" s="102">
        <v>0</v>
      </c>
      <c r="EM33" s="102">
        <v>0</v>
      </c>
      <c r="EN33" s="102">
        <v>0</v>
      </c>
      <c r="EO33" s="102">
        <v>0</v>
      </c>
    </row>
    <row r="34" spans="1:145">
      <c r="A34" s="114">
        <v>138</v>
      </c>
      <c r="B34" s="102">
        <v>820000</v>
      </c>
      <c r="C34" s="102">
        <v>0</v>
      </c>
      <c r="D34" s="102">
        <v>0</v>
      </c>
      <c r="E34" s="102">
        <v>0</v>
      </c>
      <c r="F34" s="102">
        <v>0</v>
      </c>
      <c r="G34" s="102">
        <v>0</v>
      </c>
      <c r="H34" s="102">
        <v>0</v>
      </c>
      <c r="I34" s="102">
        <v>0</v>
      </c>
      <c r="J34" s="102">
        <v>0</v>
      </c>
      <c r="K34" s="102">
        <v>0</v>
      </c>
      <c r="L34" s="102">
        <v>0</v>
      </c>
      <c r="M34" s="102">
        <v>0</v>
      </c>
      <c r="N34" s="102">
        <v>0</v>
      </c>
      <c r="O34" s="102">
        <v>0</v>
      </c>
      <c r="P34" s="102">
        <v>0</v>
      </c>
      <c r="Q34" s="102">
        <v>0</v>
      </c>
      <c r="R34" s="102">
        <v>0</v>
      </c>
      <c r="S34" s="102">
        <v>820734</v>
      </c>
      <c r="T34" s="102">
        <v>0</v>
      </c>
      <c r="U34" s="102">
        <v>820734</v>
      </c>
      <c r="V34" s="102">
        <v>820734</v>
      </c>
      <c r="W34" s="102">
        <v>7862400</v>
      </c>
      <c r="X34" s="102">
        <v>820734</v>
      </c>
      <c r="Y34" s="102">
        <v>820734</v>
      </c>
      <c r="Z34" s="102">
        <v>820000</v>
      </c>
      <c r="AA34" s="102">
        <v>0</v>
      </c>
      <c r="AB34" s="102">
        <v>0</v>
      </c>
      <c r="AC34" s="102">
        <v>0</v>
      </c>
      <c r="AD34" s="102">
        <v>0</v>
      </c>
      <c r="AE34" s="102">
        <v>0</v>
      </c>
      <c r="AF34" s="102">
        <v>0</v>
      </c>
      <c r="AG34" s="102">
        <v>0</v>
      </c>
      <c r="AH34" s="102">
        <v>0</v>
      </c>
      <c r="AI34" s="102">
        <v>0</v>
      </c>
      <c r="AJ34" s="102">
        <v>0</v>
      </c>
      <c r="AK34" s="102">
        <v>0</v>
      </c>
      <c r="AL34" s="102">
        <v>0</v>
      </c>
      <c r="AM34" s="102">
        <v>0</v>
      </c>
      <c r="AN34" s="102">
        <v>0</v>
      </c>
      <c r="AO34" s="102">
        <v>0</v>
      </c>
      <c r="AP34" s="102">
        <v>0</v>
      </c>
      <c r="AQ34" s="102">
        <v>0</v>
      </c>
      <c r="AR34" s="102">
        <v>0</v>
      </c>
      <c r="AS34" s="102">
        <v>0</v>
      </c>
      <c r="AT34" s="102">
        <v>0</v>
      </c>
      <c r="AU34" s="102">
        <v>0</v>
      </c>
      <c r="AV34" s="102">
        <v>0</v>
      </c>
      <c r="AW34" s="102">
        <v>0</v>
      </c>
      <c r="AX34" s="102">
        <v>0</v>
      </c>
      <c r="AY34" s="102">
        <v>0</v>
      </c>
      <c r="AZ34" s="102">
        <v>0</v>
      </c>
      <c r="BA34" s="102">
        <v>0</v>
      </c>
      <c r="BB34" s="102">
        <v>0</v>
      </c>
      <c r="BC34" s="102">
        <v>0</v>
      </c>
      <c r="BD34" s="102">
        <v>0</v>
      </c>
      <c r="BE34" s="102">
        <v>0</v>
      </c>
      <c r="BF34" s="102">
        <v>0</v>
      </c>
      <c r="BG34" s="102">
        <v>0</v>
      </c>
      <c r="BH34" s="102">
        <v>0</v>
      </c>
      <c r="BI34" s="102">
        <v>0</v>
      </c>
      <c r="BJ34" s="102">
        <v>0</v>
      </c>
      <c r="BK34" s="102">
        <v>0</v>
      </c>
      <c r="BL34" s="102">
        <v>0</v>
      </c>
      <c r="BM34" s="102">
        <v>0</v>
      </c>
      <c r="BN34" s="102">
        <v>0</v>
      </c>
      <c r="BO34" s="102">
        <v>0</v>
      </c>
      <c r="BP34" s="102">
        <v>0</v>
      </c>
      <c r="BQ34" s="102">
        <v>0</v>
      </c>
      <c r="BR34" s="102">
        <v>0</v>
      </c>
      <c r="BS34" s="102">
        <v>0</v>
      </c>
      <c r="BT34" s="102">
        <v>0</v>
      </c>
      <c r="BU34" s="102">
        <v>0</v>
      </c>
      <c r="BV34" s="102">
        <v>0</v>
      </c>
      <c r="BW34" s="102">
        <v>0</v>
      </c>
      <c r="BX34" s="102">
        <v>0</v>
      </c>
      <c r="BY34" s="102">
        <v>0</v>
      </c>
      <c r="BZ34" s="102">
        <v>0</v>
      </c>
      <c r="CA34" s="102">
        <v>0</v>
      </c>
      <c r="CB34" s="102">
        <v>0</v>
      </c>
      <c r="CC34" s="102">
        <v>0</v>
      </c>
      <c r="CD34" s="102">
        <v>0</v>
      </c>
      <c r="CE34" s="102">
        <v>0</v>
      </c>
      <c r="CF34" s="102">
        <v>0</v>
      </c>
      <c r="CG34" s="102">
        <v>0</v>
      </c>
      <c r="CH34" s="102">
        <v>0</v>
      </c>
      <c r="CI34" s="102">
        <v>0</v>
      </c>
      <c r="CJ34" s="102">
        <v>0</v>
      </c>
      <c r="CK34" s="102">
        <v>0</v>
      </c>
      <c r="CL34" s="102">
        <v>0</v>
      </c>
      <c r="CM34" s="102">
        <v>0</v>
      </c>
      <c r="CN34" s="102">
        <v>0</v>
      </c>
      <c r="CO34" s="102">
        <v>0</v>
      </c>
      <c r="CP34" s="102">
        <v>0</v>
      </c>
      <c r="CQ34" s="102">
        <v>0</v>
      </c>
      <c r="CR34" s="102">
        <v>0</v>
      </c>
      <c r="CS34" s="102">
        <v>0</v>
      </c>
      <c r="CT34" s="102">
        <v>0</v>
      </c>
      <c r="CU34" s="102">
        <v>0</v>
      </c>
      <c r="CV34" s="102">
        <v>0</v>
      </c>
      <c r="CW34" s="102">
        <v>0</v>
      </c>
      <c r="CX34" s="102">
        <v>0</v>
      </c>
      <c r="CY34" s="102">
        <v>0</v>
      </c>
      <c r="CZ34" s="102">
        <v>0</v>
      </c>
      <c r="DA34" s="102">
        <v>0</v>
      </c>
      <c r="DB34" s="102">
        <v>0</v>
      </c>
      <c r="DC34" s="102">
        <v>0</v>
      </c>
      <c r="DD34" s="102">
        <v>0</v>
      </c>
      <c r="DE34" s="102">
        <v>0</v>
      </c>
      <c r="DF34" s="102">
        <v>0</v>
      </c>
      <c r="DG34" s="102">
        <v>0</v>
      </c>
      <c r="DH34" s="102">
        <v>0</v>
      </c>
      <c r="DI34" s="102">
        <v>0</v>
      </c>
      <c r="DJ34" s="102">
        <v>0</v>
      </c>
      <c r="DK34" s="102">
        <v>0</v>
      </c>
      <c r="DL34" s="102">
        <v>0</v>
      </c>
      <c r="DM34" s="102">
        <v>0</v>
      </c>
      <c r="DN34" s="102">
        <v>0</v>
      </c>
      <c r="DO34" s="102">
        <v>0</v>
      </c>
      <c r="DP34" s="102">
        <v>0</v>
      </c>
      <c r="DQ34" s="102">
        <v>0</v>
      </c>
      <c r="DR34" s="102">
        <v>0</v>
      </c>
      <c r="DS34" s="66">
        <v>2023</v>
      </c>
      <c r="DT34" s="66">
        <v>3</v>
      </c>
      <c r="DU34" s="66">
        <v>9</v>
      </c>
      <c r="DV34" s="66" t="s">
        <v>586</v>
      </c>
      <c r="DW34" s="66" t="s">
        <v>623</v>
      </c>
      <c r="DX34" s="66" t="s">
        <v>583</v>
      </c>
      <c r="DY34" s="64" t="str">
        <f t="shared" si="0"/>
        <v>○</v>
      </c>
      <c r="DZ34" s="102">
        <v>0</v>
      </c>
      <c r="EA34" s="102">
        <v>0</v>
      </c>
      <c r="EB34" s="102">
        <v>0</v>
      </c>
      <c r="EC34" s="102">
        <v>0</v>
      </c>
      <c r="ED34" s="102">
        <v>0</v>
      </c>
      <c r="EE34" s="102">
        <v>0</v>
      </c>
      <c r="EF34" s="102">
        <v>0</v>
      </c>
      <c r="EG34" s="102">
        <v>0</v>
      </c>
      <c r="EH34" s="102">
        <v>0</v>
      </c>
      <c r="EI34" s="102">
        <v>0</v>
      </c>
      <c r="EJ34" s="102">
        <v>0</v>
      </c>
      <c r="EK34" s="102">
        <v>0</v>
      </c>
      <c r="EL34" s="102">
        <v>0</v>
      </c>
      <c r="EM34" s="102">
        <v>0</v>
      </c>
      <c r="EN34" s="102">
        <v>0</v>
      </c>
      <c r="EO34" s="102">
        <v>0</v>
      </c>
    </row>
    <row r="35" spans="1:145">
      <c r="A35" s="114">
        <v>139</v>
      </c>
      <c r="B35" s="102">
        <v>4158000</v>
      </c>
      <c r="C35" s="102">
        <v>0</v>
      </c>
      <c r="D35" s="102">
        <v>0</v>
      </c>
      <c r="E35" s="102">
        <v>0</v>
      </c>
      <c r="F35" s="102">
        <v>0</v>
      </c>
      <c r="G35" s="102">
        <v>0</v>
      </c>
      <c r="H35" s="102">
        <v>0</v>
      </c>
      <c r="I35" s="102">
        <v>0</v>
      </c>
      <c r="J35" s="102">
        <v>0</v>
      </c>
      <c r="K35" s="102">
        <v>0</v>
      </c>
      <c r="L35" s="102">
        <v>0</v>
      </c>
      <c r="M35" s="102">
        <v>0</v>
      </c>
      <c r="N35" s="102">
        <v>0</v>
      </c>
      <c r="O35" s="102">
        <v>0</v>
      </c>
      <c r="P35" s="102">
        <v>0</v>
      </c>
      <c r="Q35" s="102">
        <v>0</v>
      </c>
      <c r="R35" s="102">
        <v>0</v>
      </c>
      <c r="S35" s="102">
        <v>4158000</v>
      </c>
      <c r="T35" s="102">
        <v>0</v>
      </c>
      <c r="U35" s="102">
        <v>4158000</v>
      </c>
      <c r="V35" s="102">
        <v>4158000</v>
      </c>
      <c r="W35" s="102">
        <v>9828000</v>
      </c>
      <c r="X35" s="102">
        <v>4158000</v>
      </c>
      <c r="Y35" s="102">
        <v>4158000</v>
      </c>
      <c r="Z35" s="102">
        <v>4158000</v>
      </c>
      <c r="AA35" s="102">
        <v>0</v>
      </c>
      <c r="AB35" s="102">
        <v>0</v>
      </c>
      <c r="AC35" s="102">
        <v>0</v>
      </c>
      <c r="AD35" s="102">
        <v>0</v>
      </c>
      <c r="AE35" s="102">
        <v>0</v>
      </c>
      <c r="AF35" s="102">
        <v>0</v>
      </c>
      <c r="AG35" s="102">
        <v>0</v>
      </c>
      <c r="AH35" s="102">
        <v>0</v>
      </c>
      <c r="AI35" s="102">
        <v>0</v>
      </c>
      <c r="AJ35" s="102">
        <v>0</v>
      </c>
      <c r="AK35" s="102">
        <v>0</v>
      </c>
      <c r="AL35" s="102">
        <v>0</v>
      </c>
      <c r="AM35" s="102">
        <v>0</v>
      </c>
      <c r="AN35" s="102">
        <v>0</v>
      </c>
      <c r="AO35" s="102">
        <v>0</v>
      </c>
      <c r="AP35" s="102">
        <v>0</v>
      </c>
      <c r="AQ35" s="102">
        <v>0</v>
      </c>
      <c r="AR35" s="102">
        <v>0</v>
      </c>
      <c r="AS35" s="102">
        <v>0</v>
      </c>
      <c r="AT35" s="102">
        <v>0</v>
      </c>
      <c r="AU35" s="102">
        <v>0</v>
      </c>
      <c r="AV35" s="102">
        <v>0</v>
      </c>
      <c r="AW35" s="102">
        <v>0</v>
      </c>
      <c r="AX35" s="102">
        <v>0</v>
      </c>
      <c r="AY35" s="102">
        <v>0</v>
      </c>
      <c r="AZ35" s="102">
        <v>0</v>
      </c>
      <c r="BA35" s="102">
        <v>0</v>
      </c>
      <c r="BB35" s="102">
        <v>0</v>
      </c>
      <c r="BC35" s="102">
        <v>0</v>
      </c>
      <c r="BD35" s="102">
        <v>0</v>
      </c>
      <c r="BE35" s="102">
        <v>0</v>
      </c>
      <c r="BF35" s="102">
        <v>0</v>
      </c>
      <c r="BG35" s="102">
        <v>0</v>
      </c>
      <c r="BH35" s="102">
        <v>0</v>
      </c>
      <c r="BI35" s="102">
        <v>0</v>
      </c>
      <c r="BJ35" s="102">
        <v>0</v>
      </c>
      <c r="BK35" s="102">
        <v>0</v>
      </c>
      <c r="BL35" s="102">
        <v>0</v>
      </c>
      <c r="BM35" s="102">
        <v>0</v>
      </c>
      <c r="BN35" s="102">
        <v>0</v>
      </c>
      <c r="BO35" s="102">
        <v>0</v>
      </c>
      <c r="BP35" s="102">
        <v>0</v>
      </c>
      <c r="BQ35" s="102">
        <v>0</v>
      </c>
      <c r="BR35" s="102">
        <v>0</v>
      </c>
      <c r="BS35" s="102">
        <v>0</v>
      </c>
      <c r="BT35" s="102">
        <v>0</v>
      </c>
      <c r="BU35" s="102">
        <v>0</v>
      </c>
      <c r="BV35" s="102">
        <v>0</v>
      </c>
      <c r="BW35" s="102">
        <v>0</v>
      </c>
      <c r="BX35" s="102">
        <v>0</v>
      </c>
      <c r="BY35" s="102">
        <v>0</v>
      </c>
      <c r="BZ35" s="102">
        <v>0</v>
      </c>
      <c r="CA35" s="102">
        <v>0</v>
      </c>
      <c r="CB35" s="102">
        <v>0</v>
      </c>
      <c r="CC35" s="102">
        <v>0</v>
      </c>
      <c r="CD35" s="102">
        <v>0</v>
      </c>
      <c r="CE35" s="102">
        <v>0</v>
      </c>
      <c r="CF35" s="102">
        <v>0</v>
      </c>
      <c r="CG35" s="102">
        <v>0</v>
      </c>
      <c r="CH35" s="102">
        <v>0</v>
      </c>
      <c r="CI35" s="102">
        <v>0</v>
      </c>
      <c r="CJ35" s="102">
        <v>0</v>
      </c>
      <c r="CK35" s="102">
        <v>0</v>
      </c>
      <c r="CL35" s="102">
        <v>0</v>
      </c>
      <c r="CM35" s="102">
        <v>0</v>
      </c>
      <c r="CN35" s="102">
        <v>0</v>
      </c>
      <c r="CO35" s="102">
        <v>0</v>
      </c>
      <c r="CP35" s="102">
        <v>0</v>
      </c>
      <c r="CQ35" s="102">
        <v>0</v>
      </c>
      <c r="CR35" s="102">
        <v>0</v>
      </c>
      <c r="CS35" s="102">
        <v>0</v>
      </c>
      <c r="CT35" s="102">
        <v>0</v>
      </c>
      <c r="CU35" s="102">
        <v>0</v>
      </c>
      <c r="CV35" s="102">
        <v>0</v>
      </c>
      <c r="CW35" s="102">
        <v>0</v>
      </c>
      <c r="CX35" s="102">
        <v>0</v>
      </c>
      <c r="CY35" s="102">
        <v>0</v>
      </c>
      <c r="CZ35" s="102">
        <v>0</v>
      </c>
      <c r="DA35" s="102">
        <v>0</v>
      </c>
      <c r="DB35" s="102">
        <v>0</v>
      </c>
      <c r="DC35" s="102">
        <v>0</v>
      </c>
      <c r="DD35" s="102">
        <v>0</v>
      </c>
      <c r="DE35" s="102">
        <v>0</v>
      </c>
      <c r="DF35" s="102">
        <v>0</v>
      </c>
      <c r="DG35" s="102">
        <v>0</v>
      </c>
      <c r="DH35" s="102">
        <v>0</v>
      </c>
      <c r="DI35" s="102">
        <v>0</v>
      </c>
      <c r="DJ35" s="102">
        <v>0</v>
      </c>
      <c r="DK35" s="102">
        <v>0</v>
      </c>
      <c r="DL35" s="102">
        <v>0</v>
      </c>
      <c r="DM35" s="102">
        <v>0</v>
      </c>
      <c r="DN35" s="102">
        <v>0</v>
      </c>
      <c r="DO35" s="102">
        <v>0</v>
      </c>
      <c r="DP35" s="102">
        <v>0</v>
      </c>
      <c r="DQ35" s="102">
        <v>0</v>
      </c>
      <c r="DR35" s="102">
        <v>0</v>
      </c>
      <c r="DS35" s="66">
        <v>2023</v>
      </c>
      <c r="DT35" s="66">
        <v>3</v>
      </c>
      <c r="DU35" s="66">
        <v>9</v>
      </c>
      <c r="DV35" s="66" t="s">
        <v>608</v>
      </c>
      <c r="DW35" s="66" t="s">
        <v>585</v>
      </c>
      <c r="DX35" s="66" t="s">
        <v>583</v>
      </c>
      <c r="DY35" s="64" t="str">
        <f t="shared" si="0"/>
        <v>○</v>
      </c>
      <c r="DZ35" s="102">
        <v>0</v>
      </c>
      <c r="EA35" s="102">
        <v>0</v>
      </c>
      <c r="EB35" s="102">
        <v>0</v>
      </c>
      <c r="EC35" s="102">
        <v>0</v>
      </c>
      <c r="ED35" s="102">
        <v>0</v>
      </c>
      <c r="EE35" s="102">
        <v>0</v>
      </c>
      <c r="EF35" s="102">
        <v>0</v>
      </c>
      <c r="EG35" s="102">
        <v>0</v>
      </c>
      <c r="EH35" s="102">
        <v>0</v>
      </c>
      <c r="EI35" s="102">
        <v>0</v>
      </c>
      <c r="EJ35" s="102">
        <v>0</v>
      </c>
      <c r="EK35" s="102">
        <v>0</v>
      </c>
      <c r="EL35" s="102">
        <v>0</v>
      </c>
      <c r="EM35" s="102">
        <v>0</v>
      </c>
      <c r="EN35" s="102">
        <v>0</v>
      </c>
      <c r="EO35" s="102">
        <v>0</v>
      </c>
    </row>
    <row r="36" spans="1:145">
      <c r="A36" s="114">
        <v>140</v>
      </c>
      <c r="B36" s="102">
        <v>749000</v>
      </c>
      <c r="C36" s="102">
        <v>0</v>
      </c>
      <c r="D36" s="102">
        <v>0</v>
      </c>
      <c r="E36" s="102">
        <v>0</v>
      </c>
      <c r="F36" s="102">
        <v>0</v>
      </c>
      <c r="G36" s="102">
        <v>0</v>
      </c>
      <c r="H36" s="102">
        <v>0</v>
      </c>
      <c r="I36" s="102">
        <v>0</v>
      </c>
      <c r="J36" s="102">
        <v>0</v>
      </c>
      <c r="K36" s="102">
        <v>0</v>
      </c>
      <c r="L36" s="102">
        <v>0</v>
      </c>
      <c r="M36" s="102">
        <v>0</v>
      </c>
      <c r="N36" s="102">
        <v>0</v>
      </c>
      <c r="O36" s="102">
        <v>0</v>
      </c>
      <c r="P36" s="102">
        <v>0</v>
      </c>
      <c r="Q36" s="102">
        <v>0</v>
      </c>
      <c r="R36" s="102">
        <v>0</v>
      </c>
      <c r="S36" s="102">
        <v>749640</v>
      </c>
      <c r="T36" s="102">
        <v>0</v>
      </c>
      <c r="U36" s="102">
        <v>749640</v>
      </c>
      <c r="V36" s="102">
        <v>749640</v>
      </c>
      <c r="W36" s="102">
        <v>5400000</v>
      </c>
      <c r="X36" s="102">
        <v>749640</v>
      </c>
      <c r="Y36" s="102">
        <v>749640</v>
      </c>
      <c r="Z36" s="102">
        <v>749000</v>
      </c>
      <c r="AA36" s="102">
        <v>0</v>
      </c>
      <c r="AB36" s="102">
        <v>0</v>
      </c>
      <c r="AC36" s="102">
        <v>0</v>
      </c>
      <c r="AD36" s="102">
        <v>0</v>
      </c>
      <c r="AE36" s="102">
        <v>0</v>
      </c>
      <c r="AF36" s="102">
        <v>0</v>
      </c>
      <c r="AG36" s="102">
        <v>0</v>
      </c>
      <c r="AH36" s="102">
        <v>0</v>
      </c>
      <c r="AI36" s="102">
        <v>0</v>
      </c>
      <c r="AJ36" s="102">
        <v>0</v>
      </c>
      <c r="AK36" s="102">
        <v>0</v>
      </c>
      <c r="AL36" s="102">
        <v>0</v>
      </c>
      <c r="AM36" s="102">
        <v>0</v>
      </c>
      <c r="AN36" s="102">
        <v>0</v>
      </c>
      <c r="AO36" s="102">
        <v>0</v>
      </c>
      <c r="AP36" s="102">
        <v>0</v>
      </c>
      <c r="AQ36" s="102">
        <v>0</v>
      </c>
      <c r="AR36" s="102">
        <v>0</v>
      </c>
      <c r="AS36" s="102">
        <v>0</v>
      </c>
      <c r="AT36" s="102">
        <v>0</v>
      </c>
      <c r="AU36" s="102">
        <v>0</v>
      </c>
      <c r="AV36" s="102">
        <v>0</v>
      </c>
      <c r="AW36" s="102">
        <v>0</v>
      </c>
      <c r="AX36" s="102">
        <v>0</v>
      </c>
      <c r="AY36" s="102">
        <v>0</v>
      </c>
      <c r="AZ36" s="102">
        <v>0</v>
      </c>
      <c r="BA36" s="102">
        <v>0</v>
      </c>
      <c r="BB36" s="102">
        <v>0</v>
      </c>
      <c r="BC36" s="102">
        <v>0</v>
      </c>
      <c r="BD36" s="102">
        <v>0</v>
      </c>
      <c r="BE36" s="102">
        <v>0</v>
      </c>
      <c r="BF36" s="102">
        <v>0</v>
      </c>
      <c r="BG36" s="102">
        <v>0</v>
      </c>
      <c r="BH36" s="102">
        <v>0</v>
      </c>
      <c r="BI36" s="102">
        <v>0</v>
      </c>
      <c r="BJ36" s="102">
        <v>0</v>
      </c>
      <c r="BK36" s="102">
        <v>0</v>
      </c>
      <c r="BL36" s="102">
        <v>0</v>
      </c>
      <c r="BM36" s="102">
        <v>0</v>
      </c>
      <c r="BN36" s="102">
        <v>0</v>
      </c>
      <c r="BO36" s="102">
        <v>0</v>
      </c>
      <c r="BP36" s="102">
        <v>0</v>
      </c>
      <c r="BQ36" s="102">
        <v>0</v>
      </c>
      <c r="BR36" s="102">
        <v>0</v>
      </c>
      <c r="BS36" s="102">
        <v>0</v>
      </c>
      <c r="BT36" s="102">
        <v>0</v>
      </c>
      <c r="BU36" s="102">
        <v>0</v>
      </c>
      <c r="BV36" s="102">
        <v>0</v>
      </c>
      <c r="BW36" s="102">
        <v>0</v>
      </c>
      <c r="BX36" s="102">
        <v>0</v>
      </c>
      <c r="BY36" s="102">
        <v>0</v>
      </c>
      <c r="BZ36" s="102">
        <v>0</v>
      </c>
      <c r="CA36" s="102">
        <v>0</v>
      </c>
      <c r="CB36" s="102">
        <v>0</v>
      </c>
      <c r="CC36" s="102">
        <v>0</v>
      </c>
      <c r="CD36" s="102">
        <v>0</v>
      </c>
      <c r="CE36" s="102">
        <v>0</v>
      </c>
      <c r="CF36" s="102">
        <v>0</v>
      </c>
      <c r="CG36" s="102">
        <v>0</v>
      </c>
      <c r="CH36" s="102">
        <v>0</v>
      </c>
      <c r="CI36" s="102">
        <v>0</v>
      </c>
      <c r="CJ36" s="102">
        <v>0</v>
      </c>
      <c r="CK36" s="102">
        <v>0</v>
      </c>
      <c r="CL36" s="102">
        <v>0</v>
      </c>
      <c r="CM36" s="102">
        <v>0</v>
      </c>
      <c r="CN36" s="102">
        <v>0</v>
      </c>
      <c r="CO36" s="102">
        <v>0</v>
      </c>
      <c r="CP36" s="102">
        <v>0</v>
      </c>
      <c r="CQ36" s="102">
        <v>0</v>
      </c>
      <c r="CR36" s="102">
        <v>0</v>
      </c>
      <c r="CS36" s="102">
        <v>0</v>
      </c>
      <c r="CT36" s="102">
        <v>0</v>
      </c>
      <c r="CU36" s="102">
        <v>0</v>
      </c>
      <c r="CV36" s="102">
        <v>0</v>
      </c>
      <c r="CW36" s="102">
        <v>0</v>
      </c>
      <c r="CX36" s="102">
        <v>0</v>
      </c>
      <c r="CY36" s="102">
        <v>0</v>
      </c>
      <c r="CZ36" s="102">
        <v>0</v>
      </c>
      <c r="DA36" s="102">
        <v>0</v>
      </c>
      <c r="DB36" s="102">
        <v>0</v>
      </c>
      <c r="DC36" s="102">
        <v>0</v>
      </c>
      <c r="DD36" s="102">
        <v>0</v>
      </c>
      <c r="DE36" s="102">
        <v>0</v>
      </c>
      <c r="DF36" s="102">
        <v>0</v>
      </c>
      <c r="DG36" s="102">
        <v>0</v>
      </c>
      <c r="DH36" s="102">
        <v>0</v>
      </c>
      <c r="DI36" s="102">
        <v>0</v>
      </c>
      <c r="DJ36" s="102">
        <v>0</v>
      </c>
      <c r="DK36" s="102">
        <v>0</v>
      </c>
      <c r="DL36" s="102">
        <v>0</v>
      </c>
      <c r="DM36" s="102">
        <v>0</v>
      </c>
      <c r="DN36" s="102">
        <v>0</v>
      </c>
      <c r="DO36" s="102">
        <v>0</v>
      </c>
      <c r="DP36" s="102">
        <v>0</v>
      </c>
      <c r="DQ36" s="102">
        <v>0</v>
      </c>
      <c r="DR36" s="102">
        <v>0</v>
      </c>
      <c r="DS36" s="66">
        <v>2023</v>
      </c>
      <c r="DT36" s="66">
        <v>3</v>
      </c>
      <c r="DU36" s="66">
        <v>9</v>
      </c>
      <c r="DV36" s="66" t="s">
        <v>1012</v>
      </c>
      <c r="DW36" s="66" t="s">
        <v>611</v>
      </c>
      <c r="DX36" s="66" t="s">
        <v>583</v>
      </c>
      <c r="DY36" s="64" t="str">
        <f t="shared" si="0"/>
        <v>○</v>
      </c>
      <c r="DZ36" s="102">
        <v>0</v>
      </c>
      <c r="EA36" s="102">
        <v>0</v>
      </c>
      <c r="EB36" s="102">
        <v>0</v>
      </c>
      <c r="EC36" s="102">
        <v>0</v>
      </c>
      <c r="ED36" s="102">
        <v>0</v>
      </c>
      <c r="EE36" s="102">
        <v>0</v>
      </c>
      <c r="EF36" s="102">
        <v>0</v>
      </c>
      <c r="EG36" s="102">
        <v>0</v>
      </c>
      <c r="EH36" s="102">
        <v>0</v>
      </c>
      <c r="EI36" s="102">
        <v>0</v>
      </c>
      <c r="EJ36" s="102">
        <v>0</v>
      </c>
      <c r="EK36" s="102">
        <v>0</v>
      </c>
      <c r="EL36" s="102">
        <v>0</v>
      </c>
      <c r="EM36" s="102">
        <v>0</v>
      </c>
      <c r="EN36" s="102">
        <v>0</v>
      </c>
      <c r="EO36" s="102">
        <v>0</v>
      </c>
    </row>
    <row r="37" spans="1:145">
      <c r="A37" s="114">
        <v>141</v>
      </c>
      <c r="B37" s="102">
        <v>4829000</v>
      </c>
      <c r="C37" s="102">
        <v>0</v>
      </c>
      <c r="D37" s="102">
        <v>0</v>
      </c>
      <c r="E37" s="102">
        <v>0</v>
      </c>
      <c r="F37" s="102">
        <v>0</v>
      </c>
      <c r="G37" s="102">
        <v>0</v>
      </c>
      <c r="H37" s="102">
        <v>0</v>
      </c>
      <c r="I37" s="102">
        <v>0</v>
      </c>
      <c r="J37" s="102">
        <v>0</v>
      </c>
      <c r="K37" s="102">
        <v>0</v>
      </c>
      <c r="L37" s="102">
        <v>0</v>
      </c>
      <c r="M37" s="102">
        <v>0</v>
      </c>
      <c r="N37" s="102">
        <v>0</v>
      </c>
      <c r="O37" s="102">
        <v>0</v>
      </c>
      <c r="P37" s="102">
        <v>0</v>
      </c>
      <c r="Q37" s="102">
        <v>0</v>
      </c>
      <c r="R37" s="102">
        <v>0</v>
      </c>
      <c r="S37" s="102">
        <v>4829045</v>
      </c>
      <c r="T37" s="102">
        <v>0</v>
      </c>
      <c r="U37" s="102">
        <v>4829045</v>
      </c>
      <c r="V37" s="102">
        <v>4829045</v>
      </c>
      <c r="W37" s="102">
        <v>11138400</v>
      </c>
      <c r="X37" s="102">
        <v>4829045</v>
      </c>
      <c r="Y37" s="102">
        <v>4829045</v>
      </c>
      <c r="Z37" s="102">
        <v>4829000</v>
      </c>
      <c r="AA37" s="102">
        <v>0</v>
      </c>
      <c r="AB37" s="102">
        <v>0</v>
      </c>
      <c r="AC37" s="102">
        <v>0</v>
      </c>
      <c r="AD37" s="102">
        <v>0</v>
      </c>
      <c r="AE37" s="102">
        <v>0</v>
      </c>
      <c r="AF37" s="102">
        <v>0</v>
      </c>
      <c r="AG37" s="102">
        <v>0</v>
      </c>
      <c r="AH37" s="102">
        <v>0</v>
      </c>
      <c r="AI37" s="102">
        <v>0</v>
      </c>
      <c r="AJ37" s="102">
        <v>0</v>
      </c>
      <c r="AK37" s="102">
        <v>0</v>
      </c>
      <c r="AL37" s="102">
        <v>0</v>
      </c>
      <c r="AM37" s="102">
        <v>0</v>
      </c>
      <c r="AN37" s="102">
        <v>0</v>
      </c>
      <c r="AO37" s="102">
        <v>0</v>
      </c>
      <c r="AP37" s="102">
        <v>0</v>
      </c>
      <c r="AQ37" s="102">
        <v>0</v>
      </c>
      <c r="AR37" s="102">
        <v>0</v>
      </c>
      <c r="AS37" s="102">
        <v>0</v>
      </c>
      <c r="AT37" s="102">
        <v>0</v>
      </c>
      <c r="AU37" s="102">
        <v>0</v>
      </c>
      <c r="AV37" s="102">
        <v>0</v>
      </c>
      <c r="AW37" s="102">
        <v>0</v>
      </c>
      <c r="AX37" s="102">
        <v>0</v>
      </c>
      <c r="AY37" s="102">
        <v>0</v>
      </c>
      <c r="AZ37" s="102">
        <v>0</v>
      </c>
      <c r="BA37" s="102">
        <v>0</v>
      </c>
      <c r="BB37" s="102">
        <v>0</v>
      </c>
      <c r="BC37" s="102">
        <v>0</v>
      </c>
      <c r="BD37" s="102">
        <v>0</v>
      </c>
      <c r="BE37" s="102">
        <v>0</v>
      </c>
      <c r="BF37" s="102">
        <v>0</v>
      </c>
      <c r="BG37" s="102">
        <v>0</v>
      </c>
      <c r="BH37" s="102">
        <v>0</v>
      </c>
      <c r="BI37" s="102">
        <v>0</v>
      </c>
      <c r="BJ37" s="102">
        <v>0</v>
      </c>
      <c r="BK37" s="102">
        <v>0</v>
      </c>
      <c r="BL37" s="102">
        <v>0</v>
      </c>
      <c r="BM37" s="102">
        <v>0</v>
      </c>
      <c r="BN37" s="102">
        <v>0</v>
      </c>
      <c r="BO37" s="102">
        <v>0</v>
      </c>
      <c r="BP37" s="102">
        <v>0</v>
      </c>
      <c r="BQ37" s="102">
        <v>0</v>
      </c>
      <c r="BR37" s="102">
        <v>0</v>
      </c>
      <c r="BS37" s="102">
        <v>0</v>
      </c>
      <c r="BT37" s="102">
        <v>0</v>
      </c>
      <c r="BU37" s="102">
        <v>0</v>
      </c>
      <c r="BV37" s="102">
        <v>0</v>
      </c>
      <c r="BW37" s="102">
        <v>0</v>
      </c>
      <c r="BX37" s="102">
        <v>0</v>
      </c>
      <c r="BY37" s="102">
        <v>0</v>
      </c>
      <c r="BZ37" s="102">
        <v>0</v>
      </c>
      <c r="CA37" s="102">
        <v>0</v>
      </c>
      <c r="CB37" s="102">
        <v>0</v>
      </c>
      <c r="CC37" s="102">
        <v>0</v>
      </c>
      <c r="CD37" s="102">
        <v>0</v>
      </c>
      <c r="CE37" s="102">
        <v>0</v>
      </c>
      <c r="CF37" s="102">
        <v>0</v>
      </c>
      <c r="CG37" s="102">
        <v>0</v>
      </c>
      <c r="CH37" s="102">
        <v>0</v>
      </c>
      <c r="CI37" s="102">
        <v>0</v>
      </c>
      <c r="CJ37" s="102">
        <v>0</v>
      </c>
      <c r="CK37" s="102">
        <v>0</v>
      </c>
      <c r="CL37" s="102">
        <v>0</v>
      </c>
      <c r="CM37" s="102">
        <v>0</v>
      </c>
      <c r="CN37" s="102">
        <v>0</v>
      </c>
      <c r="CO37" s="102">
        <v>0</v>
      </c>
      <c r="CP37" s="102">
        <v>0</v>
      </c>
      <c r="CQ37" s="102">
        <v>0</v>
      </c>
      <c r="CR37" s="102">
        <v>0</v>
      </c>
      <c r="CS37" s="102">
        <v>0</v>
      </c>
      <c r="CT37" s="102">
        <v>0</v>
      </c>
      <c r="CU37" s="102">
        <v>0</v>
      </c>
      <c r="CV37" s="102">
        <v>0</v>
      </c>
      <c r="CW37" s="102">
        <v>0</v>
      </c>
      <c r="CX37" s="102">
        <v>0</v>
      </c>
      <c r="CY37" s="102">
        <v>0</v>
      </c>
      <c r="CZ37" s="102">
        <v>0</v>
      </c>
      <c r="DA37" s="102">
        <v>0</v>
      </c>
      <c r="DB37" s="102">
        <v>0</v>
      </c>
      <c r="DC37" s="102">
        <v>0</v>
      </c>
      <c r="DD37" s="102">
        <v>0</v>
      </c>
      <c r="DE37" s="102">
        <v>0</v>
      </c>
      <c r="DF37" s="102">
        <v>0</v>
      </c>
      <c r="DG37" s="102">
        <v>0</v>
      </c>
      <c r="DH37" s="102">
        <v>0</v>
      </c>
      <c r="DI37" s="102">
        <v>0</v>
      </c>
      <c r="DJ37" s="102">
        <v>0</v>
      </c>
      <c r="DK37" s="102">
        <v>0</v>
      </c>
      <c r="DL37" s="102">
        <v>0</v>
      </c>
      <c r="DM37" s="102">
        <v>0</v>
      </c>
      <c r="DN37" s="102">
        <v>0</v>
      </c>
      <c r="DO37" s="102">
        <v>0</v>
      </c>
      <c r="DP37" s="102">
        <v>0</v>
      </c>
      <c r="DQ37" s="102">
        <v>0</v>
      </c>
      <c r="DR37" s="102">
        <v>0</v>
      </c>
      <c r="DS37" s="66">
        <v>2023</v>
      </c>
      <c r="DT37" s="66">
        <v>3</v>
      </c>
      <c r="DU37" s="66">
        <v>9</v>
      </c>
      <c r="DV37" s="66" t="s">
        <v>1012</v>
      </c>
      <c r="DW37" s="66" t="s">
        <v>604</v>
      </c>
      <c r="DX37" s="66" t="s">
        <v>583</v>
      </c>
      <c r="DY37" s="64" t="str">
        <f t="shared" si="0"/>
        <v>○</v>
      </c>
      <c r="DZ37" s="102">
        <v>0</v>
      </c>
      <c r="EA37" s="102">
        <v>0</v>
      </c>
      <c r="EB37" s="102">
        <v>0</v>
      </c>
      <c r="EC37" s="102">
        <v>0</v>
      </c>
      <c r="ED37" s="102">
        <v>0</v>
      </c>
      <c r="EE37" s="102">
        <v>0</v>
      </c>
      <c r="EF37" s="102">
        <v>0</v>
      </c>
      <c r="EG37" s="102">
        <v>0</v>
      </c>
      <c r="EH37" s="102">
        <v>0</v>
      </c>
      <c r="EI37" s="102">
        <v>0</v>
      </c>
      <c r="EJ37" s="102">
        <v>0</v>
      </c>
      <c r="EK37" s="102">
        <v>0</v>
      </c>
      <c r="EL37" s="102">
        <v>0</v>
      </c>
      <c r="EM37" s="102">
        <v>0</v>
      </c>
      <c r="EN37" s="102">
        <v>0</v>
      </c>
      <c r="EO37" s="102">
        <v>0</v>
      </c>
    </row>
    <row r="38" spans="1:145">
      <c r="A38" s="114">
        <v>142</v>
      </c>
      <c r="B38" s="102">
        <v>6360000</v>
      </c>
      <c r="C38" s="102">
        <v>0</v>
      </c>
      <c r="D38" s="102">
        <v>0</v>
      </c>
      <c r="E38" s="102">
        <v>0</v>
      </c>
      <c r="F38" s="102">
        <v>0</v>
      </c>
      <c r="G38" s="102">
        <v>0</v>
      </c>
      <c r="H38" s="102">
        <v>0</v>
      </c>
      <c r="I38" s="102">
        <v>0</v>
      </c>
      <c r="J38" s="102">
        <v>0</v>
      </c>
      <c r="K38" s="102">
        <v>0</v>
      </c>
      <c r="L38" s="102">
        <v>0</v>
      </c>
      <c r="M38" s="102">
        <v>0</v>
      </c>
      <c r="N38" s="102">
        <v>0</v>
      </c>
      <c r="O38" s="102">
        <v>0</v>
      </c>
      <c r="P38" s="102">
        <v>0</v>
      </c>
      <c r="Q38" s="102">
        <v>0</v>
      </c>
      <c r="R38" s="102">
        <v>0</v>
      </c>
      <c r="S38" s="102">
        <v>6360926</v>
      </c>
      <c r="T38" s="102">
        <v>0</v>
      </c>
      <c r="U38" s="102">
        <v>6360926</v>
      </c>
      <c r="V38" s="102">
        <v>6360926</v>
      </c>
      <c r="W38" s="102">
        <v>6552000</v>
      </c>
      <c r="X38" s="102">
        <v>6360926</v>
      </c>
      <c r="Y38" s="102">
        <v>6360926</v>
      </c>
      <c r="Z38" s="102">
        <v>6360000</v>
      </c>
      <c r="AA38" s="102">
        <v>0</v>
      </c>
      <c r="AB38" s="102">
        <v>0</v>
      </c>
      <c r="AC38" s="102">
        <v>0</v>
      </c>
      <c r="AD38" s="102">
        <v>0</v>
      </c>
      <c r="AE38" s="102">
        <v>0</v>
      </c>
      <c r="AF38" s="102">
        <v>0</v>
      </c>
      <c r="AG38" s="102">
        <v>0</v>
      </c>
      <c r="AH38" s="102">
        <v>0</v>
      </c>
      <c r="AI38" s="102">
        <v>0</v>
      </c>
      <c r="AJ38" s="102">
        <v>0</v>
      </c>
      <c r="AK38" s="102">
        <v>0</v>
      </c>
      <c r="AL38" s="102">
        <v>0</v>
      </c>
      <c r="AM38" s="102">
        <v>0</v>
      </c>
      <c r="AN38" s="102">
        <v>0</v>
      </c>
      <c r="AO38" s="102">
        <v>0</v>
      </c>
      <c r="AP38" s="102">
        <v>0</v>
      </c>
      <c r="AQ38" s="102">
        <v>0</v>
      </c>
      <c r="AR38" s="102">
        <v>0</v>
      </c>
      <c r="AS38" s="102">
        <v>0</v>
      </c>
      <c r="AT38" s="102">
        <v>0</v>
      </c>
      <c r="AU38" s="102">
        <v>0</v>
      </c>
      <c r="AV38" s="102">
        <v>0</v>
      </c>
      <c r="AW38" s="102">
        <v>0</v>
      </c>
      <c r="AX38" s="102">
        <v>0</v>
      </c>
      <c r="AY38" s="102">
        <v>0</v>
      </c>
      <c r="AZ38" s="102">
        <v>0</v>
      </c>
      <c r="BA38" s="102">
        <v>0</v>
      </c>
      <c r="BB38" s="102">
        <v>0</v>
      </c>
      <c r="BC38" s="102">
        <v>0</v>
      </c>
      <c r="BD38" s="102">
        <v>0</v>
      </c>
      <c r="BE38" s="102">
        <v>0</v>
      </c>
      <c r="BF38" s="102">
        <v>0</v>
      </c>
      <c r="BG38" s="102">
        <v>0</v>
      </c>
      <c r="BH38" s="102">
        <v>0</v>
      </c>
      <c r="BI38" s="102">
        <v>0</v>
      </c>
      <c r="BJ38" s="102">
        <v>0</v>
      </c>
      <c r="BK38" s="102">
        <v>0</v>
      </c>
      <c r="BL38" s="102">
        <v>0</v>
      </c>
      <c r="BM38" s="102">
        <v>0</v>
      </c>
      <c r="BN38" s="102">
        <v>0</v>
      </c>
      <c r="BO38" s="102">
        <v>0</v>
      </c>
      <c r="BP38" s="102">
        <v>0</v>
      </c>
      <c r="BQ38" s="102">
        <v>0</v>
      </c>
      <c r="BR38" s="102">
        <v>0</v>
      </c>
      <c r="BS38" s="102">
        <v>0</v>
      </c>
      <c r="BT38" s="102">
        <v>0</v>
      </c>
      <c r="BU38" s="102">
        <v>0</v>
      </c>
      <c r="BV38" s="102">
        <v>0</v>
      </c>
      <c r="BW38" s="102">
        <v>0</v>
      </c>
      <c r="BX38" s="102">
        <v>0</v>
      </c>
      <c r="BY38" s="102">
        <v>0</v>
      </c>
      <c r="BZ38" s="102">
        <v>0</v>
      </c>
      <c r="CA38" s="102">
        <v>0</v>
      </c>
      <c r="CB38" s="102">
        <v>0</v>
      </c>
      <c r="CC38" s="102">
        <v>0</v>
      </c>
      <c r="CD38" s="102">
        <v>0</v>
      </c>
      <c r="CE38" s="102">
        <v>0</v>
      </c>
      <c r="CF38" s="102">
        <v>0</v>
      </c>
      <c r="CG38" s="102">
        <v>0</v>
      </c>
      <c r="CH38" s="102">
        <v>0</v>
      </c>
      <c r="CI38" s="102">
        <v>0</v>
      </c>
      <c r="CJ38" s="102">
        <v>0</v>
      </c>
      <c r="CK38" s="102">
        <v>0</v>
      </c>
      <c r="CL38" s="102">
        <v>0</v>
      </c>
      <c r="CM38" s="102">
        <v>0</v>
      </c>
      <c r="CN38" s="102">
        <v>0</v>
      </c>
      <c r="CO38" s="102">
        <v>0</v>
      </c>
      <c r="CP38" s="102">
        <v>0</v>
      </c>
      <c r="CQ38" s="102">
        <v>0</v>
      </c>
      <c r="CR38" s="102">
        <v>0</v>
      </c>
      <c r="CS38" s="102">
        <v>0</v>
      </c>
      <c r="CT38" s="102">
        <v>0</v>
      </c>
      <c r="CU38" s="102">
        <v>0</v>
      </c>
      <c r="CV38" s="102">
        <v>0</v>
      </c>
      <c r="CW38" s="102">
        <v>0</v>
      </c>
      <c r="CX38" s="102">
        <v>0</v>
      </c>
      <c r="CY38" s="102">
        <v>0</v>
      </c>
      <c r="CZ38" s="102">
        <v>0</v>
      </c>
      <c r="DA38" s="102">
        <v>0</v>
      </c>
      <c r="DB38" s="102">
        <v>0</v>
      </c>
      <c r="DC38" s="102">
        <v>0</v>
      </c>
      <c r="DD38" s="102">
        <v>0</v>
      </c>
      <c r="DE38" s="102">
        <v>0</v>
      </c>
      <c r="DF38" s="102">
        <v>0</v>
      </c>
      <c r="DG38" s="102">
        <v>0</v>
      </c>
      <c r="DH38" s="102">
        <v>0</v>
      </c>
      <c r="DI38" s="102">
        <v>0</v>
      </c>
      <c r="DJ38" s="102">
        <v>0</v>
      </c>
      <c r="DK38" s="102">
        <v>0</v>
      </c>
      <c r="DL38" s="102">
        <v>0</v>
      </c>
      <c r="DM38" s="102">
        <v>0</v>
      </c>
      <c r="DN38" s="102">
        <v>0</v>
      </c>
      <c r="DO38" s="102">
        <v>0</v>
      </c>
      <c r="DP38" s="102">
        <v>0</v>
      </c>
      <c r="DQ38" s="102">
        <v>0</v>
      </c>
      <c r="DR38" s="102">
        <v>0</v>
      </c>
      <c r="DS38" s="66">
        <v>2023</v>
      </c>
      <c r="DT38" s="66">
        <v>3</v>
      </c>
      <c r="DU38" s="66">
        <v>9</v>
      </c>
      <c r="DV38" s="66" t="s">
        <v>584</v>
      </c>
      <c r="DW38" s="66" t="s">
        <v>585</v>
      </c>
      <c r="DX38" s="66" t="s">
        <v>583</v>
      </c>
      <c r="DY38" s="64" t="str">
        <f t="shared" si="0"/>
        <v>○</v>
      </c>
      <c r="DZ38" s="102">
        <v>0</v>
      </c>
      <c r="EA38" s="102">
        <v>0</v>
      </c>
      <c r="EB38" s="102">
        <v>0</v>
      </c>
      <c r="EC38" s="102">
        <v>0</v>
      </c>
      <c r="ED38" s="102">
        <v>0</v>
      </c>
      <c r="EE38" s="102">
        <v>0</v>
      </c>
      <c r="EF38" s="102">
        <v>0</v>
      </c>
      <c r="EG38" s="102">
        <v>0</v>
      </c>
      <c r="EH38" s="102">
        <v>0</v>
      </c>
      <c r="EI38" s="102">
        <v>0</v>
      </c>
      <c r="EJ38" s="102">
        <v>0</v>
      </c>
      <c r="EK38" s="102">
        <v>0</v>
      </c>
      <c r="EL38" s="102">
        <v>0</v>
      </c>
      <c r="EM38" s="102">
        <v>0</v>
      </c>
      <c r="EN38" s="102">
        <v>0</v>
      </c>
      <c r="EO38" s="102">
        <v>0</v>
      </c>
    </row>
    <row r="39" spans="1:145">
      <c r="A39" s="114">
        <v>143</v>
      </c>
      <c r="B39" s="102">
        <v>1199000</v>
      </c>
      <c r="C39" s="102">
        <v>0</v>
      </c>
      <c r="D39" s="102">
        <v>0</v>
      </c>
      <c r="E39" s="102">
        <v>0</v>
      </c>
      <c r="F39" s="102">
        <v>0</v>
      </c>
      <c r="G39" s="102">
        <v>0</v>
      </c>
      <c r="H39" s="102">
        <v>0</v>
      </c>
      <c r="I39" s="102">
        <v>0</v>
      </c>
      <c r="J39" s="102">
        <v>0</v>
      </c>
      <c r="K39" s="102">
        <v>0</v>
      </c>
      <c r="L39" s="102">
        <v>0</v>
      </c>
      <c r="M39" s="102">
        <v>0</v>
      </c>
      <c r="N39" s="102">
        <v>0</v>
      </c>
      <c r="O39" s="102">
        <v>0</v>
      </c>
      <c r="P39" s="102">
        <v>0</v>
      </c>
      <c r="Q39" s="102">
        <v>0</v>
      </c>
      <c r="R39" s="102">
        <v>0</v>
      </c>
      <c r="S39" s="102">
        <v>1199572</v>
      </c>
      <c r="T39" s="102">
        <v>0</v>
      </c>
      <c r="U39" s="102">
        <v>1199572</v>
      </c>
      <c r="V39" s="102">
        <v>1199572</v>
      </c>
      <c r="W39" s="102">
        <v>14414400</v>
      </c>
      <c r="X39" s="102">
        <v>1199572</v>
      </c>
      <c r="Y39" s="102">
        <v>1199572</v>
      </c>
      <c r="Z39" s="102">
        <v>1199000</v>
      </c>
      <c r="AA39" s="102">
        <v>0</v>
      </c>
      <c r="AB39" s="102">
        <v>0</v>
      </c>
      <c r="AC39" s="102">
        <v>0</v>
      </c>
      <c r="AD39" s="102">
        <v>0</v>
      </c>
      <c r="AE39" s="102">
        <v>0</v>
      </c>
      <c r="AF39" s="102">
        <v>0</v>
      </c>
      <c r="AG39" s="102">
        <v>0</v>
      </c>
      <c r="AH39" s="102">
        <v>0</v>
      </c>
      <c r="AI39" s="102">
        <v>0</v>
      </c>
      <c r="AJ39" s="102">
        <v>0</v>
      </c>
      <c r="AK39" s="102">
        <v>0</v>
      </c>
      <c r="AL39" s="102">
        <v>0</v>
      </c>
      <c r="AM39" s="102">
        <v>0</v>
      </c>
      <c r="AN39" s="102">
        <v>0</v>
      </c>
      <c r="AO39" s="102">
        <v>0</v>
      </c>
      <c r="AP39" s="102">
        <v>0</v>
      </c>
      <c r="AQ39" s="102">
        <v>0</v>
      </c>
      <c r="AR39" s="102">
        <v>0</v>
      </c>
      <c r="AS39" s="102">
        <v>0</v>
      </c>
      <c r="AT39" s="102">
        <v>0</v>
      </c>
      <c r="AU39" s="102">
        <v>0</v>
      </c>
      <c r="AV39" s="102">
        <v>0</v>
      </c>
      <c r="AW39" s="102">
        <v>0</v>
      </c>
      <c r="AX39" s="102">
        <v>0</v>
      </c>
      <c r="AY39" s="102">
        <v>0</v>
      </c>
      <c r="AZ39" s="102">
        <v>0</v>
      </c>
      <c r="BA39" s="102">
        <v>0</v>
      </c>
      <c r="BB39" s="102">
        <v>0</v>
      </c>
      <c r="BC39" s="102">
        <v>0</v>
      </c>
      <c r="BD39" s="102">
        <v>0</v>
      </c>
      <c r="BE39" s="102">
        <v>0</v>
      </c>
      <c r="BF39" s="102">
        <v>0</v>
      </c>
      <c r="BG39" s="102">
        <v>0</v>
      </c>
      <c r="BH39" s="102">
        <v>0</v>
      </c>
      <c r="BI39" s="102">
        <v>0</v>
      </c>
      <c r="BJ39" s="102">
        <v>0</v>
      </c>
      <c r="BK39" s="102">
        <v>0</v>
      </c>
      <c r="BL39" s="102">
        <v>0</v>
      </c>
      <c r="BM39" s="102">
        <v>0</v>
      </c>
      <c r="BN39" s="102">
        <v>0</v>
      </c>
      <c r="BO39" s="102">
        <v>0</v>
      </c>
      <c r="BP39" s="102">
        <v>0</v>
      </c>
      <c r="BQ39" s="102">
        <v>0</v>
      </c>
      <c r="BR39" s="102">
        <v>0</v>
      </c>
      <c r="BS39" s="102">
        <v>0</v>
      </c>
      <c r="BT39" s="102">
        <v>0</v>
      </c>
      <c r="BU39" s="102">
        <v>0</v>
      </c>
      <c r="BV39" s="102">
        <v>0</v>
      </c>
      <c r="BW39" s="102">
        <v>0</v>
      </c>
      <c r="BX39" s="102">
        <v>0</v>
      </c>
      <c r="BY39" s="102">
        <v>0</v>
      </c>
      <c r="BZ39" s="102">
        <v>0</v>
      </c>
      <c r="CA39" s="102">
        <v>0</v>
      </c>
      <c r="CB39" s="102">
        <v>0</v>
      </c>
      <c r="CC39" s="102">
        <v>0</v>
      </c>
      <c r="CD39" s="102">
        <v>0</v>
      </c>
      <c r="CE39" s="102">
        <v>0</v>
      </c>
      <c r="CF39" s="102">
        <v>0</v>
      </c>
      <c r="CG39" s="102">
        <v>0</v>
      </c>
      <c r="CH39" s="102">
        <v>0</v>
      </c>
      <c r="CI39" s="102">
        <v>0</v>
      </c>
      <c r="CJ39" s="102">
        <v>0</v>
      </c>
      <c r="CK39" s="102">
        <v>0</v>
      </c>
      <c r="CL39" s="102">
        <v>0</v>
      </c>
      <c r="CM39" s="102">
        <v>0</v>
      </c>
      <c r="CN39" s="102">
        <v>0</v>
      </c>
      <c r="CO39" s="102">
        <v>0</v>
      </c>
      <c r="CP39" s="102">
        <v>0</v>
      </c>
      <c r="CQ39" s="102">
        <v>0</v>
      </c>
      <c r="CR39" s="102">
        <v>0</v>
      </c>
      <c r="CS39" s="102">
        <v>0</v>
      </c>
      <c r="CT39" s="102">
        <v>0</v>
      </c>
      <c r="CU39" s="102">
        <v>0</v>
      </c>
      <c r="CV39" s="102">
        <v>0</v>
      </c>
      <c r="CW39" s="102">
        <v>0</v>
      </c>
      <c r="CX39" s="102">
        <v>0</v>
      </c>
      <c r="CY39" s="102">
        <v>0</v>
      </c>
      <c r="CZ39" s="102">
        <v>0</v>
      </c>
      <c r="DA39" s="102">
        <v>0</v>
      </c>
      <c r="DB39" s="102">
        <v>0</v>
      </c>
      <c r="DC39" s="102">
        <v>0</v>
      </c>
      <c r="DD39" s="102">
        <v>0</v>
      </c>
      <c r="DE39" s="102">
        <v>0</v>
      </c>
      <c r="DF39" s="102">
        <v>0</v>
      </c>
      <c r="DG39" s="102">
        <v>0</v>
      </c>
      <c r="DH39" s="102">
        <v>0</v>
      </c>
      <c r="DI39" s="102">
        <v>0</v>
      </c>
      <c r="DJ39" s="102">
        <v>0</v>
      </c>
      <c r="DK39" s="102">
        <v>0</v>
      </c>
      <c r="DL39" s="102">
        <v>0</v>
      </c>
      <c r="DM39" s="102">
        <v>0</v>
      </c>
      <c r="DN39" s="102">
        <v>0</v>
      </c>
      <c r="DO39" s="102">
        <v>0</v>
      </c>
      <c r="DP39" s="102">
        <v>0</v>
      </c>
      <c r="DQ39" s="102">
        <v>0</v>
      </c>
      <c r="DR39" s="102">
        <v>0</v>
      </c>
      <c r="DS39" s="66">
        <v>2023</v>
      </c>
      <c r="DT39" s="66">
        <v>3</v>
      </c>
      <c r="DU39" s="66">
        <v>9</v>
      </c>
      <c r="DV39" s="66" t="s">
        <v>586</v>
      </c>
      <c r="DW39" s="66" t="s">
        <v>590</v>
      </c>
      <c r="DX39" s="66" t="s">
        <v>583</v>
      </c>
      <c r="DY39" s="64" t="str">
        <f t="shared" si="0"/>
        <v>○</v>
      </c>
      <c r="DZ39" s="102">
        <v>0</v>
      </c>
      <c r="EA39" s="102">
        <v>0</v>
      </c>
      <c r="EB39" s="102">
        <v>0</v>
      </c>
      <c r="EC39" s="102">
        <v>0</v>
      </c>
      <c r="ED39" s="102">
        <v>0</v>
      </c>
      <c r="EE39" s="102">
        <v>0</v>
      </c>
      <c r="EF39" s="102">
        <v>0</v>
      </c>
      <c r="EG39" s="102">
        <v>0</v>
      </c>
      <c r="EH39" s="102">
        <v>0</v>
      </c>
      <c r="EI39" s="102">
        <v>0</v>
      </c>
      <c r="EJ39" s="102">
        <v>0</v>
      </c>
      <c r="EK39" s="102">
        <v>0</v>
      </c>
      <c r="EL39" s="102">
        <v>0</v>
      </c>
      <c r="EM39" s="102">
        <v>0</v>
      </c>
      <c r="EN39" s="102">
        <v>0</v>
      </c>
      <c r="EO39" s="102">
        <v>0</v>
      </c>
    </row>
    <row r="40" spans="1:145">
      <c r="A40" s="114">
        <v>145</v>
      </c>
      <c r="B40" s="102">
        <v>1890000</v>
      </c>
      <c r="C40" s="102">
        <v>0</v>
      </c>
      <c r="D40" s="102">
        <v>0</v>
      </c>
      <c r="E40" s="102">
        <v>0</v>
      </c>
      <c r="F40" s="102">
        <v>0</v>
      </c>
      <c r="G40" s="102">
        <v>0</v>
      </c>
      <c r="H40" s="102">
        <v>0</v>
      </c>
      <c r="I40" s="102">
        <v>0</v>
      </c>
      <c r="J40" s="102">
        <v>0</v>
      </c>
      <c r="K40" s="102">
        <v>0</v>
      </c>
      <c r="L40" s="102">
        <v>0</v>
      </c>
      <c r="M40" s="102">
        <v>0</v>
      </c>
      <c r="N40" s="102">
        <v>0</v>
      </c>
      <c r="O40" s="102">
        <v>0</v>
      </c>
      <c r="P40" s="102">
        <v>0</v>
      </c>
      <c r="Q40" s="102">
        <v>0</v>
      </c>
      <c r="R40" s="102">
        <v>0</v>
      </c>
      <c r="S40" s="102">
        <v>1890000</v>
      </c>
      <c r="T40" s="102">
        <v>0</v>
      </c>
      <c r="U40" s="102">
        <v>1890000</v>
      </c>
      <c r="V40" s="102">
        <v>1890000</v>
      </c>
      <c r="W40" s="102">
        <v>5241600</v>
      </c>
      <c r="X40" s="102">
        <v>1890000</v>
      </c>
      <c r="Y40" s="102">
        <v>1890000</v>
      </c>
      <c r="Z40" s="102">
        <v>1890000</v>
      </c>
      <c r="AA40" s="102">
        <v>0</v>
      </c>
      <c r="AB40" s="102">
        <v>0</v>
      </c>
      <c r="AC40" s="102">
        <v>0</v>
      </c>
      <c r="AD40" s="102">
        <v>0</v>
      </c>
      <c r="AE40" s="102">
        <v>0</v>
      </c>
      <c r="AF40" s="102">
        <v>0</v>
      </c>
      <c r="AG40" s="102">
        <v>0</v>
      </c>
      <c r="AH40" s="102">
        <v>0</v>
      </c>
      <c r="AI40" s="102">
        <v>0</v>
      </c>
      <c r="AJ40" s="102">
        <v>0</v>
      </c>
      <c r="AK40" s="102">
        <v>0</v>
      </c>
      <c r="AL40" s="102">
        <v>0</v>
      </c>
      <c r="AM40" s="102">
        <v>0</v>
      </c>
      <c r="AN40" s="102">
        <v>0</v>
      </c>
      <c r="AO40" s="102">
        <v>0</v>
      </c>
      <c r="AP40" s="102">
        <v>0</v>
      </c>
      <c r="AQ40" s="102">
        <v>0</v>
      </c>
      <c r="AR40" s="102">
        <v>0</v>
      </c>
      <c r="AS40" s="102">
        <v>0</v>
      </c>
      <c r="AT40" s="102">
        <v>0</v>
      </c>
      <c r="AU40" s="102">
        <v>0</v>
      </c>
      <c r="AV40" s="102">
        <v>0</v>
      </c>
      <c r="AW40" s="102">
        <v>0</v>
      </c>
      <c r="AX40" s="102">
        <v>0</v>
      </c>
      <c r="AY40" s="102">
        <v>0</v>
      </c>
      <c r="AZ40" s="102">
        <v>0</v>
      </c>
      <c r="BA40" s="102">
        <v>0</v>
      </c>
      <c r="BB40" s="102">
        <v>0</v>
      </c>
      <c r="BC40" s="102">
        <v>0</v>
      </c>
      <c r="BD40" s="102">
        <v>0</v>
      </c>
      <c r="BE40" s="102">
        <v>0</v>
      </c>
      <c r="BF40" s="102">
        <v>0</v>
      </c>
      <c r="BG40" s="102">
        <v>0</v>
      </c>
      <c r="BH40" s="102">
        <v>0</v>
      </c>
      <c r="BI40" s="102">
        <v>0</v>
      </c>
      <c r="BJ40" s="102">
        <v>0</v>
      </c>
      <c r="BK40" s="102">
        <v>0</v>
      </c>
      <c r="BL40" s="102">
        <v>0</v>
      </c>
      <c r="BM40" s="102">
        <v>0</v>
      </c>
      <c r="BN40" s="102">
        <v>0</v>
      </c>
      <c r="BO40" s="102">
        <v>0</v>
      </c>
      <c r="BP40" s="102">
        <v>0</v>
      </c>
      <c r="BQ40" s="102">
        <v>0</v>
      </c>
      <c r="BR40" s="102">
        <v>0</v>
      </c>
      <c r="BS40" s="102">
        <v>0</v>
      </c>
      <c r="BT40" s="102">
        <v>0</v>
      </c>
      <c r="BU40" s="102">
        <v>0</v>
      </c>
      <c r="BV40" s="102">
        <v>0</v>
      </c>
      <c r="BW40" s="102">
        <v>0</v>
      </c>
      <c r="BX40" s="102">
        <v>0</v>
      </c>
      <c r="BY40" s="102">
        <v>0</v>
      </c>
      <c r="BZ40" s="102">
        <v>0</v>
      </c>
      <c r="CA40" s="102">
        <v>0</v>
      </c>
      <c r="CB40" s="102">
        <v>0</v>
      </c>
      <c r="CC40" s="102">
        <v>0</v>
      </c>
      <c r="CD40" s="102">
        <v>0</v>
      </c>
      <c r="CE40" s="102">
        <v>0</v>
      </c>
      <c r="CF40" s="102">
        <v>0</v>
      </c>
      <c r="CG40" s="102">
        <v>0</v>
      </c>
      <c r="CH40" s="102">
        <v>0</v>
      </c>
      <c r="CI40" s="102">
        <v>0</v>
      </c>
      <c r="CJ40" s="102">
        <v>0</v>
      </c>
      <c r="CK40" s="102">
        <v>0</v>
      </c>
      <c r="CL40" s="102">
        <v>0</v>
      </c>
      <c r="CM40" s="102">
        <v>0</v>
      </c>
      <c r="CN40" s="102">
        <v>0</v>
      </c>
      <c r="CO40" s="102">
        <v>0</v>
      </c>
      <c r="CP40" s="102">
        <v>0</v>
      </c>
      <c r="CQ40" s="102">
        <v>0</v>
      </c>
      <c r="CR40" s="102">
        <v>0</v>
      </c>
      <c r="CS40" s="102">
        <v>0</v>
      </c>
      <c r="CT40" s="102">
        <v>0</v>
      </c>
      <c r="CU40" s="102">
        <v>0</v>
      </c>
      <c r="CV40" s="102">
        <v>0</v>
      </c>
      <c r="CW40" s="102">
        <v>0</v>
      </c>
      <c r="CX40" s="102">
        <v>0</v>
      </c>
      <c r="CY40" s="102">
        <v>0</v>
      </c>
      <c r="CZ40" s="102">
        <v>0</v>
      </c>
      <c r="DA40" s="102">
        <v>0</v>
      </c>
      <c r="DB40" s="102">
        <v>0</v>
      </c>
      <c r="DC40" s="102">
        <v>0</v>
      </c>
      <c r="DD40" s="102">
        <v>0</v>
      </c>
      <c r="DE40" s="102">
        <v>0</v>
      </c>
      <c r="DF40" s="102">
        <v>0</v>
      </c>
      <c r="DG40" s="102">
        <v>0</v>
      </c>
      <c r="DH40" s="102">
        <v>0</v>
      </c>
      <c r="DI40" s="102">
        <v>0</v>
      </c>
      <c r="DJ40" s="102">
        <v>0</v>
      </c>
      <c r="DK40" s="102">
        <v>0</v>
      </c>
      <c r="DL40" s="102">
        <v>0</v>
      </c>
      <c r="DM40" s="102">
        <v>0</v>
      </c>
      <c r="DN40" s="102">
        <v>0</v>
      </c>
      <c r="DO40" s="102">
        <v>0</v>
      </c>
      <c r="DP40" s="102">
        <v>0</v>
      </c>
      <c r="DQ40" s="102">
        <v>0</v>
      </c>
      <c r="DR40" s="102">
        <v>0</v>
      </c>
      <c r="DS40" s="66">
        <v>2023</v>
      </c>
      <c r="DT40" s="66">
        <v>3</v>
      </c>
      <c r="DU40" s="66">
        <v>9</v>
      </c>
      <c r="DV40" s="66" t="s">
        <v>586</v>
      </c>
      <c r="DW40" s="66" t="s">
        <v>1022</v>
      </c>
      <c r="DX40" s="66" t="s">
        <v>1023</v>
      </c>
      <c r="DY40" s="64" t="str">
        <f t="shared" si="0"/>
        <v>○</v>
      </c>
      <c r="DZ40" s="102">
        <v>0</v>
      </c>
      <c r="EA40" s="102">
        <v>0</v>
      </c>
      <c r="EB40" s="102">
        <v>0</v>
      </c>
      <c r="EC40" s="102">
        <v>0</v>
      </c>
      <c r="ED40" s="102">
        <v>0</v>
      </c>
      <c r="EE40" s="102">
        <v>0</v>
      </c>
      <c r="EF40" s="102">
        <v>0</v>
      </c>
      <c r="EG40" s="102">
        <v>0</v>
      </c>
      <c r="EH40" s="102">
        <v>0</v>
      </c>
      <c r="EI40" s="102">
        <v>0</v>
      </c>
      <c r="EJ40" s="102">
        <v>0</v>
      </c>
      <c r="EK40" s="102">
        <v>0</v>
      </c>
      <c r="EL40" s="102">
        <v>0</v>
      </c>
      <c r="EM40" s="102">
        <v>0</v>
      </c>
      <c r="EN40" s="102">
        <v>0</v>
      </c>
      <c r="EO40" s="102">
        <v>0</v>
      </c>
    </row>
    <row r="41" spans="1:145">
      <c r="A41" s="114">
        <v>146</v>
      </c>
      <c r="B41" s="102">
        <v>3920000</v>
      </c>
      <c r="C41" s="102">
        <v>638000</v>
      </c>
      <c r="D41" s="102">
        <v>0</v>
      </c>
      <c r="E41" s="102">
        <v>638000</v>
      </c>
      <c r="F41" s="102">
        <v>638000</v>
      </c>
      <c r="G41" s="102">
        <v>266000</v>
      </c>
      <c r="H41" s="102">
        <v>266000</v>
      </c>
      <c r="I41" s="102">
        <v>266000</v>
      </c>
      <c r="J41" s="102">
        <v>266000</v>
      </c>
      <c r="K41" s="102">
        <v>3654090</v>
      </c>
      <c r="L41" s="102">
        <v>0</v>
      </c>
      <c r="M41" s="102">
        <v>3654090</v>
      </c>
      <c r="N41" s="102">
        <v>3654090</v>
      </c>
      <c r="O41" s="102">
        <v>3654090</v>
      </c>
      <c r="P41" s="102">
        <v>3654090</v>
      </c>
      <c r="Q41" s="102">
        <v>3654090</v>
      </c>
      <c r="R41" s="102">
        <v>3654000</v>
      </c>
      <c r="S41" s="102">
        <v>0</v>
      </c>
      <c r="T41" s="102">
        <v>0</v>
      </c>
      <c r="U41" s="102">
        <v>0</v>
      </c>
      <c r="V41" s="102">
        <v>0</v>
      </c>
      <c r="W41" s="102">
        <v>0</v>
      </c>
      <c r="X41" s="102">
        <v>0</v>
      </c>
      <c r="Y41" s="102">
        <v>0</v>
      </c>
      <c r="Z41" s="102">
        <v>0</v>
      </c>
      <c r="AA41" s="102">
        <v>0</v>
      </c>
      <c r="AB41" s="102">
        <v>0</v>
      </c>
      <c r="AC41" s="102">
        <v>0</v>
      </c>
      <c r="AD41" s="102">
        <v>0</v>
      </c>
      <c r="AE41" s="102">
        <v>0</v>
      </c>
      <c r="AF41" s="102">
        <v>0</v>
      </c>
      <c r="AG41" s="102">
        <v>0</v>
      </c>
      <c r="AH41" s="102">
        <v>0</v>
      </c>
      <c r="AI41" s="102">
        <v>0</v>
      </c>
      <c r="AJ41" s="102">
        <v>0</v>
      </c>
      <c r="AK41" s="102">
        <v>0</v>
      </c>
      <c r="AL41" s="102">
        <v>0</v>
      </c>
      <c r="AM41" s="102">
        <v>0</v>
      </c>
      <c r="AN41" s="102">
        <v>0</v>
      </c>
      <c r="AO41" s="102">
        <v>0</v>
      </c>
      <c r="AP41" s="102">
        <v>0</v>
      </c>
      <c r="AQ41" s="102">
        <v>0</v>
      </c>
      <c r="AR41" s="102">
        <v>0</v>
      </c>
      <c r="AS41" s="102">
        <v>0</v>
      </c>
      <c r="AT41" s="102">
        <v>0</v>
      </c>
      <c r="AU41" s="102">
        <v>0</v>
      </c>
      <c r="AV41" s="102">
        <v>0</v>
      </c>
      <c r="AW41" s="102">
        <v>0</v>
      </c>
      <c r="AX41" s="102">
        <v>0</v>
      </c>
      <c r="AY41" s="102">
        <v>0</v>
      </c>
      <c r="AZ41" s="102">
        <v>0</v>
      </c>
      <c r="BA41" s="102">
        <v>0</v>
      </c>
      <c r="BB41" s="102">
        <v>0</v>
      </c>
      <c r="BC41" s="102">
        <v>0</v>
      </c>
      <c r="BD41" s="102">
        <v>0</v>
      </c>
      <c r="BE41" s="102">
        <v>0</v>
      </c>
      <c r="BF41" s="102">
        <v>0</v>
      </c>
      <c r="BG41" s="102">
        <v>0</v>
      </c>
      <c r="BH41" s="102">
        <v>0</v>
      </c>
      <c r="BI41" s="102">
        <v>0</v>
      </c>
      <c r="BJ41" s="102">
        <v>0</v>
      </c>
      <c r="BK41" s="102">
        <v>0</v>
      </c>
      <c r="BL41" s="102">
        <v>0</v>
      </c>
      <c r="BM41" s="102">
        <v>0</v>
      </c>
      <c r="BN41" s="102">
        <v>0</v>
      </c>
      <c r="BO41" s="102">
        <v>0</v>
      </c>
      <c r="BP41" s="102">
        <v>0</v>
      </c>
      <c r="BQ41" s="102">
        <v>0</v>
      </c>
      <c r="BR41" s="102">
        <v>0</v>
      </c>
      <c r="BS41" s="102">
        <v>0</v>
      </c>
      <c r="BT41" s="102">
        <v>0</v>
      </c>
      <c r="BU41" s="102">
        <v>0</v>
      </c>
      <c r="BV41" s="102">
        <v>0</v>
      </c>
      <c r="BW41" s="102">
        <v>0</v>
      </c>
      <c r="BX41" s="102">
        <v>0</v>
      </c>
      <c r="BY41" s="102">
        <v>0</v>
      </c>
      <c r="BZ41" s="102">
        <v>0</v>
      </c>
      <c r="CA41" s="102">
        <v>0</v>
      </c>
      <c r="CB41" s="102">
        <v>0</v>
      </c>
      <c r="CC41" s="102">
        <v>0</v>
      </c>
      <c r="CD41" s="102">
        <v>0</v>
      </c>
      <c r="CE41" s="102">
        <v>0</v>
      </c>
      <c r="CF41" s="102">
        <v>0</v>
      </c>
      <c r="CG41" s="102">
        <v>0</v>
      </c>
      <c r="CH41" s="102">
        <v>0</v>
      </c>
      <c r="CI41" s="102">
        <v>0</v>
      </c>
      <c r="CJ41" s="102">
        <v>0</v>
      </c>
      <c r="CK41" s="102">
        <v>0</v>
      </c>
      <c r="CL41" s="102">
        <v>0</v>
      </c>
      <c r="CM41" s="102">
        <v>0</v>
      </c>
      <c r="CN41" s="102">
        <v>0</v>
      </c>
      <c r="CO41" s="102">
        <v>0</v>
      </c>
      <c r="CP41" s="102">
        <v>0</v>
      </c>
      <c r="CQ41" s="102">
        <v>0</v>
      </c>
      <c r="CR41" s="102">
        <v>0</v>
      </c>
      <c r="CS41" s="102">
        <v>0</v>
      </c>
      <c r="CT41" s="102">
        <v>0</v>
      </c>
      <c r="CU41" s="102">
        <v>0</v>
      </c>
      <c r="CV41" s="102">
        <v>0</v>
      </c>
      <c r="CW41" s="102">
        <v>0</v>
      </c>
      <c r="CX41" s="102">
        <v>0</v>
      </c>
      <c r="CY41" s="102">
        <v>0</v>
      </c>
      <c r="CZ41" s="102">
        <v>0</v>
      </c>
      <c r="DA41" s="102">
        <v>0</v>
      </c>
      <c r="DB41" s="102">
        <v>0</v>
      </c>
      <c r="DC41" s="102">
        <v>0</v>
      </c>
      <c r="DD41" s="102">
        <v>0</v>
      </c>
      <c r="DE41" s="102">
        <v>0</v>
      </c>
      <c r="DF41" s="102">
        <v>0</v>
      </c>
      <c r="DG41" s="102">
        <v>0</v>
      </c>
      <c r="DH41" s="102">
        <v>0</v>
      </c>
      <c r="DI41" s="102">
        <v>0</v>
      </c>
      <c r="DJ41" s="102">
        <v>0</v>
      </c>
      <c r="DK41" s="102">
        <v>0</v>
      </c>
      <c r="DL41" s="102">
        <v>0</v>
      </c>
      <c r="DM41" s="102">
        <v>0</v>
      </c>
      <c r="DN41" s="102">
        <v>0</v>
      </c>
      <c r="DO41" s="102">
        <v>0</v>
      </c>
      <c r="DP41" s="102">
        <v>0</v>
      </c>
      <c r="DQ41" s="102">
        <v>0</v>
      </c>
      <c r="DR41" s="102">
        <v>0</v>
      </c>
      <c r="DS41" s="66">
        <v>2023</v>
      </c>
      <c r="DT41" s="66">
        <v>3</v>
      </c>
      <c r="DU41" s="66">
        <v>9</v>
      </c>
      <c r="DV41" s="66" t="s">
        <v>586</v>
      </c>
      <c r="DW41" s="66" t="s">
        <v>1016</v>
      </c>
      <c r="DX41" s="66" t="s">
        <v>583</v>
      </c>
      <c r="DY41" s="64" t="str">
        <f t="shared" si="0"/>
        <v>○</v>
      </c>
      <c r="DZ41" s="102">
        <v>638000</v>
      </c>
      <c r="EA41" s="102">
        <v>0</v>
      </c>
      <c r="EB41" s="102">
        <v>638000</v>
      </c>
      <c r="EC41" s="102">
        <v>638000</v>
      </c>
      <c r="ED41" s="102">
        <v>266000</v>
      </c>
      <c r="EE41" s="102">
        <v>266000</v>
      </c>
      <c r="EF41" s="102">
        <v>266000</v>
      </c>
      <c r="EG41" s="102">
        <v>266000</v>
      </c>
      <c r="EH41" s="102">
        <v>638000</v>
      </c>
      <c r="EI41" s="102">
        <v>0</v>
      </c>
      <c r="EJ41" s="102">
        <v>638000</v>
      </c>
      <c r="EK41" s="102">
        <v>638000</v>
      </c>
      <c r="EL41" s="102">
        <v>266000</v>
      </c>
      <c r="EM41" s="102">
        <v>266000</v>
      </c>
      <c r="EN41" s="102">
        <v>266000</v>
      </c>
      <c r="EO41" s="102">
        <v>266000</v>
      </c>
    </row>
    <row r="42" spans="1:145">
      <c r="A42" s="114">
        <v>147</v>
      </c>
      <c r="B42" s="102">
        <v>12206000</v>
      </c>
      <c r="C42" s="102">
        <v>0</v>
      </c>
      <c r="D42" s="102">
        <v>0</v>
      </c>
      <c r="E42" s="102">
        <v>0</v>
      </c>
      <c r="F42" s="102">
        <v>0</v>
      </c>
      <c r="G42" s="102">
        <v>0</v>
      </c>
      <c r="H42" s="102">
        <v>0</v>
      </c>
      <c r="I42" s="102">
        <v>0</v>
      </c>
      <c r="J42" s="102">
        <v>0</v>
      </c>
      <c r="K42" s="102">
        <v>12206913</v>
      </c>
      <c r="L42" s="102">
        <v>0</v>
      </c>
      <c r="M42" s="102">
        <v>12206913</v>
      </c>
      <c r="N42" s="102">
        <v>12206913</v>
      </c>
      <c r="O42" s="102">
        <v>12206913</v>
      </c>
      <c r="P42" s="102">
        <v>12206913</v>
      </c>
      <c r="Q42" s="102">
        <v>12206913</v>
      </c>
      <c r="R42" s="102">
        <v>12206000</v>
      </c>
      <c r="S42" s="102">
        <v>0</v>
      </c>
      <c r="T42" s="102">
        <v>0</v>
      </c>
      <c r="U42" s="102">
        <v>0</v>
      </c>
      <c r="V42" s="102">
        <v>0</v>
      </c>
      <c r="W42" s="102">
        <v>0</v>
      </c>
      <c r="X42" s="102">
        <v>0</v>
      </c>
      <c r="Y42" s="102">
        <v>0</v>
      </c>
      <c r="Z42" s="102">
        <v>0</v>
      </c>
      <c r="AA42" s="102">
        <v>0</v>
      </c>
      <c r="AB42" s="102">
        <v>0</v>
      </c>
      <c r="AC42" s="102">
        <v>0</v>
      </c>
      <c r="AD42" s="102">
        <v>0</v>
      </c>
      <c r="AE42" s="102">
        <v>0</v>
      </c>
      <c r="AF42" s="102">
        <v>0</v>
      </c>
      <c r="AG42" s="102">
        <v>0</v>
      </c>
      <c r="AH42" s="102">
        <v>0</v>
      </c>
      <c r="AI42" s="102">
        <v>0</v>
      </c>
      <c r="AJ42" s="102">
        <v>0</v>
      </c>
      <c r="AK42" s="102">
        <v>0</v>
      </c>
      <c r="AL42" s="102">
        <v>0</v>
      </c>
      <c r="AM42" s="102">
        <v>0</v>
      </c>
      <c r="AN42" s="102">
        <v>0</v>
      </c>
      <c r="AO42" s="102">
        <v>0</v>
      </c>
      <c r="AP42" s="102">
        <v>0</v>
      </c>
      <c r="AQ42" s="102">
        <v>0</v>
      </c>
      <c r="AR42" s="102">
        <v>0</v>
      </c>
      <c r="AS42" s="102">
        <v>0</v>
      </c>
      <c r="AT42" s="102">
        <v>0</v>
      </c>
      <c r="AU42" s="102">
        <v>0</v>
      </c>
      <c r="AV42" s="102">
        <v>0</v>
      </c>
      <c r="AW42" s="102">
        <v>0</v>
      </c>
      <c r="AX42" s="102">
        <v>0</v>
      </c>
      <c r="AY42" s="102">
        <v>0</v>
      </c>
      <c r="AZ42" s="102">
        <v>0</v>
      </c>
      <c r="BA42" s="102">
        <v>0</v>
      </c>
      <c r="BB42" s="102">
        <v>0</v>
      </c>
      <c r="BC42" s="102">
        <v>0</v>
      </c>
      <c r="BD42" s="102">
        <v>0</v>
      </c>
      <c r="BE42" s="102">
        <v>0</v>
      </c>
      <c r="BF42" s="102">
        <v>0</v>
      </c>
      <c r="BG42" s="102">
        <v>0</v>
      </c>
      <c r="BH42" s="102">
        <v>0</v>
      </c>
      <c r="BI42" s="102">
        <v>0</v>
      </c>
      <c r="BJ42" s="102">
        <v>0</v>
      </c>
      <c r="BK42" s="102">
        <v>0</v>
      </c>
      <c r="BL42" s="102">
        <v>0</v>
      </c>
      <c r="BM42" s="102">
        <v>0</v>
      </c>
      <c r="BN42" s="102">
        <v>0</v>
      </c>
      <c r="BO42" s="102">
        <v>0</v>
      </c>
      <c r="BP42" s="102">
        <v>0</v>
      </c>
      <c r="BQ42" s="102">
        <v>0</v>
      </c>
      <c r="BR42" s="102">
        <v>0</v>
      </c>
      <c r="BS42" s="102">
        <v>0</v>
      </c>
      <c r="BT42" s="102">
        <v>0</v>
      </c>
      <c r="BU42" s="102">
        <v>0</v>
      </c>
      <c r="BV42" s="102">
        <v>0</v>
      </c>
      <c r="BW42" s="102">
        <v>0</v>
      </c>
      <c r="BX42" s="102">
        <v>0</v>
      </c>
      <c r="BY42" s="102">
        <v>0</v>
      </c>
      <c r="BZ42" s="102">
        <v>0</v>
      </c>
      <c r="CA42" s="102">
        <v>0</v>
      </c>
      <c r="CB42" s="102">
        <v>0</v>
      </c>
      <c r="CC42" s="102">
        <v>0</v>
      </c>
      <c r="CD42" s="102">
        <v>0</v>
      </c>
      <c r="CE42" s="102">
        <v>0</v>
      </c>
      <c r="CF42" s="102">
        <v>0</v>
      </c>
      <c r="CG42" s="102">
        <v>0</v>
      </c>
      <c r="CH42" s="102">
        <v>0</v>
      </c>
      <c r="CI42" s="102">
        <v>0</v>
      </c>
      <c r="CJ42" s="102">
        <v>0</v>
      </c>
      <c r="CK42" s="102">
        <v>0</v>
      </c>
      <c r="CL42" s="102">
        <v>0</v>
      </c>
      <c r="CM42" s="102">
        <v>0</v>
      </c>
      <c r="CN42" s="102">
        <v>0</v>
      </c>
      <c r="CO42" s="102">
        <v>0</v>
      </c>
      <c r="CP42" s="102">
        <v>0</v>
      </c>
      <c r="CQ42" s="102">
        <v>0</v>
      </c>
      <c r="CR42" s="102">
        <v>0</v>
      </c>
      <c r="CS42" s="102">
        <v>0</v>
      </c>
      <c r="CT42" s="102">
        <v>0</v>
      </c>
      <c r="CU42" s="102">
        <v>0</v>
      </c>
      <c r="CV42" s="102">
        <v>0</v>
      </c>
      <c r="CW42" s="102">
        <v>0</v>
      </c>
      <c r="CX42" s="102">
        <v>0</v>
      </c>
      <c r="CY42" s="102">
        <v>0</v>
      </c>
      <c r="CZ42" s="102">
        <v>0</v>
      </c>
      <c r="DA42" s="102">
        <v>0</v>
      </c>
      <c r="DB42" s="102">
        <v>0</v>
      </c>
      <c r="DC42" s="102">
        <v>0</v>
      </c>
      <c r="DD42" s="102">
        <v>0</v>
      </c>
      <c r="DE42" s="102">
        <v>0</v>
      </c>
      <c r="DF42" s="102">
        <v>0</v>
      </c>
      <c r="DG42" s="102">
        <v>0</v>
      </c>
      <c r="DH42" s="102">
        <v>0</v>
      </c>
      <c r="DI42" s="102">
        <v>0</v>
      </c>
      <c r="DJ42" s="102">
        <v>0</v>
      </c>
      <c r="DK42" s="102">
        <v>0</v>
      </c>
      <c r="DL42" s="102">
        <v>0</v>
      </c>
      <c r="DM42" s="102">
        <v>0</v>
      </c>
      <c r="DN42" s="102">
        <v>0</v>
      </c>
      <c r="DO42" s="102">
        <v>0</v>
      </c>
      <c r="DP42" s="102">
        <v>0</v>
      </c>
      <c r="DQ42" s="102">
        <v>0</v>
      </c>
      <c r="DR42" s="102">
        <v>0</v>
      </c>
      <c r="DS42" s="66">
        <v>2023</v>
      </c>
      <c r="DT42" s="66">
        <v>3</v>
      </c>
      <c r="DU42" s="66">
        <v>9</v>
      </c>
      <c r="DV42" s="66" t="s">
        <v>586</v>
      </c>
      <c r="DW42" s="66" t="s">
        <v>607</v>
      </c>
      <c r="DX42" s="66" t="s">
        <v>597</v>
      </c>
      <c r="DY42" s="64" t="str">
        <f t="shared" si="0"/>
        <v>○</v>
      </c>
      <c r="DZ42" s="102">
        <v>0</v>
      </c>
      <c r="EA42" s="102">
        <v>0</v>
      </c>
      <c r="EB42" s="102">
        <v>0</v>
      </c>
      <c r="EC42" s="102">
        <v>0</v>
      </c>
      <c r="ED42" s="102">
        <v>0</v>
      </c>
      <c r="EE42" s="102">
        <v>0</v>
      </c>
      <c r="EF42" s="102">
        <v>0</v>
      </c>
      <c r="EG42" s="102">
        <v>0</v>
      </c>
      <c r="EH42" s="102">
        <v>0</v>
      </c>
      <c r="EI42" s="102">
        <v>0</v>
      </c>
      <c r="EJ42" s="102">
        <v>0</v>
      </c>
      <c r="EK42" s="102">
        <v>0</v>
      </c>
      <c r="EL42" s="102">
        <v>0</v>
      </c>
      <c r="EM42" s="102">
        <v>0</v>
      </c>
      <c r="EN42" s="102">
        <v>0</v>
      </c>
      <c r="EO42" s="102">
        <v>0</v>
      </c>
    </row>
    <row r="43" spans="1:145">
      <c r="A43" s="114">
        <v>148</v>
      </c>
      <c r="B43" s="102">
        <v>422000</v>
      </c>
      <c r="C43" s="102">
        <v>0</v>
      </c>
      <c r="D43" s="102">
        <v>0</v>
      </c>
      <c r="E43" s="102">
        <v>0</v>
      </c>
      <c r="F43" s="102">
        <v>0</v>
      </c>
      <c r="G43" s="102">
        <v>0</v>
      </c>
      <c r="H43" s="102">
        <v>0</v>
      </c>
      <c r="I43" s="102">
        <v>0</v>
      </c>
      <c r="J43" s="102">
        <v>0</v>
      </c>
      <c r="K43" s="102">
        <v>0</v>
      </c>
      <c r="L43" s="102">
        <v>0</v>
      </c>
      <c r="M43" s="102">
        <v>0</v>
      </c>
      <c r="N43" s="102">
        <v>0</v>
      </c>
      <c r="O43" s="102">
        <v>0</v>
      </c>
      <c r="P43" s="102">
        <v>0</v>
      </c>
      <c r="Q43" s="102">
        <v>0</v>
      </c>
      <c r="R43" s="102">
        <v>0</v>
      </c>
      <c r="S43" s="102">
        <v>0</v>
      </c>
      <c r="T43" s="102">
        <v>0</v>
      </c>
      <c r="U43" s="102">
        <v>0</v>
      </c>
      <c r="V43" s="102">
        <v>0</v>
      </c>
      <c r="W43" s="102">
        <v>0</v>
      </c>
      <c r="X43" s="102">
        <v>0</v>
      </c>
      <c r="Y43" s="102">
        <v>0</v>
      </c>
      <c r="Z43" s="102">
        <v>0</v>
      </c>
      <c r="AA43" s="102">
        <v>0</v>
      </c>
      <c r="AB43" s="102">
        <v>0</v>
      </c>
      <c r="AC43" s="102">
        <v>0</v>
      </c>
      <c r="AD43" s="102">
        <v>0</v>
      </c>
      <c r="AE43" s="102">
        <v>0</v>
      </c>
      <c r="AF43" s="102">
        <v>0</v>
      </c>
      <c r="AG43" s="102">
        <v>0</v>
      </c>
      <c r="AH43" s="102">
        <v>0</v>
      </c>
      <c r="AI43" s="102">
        <v>0</v>
      </c>
      <c r="AJ43" s="102">
        <v>0</v>
      </c>
      <c r="AK43" s="102">
        <v>0</v>
      </c>
      <c r="AL43" s="102">
        <v>0</v>
      </c>
      <c r="AM43" s="102">
        <v>0</v>
      </c>
      <c r="AN43" s="102">
        <v>0</v>
      </c>
      <c r="AO43" s="102">
        <v>0</v>
      </c>
      <c r="AP43" s="102">
        <v>0</v>
      </c>
      <c r="AQ43" s="102">
        <v>0</v>
      </c>
      <c r="AR43" s="102">
        <v>0</v>
      </c>
      <c r="AS43" s="102">
        <v>0</v>
      </c>
      <c r="AT43" s="102">
        <v>0</v>
      </c>
      <c r="AU43" s="102">
        <v>0</v>
      </c>
      <c r="AV43" s="102">
        <v>0</v>
      </c>
      <c r="AW43" s="102">
        <v>0</v>
      </c>
      <c r="AX43" s="102">
        <v>0</v>
      </c>
      <c r="AY43" s="102">
        <v>0</v>
      </c>
      <c r="AZ43" s="102">
        <v>0</v>
      </c>
      <c r="BA43" s="102">
        <v>0</v>
      </c>
      <c r="BB43" s="102">
        <v>0</v>
      </c>
      <c r="BC43" s="102">
        <v>0</v>
      </c>
      <c r="BD43" s="102">
        <v>0</v>
      </c>
      <c r="BE43" s="102">
        <v>0</v>
      </c>
      <c r="BF43" s="102">
        <v>0</v>
      </c>
      <c r="BG43" s="102">
        <v>0</v>
      </c>
      <c r="BH43" s="102">
        <v>0</v>
      </c>
      <c r="BI43" s="102">
        <v>0</v>
      </c>
      <c r="BJ43" s="102">
        <v>0</v>
      </c>
      <c r="BK43" s="102">
        <v>0</v>
      </c>
      <c r="BL43" s="102">
        <v>0</v>
      </c>
      <c r="BM43" s="102">
        <v>0</v>
      </c>
      <c r="BN43" s="102">
        <v>0</v>
      </c>
      <c r="BO43" s="102">
        <v>0</v>
      </c>
      <c r="BP43" s="102">
        <v>0</v>
      </c>
      <c r="BQ43" s="102">
        <v>0</v>
      </c>
      <c r="BR43" s="102">
        <v>0</v>
      </c>
      <c r="BS43" s="102">
        <v>0</v>
      </c>
      <c r="BT43" s="102">
        <v>0</v>
      </c>
      <c r="BU43" s="102">
        <v>0</v>
      </c>
      <c r="BV43" s="102">
        <v>0</v>
      </c>
      <c r="BW43" s="102">
        <v>422400</v>
      </c>
      <c r="BX43" s="102">
        <v>0</v>
      </c>
      <c r="BY43" s="102">
        <v>422400</v>
      </c>
      <c r="BZ43" s="102">
        <v>422400</v>
      </c>
      <c r="CA43" s="102">
        <v>6600000</v>
      </c>
      <c r="CB43" s="102">
        <v>422000</v>
      </c>
      <c r="CC43" s="102">
        <v>422000</v>
      </c>
      <c r="CD43" s="102">
        <v>422000</v>
      </c>
      <c r="CE43" s="102">
        <v>0</v>
      </c>
      <c r="CF43" s="102">
        <v>0</v>
      </c>
      <c r="CG43" s="102">
        <v>0</v>
      </c>
      <c r="CH43" s="102">
        <v>0</v>
      </c>
      <c r="CI43" s="102">
        <v>0</v>
      </c>
      <c r="CJ43" s="102">
        <v>0</v>
      </c>
      <c r="CK43" s="102">
        <v>0</v>
      </c>
      <c r="CL43" s="102">
        <v>0</v>
      </c>
      <c r="CM43" s="102">
        <v>0</v>
      </c>
      <c r="CN43" s="102">
        <v>0</v>
      </c>
      <c r="CO43" s="102">
        <v>0</v>
      </c>
      <c r="CP43" s="102">
        <v>0</v>
      </c>
      <c r="CQ43" s="102">
        <v>0</v>
      </c>
      <c r="CR43" s="102">
        <v>0</v>
      </c>
      <c r="CS43" s="102">
        <v>0</v>
      </c>
      <c r="CT43" s="102">
        <v>0</v>
      </c>
      <c r="CU43" s="102">
        <v>0</v>
      </c>
      <c r="CV43" s="102">
        <v>0</v>
      </c>
      <c r="CW43" s="102">
        <v>0</v>
      </c>
      <c r="CX43" s="102">
        <v>0</v>
      </c>
      <c r="CY43" s="102">
        <v>0</v>
      </c>
      <c r="CZ43" s="102">
        <v>0</v>
      </c>
      <c r="DA43" s="102">
        <v>0</v>
      </c>
      <c r="DB43" s="102">
        <v>0</v>
      </c>
      <c r="DC43" s="102">
        <v>0</v>
      </c>
      <c r="DD43" s="102">
        <v>0</v>
      </c>
      <c r="DE43" s="102">
        <v>0</v>
      </c>
      <c r="DF43" s="102">
        <v>0</v>
      </c>
      <c r="DG43" s="102">
        <v>0</v>
      </c>
      <c r="DH43" s="102">
        <v>0</v>
      </c>
      <c r="DI43" s="102">
        <v>0</v>
      </c>
      <c r="DJ43" s="102">
        <v>0</v>
      </c>
      <c r="DK43" s="102">
        <v>0</v>
      </c>
      <c r="DL43" s="102">
        <v>0</v>
      </c>
      <c r="DM43" s="102">
        <v>0</v>
      </c>
      <c r="DN43" s="102">
        <v>0</v>
      </c>
      <c r="DO43" s="102">
        <v>0</v>
      </c>
      <c r="DP43" s="102">
        <v>0</v>
      </c>
      <c r="DQ43" s="102">
        <v>0</v>
      </c>
      <c r="DR43" s="102">
        <v>0</v>
      </c>
      <c r="DS43" s="66">
        <v>2023</v>
      </c>
      <c r="DT43" s="66">
        <v>3</v>
      </c>
      <c r="DU43" s="66">
        <v>9</v>
      </c>
      <c r="DV43" s="66" t="s">
        <v>595</v>
      </c>
      <c r="DW43" s="66" t="s">
        <v>596</v>
      </c>
      <c r="DX43" s="66" t="s">
        <v>583</v>
      </c>
      <c r="DY43" s="64" t="str">
        <f t="shared" si="0"/>
        <v>○</v>
      </c>
      <c r="DZ43" s="102">
        <v>0</v>
      </c>
      <c r="EA43" s="102">
        <v>0</v>
      </c>
      <c r="EB43" s="102">
        <v>0</v>
      </c>
      <c r="EC43" s="102">
        <v>0</v>
      </c>
      <c r="ED43" s="102">
        <v>0</v>
      </c>
      <c r="EE43" s="102">
        <v>0</v>
      </c>
      <c r="EF43" s="102">
        <v>0</v>
      </c>
      <c r="EG43" s="102">
        <v>0</v>
      </c>
      <c r="EH43" s="102">
        <v>0</v>
      </c>
      <c r="EI43" s="102">
        <v>0</v>
      </c>
      <c r="EJ43" s="102">
        <v>0</v>
      </c>
      <c r="EK43" s="102">
        <v>0</v>
      </c>
      <c r="EL43" s="102">
        <v>0</v>
      </c>
      <c r="EM43" s="102">
        <v>0</v>
      </c>
      <c r="EN43" s="102">
        <v>0</v>
      </c>
      <c r="EO43" s="102">
        <v>0</v>
      </c>
    </row>
    <row r="44" spans="1:145">
      <c r="A44" s="114">
        <v>151</v>
      </c>
      <c r="B44" s="102">
        <v>5135000</v>
      </c>
      <c r="C44" s="102">
        <v>0</v>
      </c>
      <c r="D44" s="102">
        <v>0</v>
      </c>
      <c r="E44" s="102">
        <v>0</v>
      </c>
      <c r="F44" s="102">
        <v>0</v>
      </c>
      <c r="G44" s="102">
        <v>0</v>
      </c>
      <c r="H44" s="102">
        <v>0</v>
      </c>
      <c r="I44" s="102">
        <v>0</v>
      </c>
      <c r="J44" s="102">
        <v>0</v>
      </c>
      <c r="K44" s="102">
        <v>0</v>
      </c>
      <c r="L44" s="102">
        <v>0</v>
      </c>
      <c r="M44" s="102">
        <v>0</v>
      </c>
      <c r="N44" s="102">
        <v>0</v>
      </c>
      <c r="O44" s="102">
        <v>0</v>
      </c>
      <c r="P44" s="102">
        <v>0</v>
      </c>
      <c r="Q44" s="102">
        <v>0</v>
      </c>
      <c r="R44" s="102">
        <v>0</v>
      </c>
      <c r="S44" s="102">
        <v>5135320</v>
      </c>
      <c r="T44" s="102">
        <v>0</v>
      </c>
      <c r="U44" s="102">
        <v>5135320</v>
      </c>
      <c r="V44" s="102">
        <v>5135320</v>
      </c>
      <c r="W44" s="102">
        <v>5241600</v>
      </c>
      <c r="X44" s="102">
        <v>5135320</v>
      </c>
      <c r="Y44" s="102">
        <v>5135320</v>
      </c>
      <c r="Z44" s="102">
        <v>5135000</v>
      </c>
      <c r="AA44" s="102">
        <v>0</v>
      </c>
      <c r="AB44" s="102">
        <v>0</v>
      </c>
      <c r="AC44" s="102">
        <v>0</v>
      </c>
      <c r="AD44" s="102">
        <v>0</v>
      </c>
      <c r="AE44" s="102">
        <v>0</v>
      </c>
      <c r="AF44" s="102">
        <v>0</v>
      </c>
      <c r="AG44" s="102">
        <v>0</v>
      </c>
      <c r="AH44" s="102">
        <v>0</v>
      </c>
      <c r="AI44" s="102">
        <v>0</v>
      </c>
      <c r="AJ44" s="102">
        <v>0</v>
      </c>
      <c r="AK44" s="102">
        <v>0</v>
      </c>
      <c r="AL44" s="102">
        <v>0</v>
      </c>
      <c r="AM44" s="102">
        <v>0</v>
      </c>
      <c r="AN44" s="102">
        <v>0</v>
      </c>
      <c r="AO44" s="102">
        <v>0</v>
      </c>
      <c r="AP44" s="102">
        <v>0</v>
      </c>
      <c r="AQ44" s="102">
        <v>0</v>
      </c>
      <c r="AR44" s="102">
        <v>0</v>
      </c>
      <c r="AS44" s="102">
        <v>0</v>
      </c>
      <c r="AT44" s="102">
        <v>0</v>
      </c>
      <c r="AU44" s="102">
        <v>0</v>
      </c>
      <c r="AV44" s="102">
        <v>0</v>
      </c>
      <c r="AW44" s="102">
        <v>0</v>
      </c>
      <c r="AX44" s="102">
        <v>0</v>
      </c>
      <c r="AY44" s="102">
        <v>0</v>
      </c>
      <c r="AZ44" s="102">
        <v>0</v>
      </c>
      <c r="BA44" s="102">
        <v>0</v>
      </c>
      <c r="BB44" s="102">
        <v>0</v>
      </c>
      <c r="BC44" s="102">
        <v>0</v>
      </c>
      <c r="BD44" s="102">
        <v>0</v>
      </c>
      <c r="BE44" s="102">
        <v>0</v>
      </c>
      <c r="BF44" s="102">
        <v>0</v>
      </c>
      <c r="BG44" s="102">
        <v>0</v>
      </c>
      <c r="BH44" s="102">
        <v>0</v>
      </c>
      <c r="BI44" s="102">
        <v>0</v>
      </c>
      <c r="BJ44" s="102">
        <v>0</v>
      </c>
      <c r="BK44" s="102">
        <v>0</v>
      </c>
      <c r="BL44" s="102">
        <v>0</v>
      </c>
      <c r="BM44" s="102">
        <v>0</v>
      </c>
      <c r="BN44" s="102">
        <v>0</v>
      </c>
      <c r="BO44" s="102">
        <v>0</v>
      </c>
      <c r="BP44" s="102">
        <v>0</v>
      </c>
      <c r="BQ44" s="102">
        <v>0</v>
      </c>
      <c r="BR44" s="102">
        <v>0</v>
      </c>
      <c r="BS44" s="102">
        <v>0</v>
      </c>
      <c r="BT44" s="102">
        <v>0</v>
      </c>
      <c r="BU44" s="102">
        <v>0</v>
      </c>
      <c r="BV44" s="102">
        <v>0</v>
      </c>
      <c r="BW44" s="102">
        <v>0</v>
      </c>
      <c r="BX44" s="102">
        <v>0</v>
      </c>
      <c r="BY44" s="102">
        <v>0</v>
      </c>
      <c r="BZ44" s="102">
        <v>0</v>
      </c>
      <c r="CA44" s="102">
        <v>0</v>
      </c>
      <c r="CB44" s="102">
        <v>0</v>
      </c>
      <c r="CC44" s="102">
        <v>0</v>
      </c>
      <c r="CD44" s="102">
        <v>0</v>
      </c>
      <c r="CE44" s="102">
        <v>0</v>
      </c>
      <c r="CF44" s="102">
        <v>0</v>
      </c>
      <c r="CG44" s="102">
        <v>0</v>
      </c>
      <c r="CH44" s="102">
        <v>0</v>
      </c>
      <c r="CI44" s="102">
        <v>0</v>
      </c>
      <c r="CJ44" s="102">
        <v>0</v>
      </c>
      <c r="CK44" s="102">
        <v>0</v>
      </c>
      <c r="CL44" s="102">
        <v>0</v>
      </c>
      <c r="CM44" s="102">
        <v>0</v>
      </c>
      <c r="CN44" s="102">
        <v>0</v>
      </c>
      <c r="CO44" s="102">
        <v>0</v>
      </c>
      <c r="CP44" s="102">
        <v>0</v>
      </c>
      <c r="CQ44" s="102">
        <v>0</v>
      </c>
      <c r="CR44" s="102">
        <v>0</v>
      </c>
      <c r="CS44" s="102">
        <v>0</v>
      </c>
      <c r="CT44" s="102">
        <v>0</v>
      </c>
      <c r="CU44" s="102">
        <v>0</v>
      </c>
      <c r="CV44" s="102">
        <v>0</v>
      </c>
      <c r="CW44" s="102">
        <v>0</v>
      </c>
      <c r="CX44" s="102">
        <v>0</v>
      </c>
      <c r="CY44" s="102">
        <v>0</v>
      </c>
      <c r="CZ44" s="102">
        <v>0</v>
      </c>
      <c r="DA44" s="102">
        <v>0</v>
      </c>
      <c r="DB44" s="102">
        <v>0</v>
      </c>
      <c r="DC44" s="102">
        <v>0</v>
      </c>
      <c r="DD44" s="102">
        <v>0</v>
      </c>
      <c r="DE44" s="102">
        <v>0</v>
      </c>
      <c r="DF44" s="102">
        <v>0</v>
      </c>
      <c r="DG44" s="102">
        <v>0</v>
      </c>
      <c r="DH44" s="102">
        <v>0</v>
      </c>
      <c r="DI44" s="102">
        <v>0</v>
      </c>
      <c r="DJ44" s="102">
        <v>0</v>
      </c>
      <c r="DK44" s="102">
        <v>0</v>
      </c>
      <c r="DL44" s="102">
        <v>0</v>
      </c>
      <c r="DM44" s="102">
        <v>0</v>
      </c>
      <c r="DN44" s="102">
        <v>0</v>
      </c>
      <c r="DO44" s="102">
        <v>0</v>
      </c>
      <c r="DP44" s="102">
        <v>0</v>
      </c>
      <c r="DQ44" s="102">
        <v>0</v>
      </c>
      <c r="DR44" s="102">
        <v>0</v>
      </c>
      <c r="DS44" s="66">
        <v>2023</v>
      </c>
      <c r="DT44" s="66">
        <v>3</v>
      </c>
      <c r="DU44" s="66">
        <v>9</v>
      </c>
      <c r="DV44" s="66" t="s">
        <v>589</v>
      </c>
      <c r="DW44" s="66" t="s">
        <v>1013</v>
      </c>
      <c r="DX44" s="66" t="s">
        <v>583</v>
      </c>
      <c r="DY44" s="64" t="str">
        <f t="shared" si="0"/>
        <v>○</v>
      </c>
      <c r="DZ44" s="102">
        <v>0</v>
      </c>
      <c r="EA44" s="102">
        <v>0</v>
      </c>
      <c r="EB44" s="102">
        <v>0</v>
      </c>
      <c r="EC44" s="102">
        <v>0</v>
      </c>
      <c r="ED44" s="102">
        <v>0</v>
      </c>
      <c r="EE44" s="102">
        <v>0</v>
      </c>
      <c r="EF44" s="102">
        <v>0</v>
      </c>
      <c r="EG44" s="102">
        <v>0</v>
      </c>
      <c r="EH44" s="102">
        <v>0</v>
      </c>
      <c r="EI44" s="102">
        <v>0</v>
      </c>
      <c r="EJ44" s="102">
        <v>0</v>
      </c>
      <c r="EK44" s="102">
        <v>0</v>
      </c>
      <c r="EL44" s="102">
        <v>0</v>
      </c>
      <c r="EM44" s="102">
        <v>0</v>
      </c>
      <c r="EN44" s="102">
        <v>0</v>
      </c>
      <c r="EO44" s="102">
        <v>0</v>
      </c>
    </row>
    <row r="45" spans="1:145">
      <c r="A45" s="114">
        <v>152</v>
      </c>
      <c r="B45" s="102">
        <v>9122000</v>
      </c>
      <c r="C45" s="102">
        <v>0</v>
      </c>
      <c r="D45" s="102">
        <v>0</v>
      </c>
      <c r="E45" s="102">
        <v>0</v>
      </c>
      <c r="F45" s="102">
        <v>0</v>
      </c>
      <c r="G45" s="102">
        <v>0</v>
      </c>
      <c r="H45" s="102">
        <v>0</v>
      </c>
      <c r="I45" s="102">
        <v>0</v>
      </c>
      <c r="J45" s="102">
        <v>0</v>
      </c>
      <c r="K45" s="102">
        <v>0</v>
      </c>
      <c r="L45" s="102">
        <v>0</v>
      </c>
      <c r="M45" s="102">
        <v>0</v>
      </c>
      <c r="N45" s="102">
        <v>0</v>
      </c>
      <c r="O45" s="102">
        <v>0</v>
      </c>
      <c r="P45" s="102">
        <v>0</v>
      </c>
      <c r="Q45" s="102">
        <v>0</v>
      </c>
      <c r="R45" s="102">
        <v>0</v>
      </c>
      <c r="S45" s="102">
        <v>6427530</v>
      </c>
      <c r="T45" s="102">
        <v>0</v>
      </c>
      <c r="U45" s="102">
        <v>6427530</v>
      </c>
      <c r="V45" s="102">
        <v>6427530</v>
      </c>
      <c r="W45" s="102">
        <v>13104000</v>
      </c>
      <c r="X45" s="102">
        <v>6427530</v>
      </c>
      <c r="Y45" s="102">
        <v>6427530</v>
      </c>
      <c r="Z45" s="102">
        <v>6427000</v>
      </c>
      <c r="AA45" s="102">
        <v>1595000</v>
      </c>
      <c r="AB45" s="102">
        <v>0</v>
      </c>
      <c r="AC45" s="102">
        <v>1595000</v>
      </c>
      <c r="AD45" s="102">
        <v>1595000</v>
      </c>
      <c r="AE45" s="102">
        <v>8640000</v>
      </c>
      <c r="AF45" s="102">
        <v>1595000</v>
      </c>
      <c r="AG45" s="102">
        <v>1595000</v>
      </c>
      <c r="AH45" s="102">
        <v>1595000</v>
      </c>
      <c r="AI45" s="102">
        <v>0</v>
      </c>
      <c r="AJ45" s="102">
        <v>0</v>
      </c>
      <c r="AK45" s="102">
        <v>0</v>
      </c>
      <c r="AL45" s="102">
        <v>0</v>
      </c>
      <c r="AM45" s="102">
        <v>0</v>
      </c>
      <c r="AN45" s="102">
        <v>0</v>
      </c>
      <c r="AO45" s="102">
        <v>0</v>
      </c>
      <c r="AP45" s="102">
        <v>0</v>
      </c>
      <c r="AQ45" s="102">
        <v>0</v>
      </c>
      <c r="AR45" s="102">
        <v>0</v>
      </c>
      <c r="AS45" s="102">
        <v>0</v>
      </c>
      <c r="AT45" s="102">
        <v>0</v>
      </c>
      <c r="AU45" s="102">
        <v>0</v>
      </c>
      <c r="AV45" s="102">
        <v>0</v>
      </c>
      <c r="AW45" s="102">
        <v>0</v>
      </c>
      <c r="AX45" s="102">
        <v>0</v>
      </c>
      <c r="AY45" s="102">
        <v>0</v>
      </c>
      <c r="AZ45" s="102">
        <v>0</v>
      </c>
      <c r="BA45" s="102">
        <v>0</v>
      </c>
      <c r="BB45" s="102">
        <v>0</v>
      </c>
      <c r="BC45" s="102">
        <v>0</v>
      </c>
      <c r="BD45" s="102">
        <v>0</v>
      </c>
      <c r="BE45" s="102">
        <v>0</v>
      </c>
      <c r="BF45" s="102">
        <v>0</v>
      </c>
      <c r="BG45" s="102">
        <v>0</v>
      </c>
      <c r="BH45" s="102">
        <v>0</v>
      </c>
      <c r="BI45" s="102">
        <v>0</v>
      </c>
      <c r="BJ45" s="102">
        <v>0</v>
      </c>
      <c r="BK45" s="102">
        <v>0</v>
      </c>
      <c r="BL45" s="102">
        <v>0</v>
      </c>
      <c r="BM45" s="102">
        <v>0</v>
      </c>
      <c r="BN45" s="102">
        <v>0</v>
      </c>
      <c r="BO45" s="102">
        <v>0</v>
      </c>
      <c r="BP45" s="102">
        <v>0</v>
      </c>
      <c r="BQ45" s="102">
        <v>0</v>
      </c>
      <c r="BR45" s="102">
        <v>0</v>
      </c>
      <c r="BS45" s="102">
        <v>0</v>
      </c>
      <c r="BT45" s="102">
        <v>0</v>
      </c>
      <c r="BU45" s="102">
        <v>0</v>
      </c>
      <c r="BV45" s="102">
        <v>0</v>
      </c>
      <c r="BW45" s="102">
        <v>0</v>
      </c>
      <c r="BX45" s="102">
        <v>0</v>
      </c>
      <c r="BY45" s="102">
        <v>0</v>
      </c>
      <c r="BZ45" s="102">
        <v>0</v>
      </c>
      <c r="CA45" s="102">
        <v>0</v>
      </c>
      <c r="CB45" s="102">
        <v>0</v>
      </c>
      <c r="CC45" s="102">
        <v>0</v>
      </c>
      <c r="CD45" s="102">
        <v>0</v>
      </c>
      <c r="CE45" s="102">
        <v>0</v>
      </c>
      <c r="CF45" s="102">
        <v>0</v>
      </c>
      <c r="CG45" s="102">
        <v>0</v>
      </c>
      <c r="CH45" s="102">
        <v>0</v>
      </c>
      <c r="CI45" s="102">
        <v>0</v>
      </c>
      <c r="CJ45" s="102">
        <v>0</v>
      </c>
      <c r="CK45" s="102">
        <v>0</v>
      </c>
      <c r="CL45" s="102">
        <v>0</v>
      </c>
      <c r="CM45" s="102">
        <v>0</v>
      </c>
      <c r="CN45" s="102">
        <v>0</v>
      </c>
      <c r="CO45" s="102">
        <v>0</v>
      </c>
      <c r="CP45" s="102">
        <v>0</v>
      </c>
      <c r="CQ45" s="102">
        <v>0</v>
      </c>
      <c r="CR45" s="102">
        <v>0</v>
      </c>
      <c r="CS45" s="102">
        <v>0</v>
      </c>
      <c r="CT45" s="102">
        <v>0</v>
      </c>
      <c r="CU45" s="102">
        <v>4618900</v>
      </c>
      <c r="CV45" s="102">
        <v>0</v>
      </c>
      <c r="CW45" s="102">
        <v>4618900</v>
      </c>
      <c r="CX45" s="102">
        <v>4618900</v>
      </c>
      <c r="CY45" s="102">
        <v>1100000</v>
      </c>
      <c r="CZ45" s="102">
        <v>1100000</v>
      </c>
      <c r="DA45" s="102">
        <v>1100000</v>
      </c>
      <c r="DB45" s="102">
        <v>1100000</v>
      </c>
      <c r="DC45" s="102">
        <v>0</v>
      </c>
      <c r="DD45" s="102">
        <v>0</v>
      </c>
      <c r="DE45" s="102">
        <v>0</v>
      </c>
      <c r="DF45" s="102">
        <v>0</v>
      </c>
      <c r="DG45" s="102">
        <v>0</v>
      </c>
      <c r="DH45" s="102">
        <v>0</v>
      </c>
      <c r="DI45" s="102">
        <v>0</v>
      </c>
      <c r="DJ45" s="102">
        <v>0</v>
      </c>
      <c r="DK45" s="102">
        <v>0</v>
      </c>
      <c r="DL45" s="102">
        <v>0</v>
      </c>
      <c r="DM45" s="102">
        <v>0</v>
      </c>
      <c r="DN45" s="102">
        <v>0</v>
      </c>
      <c r="DO45" s="102">
        <v>0</v>
      </c>
      <c r="DP45" s="102">
        <v>0</v>
      </c>
      <c r="DQ45" s="102">
        <v>0</v>
      </c>
      <c r="DR45" s="102">
        <v>0</v>
      </c>
      <c r="DS45" s="66">
        <v>2023</v>
      </c>
      <c r="DT45" s="66">
        <v>3</v>
      </c>
      <c r="DU45" s="66">
        <v>9</v>
      </c>
      <c r="DV45" s="66" t="s">
        <v>588</v>
      </c>
      <c r="DW45" s="66" t="s">
        <v>598</v>
      </c>
      <c r="DX45" s="66" t="s">
        <v>583</v>
      </c>
      <c r="DY45" s="64" t="str">
        <f t="shared" si="0"/>
        <v>○</v>
      </c>
      <c r="DZ45" s="102">
        <v>0</v>
      </c>
      <c r="EA45" s="102">
        <v>0</v>
      </c>
      <c r="EB45" s="102">
        <v>0</v>
      </c>
      <c r="EC45" s="102">
        <v>0</v>
      </c>
      <c r="ED45" s="102">
        <v>0</v>
      </c>
      <c r="EE45" s="102">
        <v>0</v>
      </c>
      <c r="EF45" s="102">
        <v>0</v>
      </c>
      <c r="EG45" s="102">
        <v>0</v>
      </c>
      <c r="EH45" s="102">
        <v>0</v>
      </c>
      <c r="EI45" s="102">
        <v>0</v>
      </c>
      <c r="EJ45" s="102">
        <v>0</v>
      </c>
      <c r="EK45" s="102">
        <v>0</v>
      </c>
      <c r="EL45" s="102">
        <v>0</v>
      </c>
      <c r="EM45" s="102">
        <v>0</v>
      </c>
      <c r="EN45" s="102">
        <v>0</v>
      </c>
      <c r="EO45" s="102">
        <v>0</v>
      </c>
    </row>
    <row r="46" spans="1:145">
      <c r="A46" s="66">
        <v>153</v>
      </c>
      <c r="B46" s="102">
        <v>12370000</v>
      </c>
      <c r="C46" s="102">
        <v>0</v>
      </c>
      <c r="D46" s="102">
        <v>0</v>
      </c>
      <c r="E46" s="102">
        <v>0</v>
      </c>
      <c r="F46" s="102">
        <v>0</v>
      </c>
      <c r="G46" s="102">
        <v>0</v>
      </c>
      <c r="H46" s="102">
        <v>0</v>
      </c>
      <c r="I46" s="102">
        <v>0</v>
      </c>
      <c r="J46" s="102">
        <v>0</v>
      </c>
      <c r="K46" s="102">
        <v>0</v>
      </c>
      <c r="L46" s="102">
        <v>0</v>
      </c>
      <c r="M46" s="102">
        <v>0</v>
      </c>
      <c r="N46" s="102">
        <v>0</v>
      </c>
      <c r="O46" s="102">
        <v>0</v>
      </c>
      <c r="P46" s="102">
        <v>0</v>
      </c>
      <c r="Q46" s="102">
        <v>0</v>
      </c>
      <c r="R46" s="102">
        <v>0</v>
      </c>
      <c r="S46" s="102">
        <v>0</v>
      </c>
      <c r="T46" s="102">
        <v>0</v>
      </c>
      <c r="U46" s="102">
        <v>0</v>
      </c>
      <c r="V46" s="102">
        <v>0</v>
      </c>
      <c r="W46" s="102">
        <v>0</v>
      </c>
      <c r="X46" s="102">
        <v>0</v>
      </c>
      <c r="Y46" s="102">
        <v>0</v>
      </c>
      <c r="Z46" s="102">
        <v>0</v>
      </c>
      <c r="AA46" s="102">
        <v>0</v>
      </c>
      <c r="AB46" s="102">
        <v>0</v>
      </c>
      <c r="AC46" s="102">
        <v>0</v>
      </c>
      <c r="AD46" s="102">
        <v>0</v>
      </c>
      <c r="AE46" s="102">
        <v>0</v>
      </c>
      <c r="AF46" s="102">
        <v>0</v>
      </c>
      <c r="AG46" s="102">
        <v>0</v>
      </c>
      <c r="AH46" s="102">
        <v>0</v>
      </c>
      <c r="AI46" s="102">
        <v>0</v>
      </c>
      <c r="AJ46" s="102">
        <v>0</v>
      </c>
      <c r="AK46" s="102">
        <v>0</v>
      </c>
      <c r="AL46" s="102">
        <v>0</v>
      </c>
      <c r="AM46" s="102">
        <v>0</v>
      </c>
      <c r="AN46" s="102">
        <v>0</v>
      </c>
      <c r="AO46" s="102">
        <v>0</v>
      </c>
      <c r="AP46" s="102">
        <v>0</v>
      </c>
      <c r="AQ46" s="102">
        <v>0</v>
      </c>
      <c r="AR46" s="102">
        <v>0</v>
      </c>
      <c r="AS46" s="102">
        <v>0</v>
      </c>
      <c r="AT46" s="102">
        <v>0</v>
      </c>
      <c r="AU46" s="102">
        <v>0</v>
      </c>
      <c r="AV46" s="102">
        <v>0</v>
      </c>
      <c r="AW46" s="102">
        <v>0</v>
      </c>
      <c r="AX46" s="102">
        <v>0</v>
      </c>
      <c r="AY46" s="102">
        <v>0</v>
      </c>
      <c r="AZ46" s="102">
        <v>0</v>
      </c>
      <c r="BA46" s="102">
        <v>0</v>
      </c>
      <c r="BB46" s="102">
        <v>0</v>
      </c>
      <c r="BC46" s="102">
        <v>0</v>
      </c>
      <c r="BD46" s="102">
        <v>0</v>
      </c>
      <c r="BE46" s="102">
        <v>0</v>
      </c>
      <c r="BF46" s="102">
        <v>0</v>
      </c>
      <c r="BG46" s="102">
        <v>0</v>
      </c>
      <c r="BH46" s="102">
        <v>0</v>
      </c>
      <c r="BI46" s="102">
        <v>0</v>
      </c>
      <c r="BJ46" s="102">
        <v>0</v>
      </c>
      <c r="BK46" s="102">
        <v>0</v>
      </c>
      <c r="BL46" s="102">
        <v>0</v>
      </c>
      <c r="BM46" s="102">
        <v>0</v>
      </c>
      <c r="BN46" s="102">
        <v>0</v>
      </c>
      <c r="BO46" s="102">
        <v>0</v>
      </c>
      <c r="BP46" s="102">
        <v>0</v>
      </c>
      <c r="BQ46" s="102">
        <v>0</v>
      </c>
      <c r="BR46" s="102">
        <v>0</v>
      </c>
      <c r="BS46" s="102">
        <v>0</v>
      </c>
      <c r="BT46" s="102">
        <v>0</v>
      </c>
      <c r="BU46" s="102">
        <v>0</v>
      </c>
      <c r="BV46" s="102">
        <v>0</v>
      </c>
      <c r="BW46" s="102">
        <v>0</v>
      </c>
      <c r="BX46" s="102">
        <v>0</v>
      </c>
      <c r="BY46" s="102">
        <v>0</v>
      </c>
      <c r="BZ46" s="102">
        <v>0</v>
      </c>
      <c r="CA46" s="102">
        <v>0</v>
      </c>
      <c r="CB46" s="102">
        <v>0</v>
      </c>
      <c r="CC46" s="102">
        <v>0</v>
      </c>
      <c r="CD46" s="102">
        <v>0</v>
      </c>
      <c r="CE46" s="102">
        <v>0</v>
      </c>
      <c r="CF46" s="102">
        <v>0</v>
      </c>
      <c r="CG46" s="102">
        <v>0</v>
      </c>
      <c r="CH46" s="102">
        <v>0</v>
      </c>
      <c r="CI46" s="102">
        <v>0</v>
      </c>
      <c r="CJ46" s="102">
        <v>0</v>
      </c>
      <c r="CK46" s="102">
        <v>0</v>
      </c>
      <c r="CL46" s="102">
        <v>0</v>
      </c>
      <c r="CM46" s="102">
        <v>3960000</v>
      </c>
      <c r="CN46" s="102">
        <v>0</v>
      </c>
      <c r="CO46" s="102">
        <v>3960000</v>
      </c>
      <c r="CP46" s="102">
        <v>3960000</v>
      </c>
      <c r="CQ46" s="102">
        <v>66000000</v>
      </c>
      <c r="CR46" s="102">
        <v>3960000</v>
      </c>
      <c r="CS46" s="102">
        <v>3960000</v>
      </c>
      <c r="CT46" s="102">
        <v>3960000</v>
      </c>
      <c r="CU46" s="102">
        <v>8410820</v>
      </c>
      <c r="CV46" s="102">
        <v>0</v>
      </c>
      <c r="CW46" s="102">
        <v>8410820</v>
      </c>
      <c r="CX46" s="102">
        <v>8410820</v>
      </c>
      <c r="CY46" s="102">
        <v>8800000</v>
      </c>
      <c r="CZ46" s="102">
        <v>8410820</v>
      </c>
      <c r="DA46" s="102">
        <v>8410820</v>
      </c>
      <c r="DB46" s="102">
        <v>8410000</v>
      </c>
      <c r="DC46" s="102">
        <v>0</v>
      </c>
      <c r="DD46" s="102">
        <v>0</v>
      </c>
      <c r="DE46" s="102">
        <v>0</v>
      </c>
      <c r="DF46" s="102">
        <v>0</v>
      </c>
      <c r="DG46" s="102">
        <v>0</v>
      </c>
      <c r="DH46" s="102">
        <v>0</v>
      </c>
      <c r="DI46" s="102">
        <v>0</v>
      </c>
      <c r="DJ46" s="102">
        <v>0</v>
      </c>
      <c r="DK46" s="102">
        <v>0</v>
      </c>
      <c r="DL46" s="102">
        <v>0</v>
      </c>
      <c r="DM46" s="102">
        <v>0</v>
      </c>
      <c r="DN46" s="102">
        <v>0</v>
      </c>
      <c r="DO46" s="102">
        <v>0</v>
      </c>
      <c r="DP46" s="102">
        <v>0</v>
      </c>
      <c r="DQ46" s="102">
        <v>0</v>
      </c>
      <c r="DR46" s="102">
        <v>0</v>
      </c>
      <c r="DS46" s="66">
        <v>2023</v>
      </c>
      <c r="DT46" s="66">
        <v>3</v>
      </c>
      <c r="DU46" s="66">
        <v>9</v>
      </c>
      <c r="DV46" s="66" t="s">
        <v>609</v>
      </c>
      <c r="DW46" s="66" t="s">
        <v>585</v>
      </c>
      <c r="DX46" s="66" t="s">
        <v>583</v>
      </c>
      <c r="DY46" s="64" t="str">
        <f t="shared" si="0"/>
        <v>○</v>
      </c>
      <c r="DZ46" s="102">
        <v>0</v>
      </c>
      <c r="EA46" s="102">
        <v>0</v>
      </c>
      <c r="EB46" s="102">
        <v>0</v>
      </c>
      <c r="EC46" s="102">
        <v>0</v>
      </c>
      <c r="ED46" s="102">
        <v>0</v>
      </c>
      <c r="EE46" s="102">
        <v>0</v>
      </c>
      <c r="EF46" s="102">
        <v>0</v>
      </c>
      <c r="EG46" s="102">
        <v>0</v>
      </c>
      <c r="EH46" s="102">
        <v>0</v>
      </c>
      <c r="EI46" s="102">
        <v>0</v>
      </c>
      <c r="EJ46" s="102">
        <v>0</v>
      </c>
      <c r="EK46" s="102">
        <v>0</v>
      </c>
      <c r="EL46" s="102">
        <v>0</v>
      </c>
      <c r="EM46" s="102">
        <v>0</v>
      </c>
      <c r="EN46" s="102">
        <v>0</v>
      </c>
      <c r="EO46" s="102">
        <v>0</v>
      </c>
    </row>
    <row r="47" spans="1:145">
      <c r="A47" s="115">
        <v>155</v>
      </c>
      <c r="B47" s="102">
        <v>2622000</v>
      </c>
      <c r="C47" s="102">
        <v>0</v>
      </c>
      <c r="D47" s="102">
        <v>0</v>
      </c>
      <c r="E47" s="102">
        <v>0</v>
      </c>
      <c r="F47" s="102">
        <v>0</v>
      </c>
      <c r="G47" s="102">
        <v>0</v>
      </c>
      <c r="H47" s="102">
        <v>0</v>
      </c>
      <c r="I47" s="102">
        <v>0</v>
      </c>
      <c r="J47" s="102">
        <v>0</v>
      </c>
      <c r="K47" s="102">
        <v>0</v>
      </c>
      <c r="L47" s="102">
        <v>0</v>
      </c>
      <c r="M47" s="102">
        <v>0</v>
      </c>
      <c r="N47" s="102">
        <v>0</v>
      </c>
      <c r="O47" s="102">
        <v>0</v>
      </c>
      <c r="P47" s="102">
        <v>0</v>
      </c>
      <c r="Q47" s="102">
        <v>0</v>
      </c>
      <c r="R47" s="102">
        <v>0</v>
      </c>
      <c r="S47" s="102">
        <v>2622700</v>
      </c>
      <c r="T47" s="102">
        <v>0</v>
      </c>
      <c r="U47" s="102">
        <v>2622700</v>
      </c>
      <c r="V47" s="102">
        <v>2622700</v>
      </c>
      <c r="W47" s="102">
        <v>22932000</v>
      </c>
      <c r="X47" s="102">
        <v>2622700</v>
      </c>
      <c r="Y47" s="102">
        <v>2622700</v>
      </c>
      <c r="Z47" s="102">
        <v>2622000</v>
      </c>
      <c r="AA47" s="102">
        <v>0</v>
      </c>
      <c r="AB47" s="102">
        <v>0</v>
      </c>
      <c r="AC47" s="102">
        <v>0</v>
      </c>
      <c r="AD47" s="102">
        <v>0</v>
      </c>
      <c r="AE47" s="102">
        <v>0</v>
      </c>
      <c r="AF47" s="102">
        <v>0</v>
      </c>
      <c r="AG47" s="102">
        <v>0</v>
      </c>
      <c r="AH47" s="102">
        <v>0</v>
      </c>
      <c r="AI47" s="102">
        <v>0</v>
      </c>
      <c r="AJ47" s="102">
        <v>0</v>
      </c>
      <c r="AK47" s="102">
        <v>0</v>
      </c>
      <c r="AL47" s="102">
        <v>0</v>
      </c>
      <c r="AM47" s="102">
        <v>0</v>
      </c>
      <c r="AN47" s="102">
        <v>0</v>
      </c>
      <c r="AO47" s="102">
        <v>0</v>
      </c>
      <c r="AP47" s="102">
        <v>0</v>
      </c>
      <c r="AQ47" s="102">
        <v>0</v>
      </c>
      <c r="AR47" s="102">
        <v>0</v>
      </c>
      <c r="AS47" s="102">
        <v>0</v>
      </c>
      <c r="AT47" s="102">
        <v>0</v>
      </c>
      <c r="AU47" s="102">
        <v>0</v>
      </c>
      <c r="AV47" s="102">
        <v>0</v>
      </c>
      <c r="AW47" s="102">
        <v>0</v>
      </c>
      <c r="AX47" s="102">
        <v>0</v>
      </c>
      <c r="AY47" s="102">
        <v>0</v>
      </c>
      <c r="AZ47" s="102">
        <v>0</v>
      </c>
      <c r="BA47" s="102">
        <v>0</v>
      </c>
      <c r="BB47" s="102">
        <v>0</v>
      </c>
      <c r="BC47" s="102">
        <v>0</v>
      </c>
      <c r="BD47" s="102">
        <v>0</v>
      </c>
      <c r="BE47" s="102">
        <v>0</v>
      </c>
      <c r="BF47" s="102">
        <v>0</v>
      </c>
      <c r="BG47" s="102">
        <v>0</v>
      </c>
      <c r="BH47" s="102">
        <v>0</v>
      </c>
      <c r="BI47" s="102">
        <v>0</v>
      </c>
      <c r="BJ47" s="102">
        <v>0</v>
      </c>
      <c r="BK47" s="102">
        <v>0</v>
      </c>
      <c r="BL47" s="102">
        <v>0</v>
      </c>
      <c r="BM47" s="102">
        <v>0</v>
      </c>
      <c r="BN47" s="102">
        <v>0</v>
      </c>
      <c r="BO47" s="102">
        <v>0</v>
      </c>
      <c r="BP47" s="102">
        <v>0</v>
      </c>
      <c r="BQ47" s="102">
        <v>0</v>
      </c>
      <c r="BR47" s="102">
        <v>0</v>
      </c>
      <c r="BS47" s="102">
        <v>0</v>
      </c>
      <c r="BT47" s="102">
        <v>0</v>
      </c>
      <c r="BU47" s="102">
        <v>0</v>
      </c>
      <c r="BV47" s="102">
        <v>0</v>
      </c>
      <c r="BW47" s="102">
        <v>0</v>
      </c>
      <c r="BX47" s="102">
        <v>0</v>
      </c>
      <c r="BY47" s="102">
        <v>0</v>
      </c>
      <c r="BZ47" s="102">
        <v>0</v>
      </c>
      <c r="CA47" s="102">
        <v>0</v>
      </c>
      <c r="CB47" s="102">
        <v>0</v>
      </c>
      <c r="CC47" s="102">
        <v>0</v>
      </c>
      <c r="CD47" s="102">
        <v>0</v>
      </c>
      <c r="CE47" s="102">
        <v>0</v>
      </c>
      <c r="CF47" s="102">
        <v>0</v>
      </c>
      <c r="CG47" s="102">
        <v>0</v>
      </c>
      <c r="CH47" s="102">
        <v>0</v>
      </c>
      <c r="CI47" s="102">
        <v>0</v>
      </c>
      <c r="CJ47" s="102">
        <v>0</v>
      </c>
      <c r="CK47" s="102">
        <v>0</v>
      </c>
      <c r="CL47" s="102">
        <v>0</v>
      </c>
      <c r="CM47" s="102">
        <v>0</v>
      </c>
      <c r="CN47" s="102">
        <v>0</v>
      </c>
      <c r="CO47" s="102">
        <v>0</v>
      </c>
      <c r="CP47" s="102">
        <v>0</v>
      </c>
      <c r="CQ47" s="102">
        <v>0</v>
      </c>
      <c r="CR47" s="102">
        <v>0</v>
      </c>
      <c r="CS47" s="102">
        <v>0</v>
      </c>
      <c r="CT47" s="102">
        <v>0</v>
      </c>
      <c r="CU47" s="102">
        <v>0</v>
      </c>
      <c r="CV47" s="102">
        <v>0</v>
      </c>
      <c r="CW47" s="102">
        <v>0</v>
      </c>
      <c r="CX47" s="102">
        <v>0</v>
      </c>
      <c r="CY47" s="102">
        <v>0</v>
      </c>
      <c r="CZ47" s="102">
        <v>0</v>
      </c>
      <c r="DA47" s="102">
        <v>0</v>
      </c>
      <c r="DB47" s="102">
        <v>0</v>
      </c>
      <c r="DC47" s="102">
        <v>0</v>
      </c>
      <c r="DD47" s="102">
        <v>0</v>
      </c>
      <c r="DE47" s="102">
        <v>0</v>
      </c>
      <c r="DF47" s="102">
        <v>0</v>
      </c>
      <c r="DG47" s="102">
        <v>0</v>
      </c>
      <c r="DH47" s="102">
        <v>0</v>
      </c>
      <c r="DI47" s="102">
        <v>0</v>
      </c>
      <c r="DJ47" s="102">
        <v>0</v>
      </c>
      <c r="DK47" s="102">
        <v>0</v>
      </c>
      <c r="DL47" s="102">
        <v>0</v>
      </c>
      <c r="DM47" s="102">
        <v>0</v>
      </c>
      <c r="DN47" s="102">
        <v>0</v>
      </c>
      <c r="DO47" s="102">
        <v>0</v>
      </c>
      <c r="DP47" s="102">
        <v>0</v>
      </c>
      <c r="DQ47" s="102">
        <v>0</v>
      </c>
      <c r="DR47" s="102">
        <v>0</v>
      </c>
      <c r="DS47" s="66">
        <v>2023</v>
      </c>
      <c r="DT47" s="66">
        <v>3</v>
      </c>
      <c r="DU47" s="66">
        <v>30</v>
      </c>
      <c r="DV47" s="66" t="s">
        <v>1012</v>
      </c>
      <c r="DW47" s="66" t="s">
        <v>610</v>
      </c>
      <c r="DX47" s="66" t="s">
        <v>583</v>
      </c>
      <c r="DY47" s="64" t="str">
        <f t="shared" si="0"/>
        <v>○</v>
      </c>
      <c r="DZ47" s="102">
        <v>0</v>
      </c>
      <c r="EA47" s="102">
        <v>0</v>
      </c>
      <c r="EB47" s="102">
        <v>0</v>
      </c>
      <c r="EC47" s="102">
        <v>0</v>
      </c>
      <c r="ED47" s="102">
        <v>0</v>
      </c>
      <c r="EE47" s="102">
        <v>0</v>
      </c>
      <c r="EF47" s="102">
        <v>0</v>
      </c>
      <c r="EG47" s="102">
        <v>0</v>
      </c>
      <c r="EH47" s="102">
        <v>0</v>
      </c>
      <c r="EI47" s="102">
        <v>0</v>
      </c>
      <c r="EJ47" s="102">
        <v>0</v>
      </c>
      <c r="EK47" s="102">
        <v>0</v>
      </c>
      <c r="EL47" s="102">
        <v>0</v>
      </c>
      <c r="EM47" s="102">
        <v>0</v>
      </c>
      <c r="EN47" s="102">
        <v>0</v>
      </c>
      <c r="EO47" s="102">
        <v>0</v>
      </c>
    </row>
    <row r="48" spans="1:145">
      <c r="A48" s="115">
        <v>156</v>
      </c>
      <c r="B48" s="102">
        <v>1427000</v>
      </c>
      <c r="C48" s="102">
        <v>0</v>
      </c>
      <c r="D48" s="102">
        <v>0</v>
      </c>
      <c r="E48" s="102">
        <v>0</v>
      </c>
      <c r="F48" s="102">
        <v>0</v>
      </c>
      <c r="G48" s="102">
        <v>0</v>
      </c>
      <c r="H48" s="102">
        <v>0</v>
      </c>
      <c r="I48" s="102">
        <v>0</v>
      </c>
      <c r="J48" s="102">
        <v>0</v>
      </c>
      <c r="K48" s="102">
        <v>0</v>
      </c>
      <c r="L48" s="102">
        <v>0</v>
      </c>
      <c r="M48" s="102">
        <v>0</v>
      </c>
      <c r="N48" s="102">
        <v>0</v>
      </c>
      <c r="O48" s="102">
        <v>0</v>
      </c>
      <c r="P48" s="102">
        <v>0</v>
      </c>
      <c r="Q48" s="102">
        <v>0</v>
      </c>
      <c r="R48" s="102">
        <v>0</v>
      </c>
      <c r="S48" s="102">
        <v>1427528</v>
      </c>
      <c r="T48" s="102">
        <v>0</v>
      </c>
      <c r="U48" s="102">
        <v>1427528</v>
      </c>
      <c r="V48" s="102">
        <v>1427528</v>
      </c>
      <c r="W48" s="102">
        <v>40622400</v>
      </c>
      <c r="X48" s="102">
        <v>1427528</v>
      </c>
      <c r="Y48" s="102">
        <v>1427528</v>
      </c>
      <c r="Z48" s="102">
        <v>1427000</v>
      </c>
      <c r="AA48" s="102">
        <v>0</v>
      </c>
      <c r="AB48" s="102">
        <v>0</v>
      </c>
      <c r="AC48" s="102">
        <v>0</v>
      </c>
      <c r="AD48" s="102">
        <v>0</v>
      </c>
      <c r="AE48" s="102">
        <v>0</v>
      </c>
      <c r="AF48" s="102">
        <v>0</v>
      </c>
      <c r="AG48" s="102">
        <v>0</v>
      </c>
      <c r="AH48" s="102">
        <v>0</v>
      </c>
      <c r="AI48" s="102">
        <v>0</v>
      </c>
      <c r="AJ48" s="102">
        <v>0</v>
      </c>
      <c r="AK48" s="102">
        <v>0</v>
      </c>
      <c r="AL48" s="102">
        <v>0</v>
      </c>
      <c r="AM48" s="102">
        <v>0</v>
      </c>
      <c r="AN48" s="102">
        <v>0</v>
      </c>
      <c r="AO48" s="102">
        <v>0</v>
      </c>
      <c r="AP48" s="102">
        <v>0</v>
      </c>
      <c r="AQ48" s="102">
        <v>0</v>
      </c>
      <c r="AR48" s="102">
        <v>0</v>
      </c>
      <c r="AS48" s="102">
        <v>0</v>
      </c>
      <c r="AT48" s="102">
        <v>0</v>
      </c>
      <c r="AU48" s="102">
        <v>0</v>
      </c>
      <c r="AV48" s="102">
        <v>0</v>
      </c>
      <c r="AW48" s="102">
        <v>0</v>
      </c>
      <c r="AX48" s="102">
        <v>0</v>
      </c>
      <c r="AY48" s="102">
        <v>0</v>
      </c>
      <c r="AZ48" s="102">
        <v>0</v>
      </c>
      <c r="BA48" s="102">
        <v>0</v>
      </c>
      <c r="BB48" s="102">
        <v>0</v>
      </c>
      <c r="BC48" s="102">
        <v>0</v>
      </c>
      <c r="BD48" s="102">
        <v>0</v>
      </c>
      <c r="BE48" s="102">
        <v>0</v>
      </c>
      <c r="BF48" s="102">
        <v>0</v>
      </c>
      <c r="BG48" s="102">
        <v>0</v>
      </c>
      <c r="BH48" s="102">
        <v>0</v>
      </c>
      <c r="BI48" s="102">
        <v>0</v>
      </c>
      <c r="BJ48" s="102">
        <v>0</v>
      </c>
      <c r="BK48" s="102">
        <v>0</v>
      </c>
      <c r="BL48" s="102">
        <v>0</v>
      </c>
      <c r="BM48" s="102">
        <v>0</v>
      </c>
      <c r="BN48" s="102">
        <v>0</v>
      </c>
      <c r="BO48" s="102">
        <v>0</v>
      </c>
      <c r="BP48" s="102">
        <v>0</v>
      </c>
      <c r="BQ48" s="102">
        <v>0</v>
      </c>
      <c r="BR48" s="102">
        <v>0</v>
      </c>
      <c r="BS48" s="102">
        <v>0</v>
      </c>
      <c r="BT48" s="102">
        <v>0</v>
      </c>
      <c r="BU48" s="102">
        <v>0</v>
      </c>
      <c r="BV48" s="102">
        <v>0</v>
      </c>
      <c r="BW48" s="102">
        <v>0</v>
      </c>
      <c r="BX48" s="102">
        <v>0</v>
      </c>
      <c r="BY48" s="102">
        <v>0</v>
      </c>
      <c r="BZ48" s="102">
        <v>0</v>
      </c>
      <c r="CA48" s="102">
        <v>0</v>
      </c>
      <c r="CB48" s="102">
        <v>0</v>
      </c>
      <c r="CC48" s="102">
        <v>0</v>
      </c>
      <c r="CD48" s="102">
        <v>0</v>
      </c>
      <c r="CE48" s="102">
        <v>0</v>
      </c>
      <c r="CF48" s="102">
        <v>0</v>
      </c>
      <c r="CG48" s="102">
        <v>0</v>
      </c>
      <c r="CH48" s="102">
        <v>0</v>
      </c>
      <c r="CI48" s="102">
        <v>0</v>
      </c>
      <c r="CJ48" s="102">
        <v>0</v>
      </c>
      <c r="CK48" s="102">
        <v>0</v>
      </c>
      <c r="CL48" s="102">
        <v>0</v>
      </c>
      <c r="CM48" s="102">
        <v>0</v>
      </c>
      <c r="CN48" s="102">
        <v>0</v>
      </c>
      <c r="CO48" s="102">
        <v>0</v>
      </c>
      <c r="CP48" s="102">
        <v>0</v>
      </c>
      <c r="CQ48" s="102">
        <v>0</v>
      </c>
      <c r="CR48" s="102">
        <v>0</v>
      </c>
      <c r="CS48" s="102">
        <v>0</v>
      </c>
      <c r="CT48" s="102">
        <v>0</v>
      </c>
      <c r="CU48" s="102">
        <v>0</v>
      </c>
      <c r="CV48" s="102">
        <v>0</v>
      </c>
      <c r="CW48" s="102">
        <v>0</v>
      </c>
      <c r="CX48" s="102">
        <v>0</v>
      </c>
      <c r="CY48" s="102">
        <v>0</v>
      </c>
      <c r="CZ48" s="102">
        <v>0</v>
      </c>
      <c r="DA48" s="102">
        <v>0</v>
      </c>
      <c r="DB48" s="102">
        <v>0</v>
      </c>
      <c r="DC48" s="102">
        <v>0</v>
      </c>
      <c r="DD48" s="102">
        <v>0</v>
      </c>
      <c r="DE48" s="102">
        <v>0</v>
      </c>
      <c r="DF48" s="102">
        <v>0</v>
      </c>
      <c r="DG48" s="102">
        <v>0</v>
      </c>
      <c r="DH48" s="102">
        <v>0</v>
      </c>
      <c r="DI48" s="102">
        <v>0</v>
      </c>
      <c r="DJ48" s="102">
        <v>0</v>
      </c>
      <c r="DK48" s="102">
        <v>0</v>
      </c>
      <c r="DL48" s="102">
        <v>0</v>
      </c>
      <c r="DM48" s="102">
        <v>0</v>
      </c>
      <c r="DN48" s="102">
        <v>0</v>
      </c>
      <c r="DO48" s="102">
        <v>0</v>
      </c>
      <c r="DP48" s="102">
        <v>0</v>
      </c>
      <c r="DQ48" s="102">
        <v>0</v>
      </c>
      <c r="DR48" s="102">
        <v>0</v>
      </c>
      <c r="DS48" s="66">
        <v>2023</v>
      </c>
      <c r="DT48" s="66">
        <v>3</v>
      </c>
      <c r="DU48" s="66">
        <v>30</v>
      </c>
      <c r="DV48" s="66" t="s">
        <v>1018</v>
      </c>
      <c r="DW48" s="66" t="s">
        <v>1019</v>
      </c>
      <c r="DX48" s="66" t="s">
        <v>583</v>
      </c>
      <c r="DY48" s="64" t="str">
        <f t="shared" si="0"/>
        <v>○</v>
      </c>
      <c r="DZ48" s="102">
        <v>0</v>
      </c>
      <c r="EA48" s="102">
        <v>0</v>
      </c>
      <c r="EB48" s="102">
        <v>0</v>
      </c>
      <c r="EC48" s="102">
        <v>0</v>
      </c>
      <c r="ED48" s="102">
        <v>0</v>
      </c>
      <c r="EE48" s="102">
        <v>0</v>
      </c>
      <c r="EF48" s="102">
        <v>0</v>
      </c>
      <c r="EG48" s="102">
        <v>0</v>
      </c>
      <c r="EH48" s="102">
        <v>0</v>
      </c>
      <c r="EI48" s="102">
        <v>0</v>
      </c>
      <c r="EJ48" s="102">
        <v>0</v>
      </c>
      <c r="EK48" s="102">
        <v>0</v>
      </c>
      <c r="EL48" s="102">
        <v>0</v>
      </c>
      <c r="EM48" s="102">
        <v>0</v>
      </c>
      <c r="EN48" s="102">
        <v>0</v>
      </c>
      <c r="EO48" s="102">
        <v>0</v>
      </c>
    </row>
    <row r="49" spans="1:145">
      <c r="A49" s="115">
        <v>157</v>
      </c>
      <c r="B49" s="102">
        <v>4472000</v>
      </c>
      <c r="C49" s="102">
        <v>0</v>
      </c>
      <c r="D49" s="102">
        <v>0</v>
      </c>
      <c r="E49" s="102">
        <v>0</v>
      </c>
      <c r="F49" s="102">
        <v>0</v>
      </c>
      <c r="G49" s="102">
        <v>0</v>
      </c>
      <c r="H49" s="102">
        <v>0</v>
      </c>
      <c r="I49" s="102">
        <v>0</v>
      </c>
      <c r="J49" s="102">
        <v>0</v>
      </c>
      <c r="K49" s="102">
        <v>0</v>
      </c>
      <c r="L49" s="102">
        <v>0</v>
      </c>
      <c r="M49" s="102">
        <v>0</v>
      </c>
      <c r="N49" s="102">
        <v>0</v>
      </c>
      <c r="O49" s="102">
        <v>0</v>
      </c>
      <c r="P49" s="102">
        <v>0</v>
      </c>
      <c r="Q49" s="102">
        <v>0</v>
      </c>
      <c r="R49" s="102">
        <v>0</v>
      </c>
      <c r="S49" s="102">
        <v>4472664</v>
      </c>
      <c r="T49" s="102">
        <v>0</v>
      </c>
      <c r="U49" s="102">
        <v>4472664</v>
      </c>
      <c r="V49" s="102">
        <v>4472664</v>
      </c>
      <c r="W49" s="102">
        <v>13104000</v>
      </c>
      <c r="X49" s="102">
        <v>4472664</v>
      </c>
      <c r="Y49" s="102">
        <v>4472664</v>
      </c>
      <c r="Z49" s="102">
        <v>4472000</v>
      </c>
      <c r="AA49" s="102">
        <v>0</v>
      </c>
      <c r="AB49" s="102">
        <v>0</v>
      </c>
      <c r="AC49" s="102">
        <v>0</v>
      </c>
      <c r="AD49" s="102">
        <v>0</v>
      </c>
      <c r="AE49" s="102">
        <v>0</v>
      </c>
      <c r="AF49" s="102">
        <v>0</v>
      </c>
      <c r="AG49" s="102">
        <v>0</v>
      </c>
      <c r="AH49" s="102">
        <v>0</v>
      </c>
      <c r="AI49" s="102">
        <v>0</v>
      </c>
      <c r="AJ49" s="102">
        <v>0</v>
      </c>
      <c r="AK49" s="102">
        <v>0</v>
      </c>
      <c r="AL49" s="102">
        <v>0</v>
      </c>
      <c r="AM49" s="102">
        <v>0</v>
      </c>
      <c r="AN49" s="102">
        <v>0</v>
      </c>
      <c r="AO49" s="102">
        <v>0</v>
      </c>
      <c r="AP49" s="102">
        <v>0</v>
      </c>
      <c r="AQ49" s="102">
        <v>0</v>
      </c>
      <c r="AR49" s="102">
        <v>0</v>
      </c>
      <c r="AS49" s="102">
        <v>0</v>
      </c>
      <c r="AT49" s="102">
        <v>0</v>
      </c>
      <c r="AU49" s="102">
        <v>0</v>
      </c>
      <c r="AV49" s="102">
        <v>0</v>
      </c>
      <c r="AW49" s="102">
        <v>0</v>
      </c>
      <c r="AX49" s="102">
        <v>0</v>
      </c>
      <c r="AY49" s="102">
        <v>0</v>
      </c>
      <c r="AZ49" s="102">
        <v>0</v>
      </c>
      <c r="BA49" s="102">
        <v>0</v>
      </c>
      <c r="BB49" s="102">
        <v>0</v>
      </c>
      <c r="BC49" s="102">
        <v>0</v>
      </c>
      <c r="BD49" s="102">
        <v>0</v>
      </c>
      <c r="BE49" s="102">
        <v>0</v>
      </c>
      <c r="BF49" s="102">
        <v>0</v>
      </c>
      <c r="BG49" s="102">
        <v>0</v>
      </c>
      <c r="BH49" s="102">
        <v>0</v>
      </c>
      <c r="BI49" s="102">
        <v>0</v>
      </c>
      <c r="BJ49" s="102">
        <v>0</v>
      </c>
      <c r="BK49" s="102">
        <v>0</v>
      </c>
      <c r="BL49" s="102">
        <v>0</v>
      </c>
      <c r="BM49" s="102">
        <v>0</v>
      </c>
      <c r="BN49" s="102">
        <v>0</v>
      </c>
      <c r="BO49" s="102">
        <v>0</v>
      </c>
      <c r="BP49" s="102">
        <v>0</v>
      </c>
      <c r="BQ49" s="102">
        <v>0</v>
      </c>
      <c r="BR49" s="102">
        <v>0</v>
      </c>
      <c r="BS49" s="102">
        <v>0</v>
      </c>
      <c r="BT49" s="102">
        <v>0</v>
      </c>
      <c r="BU49" s="102">
        <v>0</v>
      </c>
      <c r="BV49" s="102">
        <v>0</v>
      </c>
      <c r="BW49" s="102">
        <v>0</v>
      </c>
      <c r="BX49" s="102">
        <v>0</v>
      </c>
      <c r="BY49" s="102">
        <v>0</v>
      </c>
      <c r="BZ49" s="102">
        <v>0</v>
      </c>
      <c r="CA49" s="102">
        <v>0</v>
      </c>
      <c r="CB49" s="102">
        <v>0</v>
      </c>
      <c r="CC49" s="102">
        <v>0</v>
      </c>
      <c r="CD49" s="102">
        <v>0</v>
      </c>
      <c r="CE49" s="102">
        <v>0</v>
      </c>
      <c r="CF49" s="102">
        <v>0</v>
      </c>
      <c r="CG49" s="102">
        <v>0</v>
      </c>
      <c r="CH49" s="102">
        <v>0</v>
      </c>
      <c r="CI49" s="102">
        <v>0</v>
      </c>
      <c r="CJ49" s="102">
        <v>0</v>
      </c>
      <c r="CK49" s="102">
        <v>0</v>
      </c>
      <c r="CL49" s="102">
        <v>0</v>
      </c>
      <c r="CM49" s="102">
        <v>0</v>
      </c>
      <c r="CN49" s="102">
        <v>0</v>
      </c>
      <c r="CO49" s="102">
        <v>0</v>
      </c>
      <c r="CP49" s="102">
        <v>0</v>
      </c>
      <c r="CQ49" s="102">
        <v>0</v>
      </c>
      <c r="CR49" s="102">
        <v>0</v>
      </c>
      <c r="CS49" s="102">
        <v>0</v>
      </c>
      <c r="CT49" s="102">
        <v>0</v>
      </c>
      <c r="CU49" s="102">
        <v>0</v>
      </c>
      <c r="CV49" s="102">
        <v>0</v>
      </c>
      <c r="CW49" s="102">
        <v>0</v>
      </c>
      <c r="CX49" s="102">
        <v>0</v>
      </c>
      <c r="CY49" s="102">
        <v>0</v>
      </c>
      <c r="CZ49" s="102">
        <v>0</v>
      </c>
      <c r="DA49" s="102">
        <v>0</v>
      </c>
      <c r="DB49" s="102">
        <v>0</v>
      </c>
      <c r="DC49" s="102">
        <v>0</v>
      </c>
      <c r="DD49" s="102">
        <v>0</v>
      </c>
      <c r="DE49" s="102">
        <v>0</v>
      </c>
      <c r="DF49" s="102">
        <v>0</v>
      </c>
      <c r="DG49" s="102">
        <v>0</v>
      </c>
      <c r="DH49" s="102">
        <v>0</v>
      </c>
      <c r="DI49" s="102">
        <v>0</v>
      </c>
      <c r="DJ49" s="102">
        <v>0</v>
      </c>
      <c r="DK49" s="102">
        <v>0</v>
      </c>
      <c r="DL49" s="102">
        <v>0</v>
      </c>
      <c r="DM49" s="102">
        <v>0</v>
      </c>
      <c r="DN49" s="102">
        <v>0</v>
      </c>
      <c r="DO49" s="102">
        <v>0</v>
      </c>
      <c r="DP49" s="102">
        <v>0</v>
      </c>
      <c r="DQ49" s="102">
        <v>0</v>
      </c>
      <c r="DR49" s="102">
        <v>0</v>
      </c>
      <c r="DS49" s="66">
        <v>2023</v>
      </c>
      <c r="DT49" s="66">
        <v>3</v>
      </c>
      <c r="DU49" s="66">
        <v>30</v>
      </c>
      <c r="DV49" s="66" t="s">
        <v>1012</v>
      </c>
      <c r="DW49" s="66" t="s">
        <v>604</v>
      </c>
      <c r="DX49" s="66" t="s">
        <v>583</v>
      </c>
      <c r="DY49" s="64" t="str">
        <f t="shared" si="0"/>
        <v>○</v>
      </c>
      <c r="DZ49" s="102">
        <v>0</v>
      </c>
      <c r="EA49" s="102">
        <v>0</v>
      </c>
      <c r="EB49" s="102">
        <v>0</v>
      </c>
      <c r="EC49" s="102">
        <v>0</v>
      </c>
      <c r="ED49" s="102">
        <v>0</v>
      </c>
      <c r="EE49" s="102">
        <v>0</v>
      </c>
      <c r="EF49" s="102">
        <v>0</v>
      </c>
      <c r="EG49" s="102">
        <v>0</v>
      </c>
      <c r="EH49" s="102">
        <v>0</v>
      </c>
      <c r="EI49" s="102">
        <v>0</v>
      </c>
      <c r="EJ49" s="102">
        <v>0</v>
      </c>
      <c r="EK49" s="102">
        <v>0</v>
      </c>
      <c r="EL49" s="102">
        <v>0</v>
      </c>
      <c r="EM49" s="102">
        <v>0</v>
      </c>
      <c r="EN49" s="102">
        <v>0</v>
      </c>
      <c r="EO49" s="102">
        <v>0</v>
      </c>
    </row>
    <row r="50" spans="1:145">
      <c r="A50" s="115">
        <v>158</v>
      </c>
      <c r="B50" s="102">
        <v>14760000</v>
      </c>
      <c r="C50" s="102">
        <v>0</v>
      </c>
      <c r="D50" s="102">
        <v>0</v>
      </c>
      <c r="E50" s="102">
        <v>0</v>
      </c>
      <c r="F50" s="102">
        <v>0</v>
      </c>
      <c r="G50" s="102">
        <v>0</v>
      </c>
      <c r="H50" s="102">
        <v>0</v>
      </c>
      <c r="I50" s="102">
        <v>0</v>
      </c>
      <c r="J50" s="102">
        <v>0</v>
      </c>
      <c r="K50" s="102">
        <v>0</v>
      </c>
      <c r="L50" s="102">
        <v>0</v>
      </c>
      <c r="M50" s="102">
        <v>0</v>
      </c>
      <c r="N50" s="102">
        <v>0</v>
      </c>
      <c r="O50" s="102">
        <v>0</v>
      </c>
      <c r="P50" s="102">
        <v>0</v>
      </c>
      <c r="Q50" s="102">
        <v>0</v>
      </c>
      <c r="R50" s="102">
        <v>0</v>
      </c>
      <c r="S50" s="102">
        <v>14760178</v>
      </c>
      <c r="T50" s="102">
        <v>0</v>
      </c>
      <c r="U50" s="102">
        <v>14760178</v>
      </c>
      <c r="V50" s="102">
        <v>14760178</v>
      </c>
      <c r="W50" s="102">
        <v>43243200</v>
      </c>
      <c r="X50" s="102">
        <v>14760178</v>
      </c>
      <c r="Y50" s="102">
        <v>14760178</v>
      </c>
      <c r="Z50" s="102">
        <v>14760000</v>
      </c>
      <c r="AA50" s="102">
        <v>0</v>
      </c>
      <c r="AB50" s="102">
        <v>0</v>
      </c>
      <c r="AC50" s="102">
        <v>0</v>
      </c>
      <c r="AD50" s="102">
        <v>0</v>
      </c>
      <c r="AE50" s="102">
        <v>0</v>
      </c>
      <c r="AF50" s="102">
        <v>0</v>
      </c>
      <c r="AG50" s="102">
        <v>0</v>
      </c>
      <c r="AH50" s="102">
        <v>0</v>
      </c>
      <c r="AI50" s="102">
        <v>0</v>
      </c>
      <c r="AJ50" s="102">
        <v>0</v>
      </c>
      <c r="AK50" s="102">
        <v>0</v>
      </c>
      <c r="AL50" s="102">
        <v>0</v>
      </c>
      <c r="AM50" s="102">
        <v>0</v>
      </c>
      <c r="AN50" s="102">
        <v>0</v>
      </c>
      <c r="AO50" s="102">
        <v>0</v>
      </c>
      <c r="AP50" s="102">
        <v>0</v>
      </c>
      <c r="AQ50" s="102">
        <v>0</v>
      </c>
      <c r="AR50" s="102">
        <v>0</v>
      </c>
      <c r="AS50" s="102">
        <v>0</v>
      </c>
      <c r="AT50" s="102">
        <v>0</v>
      </c>
      <c r="AU50" s="102">
        <v>0</v>
      </c>
      <c r="AV50" s="102">
        <v>0</v>
      </c>
      <c r="AW50" s="102">
        <v>0</v>
      </c>
      <c r="AX50" s="102">
        <v>0</v>
      </c>
      <c r="AY50" s="102">
        <v>0</v>
      </c>
      <c r="AZ50" s="102">
        <v>0</v>
      </c>
      <c r="BA50" s="102">
        <v>0</v>
      </c>
      <c r="BB50" s="102">
        <v>0</v>
      </c>
      <c r="BC50" s="102">
        <v>0</v>
      </c>
      <c r="BD50" s="102">
        <v>0</v>
      </c>
      <c r="BE50" s="102">
        <v>0</v>
      </c>
      <c r="BF50" s="102">
        <v>0</v>
      </c>
      <c r="BG50" s="102">
        <v>0</v>
      </c>
      <c r="BH50" s="102">
        <v>0</v>
      </c>
      <c r="BI50" s="102">
        <v>0</v>
      </c>
      <c r="BJ50" s="102">
        <v>0</v>
      </c>
      <c r="BK50" s="102">
        <v>0</v>
      </c>
      <c r="BL50" s="102">
        <v>0</v>
      </c>
      <c r="BM50" s="102">
        <v>0</v>
      </c>
      <c r="BN50" s="102">
        <v>0</v>
      </c>
      <c r="BO50" s="102">
        <v>0</v>
      </c>
      <c r="BP50" s="102">
        <v>0</v>
      </c>
      <c r="BQ50" s="102">
        <v>0</v>
      </c>
      <c r="BR50" s="102">
        <v>0</v>
      </c>
      <c r="BS50" s="102">
        <v>0</v>
      </c>
      <c r="BT50" s="102">
        <v>0</v>
      </c>
      <c r="BU50" s="102">
        <v>0</v>
      </c>
      <c r="BV50" s="102">
        <v>0</v>
      </c>
      <c r="BW50" s="102">
        <v>0</v>
      </c>
      <c r="BX50" s="102">
        <v>0</v>
      </c>
      <c r="BY50" s="102">
        <v>0</v>
      </c>
      <c r="BZ50" s="102">
        <v>0</v>
      </c>
      <c r="CA50" s="102">
        <v>0</v>
      </c>
      <c r="CB50" s="102">
        <v>0</v>
      </c>
      <c r="CC50" s="102">
        <v>0</v>
      </c>
      <c r="CD50" s="102">
        <v>0</v>
      </c>
      <c r="CE50" s="102">
        <v>0</v>
      </c>
      <c r="CF50" s="102">
        <v>0</v>
      </c>
      <c r="CG50" s="102">
        <v>0</v>
      </c>
      <c r="CH50" s="102">
        <v>0</v>
      </c>
      <c r="CI50" s="102">
        <v>0</v>
      </c>
      <c r="CJ50" s="102">
        <v>0</v>
      </c>
      <c r="CK50" s="102">
        <v>0</v>
      </c>
      <c r="CL50" s="102">
        <v>0</v>
      </c>
      <c r="CM50" s="102">
        <v>0</v>
      </c>
      <c r="CN50" s="102">
        <v>0</v>
      </c>
      <c r="CO50" s="102">
        <v>0</v>
      </c>
      <c r="CP50" s="102">
        <v>0</v>
      </c>
      <c r="CQ50" s="102">
        <v>0</v>
      </c>
      <c r="CR50" s="102">
        <v>0</v>
      </c>
      <c r="CS50" s="102">
        <v>0</v>
      </c>
      <c r="CT50" s="102">
        <v>0</v>
      </c>
      <c r="CU50" s="102">
        <v>0</v>
      </c>
      <c r="CV50" s="102">
        <v>0</v>
      </c>
      <c r="CW50" s="102">
        <v>0</v>
      </c>
      <c r="CX50" s="102">
        <v>0</v>
      </c>
      <c r="CY50" s="102">
        <v>0</v>
      </c>
      <c r="CZ50" s="102">
        <v>0</v>
      </c>
      <c r="DA50" s="102">
        <v>0</v>
      </c>
      <c r="DB50" s="102">
        <v>0</v>
      </c>
      <c r="DC50" s="102">
        <v>0</v>
      </c>
      <c r="DD50" s="102">
        <v>0</v>
      </c>
      <c r="DE50" s="102">
        <v>0</v>
      </c>
      <c r="DF50" s="102">
        <v>0</v>
      </c>
      <c r="DG50" s="102">
        <v>0</v>
      </c>
      <c r="DH50" s="102">
        <v>0</v>
      </c>
      <c r="DI50" s="102">
        <v>0</v>
      </c>
      <c r="DJ50" s="102">
        <v>0</v>
      </c>
      <c r="DK50" s="102">
        <v>0</v>
      </c>
      <c r="DL50" s="102">
        <v>0</v>
      </c>
      <c r="DM50" s="102">
        <v>0</v>
      </c>
      <c r="DN50" s="102">
        <v>0</v>
      </c>
      <c r="DO50" s="102">
        <v>0</v>
      </c>
      <c r="DP50" s="102">
        <v>0</v>
      </c>
      <c r="DQ50" s="102">
        <v>0</v>
      </c>
      <c r="DR50" s="102">
        <v>0</v>
      </c>
      <c r="DS50" s="66">
        <v>2023</v>
      </c>
      <c r="DT50" s="66">
        <v>3</v>
      </c>
      <c r="DU50" s="66">
        <v>30</v>
      </c>
      <c r="DV50" s="66" t="s">
        <v>1012</v>
      </c>
      <c r="DW50" s="66" t="s">
        <v>604</v>
      </c>
      <c r="DX50" s="66" t="s">
        <v>583</v>
      </c>
      <c r="DY50" s="64" t="str">
        <f t="shared" si="0"/>
        <v>○</v>
      </c>
      <c r="DZ50" s="102">
        <v>0</v>
      </c>
      <c r="EA50" s="102">
        <v>0</v>
      </c>
      <c r="EB50" s="102">
        <v>0</v>
      </c>
      <c r="EC50" s="102">
        <v>0</v>
      </c>
      <c r="ED50" s="102">
        <v>0</v>
      </c>
      <c r="EE50" s="102">
        <v>0</v>
      </c>
      <c r="EF50" s="102">
        <v>0</v>
      </c>
      <c r="EG50" s="102">
        <v>0</v>
      </c>
      <c r="EH50" s="102">
        <v>0</v>
      </c>
      <c r="EI50" s="102">
        <v>0</v>
      </c>
      <c r="EJ50" s="102">
        <v>0</v>
      </c>
      <c r="EK50" s="102">
        <v>0</v>
      </c>
      <c r="EL50" s="102">
        <v>0</v>
      </c>
      <c r="EM50" s="102">
        <v>0</v>
      </c>
      <c r="EN50" s="102">
        <v>0</v>
      </c>
      <c r="EO50" s="102">
        <v>0</v>
      </c>
    </row>
    <row r="51" spans="1:145">
      <c r="A51" s="115">
        <v>159</v>
      </c>
      <c r="B51" s="102">
        <v>14013000</v>
      </c>
      <c r="C51" s="102">
        <v>0</v>
      </c>
      <c r="D51" s="102">
        <v>0</v>
      </c>
      <c r="E51" s="102">
        <v>0</v>
      </c>
      <c r="F51" s="102">
        <v>0</v>
      </c>
      <c r="G51" s="102">
        <v>0</v>
      </c>
      <c r="H51" s="102">
        <v>0</v>
      </c>
      <c r="I51" s="102">
        <v>0</v>
      </c>
      <c r="J51" s="102">
        <v>0</v>
      </c>
      <c r="K51" s="102">
        <v>0</v>
      </c>
      <c r="L51" s="102">
        <v>0</v>
      </c>
      <c r="M51" s="102">
        <v>0</v>
      </c>
      <c r="N51" s="102">
        <v>0</v>
      </c>
      <c r="O51" s="102">
        <v>0</v>
      </c>
      <c r="P51" s="102">
        <v>0</v>
      </c>
      <c r="Q51" s="102">
        <v>0</v>
      </c>
      <c r="R51" s="102">
        <v>0</v>
      </c>
      <c r="S51" s="102">
        <v>14013996</v>
      </c>
      <c r="T51" s="102">
        <v>0</v>
      </c>
      <c r="U51" s="102">
        <v>14013996</v>
      </c>
      <c r="V51" s="102">
        <v>14013996</v>
      </c>
      <c r="W51" s="102">
        <v>17035200</v>
      </c>
      <c r="X51" s="102">
        <v>14013996</v>
      </c>
      <c r="Y51" s="102">
        <v>14013996</v>
      </c>
      <c r="Z51" s="102">
        <v>14013000</v>
      </c>
      <c r="AA51" s="102">
        <v>0</v>
      </c>
      <c r="AB51" s="102">
        <v>0</v>
      </c>
      <c r="AC51" s="102">
        <v>0</v>
      </c>
      <c r="AD51" s="102">
        <v>0</v>
      </c>
      <c r="AE51" s="102">
        <v>0</v>
      </c>
      <c r="AF51" s="102">
        <v>0</v>
      </c>
      <c r="AG51" s="102">
        <v>0</v>
      </c>
      <c r="AH51" s="102">
        <v>0</v>
      </c>
      <c r="AI51" s="102">
        <v>0</v>
      </c>
      <c r="AJ51" s="102">
        <v>0</v>
      </c>
      <c r="AK51" s="102">
        <v>0</v>
      </c>
      <c r="AL51" s="102">
        <v>0</v>
      </c>
      <c r="AM51" s="102">
        <v>0</v>
      </c>
      <c r="AN51" s="102">
        <v>0</v>
      </c>
      <c r="AO51" s="102">
        <v>0</v>
      </c>
      <c r="AP51" s="102">
        <v>0</v>
      </c>
      <c r="AQ51" s="102">
        <v>0</v>
      </c>
      <c r="AR51" s="102">
        <v>0</v>
      </c>
      <c r="AS51" s="102">
        <v>0</v>
      </c>
      <c r="AT51" s="102">
        <v>0</v>
      </c>
      <c r="AU51" s="102">
        <v>0</v>
      </c>
      <c r="AV51" s="102">
        <v>0</v>
      </c>
      <c r="AW51" s="102">
        <v>0</v>
      </c>
      <c r="AX51" s="102">
        <v>0</v>
      </c>
      <c r="AY51" s="102">
        <v>0</v>
      </c>
      <c r="AZ51" s="102">
        <v>0</v>
      </c>
      <c r="BA51" s="102">
        <v>0</v>
      </c>
      <c r="BB51" s="102">
        <v>0</v>
      </c>
      <c r="BC51" s="102">
        <v>0</v>
      </c>
      <c r="BD51" s="102">
        <v>0</v>
      </c>
      <c r="BE51" s="102">
        <v>0</v>
      </c>
      <c r="BF51" s="102">
        <v>0</v>
      </c>
      <c r="BG51" s="102">
        <v>0</v>
      </c>
      <c r="BH51" s="102">
        <v>0</v>
      </c>
      <c r="BI51" s="102">
        <v>0</v>
      </c>
      <c r="BJ51" s="102">
        <v>0</v>
      </c>
      <c r="BK51" s="102">
        <v>0</v>
      </c>
      <c r="BL51" s="102">
        <v>0</v>
      </c>
      <c r="BM51" s="102">
        <v>0</v>
      </c>
      <c r="BN51" s="102">
        <v>0</v>
      </c>
      <c r="BO51" s="102">
        <v>0</v>
      </c>
      <c r="BP51" s="102">
        <v>0</v>
      </c>
      <c r="BQ51" s="102">
        <v>0</v>
      </c>
      <c r="BR51" s="102">
        <v>0</v>
      </c>
      <c r="BS51" s="102">
        <v>0</v>
      </c>
      <c r="BT51" s="102">
        <v>0</v>
      </c>
      <c r="BU51" s="102">
        <v>0</v>
      </c>
      <c r="BV51" s="102">
        <v>0</v>
      </c>
      <c r="BW51" s="102">
        <v>0</v>
      </c>
      <c r="BX51" s="102">
        <v>0</v>
      </c>
      <c r="BY51" s="102">
        <v>0</v>
      </c>
      <c r="BZ51" s="102">
        <v>0</v>
      </c>
      <c r="CA51" s="102">
        <v>0</v>
      </c>
      <c r="CB51" s="102">
        <v>0</v>
      </c>
      <c r="CC51" s="102">
        <v>0</v>
      </c>
      <c r="CD51" s="102">
        <v>0</v>
      </c>
      <c r="CE51" s="102">
        <v>0</v>
      </c>
      <c r="CF51" s="102">
        <v>0</v>
      </c>
      <c r="CG51" s="102">
        <v>0</v>
      </c>
      <c r="CH51" s="102">
        <v>0</v>
      </c>
      <c r="CI51" s="102">
        <v>0</v>
      </c>
      <c r="CJ51" s="102">
        <v>0</v>
      </c>
      <c r="CK51" s="102">
        <v>0</v>
      </c>
      <c r="CL51" s="102">
        <v>0</v>
      </c>
      <c r="CM51" s="102">
        <v>0</v>
      </c>
      <c r="CN51" s="102">
        <v>0</v>
      </c>
      <c r="CO51" s="102">
        <v>0</v>
      </c>
      <c r="CP51" s="102">
        <v>0</v>
      </c>
      <c r="CQ51" s="102">
        <v>0</v>
      </c>
      <c r="CR51" s="102">
        <v>0</v>
      </c>
      <c r="CS51" s="102">
        <v>0</v>
      </c>
      <c r="CT51" s="102">
        <v>0</v>
      </c>
      <c r="CU51" s="102">
        <v>0</v>
      </c>
      <c r="CV51" s="102">
        <v>0</v>
      </c>
      <c r="CW51" s="102">
        <v>0</v>
      </c>
      <c r="CX51" s="102">
        <v>0</v>
      </c>
      <c r="CY51" s="102">
        <v>0</v>
      </c>
      <c r="CZ51" s="102">
        <v>0</v>
      </c>
      <c r="DA51" s="102">
        <v>0</v>
      </c>
      <c r="DB51" s="102">
        <v>0</v>
      </c>
      <c r="DC51" s="102">
        <v>0</v>
      </c>
      <c r="DD51" s="102">
        <v>0</v>
      </c>
      <c r="DE51" s="102">
        <v>0</v>
      </c>
      <c r="DF51" s="102">
        <v>0</v>
      </c>
      <c r="DG51" s="102">
        <v>0</v>
      </c>
      <c r="DH51" s="102">
        <v>0</v>
      </c>
      <c r="DI51" s="102">
        <v>0</v>
      </c>
      <c r="DJ51" s="102">
        <v>0</v>
      </c>
      <c r="DK51" s="102">
        <v>0</v>
      </c>
      <c r="DL51" s="102">
        <v>0</v>
      </c>
      <c r="DM51" s="102">
        <v>0</v>
      </c>
      <c r="DN51" s="102">
        <v>0</v>
      </c>
      <c r="DO51" s="102">
        <v>0</v>
      </c>
      <c r="DP51" s="102">
        <v>0</v>
      </c>
      <c r="DQ51" s="102">
        <v>0</v>
      </c>
      <c r="DR51" s="102">
        <v>0</v>
      </c>
      <c r="DS51" s="66">
        <v>2023</v>
      </c>
      <c r="DT51" s="66">
        <v>3</v>
      </c>
      <c r="DU51" s="66">
        <v>30</v>
      </c>
      <c r="DV51" s="66" t="s">
        <v>1012</v>
      </c>
      <c r="DW51" s="66" t="s">
        <v>1020</v>
      </c>
      <c r="DX51" s="66" t="s">
        <v>583</v>
      </c>
      <c r="DY51" s="64" t="str">
        <f t="shared" si="0"/>
        <v>○</v>
      </c>
      <c r="DZ51" s="102">
        <v>0</v>
      </c>
      <c r="EA51" s="102">
        <v>0</v>
      </c>
      <c r="EB51" s="102">
        <v>0</v>
      </c>
      <c r="EC51" s="102">
        <v>0</v>
      </c>
      <c r="ED51" s="102">
        <v>0</v>
      </c>
      <c r="EE51" s="102">
        <v>0</v>
      </c>
      <c r="EF51" s="102">
        <v>0</v>
      </c>
      <c r="EG51" s="102">
        <v>0</v>
      </c>
      <c r="EH51" s="102">
        <v>0</v>
      </c>
      <c r="EI51" s="102">
        <v>0</v>
      </c>
      <c r="EJ51" s="102">
        <v>0</v>
      </c>
      <c r="EK51" s="102">
        <v>0</v>
      </c>
      <c r="EL51" s="102">
        <v>0</v>
      </c>
      <c r="EM51" s="102">
        <v>0</v>
      </c>
      <c r="EN51" s="102">
        <v>0</v>
      </c>
      <c r="EO51" s="102">
        <v>0</v>
      </c>
    </row>
    <row r="52" spans="1:145">
      <c r="A52" s="115">
        <v>160</v>
      </c>
      <c r="B52" s="102">
        <v>1044000</v>
      </c>
      <c r="C52" s="102">
        <v>0</v>
      </c>
      <c r="D52" s="102">
        <v>0</v>
      </c>
      <c r="E52" s="102">
        <v>0</v>
      </c>
      <c r="F52" s="102">
        <v>0</v>
      </c>
      <c r="G52" s="102">
        <v>0</v>
      </c>
      <c r="H52" s="102">
        <v>0</v>
      </c>
      <c r="I52" s="102">
        <v>0</v>
      </c>
      <c r="J52" s="102">
        <v>0</v>
      </c>
      <c r="K52" s="102">
        <v>0</v>
      </c>
      <c r="L52" s="102">
        <v>0</v>
      </c>
      <c r="M52" s="102">
        <v>0</v>
      </c>
      <c r="N52" s="102">
        <v>0</v>
      </c>
      <c r="O52" s="102">
        <v>0</v>
      </c>
      <c r="P52" s="102">
        <v>0</v>
      </c>
      <c r="Q52" s="102">
        <v>0</v>
      </c>
      <c r="R52" s="102">
        <v>0</v>
      </c>
      <c r="S52" s="102">
        <v>1044724</v>
      </c>
      <c r="T52" s="102">
        <v>0</v>
      </c>
      <c r="U52" s="102">
        <v>1044724</v>
      </c>
      <c r="V52" s="102">
        <v>1044724</v>
      </c>
      <c r="W52" s="102">
        <v>10483200</v>
      </c>
      <c r="X52" s="102">
        <v>1044724</v>
      </c>
      <c r="Y52" s="102">
        <v>1044724</v>
      </c>
      <c r="Z52" s="102">
        <v>1044000</v>
      </c>
      <c r="AA52" s="102">
        <v>0</v>
      </c>
      <c r="AB52" s="102">
        <v>0</v>
      </c>
      <c r="AC52" s="102">
        <v>0</v>
      </c>
      <c r="AD52" s="102">
        <v>0</v>
      </c>
      <c r="AE52" s="102">
        <v>0</v>
      </c>
      <c r="AF52" s="102">
        <v>0</v>
      </c>
      <c r="AG52" s="102">
        <v>0</v>
      </c>
      <c r="AH52" s="102">
        <v>0</v>
      </c>
      <c r="AI52" s="102">
        <v>0</v>
      </c>
      <c r="AJ52" s="102">
        <v>0</v>
      </c>
      <c r="AK52" s="102">
        <v>0</v>
      </c>
      <c r="AL52" s="102">
        <v>0</v>
      </c>
      <c r="AM52" s="102">
        <v>0</v>
      </c>
      <c r="AN52" s="102">
        <v>0</v>
      </c>
      <c r="AO52" s="102">
        <v>0</v>
      </c>
      <c r="AP52" s="102">
        <v>0</v>
      </c>
      <c r="AQ52" s="102">
        <v>0</v>
      </c>
      <c r="AR52" s="102">
        <v>0</v>
      </c>
      <c r="AS52" s="102">
        <v>0</v>
      </c>
      <c r="AT52" s="102">
        <v>0</v>
      </c>
      <c r="AU52" s="102">
        <v>0</v>
      </c>
      <c r="AV52" s="102">
        <v>0</v>
      </c>
      <c r="AW52" s="102">
        <v>0</v>
      </c>
      <c r="AX52" s="102">
        <v>0</v>
      </c>
      <c r="AY52" s="102">
        <v>0</v>
      </c>
      <c r="AZ52" s="102">
        <v>0</v>
      </c>
      <c r="BA52" s="102">
        <v>0</v>
      </c>
      <c r="BB52" s="102">
        <v>0</v>
      </c>
      <c r="BC52" s="102">
        <v>0</v>
      </c>
      <c r="BD52" s="102">
        <v>0</v>
      </c>
      <c r="BE52" s="102">
        <v>0</v>
      </c>
      <c r="BF52" s="102">
        <v>0</v>
      </c>
      <c r="BG52" s="102">
        <v>0</v>
      </c>
      <c r="BH52" s="102">
        <v>0</v>
      </c>
      <c r="BI52" s="102">
        <v>0</v>
      </c>
      <c r="BJ52" s="102">
        <v>0</v>
      </c>
      <c r="BK52" s="102">
        <v>0</v>
      </c>
      <c r="BL52" s="102">
        <v>0</v>
      </c>
      <c r="BM52" s="102">
        <v>0</v>
      </c>
      <c r="BN52" s="102">
        <v>0</v>
      </c>
      <c r="BO52" s="102">
        <v>0</v>
      </c>
      <c r="BP52" s="102">
        <v>0</v>
      </c>
      <c r="BQ52" s="102">
        <v>0</v>
      </c>
      <c r="BR52" s="102">
        <v>0</v>
      </c>
      <c r="BS52" s="102">
        <v>0</v>
      </c>
      <c r="BT52" s="102">
        <v>0</v>
      </c>
      <c r="BU52" s="102">
        <v>0</v>
      </c>
      <c r="BV52" s="102">
        <v>0</v>
      </c>
      <c r="BW52" s="102">
        <v>0</v>
      </c>
      <c r="BX52" s="102">
        <v>0</v>
      </c>
      <c r="BY52" s="102">
        <v>0</v>
      </c>
      <c r="BZ52" s="102">
        <v>0</v>
      </c>
      <c r="CA52" s="102">
        <v>0</v>
      </c>
      <c r="CB52" s="102">
        <v>0</v>
      </c>
      <c r="CC52" s="102">
        <v>0</v>
      </c>
      <c r="CD52" s="102">
        <v>0</v>
      </c>
      <c r="CE52" s="102">
        <v>0</v>
      </c>
      <c r="CF52" s="102">
        <v>0</v>
      </c>
      <c r="CG52" s="102">
        <v>0</v>
      </c>
      <c r="CH52" s="102">
        <v>0</v>
      </c>
      <c r="CI52" s="102">
        <v>0</v>
      </c>
      <c r="CJ52" s="102">
        <v>0</v>
      </c>
      <c r="CK52" s="102">
        <v>0</v>
      </c>
      <c r="CL52" s="102">
        <v>0</v>
      </c>
      <c r="CM52" s="102">
        <v>0</v>
      </c>
      <c r="CN52" s="102">
        <v>0</v>
      </c>
      <c r="CO52" s="102">
        <v>0</v>
      </c>
      <c r="CP52" s="102">
        <v>0</v>
      </c>
      <c r="CQ52" s="102">
        <v>0</v>
      </c>
      <c r="CR52" s="102">
        <v>0</v>
      </c>
      <c r="CS52" s="102">
        <v>0</v>
      </c>
      <c r="CT52" s="102">
        <v>0</v>
      </c>
      <c r="CU52" s="102">
        <v>0</v>
      </c>
      <c r="CV52" s="102">
        <v>0</v>
      </c>
      <c r="CW52" s="102">
        <v>0</v>
      </c>
      <c r="CX52" s="102">
        <v>0</v>
      </c>
      <c r="CY52" s="102">
        <v>0</v>
      </c>
      <c r="CZ52" s="102">
        <v>0</v>
      </c>
      <c r="DA52" s="102">
        <v>0</v>
      </c>
      <c r="DB52" s="102">
        <v>0</v>
      </c>
      <c r="DC52" s="102">
        <v>0</v>
      </c>
      <c r="DD52" s="102">
        <v>0</v>
      </c>
      <c r="DE52" s="102">
        <v>0</v>
      </c>
      <c r="DF52" s="102">
        <v>0</v>
      </c>
      <c r="DG52" s="102">
        <v>0</v>
      </c>
      <c r="DH52" s="102">
        <v>0</v>
      </c>
      <c r="DI52" s="102">
        <v>0</v>
      </c>
      <c r="DJ52" s="102">
        <v>0</v>
      </c>
      <c r="DK52" s="102">
        <v>0</v>
      </c>
      <c r="DL52" s="102">
        <v>0</v>
      </c>
      <c r="DM52" s="102">
        <v>0</v>
      </c>
      <c r="DN52" s="102">
        <v>0</v>
      </c>
      <c r="DO52" s="102">
        <v>0</v>
      </c>
      <c r="DP52" s="102">
        <v>0</v>
      </c>
      <c r="DQ52" s="102">
        <v>0</v>
      </c>
      <c r="DR52" s="102">
        <v>0</v>
      </c>
      <c r="DS52" s="66">
        <v>2023</v>
      </c>
      <c r="DT52" s="66">
        <v>3</v>
      </c>
      <c r="DU52" s="66">
        <v>30</v>
      </c>
      <c r="DV52" s="66" t="s">
        <v>588</v>
      </c>
      <c r="DW52" s="66" t="s">
        <v>1021</v>
      </c>
      <c r="DX52" s="66" t="s">
        <v>583</v>
      </c>
      <c r="DY52" s="64" t="str">
        <f t="shared" si="0"/>
        <v>○</v>
      </c>
      <c r="DZ52" s="102">
        <v>0</v>
      </c>
      <c r="EA52" s="102">
        <v>0</v>
      </c>
      <c r="EB52" s="102">
        <v>0</v>
      </c>
      <c r="EC52" s="102">
        <v>0</v>
      </c>
      <c r="ED52" s="102">
        <v>0</v>
      </c>
      <c r="EE52" s="102">
        <v>0</v>
      </c>
      <c r="EF52" s="102">
        <v>0</v>
      </c>
      <c r="EG52" s="102">
        <v>0</v>
      </c>
      <c r="EH52" s="102">
        <v>0</v>
      </c>
      <c r="EI52" s="102">
        <v>0</v>
      </c>
      <c r="EJ52" s="102">
        <v>0</v>
      </c>
      <c r="EK52" s="102">
        <v>0</v>
      </c>
      <c r="EL52" s="102">
        <v>0</v>
      </c>
      <c r="EM52" s="102">
        <v>0</v>
      </c>
      <c r="EN52" s="102">
        <v>0</v>
      </c>
      <c r="EO52" s="102">
        <v>0</v>
      </c>
    </row>
    <row r="53" spans="1:145">
      <c r="A53" s="115">
        <v>161</v>
      </c>
      <c r="B53" s="102">
        <v>3184000</v>
      </c>
      <c r="C53" s="102">
        <v>0</v>
      </c>
      <c r="D53" s="102">
        <v>0</v>
      </c>
      <c r="E53" s="102">
        <v>0</v>
      </c>
      <c r="F53" s="102">
        <v>0</v>
      </c>
      <c r="G53" s="102">
        <v>0</v>
      </c>
      <c r="H53" s="102">
        <v>0</v>
      </c>
      <c r="I53" s="102">
        <v>0</v>
      </c>
      <c r="J53" s="102">
        <v>0</v>
      </c>
      <c r="K53" s="102">
        <v>0</v>
      </c>
      <c r="L53" s="102">
        <v>0</v>
      </c>
      <c r="M53" s="102">
        <v>0</v>
      </c>
      <c r="N53" s="102">
        <v>0</v>
      </c>
      <c r="O53" s="102">
        <v>0</v>
      </c>
      <c r="P53" s="102">
        <v>0</v>
      </c>
      <c r="Q53" s="102">
        <v>0</v>
      </c>
      <c r="R53" s="102">
        <v>0</v>
      </c>
      <c r="S53" s="102">
        <v>3184835</v>
      </c>
      <c r="T53" s="102">
        <v>0</v>
      </c>
      <c r="U53" s="102">
        <v>3184835</v>
      </c>
      <c r="V53" s="102">
        <v>3184835</v>
      </c>
      <c r="W53" s="102">
        <v>5896800</v>
      </c>
      <c r="X53" s="102">
        <v>3184835</v>
      </c>
      <c r="Y53" s="102">
        <v>3184835</v>
      </c>
      <c r="Z53" s="102">
        <v>3184000</v>
      </c>
      <c r="AA53" s="102">
        <v>0</v>
      </c>
      <c r="AB53" s="102">
        <v>0</v>
      </c>
      <c r="AC53" s="102">
        <v>0</v>
      </c>
      <c r="AD53" s="102">
        <v>0</v>
      </c>
      <c r="AE53" s="102">
        <v>0</v>
      </c>
      <c r="AF53" s="102">
        <v>0</v>
      </c>
      <c r="AG53" s="102">
        <v>0</v>
      </c>
      <c r="AH53" s="102">
        <v>0</v>
      </c>
      <c r="AI53" s="102">
        <v>0</v>
      </c>
      <c r="AJ53" s="102">
        <v>0</v>
      </c>
      <c r="AK53" s="102">
        <v>0</v>
      </c>
      <c r="AL53" s="102">
        <v>0</v>
      </c>
      <c r="AM53" s="102">
        <v>0</v>
      </c>
      <c r="AN53" s="102">
        <v>0</v>
      </c>
      <c r="AO53" s="102">
        <v>0</v>
      </c>
      <c r="AP53" s="102">
        <v>0</v>
      </c>
      <c r="AQ53" s="102">
        <v>0</v>
      </c>
      <c r="AR53" s="102">
        <v>0</v>
      </c>
      <c r="AS53" s="102">
        <v>0</v>
      </c>
      <c r="AT53" s="102">
        <v>0</v>
      </c>
      <c r="AU53" s="102">
        <v>0</v>
      </c>
      <c r="AV53" s="102">
        <v>0</v>
      </c>
      <c r="AW53" s="102">
        <v>0</v>
      </c>
      <c r="AX53" s="102">
        <v>0</v>
      </c>
      <c r="AY53" s="102">
        <v>0</v>
      </c>
      <c r="AZ53" s="102">
        <v>0</v>
      </c>
      <c r="BA53" s="102">
        <v>0</v>
      </c>
      <c r="BB53" s="102">
        <v>0</v>
      </c>
      <c r="BC53" s="102">
        <v>0</v>
      </c>
      <c r="BD53" s="102">
        <v>0</v>
      </c>
      <c r="BE53" s="102">
        <v>0</v>
      </c>
      <c r="BF53" s="102">
        <v>0</v>
      </c>
      <c r="BG53" s="102">
        <v>0</v>
      </c>
      <c r="BH53" s="102">
        <v>0</v>
      </c>
      <c r="BI53" s="102">
        <v>0</v>
      </c>
      <c r="BJ53" s="102">
        <v>0</v>
      </c>
      <c r="BK53" s="102">
        <v>0</v>
      </c>
      <c r="BL53" s="102">
        <v>0</v>
      </c>
      <c r="BM53" s="102">
        <v>0</v>
      </c>
      <c r="BN53" s="102">
        <v>0</v>
      </c>
      <c r="BO53" s="102">
        <v>0</v>
      </c>
      <c r="BP53" s="102">
        <v>0</v>
      </c>
      <c r="BQ53" s="102">
        <v>0</v>
      </c>
      <c r="BR53" s="102">
        <v>0</v>
      </c>
      <c r="BS53" s="102">
        <v>0</v>
      </c>
      <c r="BT53" s="102">
        <v>0</v>
      </c>
      <c r="BU53" s="102">
        <v>0</v>
      </c>
      <c r="BV53" s="102">
        <v>0</v>
      </c>
      <c r="BW53" s="102">
        <v>0</v>
      </c>
      <c r="BX53" s="102">
        <v>0</v>
      </c>
      <c r="BY53" s="102">
        <v>0</v>
      </c>
      <c r="BZ53" s="102">
        <v>0</v>
      </c>
      <c r="CA53" s="102">
        <v>0</v>
      </c>
      <c r="CB53" s="102">
        <v>0</v>
      </c>
      <c r="CC53" s="102">
        <v>0</v>
      </c>
      <c r="CD53" s="102">
        <v>0</v>
      </c>
      <c r="CE53" s="102">
        <v>0</v>
      </c>
      <c r="CF53" s="102">
        <v>0</v>
      </c>
      <c r="CG53" s="102">
        <v>0</v>
      </c>
      <c r="CH53" s="102">
        <v>0</v>
      </c>
      <c r="CI53" s="102">
        <v>0</v>
      </c>
      <c r="CJ53" s="102">
        <v>0</v>
      </c>
      <c r="CK53" s="102">
        <v>0</v>
      </c>
      <c r="CL53" s="102">
        <v>0</v>
      </c>
      <c r="CM53" s="102">
        <v>0</v>
      </c>
      <c r="CN53" s="102">
        <v>0</v>
      </c>
      <c r="CO53" s="102">
        <v>0</v>
      </c>
      <c r="CP53" s="102">
        <v>0</v>
      </c>
      <c r="CQ53" s="102">
        <v>0</v>
      </c>
      <c r="CR53" s="102">
        <v>0</v>
      </c>
      <c r="CS53" s="102">
        <v>0</v>
      </c>
      <c r="CT53" s="102">
        <v>0</v>
      </c>
      <c r="CU53" s="102">
        <v>0</v>
      </c>
      <c r="CV53" s="102">
        <v>0</v>
      </c>
      <c r="CW53" s="102">
        <v>0</v>
      </c>
      <c r="CX53" s="102">
        <v>0</v>
      </c>
      <c r="CY53" s="102">
        <v>0</v>
      </c>
      <c r="CZ53" s="102">
        <v>0</v>
      </c>
      <c r="DA53" s="102">
        <v>0</v>
      </c>
      <c r="DB53" s="102">
        <v>0</v>
      </c>
      <c r="DC53" s="102">
        <v>0</v>
      </c>
      <c r="DD53" s="102">
        <v>0</v>
      </c>
      <c r="DE53" s="102">
        <v>0</v>
      </c>
      <c r="DF53" s="102">
        <v>0</v>
      </c>
      <c r="DG53" s="102">
        <v>0</v>
      </c>
      <c r="DH53" s="102">
        <v>0</v>
      </c>
      <c r="DI53" s="102">
        <v>0</v>
      </c>
      <c r="DJ53" s="102">
        <v>0</v>
      </c>
      <c r="DK53" s="102">
        <v>0</v>
      </c>
      <c r="DL53" s="102">
        <v>0</v>
      </c>
      <c r="DM53" s="102">
        <v>0</v>
      </c>
      <c r="DN53" s="102">
        <v>0</v>
      </c>
      <c r="DO53" s="102">
        <v>0</v>
      </c>
      <c r="DP53" s="102">
        <v>0</v>
      </c>
      <c r="DQ53" s="102">
        <v>0</v>
      </c>
      <c r="DR53" s="102">
        <v>0</v>
      </c>
      <c r="DS53" s="66">
        <v>2023</v>
      </c>
      <c r="DT53" s="66">
        <v>3</v>
      </c>
      <c r="DU53" s="66">
        <v>30</v>
      </c>
      <c r="DV53" s="66" t="s">
        <v>588</v>
      </c>
      <c r="DW53" s="66" t="s">
        <v>598</v>
      </c>
      <c r="DX53" s="66" t="s">
        <v>583</v>
      </c>
      <c r="DY53" s="64" t="str">
        <f t="shared" si="0"/>
        <v>○</v>
      </c>
      <c r="DZ53" s="102">
        <v>0</v>
      </c>
      <c r="EA53" s="102">
        <v>0</v>
      </c>
      <c r="EB53" s="102">
        <v>0</v>
      </c>
      <c r="EC53" s="102">
        <v>0</v>
      </c>
      <c r="ED53" s="102">
        <v>0</v>
      </c>
      <c r="EE53" s="102">
        <v>0</v>
      </c>
      <c r="EF53" s="102">
        <v>0</v>
      </c>
      <c r="EG53" s="102">
        <v>0</v>
      </c>
      <c r="EH53" s="102">
        <v>0</v>
      </c>
      <c r="EI53" s="102">
        <v>0</v>
      </c>
      <c r="EJ53" s="102">
        <v>0</v>
      </c>
      <c r="EK53" s="102">
        <v>0</v>
      </c>
      <c r="EL53" s="102">
        <v>0</v>
      </c>
      <c r="EM53" s="102">
        <v>0</v>
      </c>
      <c r="EN53" s="102">
        <v>0</v>
      </c>
      <c r="EO53" s="102">
        <v>0</v>
      </c>
    </row>
    <row r="54" spans="1:145">
      <c r="A54" s="115">
        <v>162</v>
      </c>
      <c r="B54" s="102">
        <v>3212000</v>
      </c>
      <c r="C54" s="102">
        <v>0</v>
      </c>
      <c r="D54" s="102">
        <v>0</v>
      </c>
      <c r="E54" s="102">
        <v>0</v>
      </c>
      <c r="F54" s="102">
        <v>0</v>
      </c>
      <c r="G54" s="102">
        <v>0</v>
      </c>
      <c r="H54" s="102">
        <v>0</v>
      </c>
      <c r="I54" s="102">
        <v>0</v>
      </c>
      <c r="J54" s="102">
        <v>0</v>
      </c>
      <c r="K54" s="102">
        <v>0</v>
      </c>
      <c r="L54" s="102">
        <v>0</v>
      </c>
      <c r="M54" s="102">
        <v>0</v>
      </c>
      <c r="N54" s="102">
        <v>0</v>
      </c>
      <c r="O54" s="102">
        <v>0</v>
      </c>
      <c r="P54" s="102">
        <v>0</v>
      </c>
      <c r="Q54" s="102">
        <v>0</v>
      </c>
      <c r="R54" s="102">
        <v>0</v>
      </c>
      <c r="S54" s="102">
        <v>3212534</v>
      </c>
      <c r="T54" s="102">
        <v>0</v>
      </c>
      <c r="U54" s="102">
        <v>3212534</v>
      </c>
      <c r="V54" s="102">
        <v>3212534</v>
      </c>
      <c r="W54" s="102">
        <v>7207200</v>
      </c>
      <c r="X54" s="102">
        <v>3212534</v>
      </c>
      <c r="Y54" s="102">
        <v>3212534</v>
      </c>
      <c r="Z54" s="102">
        <v>3212000</v>
      </c>
      <c r="AA54" s="102">
        <v>0</v>
      </c>
      <c r="AB54" s="102">
        <v>0</v>
      </c>
      <c r="AC54" s="102">
        <v>0</v>
      </c>
      <c r="AD54" s="102">
        <v>0</v>
      </c>
      <c r="AE54" s="102">
        <v>0</v>
      </c>
      <c r="AF54" s="102">
        <v>0</v>
      </c>
      <c r="AG54" s="102">
        <v>0</v>
      </c>
      <c r="AH54" s="102">
        <v>0</v>
      </c>
      <c r="AI54" s="102">
        <v>0</v>
      </c>
      <c r="AJ54" s="102">
        <v>0</v>
      </c>
      <c r="AK54" s="102">
        <v>0</v>
      </c>
      <c r="AL54" s="102">
        <v>0</v>
      </c>
      <c r="AM54" s="102">
        <v>0</v>
      </c>
      <c r="AN54" s="102">
        <v>0</v>
      </c>
      <c r="AO54" s="102">
        <v>0</v>
      </c>
      <c r="AP54" s="102">
        <v>0</v>
      </c>
      <c r="AQ54" s="102">
        <v>0</v>
      </c>
      <c r="AR54" s="102">
        <v>0</v>
      </c>
      <c r="AS54" s="102">
        <v>0</v>
      </c>
      <c r="AT54" s="102">
        <v>0</v>
      </c>
      <c r="AU54" s="102">
        <v>0</v>
      </c>
      <c r="AV54" s="102">
        <v>0</v>
      </c>
      <c r="AW54" s="102">
        <v>0</v>
      </c>
      <c r="AX54" s="102">
        <v>0</v>
      </c>
      <c r="AY54" s="102">
        <v>0</v>
      </c>
      <c r="AZ54" s="102">
        <v>0</v>
      </c>
      <c r="BA54" s="102">
        <v>0</v>
      </c>
      <c r="BB54" s="102">
        <v>0</v>
      </c>
      <c r="BC54" s="102">
        <v>0</v>
      </c>
      <c r="BD54" s="102">
        <v>0</v>
      </c>
      <c r="BE54" s="102">
        <v>0</v>
      </c>
      <c r="BF54" s="102">
        <v>0</v>
      </c>
      <c r="BG54" s="102">
        <v>0</v>
      </c>
      <c r="BH54" s="102">
        <v>0</v>
      </c>
      <c r="BI54" s="102">
        <v>0</v>
      </c>
      <c r="BJ54" s="102">
        <v>0</v>
      </c>
      <c r="BK54" s="102">
        <v>0</v>
      </c>
      <c r="BL54" s="102">
        <v>0</v>
      </c>
      <c r="BM54" s="102">
        <v>0</v>
      </c>
      <c r="BN54" s="102">
        <v>0</v>
      </c>
      <c r="BO54" s="102">
        <v>0</v>
      </c>
      <c r="BP54" s="102">
        <v>0</v>
      </c>
      <c r="BQ54" s="102">
        <v>0</v>
      </c>
      <c r="BR54" s="102">
        <v>0</v>
      </c>
      <c r="BS54" s="102">
        <v>0</v>
      </c>
      <c r="BT54" s="102">
        <v>0</v>
      </c>
      <c r="BU54" s="102">
        <v>0</v>
      </c>
      <c r="BV54" s="102">
        <v>0</v>
      </c>
      <c r="BW54" s="102">
        <v>0</v>
      </c>
      <c r="BX54" s="102">
        <v>0</v>
      </c>
      <c r="BY54" s="102">
        <v>0</v>
      </c>
      <c r="BZ54" s="102">
        <v>0</v>
      </c>
      <c r="CA54" s="102">
        <v>0</v>
      </c>
      <c r="CB54" s="102">
        <v>0</v>
      </c>
      <c r="CC54" s="102">
        <v>0</v>
      </c>
      <c r="CD54" s="102">
        <v>0</v>
      </c>
      <c r="CE54" s="102">
        <v>0</v>
      </c>
      <c r="CF54" s="102">
        <v>0</v>
      </c>
      <c r="CG54" s="102">
        <v>0</v>
      </c>
      <c r="CH54" s="102">
        <v>0</v>
      </c>
      <c r="CI54" s="102">
        <v>0</v>
      </c>
      <c r="CJ54" s="102">
        <v>0</v>
      </c>
      <c r="CK54" s="102">
        <v>0</v>
      </c>
      <c r="CL54" s="102">
        <v>0</v>
      </c>
      <c r="CM54" s="102">
        <v>0</v>
      </c>
      <c r="CN54" s="102">
        <v>0</v>
      </c>
      <c r="CO54" s="102">
        <v>0</v>
      </c>
      <c r="CP54" s="102">
        <v>0</v>
      </c>
      <c r="CQ54" s="102">
        <v>0</v>
      </c>
      <c r="CR54" s="102">
        <v>0</v>
      </c>
      <c r="CS54" s="102">
        <v>0</v>
      </c>
      <c r="CT54" s="102">
        <v>0</v>
      </c>
      <c r="CU54" s="102">
        <v>0</v>
      </c>
      <c r="CV54" s="102">
        <v>0</v>
      </c>
      <c r="CW54" s="102">
        <v>0</v>
      </c>
      <c r="CX54" s="102">
        <v>0</v>
      </c>
      <c r="CY54" s="102">
        <v>0</v>
      </c>
      <c r="CZ54" s="102">
        <v>0</v>
      </c>
      <c r="DA54" s="102">
        <v>0</v>
      </c>
      <c r="DB54" s="102">
        <v>0</v>
      </c>
      <c r="DC54" s="102">
        <v>0</v>
      </c>
      <c r="DD54" s="102">
        <v>0</v>
      </c>
      <c r="DE54" s="102">
        <v>0</v>
      </c>
      <c r="DF54" s="102">
        <v>0</v>
      </c>
      <c r="DG54" s="102">
        <v>0</v>
      </c>
      <c r="DH54" s="102">
        <v>0</v>
      </c>
      <c r="DI54" s="102">
        <v>0</v>
      </c>
      <c r="DJ54" s="102">
        <v>0</v>
      </c>
      <c r="DK54" s="102">
        <v>0</v>
      </c>
      <c r="DL54" s="102">
        <v>0</v>
      </c>
      <c r="DM54" s="102">
        <v>0</v>
      </c>
      <c r="DN54" s="102">
        <v>0</v>
      </c>
      <c r="DO54" s="102">
        <v>0</v>
      </c>
      <c r="DP54" s="102">
        <v>0</v>
      </c>
      <c r="DQ54" s="102">
        <v>0</v>
      </c>
      <c r="DR54" s="102">
        <v>0</v>
      </c>
      <c r="DS54" s="66">
        <v>2023</v>
      </c>
      <c r="DT54" s="66">
        <v>3</v>
      </c>
      <c r="DU54" s="66">
        <v>31</v>
      </c>
      <c r="DV54" s="66" t="s">
        <v>1025</v>
      </c>
      <c r="DW54" s="66" t="s">
        <v>1026</v>
      </c>
      <c r="DX54" s="66" t="s">
        <v>583</v>
      </c>
      <c r="DZ54" s="102">
        <v>0</v>
      </c>
      <c r="EA54" s="102">
        <v>0</v>
      </c>
      <c r="EB54" s="102">
        <v>0</v>
      </c>
      <c r="EC54" s="102">
        <v>0</v>
      </c>
      <c r="ED54" s="102">
        <v>0</v>
      </c>
      <c r="EE54" s="102">
        <v>0</v>
      </c>
      <c r="EF54" s="102">
        <v>0</v>
      </c>
      <c r="EG54" s="102">
        <v>0</v>
      </c>
      <c r="EH54" s="102">
        <v>0</v>
      </c>
      <c r="EI54" s="102">
        <v>0</v>
      </c>
      <c r="EJ54" s="102">
        <v>0</v>
      </c>
      <c r="EK54" s="102">
        <v>0</v>
      </c>
      <c r="EL54" s="102">
        <v>0</v>
      </c>
      <c r="EM54" s="102">
        <v>0</v>
      </c>
      <c r="EN54" s="102">
        <v>0</v>
      </c>
      <c r="EO54" s="102">
        <v>0</v>
      </c>
    </row>
    <row r="55" spans="1:145">
      <c r="A55" s="115">
        <v>163</v>
      </c>
      <c r="B55" s="102">
        <v>297000</v>
      </c>
      <c r="C55" s="102">
        <v>0</v>
      </c>
      <c r="D55" s="102">
        <v>0</v>
      </c>
      <c r="E55" s="102">
        <v>0</v>
      </c>
      <c r="F55" s="102">
        <v>0</v>
      </c>
      <c r="G55" s="102">
        <v>0</v>
      </c>
      <c r="H55" s="102">
        <v>0</v>
      </c>
      <c r="I55" s="102">
        <v>0</v>
      </c>
      <c r="J55" s="102">
        <v>0</v>
      </c>
      <c r="K55" s="102">
        <v>0</v>
      </c>
      <c r="L55" s="102">
        <v>0</v>
      </c>
      <c r="M55" s="102">
        <v>0</v>
      </c>
      <c r="N55" s="102">
        <v>0</v>
      </c>
      <c r="O55" s="102">
        <v>0</v>
      </c>
      <c r="P55" s="102">
        <v>0</v>
      </c>
      <c r="Q55" s="102">
        <v>0</v>
      </c>
      <c r="R55" s="102">
        <v>0</v>
      </c>
      <c r="S55" s="102">
        <v>297000</v>
      </c>
      <c r="T55" s="102">
        <v>0</v>
      </c>
      <c r="U55" s="102">
        <v>297000</v>
      </c>
      <c r="V55" s="102">
        <v>297000</v>
      </c>
      <c r="W55" s="102">
        <v>3276000</v>
      </c>
      <c r="X55" s="102">
        <v>297000</v>
      </c>
      <c r="Y55" s="102">
        <v>297000</v>
      </c>
      <c r="Z55" s="102">
        <v>297000</v>
      </c>
      <c r="AA55" s="102">
        <v>0</v>
      </c>
      <c r="AB55" s="102">
        <v>0</v>
      </c>
      <c r="AC55" s="102">
        <v>0</v>
      </c>
      <c r="AD55" s="102">
        <v>0</v>
      </c>
      <c r="AE55" s="102">
        <v>0</v>
      </c>
      <c r="AF55" s="102">
        <v>0</v>
      </c>
      <c r="AG55" s="102">
        <v>0</v>
      </c>
      <c r="AH55" s="102">
        <v>0</v>
      </c>
      <c r="AI55" s="102">
        <v>0</v>
      </c>
      <c r="AJ55" s="102">
        <v>0</v>
      </c>
      <c r="AK55" s="102">
        <v>0</v>
      </c>
      <c r="AL55" s="102">
        <v>0</v>
      </c>
      <c r="AM55" s="102">
        <v>0</v>
      </c>
      <c r="AN55" s="102">
        <v>0</v>
      </c>
      <c r="AO55" s="102">
        <v>0</v>
      </c>
      <c r="AP55" s="102">
        <v>0</v>
      </c>
      <c r="AQ55" s="102">
        <v>0</v>
      </c>
      <c r="AR55" s="102">
        <v>0</v>
      </c>
      <c r="AS55" s="102">
        <v>0</v>
      </c>
      <c r="AT55" s="102">
        <v>0</v>
      </c>
      <c r="AU55" s="102">
        <v>0</v>
      </c>
      <c r="AV55" s="102">
        <v>0</v>
      </c>
      <c r="AW55" s="102">
        <v>0</v>
      </c>
      <c r="AX55" s="102">
        <v>0</v>
      </c>
      <c r="AY55" s="102">
        <v>0</v>
      </c>
      <c r="AZ55" s="102">
        <v>0</v>
      </c>
      <c r="BA55" s="102">
        <v>0</v>
      </c>
      <c r="BB55" s="102">
        <v>0</v>
      </c>
      <c r="BC55" s="102">
        <v>0</v>
      </c>
      <c r="BD55" s="102">
        <v>0</v>
      </c>
      <c r="BE55" s="102">
        <v>0</v>
      </c>
      <c r="BF55" s="102">
        <v>0</v>
      </c>
      <c r="BG55" s="102">
        <v>0</v>
      </c>
      <c r="BH55" s="102">
        <v>0</v>
      </c>
      <c r="BI55" s="102">
        <v>0</v>
      </c>
      <c r="BJ55" s="102">
        <v>0</v>
      </c>
      <c r="BK55" s="102">
        <v>0</v>
      </c>
      <c r="BL55" s="102">
        <v>0</v>
      </c>
      <c r="BM55" s="102">
        <v>0</v>
      </c>
      <c r="BN55" s="102">
        <v>0</v>
      </c>
      <c r="BO55" s="102">
        <v>0</v>
      </c>
      <c r="BP55" s="102">
        <v>0</v>
      </c>
      <c r="BQ55" s="102">
        <v>0</v>
      </c>
      <c r="BR55" s="102">
        <v>0</v>
      </c>
      <c r="BS55" s="102">
        <v>0</v>
      </c>
      <c r="BT55" s="102">
        <v>0</v>
      </c>
      <c r="BU55" s="102">
        <v>0</v>
      </c>
      <c r="BV55" s="102">
        <v>0</v>
      </c>
      <c r="BW55" s="102">
        <v>0</v>
      </c>
      <c r="BX55" s="102">
        <v>0</v>
      </c>
      <c r="BY55" s="102">
        <v>0</v>
      </c>
      <c r="BZ55" s="102">
        <v>0</v>
      </c>
      <c r="CA55" s="102">
        <v>0</v>
      </c>
      <c r="CB55" s="102">
        <v>0</v>
      </c>
      <c r="CC55" s="102">
        <v>0</v>
      </c>
      <c r="CD55" s="102">
        <v>0</v>
      </c>
      <c r="CE55" s="102">
        <v>0</v>
      </c>
      <c r="CF55" s="102">
        <v>0</v>
      </c>
      <c r="CG55" s="102">
        <v>0</v>
      </c>
      <c r="CH55" s="102">
        <v>0</v>
      </c>
      <c r="CI55" s="102">
        <v>0</v>
      </c>
      <c r="CJ55" s="102">
        <v>0</v>
      </c>
      <c r="CK55" s="102">
        <v>0</v>
      </c>
      <c r="CL55" s="102">
        <v>0</v>
      </c>
      <c r="CM55" s="102">
        <v>0</v>
      </c>
      <c r="CN55" s="102">
        <v>0</v>
      </c>
      <c r="CO55" s="102">
        <v>0</v>
      </c>
      <c r="CP55" s="102">
        <v>0</v>
      </c>
      <c r="CQ55" s="102">
        <v>0</v>
      </c>
      <c r="CR55" s="102">
        <v>0</v>
      </c>
      <c r="CS55" s="102">
        <v>0</v>
      </c>
      <c r="CT55" s="102">
        <v>0</v>
      </c>
      <c r="CU55" s="102">
        <v>0</v>
      </c>
      <c r="CV55" s="102">
        <v>0</v>
      </c>
      <c r="CW55" s="102">
        <v>0</v>
      </c>
      <c r="CX55" s="102">
        <v>0</v>
      </c>
      <c r="CY55" s="102">
        <v>0</v>
      </c>
      <c r="CZ55" s="102">
        <v>0</v>
      </c>
      <c r="DA55" s="102">
        <v>0</v>
      </c>
      <c r="DB55" s="102">
        <v>0</v>
      </c>
      <c r="DC55" s="102">
        <v>0</v>
      </c>
      <c r="DD55" s="102">
        <v>0</v>
      </c>
      <c r="DE55" s="102">
        <v>0</v>
      </c>
      <c r="DF55" s="102">
        <v>0</v>
      </c>
      <c r="DG55" s="102">
        <v>0</v>
      </c>
      <c r="DH55" s="102">
        <v>0</v>
      </c>
      <c r="DI55" s="102">
        <v>0</v>
      </c>
      <c r="DJ55" s="102">
        <v>0</v>
      </c>
      <c r="DK55" s="102">
        <v>0</v>
      </c>
      <c r="DL55" s="102">
        <v>0</v>
      </c>
      <c r="DM55" s="102">
        <v>0</v>
      </c>
      <c r="DN55" s="102">
        <v>0</v>
      </c>
      <c r="DO55" s="102">
        <v>0</v>
      </c>
      <c r="DP55" s="102">
        <v>0</v>
      </c>
      <c r="DQ55" s="102">
        <v>0</v>
      </c>
      <c r="DR55" s="102">
        <v>0</v>
      </c>
      <c r="DS55" s="66">
        <v>2023</v>
      </c>
      <c r="DT55" s="66">
        <v>3</v>
      </c>
      <c r="DU55" s="66">
        <v>31</v>
      </c>
      <c r="DV55" s="66" t="s">
        <v>1027</v>
      </c>
      <c r="DW55" s="66" t="s">
        <v>1028</v>
      </c>
      <c r="DX55" s="66" t="s">
        <v>583</v>
      </c>
      <c r="DZ55" s="102">
        <v>0</v>
      </c>
      <c r="EA55" s="102">
        <v>0</v>
      </c>
      <c r="EB55" s="102">
        <v>0</v>
      </c>
      <c r="EC55" s="102">
        <v>0</v>
      </c>
      <c r="ED55" s="102">
        <v>0</v>
      </c>
      <c r="EE55" s="102">
        <v>0</v>
      </c>
      <c r="EF55" s="102">
        <v>0</v>
      </c>
      <c r="EG55" s="102">
        <v>0</v>
      </c>
      <c r="EH55" s="102">
        <v>0</v>
      </c>
      <c r="EI55" s="102">
        <v>0</v>
      </c>
      <c r="EJ55" s="102">
        <v>0</v>
      </c>
      <c r="EK55" s="102">
        <v>0</v>
      </c>
      <c r="EL55" s="102">
        <v>0</v>
      </c>
      <c r="EM55" s="102">
        <v>0</v>
      </c>
      <c r="EN55" s="102">
        <v>0</v>
      </c>
      <c r="EO55" s="102">
        <v>0</v>
      </c>
    </row>
    <row r="56" spans="1:145">
      <c r="A56" s="115"/>
      <c r="B56" s="102"/>
      <c r="C56" s="102"/>
      <c r="D56" s="102"/>
      <c r="E56" s="102"/>
      <c r="F56" s="102"/>
      <c r="G56" s="102"/>
      <c r="H56" s="102"/>
      <c r="I56" s="102"/>
      <c r="J56" s="102"/>
      <c r="K56" s="102"/>
      <c r="L56" s="102"/>
      <c r="M56" s="102"/>
      <c r="N56" s="102"/>
      <c r="O56" s="102"/>
      <c r="P56" s="102"/>
      <c r="Q56" s="102"/>
      <c r="R56" s="102"/>
      <c r="S56" s="102"/>
      <c r="T56" s="102"/>
      <c r="U56" s="102"/>
      <c r="V56" s="102"/>
      <c r="W56" s="102"/>
      <c r="X56" s="102"/>
      <c r="Y56" s="102"/>
      <c r="Z56" s="102"/>
      <c r="AA56" s="102"/>
      <c r="AB56" s="102"/>
      <c r="AC56" s="102"/>
      <c r="AD56" s="102"/>
      <c r="AE56" s="102"/>
      <c r="AF56" s="102"/>
      <c r="AG56" s="102"/>
      <c r="AH56" s="102"/>
      <c r="AI56" s="102"/>
      <c r="AJ56" s="102"/>
      <c r="AK56" s="102"/>
      <c r="AL56" s="102"/>
      <c r="AM56" s="102"/>
      <c r="AN56" s="102"/>
      <c r="AO56" s="102"/>
      <c r="AP56" s="102"/>
      <c r="AQ56" s="102"/>
      <c r="AR56" s="102"/>
      <c r="AS56" s="102"/>
      <c r="AT56" s="102"/>
      <c r="AU56" s="102"/>
      <c r="AV56" s="102"/>
      <c r="AW56" s="102"/>
      <c r="AX56" s="102"/>
      <c r="AY56" s="102"/>
      <c r="AZ56" s="102"/>
      <c r="BA56" s="102"/>
      <c r="BB56" s="102"/>
      <c r="BC56" s="102"/>
      <c r="BD56" s="102"/>
      <c r="BE56" s="102"/>
      <c r="BF56" s="102"/>
      <c r="BG56" s="102"/>
      <c r="BH56" s="102"/>
      <c r="BI56" s="102"/>
      <c r="BJ56" s="102"/>
      <c r="BK56" s="102"/>
      <c r="BL56" s="102"/>
      <c r="BM56" s="102"/>
      <c r="BN56" s="102"/>
      <c r="BO56" s="102"/>
      <c r="BP56" s="102"/>
      <c r="BQ56" s="102"/>
      <c r="BR56" s="102"/>
      <c r="BS56" s="102"/>
      <c r="BT56" s="102"/>
      <c r="BU56" s="102"/>
      <c r="BV56" s="102"/>
      <c r="BW56" s="102"/>
      <c r="BX56" s="102"/>
      <c r="BY56" s="102"/>
      <c r="BZ56" s="102"/>
      <c r="CA56" s="102"/>
      <c r="CB56" s="102"/>
      <c r="CC56" s="102"/>
      <c r="CD56" s="102"/>
      <c r="CE56" s="102"/>
      <c r="CF56" s="102"/>
      <c r="CG56" s="102"/>
      <c r="CH56" s="102"/>
      <c r="CI56" s="102"/>
      <c r="CJ56" s="102"/>
      <c r="CK56" s="102"/>
      <c r="CL56" s="102"/>
      <c r="CM56" s="102"/>
      <c r="CN56" s="102"/>
      <c r="CO56" s="102"/>
      <c r="CP56" s="102"/>
      <c r="CQ56" s="102"/>
      <c r="CR56" s="102"/>
      <c r="CS56" s="102"/>
      <c r="CT56" s="102"/>
      <c r="CU56" s="102"/>
      <c r="CV56" s="102"/>
      <c r="CW56" s="102"/>
      <c r="CX56" s="102"/>
      <c r="CY56" s="102"/>
      <c r="CZ56" s="102"/>
      <c r="DA56" s="102"/>
      <c r="DB56" s="102"/>
      <c r="DC56" s="102"/>
      <c r="DD56" s="102"/>
      <c r="DE56" s="102"/>
      <c r="DF56" s="102"/>
      <c r="DG56" s="102"/>
      <c r="DH56" s="102"/>
      <c r="DI56" s="102"/>
      <c r="DJ56" s="102"/>
      <c r="DK56" s="102"/>
      <c r="DL56" s="102"/>
      <c r="DM56" s="102"/>
      <c r="DN56" s="102"/>
      <c r="DO56" s="102"/>
      <c r="DP56" s="102"/>
      <c r="DQ56" s="102"/>
      <c r="DR56" s="102"/>
      <c r="DS56" s="66"/>
      <c r="DT56" s="66"/>
      <c r="DU56" s="66"/>
      <c r="DV56" s="66"/>
      <c r="DW56" s="66"/>
      <c r="DX56" s="66"/>
      <c r="DZ56" s="102"/>
      <c r="EA56" s="102"/>
      <c r="EB56" s="102"/>
      <c r="EC56" s="102"/>
      <c r="ED56" s="102"/>
      <c r="EE56" s="102"/>
      <c r="EF56" s="102"/>
      <c r="EG56" s="102"/>
      <c r="EH56" s="102"/>
      <c r="EI56" s="102"/>
      <c r="EJ56" s="102"/>
      <c r="EK56" s="102"/>
      <c r="EL56" s="102"/>
      <c r="EM56" s="102"/>
      <c r="EN56" s="102"/>
      <c r="EO56" s="102"/>
    </row>
    <row r="57" spans="1:145">
      <c r="A57" s="115"/>
      <c r="B57" s="102"/>
      <c r="C57" s="102"/>
      <c r="D57" s="102"/>
      <c r="E57" s="102"/>
      <c r="F57" s="102"/>
      <c r="G57" s="102"/>
      <c r="H57" s="102"/>
      <c r="I57" s="102"/>
      <c r="J57" s="102"/>
      <c r="K57" s="102"/>
      <c r="L57" s="102"/>
      <c r="M57" s="102"/>
      <c r="N57" s="102"/>
      <c r="O57" s="102"/>
      <c r="P57" s="102"/>
      <c r="Q57" s="102"/>
      <c r="R57" s="102"/>
      <c r="S57" s="102"/>
      <c r="T57" s="102"/>
      <c r="U57" s="102"/>
      <c r="V57" s="102"/>
      <c r="W57" s="102"/>
      <c r="X57" s="102"/>
      <c r="Y57" s="102"/>
      <c r="Z57" s="102"/>
      <c r="AA57" s="102"/>
      <c r="AB57" s="102"/>
      <c r="AC57" s="102"/>
      <c r="AD57" s="102"/>
      <c r="AE57" s="102"/>
      <c r="AF57" s="102"/>
      <c r="AG57" s="102"/>
      <c r="AH57" s="102"/>
      <c r="AI57" s="102"/>
      <c r="AJ57" s="102"/>
      <c r="AK57" s="102"/>
      <c r="AL57" s="102"/>
      <c r="AM57" s="102"/>
      <c r="AN57" s="102"/>
      <c r="AO57" s="102"/>
      <c r="AP57" s="102"/>
      <c r="AQ57" s="102"/>
      <c r="AR57" s="102"/>
      <c r="AS57" s="102"/>
      <c r="AT57" s="102"/>
      <c r="AU57" s="102"/>
      <c r="AV57" s="102"/>
      <c r="AW57" s="102"/>
      <c r="AX57" s="102"/>
      <c r="AY57" s="102"/>
      <c r="AZ57" s="102"/>
      <c r="BA57" s="102"/>
      <c r="BB57" s="102"/>
      <c r="BC57" s="102"/>
      <c r="BD57" s="102"/>
      <c r="BE57" s="102"/>
      <c r="BF57" s="102"/>
      <c r="BG57" s="102"/>
      <c r="BH57" s="102"/>
      <c r="BI57" s="102"/>
      <c r="BJ57" s="102"/>
      <c r="BK57" s="102"/>
      <c r="BL57" s="102"/>
      <c r="BM57" s="102"/>
      <c r="BN57" s="102"/>
      <c r="BO57" s="102"/>
      <c r="BP57" s="102"/>
      <c r="BQ57" s="102"/>
      <c r="BR57" s="102"/>
      <c r="BS57" s="102"/>
      <c r="BT57" s="102"/>
      <c r="BU57" s="102"/>
      <c r="BV57" s="102"/>
      <c r="BW57" s="102"/>
      <c r="BX57" s="102"/>
      <c r="BY57" s="102"/>
      <c r="BZ57" s="102"/>
      <c r="CA57" s="102"/>
      <c r="CB57" s="102"/>
      <c r="CC57" s="102"/>
      <c r="CD57" s="102"/>
      <c r="CE57" s="102"/>
      <c r="CF57" s="102"/>
      <c r="CG57" s="102"/>
      <c r="CH57" s="102"/>
      <c r="CI57" s="102"/>
      <c r="CJ57" s="102"/>
      <c r="CK57" s="102"/>
      <c r="CL57" s="102"/>
      <c r="CM57" s="102"/>
      <c r="CN57" s="102"/>
      <c r="CO57" s="102"/>
      <c r="CP57" s="102"/>
      <c r="CQ57" s="102"/>
      <c r="CR57" s="102"/>
      <c r="CS57" s="102"/>
      <c r="CT57" s="102"/>
      <c r="CU57" s="102"/>
      <c r="CV57" s="102"/>
      <c r="CW57" s="102"/>
      <c r="CX57" s="102"/>
      <c r="CY57" s="102"/>
      <c r="CZ57" s="102"/>
      <c r="DA57" s="102"/>
      <c r="DB57" s="102"/>
      <c r="DC57" s="102"/>
      <c r="DD57" s="102"/>
      <c r="DE57" s="102"/>
      <c r="DF57" s="102"/>
      <c r="DG57" s="102"/>
      <c r="DH57" s="102"/>
      <c r="DI57" s="102"/>
      <c r="DJ57" s="102"/>
      <c r="DK57" s="102"/>
      <c r="DL57" s="102"/>
      <c r="DM57" s="102"/>
      <c r="DN57" s="102"/>
      <c r="DO57" s="102"/>
      <c r="DP57" s="102"/>
      <c r="DQ57" s="102"/>
      <c r="DR57" s="102"/>
      <c r="DS57" s="66"/>
      <c r="DT57" s="66"/>
      <c r="DU57" s="66"/>
      <c r="DV57" s="66"/>
      <c r="DW57" s="66"/>
      <c r="DX57" s="66"/>
      <c r="DZ57" s="102"/>
      <c r="EA57" s="102"/>
      <c r="EB57" s="102"/>
      <c r="EC57" s="102"/>
      <c r="ED57" s="102"/>
      <c r="EE57" s="102"/>
      <c r="EF57" s="102"/>
      <c r="EG57" s="102"/>
      <c r="EH57" s="102"/>
      <c r="EI57" s="102"/>
      <c r="EJ57" s="102"/>
      <c r="EK57" s="102"/>
      <c r="EL57" s="102"/>
      <c r="EM57" s="102"/>
      <c r="EN57" s="102"/>
      <c r="EO57" s="102"/>
    </row>
    <row r="58" spans="1:145">
      <c r="A58" s="115"/>
      <c r="B58" s="102"/>
      <c r="C58" s="102"/>
      <c r="D58" s="102"/>
      <c r="E58" s="102"/>
      <c r="F58" s="102"/>
      <c r="G58" s="102"/>
      <c r="H58" s="102"/>
      <c r="I58" s="102"/>
      <c r="J58" s="102"/>
      <c r="K58" s="102"/>
      <c r="L58" s="102"/>
      <c r="M58" s="102"/>
      <c r="N58" s="102"/>
      <c r="O58" s="102"/>
      <c r="P58" s="102"/>
      <c r="Q58" s="102"/>
      <c r="R58" s="102"/>
      <c r="S58" s="102"/>
      <c r="T58" s="102"/>
      <c r="U58" s="102"/>
      <c r="V58" s="102"/>
      <c r="W58" s="102"/>
      <c r="X58" s="102"/>
      <c r="Y58" s="102"/>
      <c r="Z58" s="102"/>
      <c r="AA58" s="102"/>
      <c r="AB58" s="102"/>
      <c r="AC58" s="102"/>
      <c r="AD58" s="102"/>
      <c r="AE58" s="102"/>
      <c r="AF58" s="102"/>
      <c r="AG58" s="102"/>
      <c r="AH58" s="102"/>
      <c r="AI58" s="102"/>
      <c r="AJ58" s="102"/>
      <c r="AK58" s="102"/>
      <c r="AL58" s="102"/>
      <c r="AM58" s="102"/>
      <c r="AN58" s="102"/>
      <c r="AO58" s="102"/>
      <c r="AP58" s="102"/>
      <c r="AQ58" s="102"/>
      <c r="AR58" s="102"/>
      <c r="AS58" s="102"/>
      <c r="AT58" s="102"/>
      <c r="AU58" s="102"/>
      <c r="AV58" s="102"/>
      <c r="AW58" s="102"/>
      <c r="AX58" s="102"/>
      <c r="AY58" s="102"/>
      <c r="AZ58" s="102"/>
      <c r="BA58" s="102"/>
      <c r="BB58" s="102"/>
      <c r="BC58" s="102"/>
      <c r="BD58" s="102"/>
      <c r="BE58" s="102"/>
      <c r="BF58" s="102"/>
      <c r="BG58" s="102"/>
      <c r="BH58" s="102"/>
      <c r="BI58" s="102"/>
      <c r="BJ58" s="102"/>
      <c r="BK58" s="102"/>
      <c r="BL58" s="102"/>
      <c r="BM58" s="102"/>
      <c r="BN58" s="102"/>
      <c r="BO58" s="102"/>
      <c r="BP58" s="102"/>
      <c r="BQ58" s="102"/>
      <c r="BR58" s="102"/>
      <c r="BS58" s="102"/>
      <c r="BT58" s="102"/>
      <c r="BU58" s="102"/>
      <c r="BV58" s="102"/>
      <c r="BW58" s="102"/>
      <c r="BX58" s="102"/>
      <c r="BY58" s="102"/>
      <c r="BZ58" s="102"/>
      <c r="CA58" s="102"/>
      <c r="CB58" s="102"/>
      <c r="CC58" s="102"/>
      <c r="CD58" s="102"/>
      <c r="CE58" s="102"/>
      <c r="CF58" s="102"/>
      <c r="CG58" s="102"/>
      <c r="CH58" s="102"/>
      <c r="CI58" s="102"/>
      <c r="CJ58" s="102"/>
      <c r="CK58" s="102"/>
      <c r="CL58" s="102"/>
      <c r="CM58" s="102"/>
      <c r="CN58" s="102"/>
      <c r="CO58" s="102"/>
      <c r="CP58" s="102"/>
      <c r="CQ58" s="102"/>
      <c r="CR58" s="102"/>
      <c r="CS58" s="102"/>
      <c r="CT58" s="102"/>
      <c r="CU58" s="102"/>
      <c r="CV58" s="102"/>
      <c r="CW58" s="102"/>
      <c r="CX58" s="102"/>
      <c r="CY58" s="102"/>
      <c r="CZ58" s="102"/>
      <c r="DA58" s="102"/>
      <c r="DB58" s="102"/>
      <c r="DC58" s="102"/>
      <c r="DD58" s="102"/>
      <c r="DE58" s="102"/>
      <c r="DF58" s="102"/>
      <c r="DG58" s="102"/>
      <c r="DH58" s="102"/>
      <c r="DI58" s="102"/>
      <c r="DJ58" s="102"/>
      <c r="DK58" s="102"/>
      <c r="DL58" s="102"/>
      <c r="DM58" s="102"/>
      <c r="DN58" s="102"/>
      <c r="DO58" s="102"/>
      <c r="DP58" s="102"/>
      <c r="DQ58" s="102"/>
      <c r="DR58" s="102"/>
      <c r="DS58" s="66"/>
      <c r="DT58" s="66"/>
      <c r="DU58" s="66"/>
      <c r="DV58" s="66"/>
      <c r="DW58" s="66"/>
      <c r="DX58" s="66"/>
      <c r="DZ58" s="102"/>
      <c r="EA58" s="102"/>
      <c r="EB58" s="102"/>
      <c r="EC58" s="102"/>
      <c r="ED58" s="102"/>
      <c r="EE58" s="102"/>
      <c r="EF58" s="102"/>
      <c r="EG58" s="102"/>
      <c r="EH58" s="102"/>
      <c r="EI58" s="102"/>
      <c r="EJ58" s="102"/>
      <c r="EK58" s="102"/>
      <c r="EL58" s="102"/>
      <c r="EM58" s="102"/>
      <c r="EN58" s="102"/>
      <c r="EO58" s="102"/>
    </row>
    <row r="59" spans="1:145">
      <c r="A59" s="115"/>
      <c r="B59" s="102"/>
      <c r="C59" s="102"/>
      <c r="D59" s="102"/>
      <c r="E59" s="102"/>
      <c r="F59" s="102"/>
      <c r="G59" s="102"/>
      <c r="H59" s="102"/>
      <c r="I59" s="102"/>
      <c r="J59" s="102"/>
      <c r="K59" s="102"/>
      <c r="L59" s="102"/>
      <c r="M59" s="102"/>
      <c r="N59" s="102"/>
      <c r="O59" s="102"/>
      <c r="P59" s="102"/>
      <c r="Q59" s="102"/>
      <c r="R59" s="102"/>
      <c r="S59" s="102"/>
      <c r="T59" s="102"/>
      <c r="U59" s="102"/>
      <c r="V59" s="102"/>
      <c r="W59" s="102"/>
      <c r="X59" s="102"/>
      <c r="Y59" s="102"/>
      <c r="Z59" s="102"/>
      <c r="AA59" s="102"/>
      <c r="AB59" s="102"/>
      <c r="AC59" s="102"/>
      <c r="AD59" s="102"/>
      <c r="AE59" s="102"/>
      <c r="AF59" s="102"/>
      <c r="AG59" s="102"/>
      <c r="AH59" s="102"/>
      <c r="AI59" s="102"/>
      <c r="AJ59" s="102"/>
      <c r="AK59" s="102"/>
      <c r="AL59" s="102"/>
      <c r="AM59" s="102"/>
      <c r="AN59" s="102"/>
      <c r="AO59" s="102"/>
      <c r="AP59" s="102"/>
      <c r="AQ59" s="102"/>
      <c r="AR59" s="102"/>
      <c r="AS59" s="102"/>
      <c r="AT59" s="102"/>
      <c r="AU59" s="102"/>
      <c r="AV59" s="102"/>
      <c r="AW59" s="102"/>
      <c r="AX59" s="102"/>
      <c r="AY59" s="102"/>
      <c r="AZ59" s="102"/>
      <c r="BA59" s="102"/>
      <c r="BB59" s="102"/>
      <c r="BC59" s="102"/>
      <c r="BD59" s="102"/>
      <c r="BE59" s="102"/>
      <c r="BF59" s="102"/>
      <c r="BG59" s="102"/>
      <c r="BH59" s="102"/>
      <c r="BI59" s="102"/>
      <c r="BJ59" s="102"/>
      <c r="BK59" s="102"/>
      <c r="BL59" s="102"/>
      <c r="BM59" s="102"/>
      <c r="BN59" s="102"/>
      <c r="BO59" s="102"/>
      <c r="BP59" s="102"/>
      <c r="BQ59" s="102"/>
      <c r="BR59" s="102"/>
      <c r="BS59" s="102"/>
      <c r="BT59" s="102"/>
      <c r="BU59" s="102"/>
      <c r="BV59" s="102"/>
      <c r="BW59" s="102"/>
      <c r="BX59" s="102"/>
      <c r="BY59" s="102"/>
      <c r="BZ59" s="102"/>
      <c r="CA59" s="102"/>
      <c r="CB59" s="102"/>
      <c r="CC59" s="102"/>
      <c r="CD59" s="102"/>
      <c r="CE59" s="102"/>
      <c r="CF59" s="102"/>
      <c r="CG59" s="102"/>
      <c r="CH59" s="102"/>
      <c r="CI59" s="102"/>
      <c r="CJ59" s="102"/>
      <c r="CK59" s="102"/>
      <c r="CL59" s="102"/>
      <c r="CM59" s="102"/>
      <c r="CN59" s="102"/>
      <c r="CO59" s="102"/>
      <c r="CP59" s="102"/>
      <c r="CQ59" s="102"/>
      <c r="CR59" s="102"/>
      <c r="CS59" s="102"/>
      <c r="CT59" s="102"/>
      <c r="CU59" s="102"/>
      <c r="CV59" s="102"/>
      <c r="CW59" s="102"/>
      <c r="CX59" s="102"/>
      <c r="CY59" s="102"/>
      <c r="CZ59" s="102"/>
      <c r="DA59" s="102"/>
      <c r="DB59" s="102"/>
      <c r="DC59" s="102"/>
      <c r="DD59" s="102"/>
      <c r="DE59" s="102"/>
      <c r="DF59" s="102"/>
      <c r="DG59" s="102"/>
      <c r="DH59" s="102"/>
      <c r="DI59" s="102"/>
      <c r="DJ59" s="102"/>
      <c r="DK59" s="102"/>
      <c r="DL59" s="102"/>
      <c r="DM59" s="102"/>
      <c r="DN59" s="102"/>
      <c r="DO59" s="102"/>
      <c r="DP59" s="102"/>
      <c r="DQ59" s="102"/>
      <c r="DR59" s="102"/>
      <c r="DS59" s="66"/>
      <c r="DT59" s="66"/>
      <c r="DU59" s="66"/>
      <c r="DV59" s="66"/>
      <c r="DW59" s="66"/>
      <c r="DX59" s="66"/>
      <c r="DZ59" s="102"/>
      <c r="EA59" s="102"/>
      <c r="EB59" s="102"/>
      <c r="EC59" s="102"/>
      <c r="ED59" s="102"/>
      <c r="EE59" s="102"/>
      <c r="EF59" s="102"/>
      <c r="EG59" s="102"/>
      <c r="EH59" s="102"/>
      <c r="EI59" s="102"/>
      <c r="EJ59" s="102"/>
      <c r="EK59" s="102"/>
      <c r="EL59" s="102"/>
      <c r="EM59" s="102"/>
      <c r="EN59" s="102"/>
      <c r="EO59" s="102"/>
    </row>
    <row r="60" spans="1:145">
      <c r="A60" s="115"/>
      <c r="B60" s="102"/>
      <c r="C60" s="102"/>
      <c r="D60" s="102"/>
      <c r="E60" s="102"/>
      <c r="F60" s="102"/>
      <c r="G60" s="102"/>
      <c r="H60" s="102"/>
      <c r="I60" s="102"/>
      <c r="J60" s="102"/>
      <c r="K60" s="102"/>
      <c r="L60" s="102"/>
      <c r="M60" s="102"/>
      <c r="N60" s="102"/>
      <c r="O60" s="102"/>
      <c r="P60" s="102"/>
      <c r="Q60" s="102"/>
      <c r="R60" s="102"/>
      <c r="S60" s="102"/>
      <c r="T60" s="102"/>
      <c r="U60" s="102"/>
      <c r="V60" s="102"/>
      <c r="W60" s="102"/>
      <c r="X60" s="102"/>
      <c r="Y60" s="102"/>
      <c r="Z60" s="102"/>
      <c r="AA60" s="102"/>
      <c r="AB60" s="102"/>
      <c r="AC60" s="102"/>
      <c r="AD60" s="102"/>
      <c r="AE60" s="102"/>
      <c r="AF60" s="102"/>
      <c r="AG60" s="102"/>
      <c r="AH60" s="102"/>
      <c r="AI60" s="102"/>
      <c r="AJ60" s="102"/>
      <c r="AK60" s="102"/>
      <c r="AL60" s="102"/>
      <c r="AM60" s="102"/>
      <c r="AN60" s="102"/>
      <c r="AO60" s="102"/>
      <c r="AP60" s="102"/>
      <c r="AQ60" s="102"/>
      <c r="AR60" s="102"/>
      <c r="AS60" s="102"/>
      <c r="AT60" s="102"/>
      <c r="AU60" s="102"/>
      <c r="AV60" s="102"/>
      <c r="AW60" s="102"/>
      <c r="AX60" s="102"/>
      <c r="AY60" s="102"/>
      <c r="AZ60" s="102"/>
      <c r="BA60" s="102"/>
      <c r="BB60" s="102"/>
      <c r="BC60" s="102"/>
      <c r="BD60" s="102"/>
      <c r="BE60" s="102"/>
      <c r="BF60" s="102"/>
      <c r="BG60" s="102"/>
      <c r="BH60" s="102"/>
      <c r="BI60" s="102"/>
      <c r="BJ60" s="102"/>
      <c r="BK60" s="102"/>
      <c r="BL60" s="102"/>
      <c r="BM60" s="102"/>
      <c r="BN60" s="102"/>
      <c r="BO60" s="102"/>
      <c r="BP60" s="102"/>
      <c r="BQ60" s="102"/>
      <c r="BR60" s="102"/>
      <c r="BS60" s="102"/>
      <c r="BT60" s="102"/>
      <c r="BU60" s="102"/>
      <c r="BV60" s="102"/>
      <c r="BW60" s="102"/>
      <c r="BX60" s="102"/>
      <c r="BY60" s="102"/>
      <c r="BZ60" s="102"/>
      <c r="CA60" s="102"/>
      <c r="CB60" s="102"/>
      <c r="CC60" s="102"/>
      <c r="CD60" s="102"/>
      <c r="CE60" s="102"/>
      <c r="CF60" s="102"/>
      <c r="CG60" s="102"/>
      <c r="CH60" s="102"/>
      <c r="CI60" s="102"/>
      <c r="CJ60" s="102"/>
      <c r="CK60" s="102"/>
      <c r="CL60" s="102"/>
      <c r="CM60" s="102"/>
      <c r="CN60" s="102"/>
      <c r="CO60" s="102"/>
      <c r="CP60" s="102"/>
      <c r="CQ60" s="102"/>
      <c r="CR60" s="102"/>
      <c r="CS60" s="102"/>
      <c r="CT60" s="102"/>
      <c r="CU60" s="102"/>
      <c r="CV60" s="102"/>
      <c r="CW60" s="102"/>
      <c r="CX60" s="102"/>
      <c r="CY60" s="102"/>
      <c r="CZ60" s="102"/>
      <c r="DA60" s="102"/>
      <c r="DB60" s="102"/>
      <c r="DC60" s="102"/>
      <c r="DD60" s="102"/>
      <c r="DE60" s="102"/>
      <c r="DF60" s="102"/>
      <c r="DG60" s="102"/>
      <c r="DH60" s="102"/>
      <c r="DI60" s="102"/>
      <c r="DJ60" s="102"/>
      <c r="DK60" s="102"/>
      <c r="DL60" s="102"/>
      <c r="DM60" s="102"/>
      <c r="DN60" s="102"/>
      <c r="DO60" s="102"/>
      <c r="DP60" s="102"/>
      <c r="DQ60" s="102"/>
      <c r="DR60" s="102"/>
      <c r="DS60" s="66"/>
      <c r="DT60" s="66"/>
      <c r="DU60" s="66"/>
      <c r="DV60" s="66"/>
      <c r="DW60" s="66"/>
      <c r="DX60" s="66"/>
      <c r="DZ60" s="102"/>
      <c r="EA60" s="102"/>
      <c r="EB60" s="102"/>
      <c r="EC60" s="102"/>
      <c r="ED60" s="102"/>
      <c r="EE60" s="102"/>
      <c r="EF60" s="102"/>
      <c r="EG60" s="102"/>
      <c r="EH60" s="102"/>
      <c r="EI60" s="102"/>
      <c r="EJ60" s="102"/>
      <c r="EK60" s="102"/>
      <c r="EL60" s="102"/>
      <c r="EM60" s="102"/>
      <c r="EN60" s="102"/>
      <c r="EO60" s="102"/>
    </row>
    <row r="61" spans="1:145">
      <c r="A61" s="115"/>
      <c r="B61" s="102"/>
      <c r="C61" s="102"/>
      <c r="D61" s="102"/>
      <c r="E61" s="102"/>
      <c r="F61" s="102"/>
      <c r="G61" s="102"/>
      <c r="H61" s="102"/>
      <c r="I61" s="102"/>
      <c r="J61" s="102"/>
      <c r="K61" s="102"/>
      <c r="L61" s="102"/>
      <c r="M61" s="102"/>
      <c r="N61" s="102"/>
      <c r="O61" s="102"/>
      <c r="P61" s="102"/>
      <c r="Q61" s="102"/>
      <c r="R61" s="102"/>
      <c r="S61" s="102"/>
      <c r="T61" s="102"/>
      <c r="U61" s="102"/>
      <c r="V61" s="102"/>
      <c r="W61" s="102"/>
      <c r="X61" s="102"/>
      <c r="Y61" s="102"/>
      <c r="Z61" s="102"/>
      <c r="AA61" s="102"/>
      <c r="AB61" s="102"/>
      <c r="AC61" s="102"/>
      <c r="AD61" s="102"/>
      <c r="AE61" s="102"/>
      <c r="AF61" s="102"/>
      <c r="AG61" s="102"/>
      <c r="AH61" s="102"/>
      <c r="AI61" s="102"/>
      <c r="AJ61" s="102"/>
      <c r="AK61" s="102"/>
      <c r="AL61" s="102"/>
      <c r="AM61" s="102"/>
      <c r="AN61" s="102"/>
      <c r="AO61" s="102"/>
      <c r="AP61" s="102"/>
      <c r="AQ61" s="102"/>
      <c r="AR61" s="102"/>
      <c r="AS61" s="102"/>
      <c r="AT61" s="102"/>
      <c r="AU61" s="102"/>
      <c r="AV61" s="102"/>
      <c r="AW61" s="102"/>
      <c r="AX61" s="102"/>
      <c r="AY61" s="102"/>
      <c r="AZ61" s="102"/>
      <c r="BA61" s="102"/>
      <c r="BB61" s="102"/>
      <c r="BC61" s="102"/>
      <c r="BD61" s="102"/>
      <c r="BE61" s="102"/>
      <c r="BF61" s="102"/>
      <c r="BG61" s="102"/>
      <c r="BH61" s="102"/>
      <c r="BI61" s="102"/>
      <c r="BJ61" s="102"/>
      <c r="BK61" s="102"/>
      <c r="BL61" s="102"/>
      <c r="BM61" s="102"/>
      <c r="BN61" s="102"/>
      <c r="BO61" s="102"/>
      <c r="BP61" s="102"/>
      <c r="BQ61" s="102"/>
      <c r="BR61" s="102"/>
      <c r="BS61" s="102"/>
      <c r="BT61" s="102"/>
      <c r="BU61" s="102"/>
      <c r="BV61" s="102"/>
      <c r="BW61" s="102"/>
      <c r="BX61" s="102"/>
      <c r="BY61" s="102"/>
      <c r="BZ61" s="102"/>
      <c r="CA61" s="102"/>
      <c r="CB61" s="102"/>
      <c r="CC61" s="102"/>
      <c r="CD61" s="102"/>
      <c r="CE61" s="102"/>
      <c r="CF61" s="102"/>
      <c r="CG61" s="102"/>
      <c r="CH61" s="102"/>
      <c r="CI61" s="102"/>
      <c r="CJ61" s="102"/>
      <c r="CK61" s="102"/>
      <c r="CL61" s="102"/>
      <c r="CM61" s="102"/>
      <c r="CN61" s="102"/>
      <c r="CO61" s="102"/>
      <c r="CP61" s="102"/>
      <c r="CQ61" s="102"/>
      <c r="CR61" s="102"/>
      <c r="CS61" s="102"/>
      <c r="CT61" s="102"/>
      <c r="CU61" s="102"/>
      <c r="CV61" s="102"/>
      <c r="CW61" s="102"/>
      <c r="CX61" s="102"/>
      <c r="CY61" s="102"/>
      <c r="CZ61" s="102"/>
      <c r="DA61" s="102"/>
      <c r="DB61" s="102"/>
      <c r="DC61" s="102"/>
      <c r="DD61" s="102"/>
      <c r="DE61" s="102"/>
      <c r="DF61" s="102"/>
      <c r="DG61" s="102"/>
      <c r="DH61" s="102"/>
      <c r="DI61" s="102"/>
      <c r="DJ61" s="102"/>
      <c r="DK61" s="102"/>
      <c r="DL61" s="102"/>
      <c r="DM61" s="102"/>
      <c r="DN61" s="102"/>
      <c r="DO61" s="102"/>
      <c r="DP61" s="102"/>
      <c r="DQ61" s="102"/>
      <c r="DR61" s="102"/>
      <c r="DS61" s="66"/>
      <c r="DT61" s="66"/>
      <c r="DU61" s="66"/>
      <c r="DV61" s="66"/>
      <c r="DW61" s="66"/>
      <c r="DX61" s="66"/>
      <c r="DZ61" s="102"/>
      <c r="EA61" s="102"/>
      <c r="EB61" s="102"/>
      <c r="EC61" s="102"/>
      <c r="ED61" s="102"/>
      <c r="EE61" s="102"/>
      <c r="EF61" s="102"/>
      <c r="EG61" s="102"/>
      <c r="EH61" s="102"/>
      <c r="EI61" s="102"/>
      <c r="EJ61" s="102"/>
      <c r="EK61" s="102"/>
      <c r="EL61" s="102"/>
      <c r="EM61" s="102"/>
      <c r="EN61" s="102"/>
      <c r="EO61" s="102"/>
    </row>
    <row r="62" spans="1:145">
      <c r="A62" s="115"/>
      <c r="B62" s="102"/>
      <c r="C62" s="102"/>
      <c r="D62" s="102"/>
      <c r="E62" s="102"/>
      <c r="F62" s="102"/>
      <c r="G62" s="102"/>
      <c r="H62" s="102"/>
      <c r="I62" s="102"/>
      <c r="J62" s="102"/>
      <c r="K62" s="102"/>
      <c r="L62" s="102"/>
      <c r="M62" s="102"/>
      <c r="N62" s="102"/>
      <c r="O62" s="102"/>
      <c r="P62" s="102"/>
      <c r="Q62" s="102"/>
      <c r="R62" s="102"/>
      <c r="S62" s="102"/>
      <c r="T62" s="102"/>
      <c r="U62" s="102"/>
      <c r="V62" s="102"/>
      <c r="W62" s="102"/>
      <c r="X62" s="102"/>
      <c r="Y62" s="102"/>
      <c r="Z62" s="102"/>
      <c r="AA62" s="102"/>
      <c r="AB62" s="102"/>
      <c r="AC62" s="102"/>
      <c r="AD62" s="102"/>
      <c r="AE62" s="102"/>
      <c r="AF62" s="102"/>
      <c r="AG62" s="102"/>
      <c r="AH62" s="102"/>
      <c r="AI62" s="102"/>
      <c r="AJ62" s="102"/>
      <c r="AK62" s="102"/>
      <c r="AL62" s="102"/>
      <c r="AM62" s="102"/>
      <c r="AN62" s="102"/>
      <c r="AO62" s="102"/>
      <c r="AP62" s="102"/>
      <c r="AQ62" s="102"/>
      <c r="AR62" s="102"/>
      <c r="AS62" s="102"/>
      <c r="AT62" s="102"/>
      <c r="AU62" s="102"/>
      <c r="AV62" s="102"/>
      <c r="AW62" s="102"/>
      <c r="AX62" s="102"/>
      <c r="AY62" s="102"/>
      <c r="AZ62" s="102"/>
      <c r="BA62" s="102"/>
      <c r="BB62" s="102"/>
      <c r="BC62" s="102"/>
      <c r="BD62" s="102"/>
      <c r="BE62" s="102"/>
      <c r="BF62" s="102"/>
      <c r="BG62" s="102"/>
      <c r="BH62" s="102"/>
      <c r="BI62" s="102"/>
      <c r="BJ62" s="102"/>
      <c r="BK62" s="102"/>
      <c r="BL62" s="102"/>
      <c r="BM62" s="102"/>
      <c r="BN62" s="102"/>
      <c r="BO62" s="102"/>
      <c r="BP62" s="102"/>
      <c r="BQ62" s="102"/>
      <c r="BR62" s="102"/>
      <c r="BS62" s="102"/>
      <c r="BT62" s="102"/>
      <c r="BU62" s="102"/>
      <c r="BV62" s="102"/>
      <c r="BW62" s="102"/>
      <c r="BX62" s="102"/>
      <c r="BY62" s="102"/>
      <c r="BZ62" s="102"/>
      <c r="CA62" s="102"/>
      <c r="CB62" s="102"/>
      <c r="CC62" s="102"/>
      <c r="CD62" s="102"/>
      <c r="CE62" s="102"/>
      <c r="CF62" s="102"/>
      <c r="CG62" s="102"/>
      <c r="CH62" s="102"/>
      <c r="CI62" s="102"/>
      <c r="CJ62" s="102"/>
      <c r="CK62" s="102"/>
      <c r="CL62" s="102"/>
      <c r="CM62" s="102"/>
      <c r="CN62" s="102"/>
      <c r="CO62" s="102"/>
      <c r="CP62" s="102"/>
      <c r="CQ62" s="102"/>
      <c r="CR62" s="102"/>
      <c r="CS62" s="102"/>
      <c r="CT62" s="102"/>
      <c r="CU62" s="102"/>
      <c r="CV62" s="102"/>
      <c r="CW62" s="102"/>
      <c r="CX62" s="102"/>
      <c r="CY62" s="102"/>
      <c r="CZ62" s="102"/>
      <c r="DA62" s="102"/>
      <c r="DB62" s="102"/>
      <c r="DC62" s="102"/>
      <c r="DD62" s="102"/>
      <c r="DE62" s="102"/>
      <c r="DF62" s="102"/>
      <c r="DG62" s="102"/>
      <c r="DH62" s="102"/>
      <c r="DI62" s="102"/>
      <c r="DJ62" s="102"/>
      <c r="DK62" s="102"/>
      <c r="DL62" s="102"/>
      <c r="DM62" s="102"/>
      <c r="DN62" s="102"/>
      <c r="DO62" s="102"/>
      <c r="DP62" s="102"/>
      <c r="DQ62" s="102"/>
      <c r="DR62" s="102"/>
      <c r="DS62" s="66"/>
      <c r="DT62" s="66"/>
      <c r="DU62" s="66"/>
      <c r="DV62" s="66"/>
      <c r="DW62" s="66"/>
      <c r="DX62" s="66"/>
      <c r="DZ62" s="102"/>
      <c r="EA62" s="102"/>
      <c r="EB62" s="102"/>
      <c r="EC62" s="102"/>
      <c r="ED62" s="102"/>
      <c r="EE62" s="102"/>
      <c r="EF62" s="102"/>
      <c r="EG62" s="102"/>
      <c r="EH62" s="102"/>
      <c r="EI62" s="102"/>
      <c r="EJ62" s="102"/>
      <c r="EK62" s="102"/>
      <c r="EL62" s="102"/>
      <c r="EM62" s="102"/>
      <c r="EN62" s="102"/>
      <c r="EO62" s="102"/>
    </row>
    <row r="63" spans="1:145">
      <c r="A63" s="115"/>
      <c r="B63" s="102"/>
      <c r="C63" s="102"/>
      <c r="D63" s="102"/>
      <c r="E63" s="102"/>
      <c r="F63" s="102"/>
      <c r="G63" s="102"/>
      <c r="H63" s="102"/>
      <c r="I63" s="102"/>
      <c r="J63" s="102"/>
      <c r="K63" s="102"/>
      <c r="L63" s="102"/>
      <c r="M63" s="102"/>
      <c r="N63" s="102"/>
      <c r="O63" s="102"/>
      <c r="P63" s="102"/>
      <c r="Q63" s="102"/>
      <c r="R63" s="102"/>
      <c r="S63" s="102"/>
      <c r="T63" s="102"/>
      <c r="U63" s="102"/>
      <c r="V63" s="102"/>
      <c r="W63" s="102"/>
      <c r="X63" s="102"/>
      <c r="Y63" s="102"/>
      <c r="Z63" s="102"/>
      <c r="AA63" s="102"/>
      <c r="AB63" s="102"/>
      <c r="AC63" s="102"/>
      <c r="AD63" s="102"/>
      <c r="AE63" s="102"/>
      <c r="AF63" s="102"/>
      <c r="AG63" s="102"/>
      <c r="AH63" s="102"/>
      <c r="AI63" s="102"/>
      <c r="AJ63" s="102"/>
      <c r="AK63" s="102"/>
      <c r="AL63" s="102"/>
      <c r="AM63" s="102"/>
      <c r="AN63" s="102"/>
      <c r="AO63" s="102"/>
      <c r="AP63" s="102"/>
      <c r="AQ63" s="102"/>
      <c r="AR63" s="102"/>
      <c r="AS63" s="102"/>
      <c r="AT63" s="102"/>
      <c r="AU63" s="102"/>
      <c r="AV63" s="102"/>
      <c r="AW63" s="102"/>
      <c r="AX63" s="102"/>
      <c r="AY63" s="102"/>
      <c r="AZ63" s="102"/>
      <c r="BA63" s="102"/>
      <c r="BB63" s="102"/>
      <c r="BC63" s="102"/>
      <c r="BD63" s="102"/>
      <c r="BE63" s="102"/>
      <c r="BF63" s="102"/>
      <c r="BG63" s="102"/>
      <c r="BH63" s="102"/>
      <c r="BI63" s="102"/>
      <c r="BJ63" s="102"/>
      <c r="BK63" s="102"/>
      <c r="BL63" s="102"/>
      <c r="BM63" s="102"/>
      <c r="BN63" s="102"/>
      <c r="BO63" s="102"/>
      <c r="BP63" s="102"/>
      <c r="BQ63" s="102"/>
      <c r="BR63" s="102"/>
      <c r="BS63" s="102"/>
      <c r="BT63" s="102"/>
      <c r="BU63" s="102"/>
      <c r="BV63" s="102"/>
      <c r="BW63" s="102"/>
      <c r="BX63" s="102"/>
      <c r="BY63" s="102"/>
      <c r="BZ63" s="102"/>
      <c r="CA63" s="102"/>
      <c r="CB63" s="102"/>
      <c r="CC63" s="102"/>
      <c r="CD63" s="102"/>
      <c r="CE63" s="102"/>
      <c r="CF63" s="102"/>
      <c r="CG63" s="102"/>
      <c r="CH63" s="102"/>
      <c r="CI63" s="102"/>
      <c r="CJ63" s="102"/>
      <c r="CK63" s="102"/>
      <c r="CL63" s="102"/>
      <c r="CM63" s="102"/>
      <c r="CN63" s="102"/>
      <c r="CO63" s="102"/>
      <c r="CP63" s="102"/>
      <c r="CQ63" s="102"/>
      <c r="CR63" s="102"/>
      <c r="CS63" s="102"/>
      <c r="CT63" s="102"/>
      <c r="CU63" s="102"/>
      <c r="CV63" s="102"/>
      <c r="CW63" s="102"/>
      <c r="CX63" s="102"/>
      <c r="CY63" s="102"/>
      <c r="CZ63" s="102"/>
      <c r="DA63" s="102"/>
      <c r="DB63" s="102"/>
      <c r="DC63" s="102"/>
      <c r="DD63" s="102"/>
      <c r="DE63" s="102"/>
      <c r="DF63" s="102"/>
      <c r="DG63" s="102"/>
      <c r="DH63" s="102"/>
      <c r="DI63" s="102"/>
      <c r="DJ63" s="102"/>
      <c r="DK63" s="102"/>
      <c r="DL63" s="102"/>
      <c r="DM63" s="102"/>
      <c r="DN63" s="102"/>
      <c r="DO63" s="102"/>
      <c r="DP63" s="102"/>
      <c r="DQ63" s="102"/>
      <c r="DR63" s="102"/>
      <c r="DS63" s="66"/>
      <c r="DT63" s="66"/>
      <c r="DU63" s="66"/>
      <c r="DV63" s="66"/>
      <c r="DW63" s="66"/>
      <c r="DX63" s="66"/>
      <c r="DZ63" s="102"/>
      <c r="EA63" s="102"/>
      <c r="EB63" s="102"/>
      <c r="EC63" s="102"/>
      <c r="ED63" s="102"/>
      <c r="EE63" s="102"/>
      <c r="EF63" s="102"/>
      <c r="EG63" s="102"/>
      <c r="EH63" s="102"/>
      <c r="EI63" s="102"/>
      <c r="EJ63" s="102"/>
      <c r="EK63" s="102"/>
      <c r="EL63" s="102"/>
      <c r="EM63" s="102"/>
      <c r="EN63" s="102"/>
      <c r="EO63" s="102"/>
    </row>
    <row r="64" spans="1:145">
      <c r="A64" s="115"/>
      <c r="B64" s="102"/>
      <c r="C64" s="102"/>
      <c r="D64" s="102"/>
      <c r="E64" s="102"/>
      <c r="F64" s="102"/>
      <c r="G64" s="102"/>
      <c r="H64" s="102"/>
      <c r="I64" s="102"/>
      <c r="J64" s="102"/>
      <c r="K64" s="102"/>
      <c r="L64" s="102"/>
      <c r="M64" s="102"/>
      <c r="N64" s="102"/>
      <c r="O64" s="102"/>
      <c r="P64" s="102"/>
      <c r="Q64" s="102"/>
      <c r="R64" s="102"/>
      <c r="S64" s="102"/>
      <c r="T64" s="102"/>
      <c r="U64" s="102"/>
      <c r="V64" s="102"/>
      <c r="W64" s="102"/>
      <c r="X64" s="102"/>
      <c r="Y64" s="102"/>
      <c r="Z64" s="102"/>
      <c r="AA64" s="102"/>
      <c r="AB64" s="102"/>
      <c r="AC64" s="102"/>
      <c r="AD64" s="102"/>
      <c r="AE64" s="102"/>
      <c r="AF64" s="102"/>
      <c r="AG64" s="102"/>
      <c r="AH64" s="102"/>
      <c r="AI64" s="102"/>
      <c r="AJ64" s="102"/>
      <c r="AK64" s="102"/>
      <c r="AL64" s="102"/>
      <c r="AM64" s="102"/>
      <c r="AN64" s="102"/>
      <c r="AO64" s="102"/>
      <c r="AP64" s="102"/>
      <c r="AQ64" s="102"/>
      <c r="AR64" s="102"/>
      <c r="AS64" s="102"/>
      <c r="AT64" s="102"/>
      <c r="AU64" s="102"/>
      <c r="AV64" s="102"/>
      <c r="AW64" s="102"/>
      <c r="AX64" s="102"/>
      <c r="AY64" s="102"/>
      <c r="AZ64" s="102"/>
      <c r="BA64" s="102"/>
      <c r="BB64" s="102"/>
      <c r="BC64" s="102"/>
      <c r="BD64" s="102"/>
      <c r="BE64" s="102"/>
      <c r="BF64" s="102"/>
      <c r="BG64" s="102"/>
      <c r="BH64" s="102"/>
      <c r="BI64" s="102"/>
      <c r="BJ64" s="102"/>
      <c r="BK64" s="102"/>
      <c r="BL64" s="102"/>
      <c r="BM64" s="102"/>
      <c r="BN64" s="102"/>
      <c r="BO64" s="102"/>
      <c r="BP64" s="102"/>
      <c r="BQ64" s="102"/>
      <c r="BR64" s="102"/>
      <c r="BS64" s="102"/>
      <c r="BT64" s="102"/>
      <c r="BU64" s="102"/>
      <c r="BV64" s="102"/>
      <c r="BW64" s="102"/>
      <c r="BX64" s="102"/>
      <c r="BY64" s="102"/>
      <c r="BZ64" s="102"/>
      <c r="CA64" s="102"/>
      <c r="CB64" s="102"/>
      <c r="CC64" s="102"/>
      <c r="CD64" s="102"/>
      <c r="CE64" s="102"/>
      <c r="CF64" s="102"/>
      <c r="CG64" s="102"/>
      <c r="CH64" s="102"/>
      <c r="CI64" s="102"/>
      <c r="CJ64" s="102"/>
      <c r="CK64" s="102"/>
      <c r="CL64" s="102"/>
      <c r="CM64" s="102"/>
      <c r="CN64" s="102"/>
      <c r="CO64" s="102"/>
      <c r="CP64" s="102"/>
      <c r="CQ64" s="102"/>
      <c r="CR64" s="102"/>
      <c r="CS64" s="102"/>
      <c r="CT64" s="102"/>
      <c r="CU64" s="102"/>
      <c r="CV64" s="102"/>
      <c r="CW64" s="102"/>
      <c r="CX64" s="102"/>
      <c r="CY64" s="102"/>
      <c r="CZ64" s="102"/>
      <c r="DA64" s="102"/>
      <c r="DB64" s="102"/>
      <c r="DC64" s="102"/>
      <c r="DD64" s="102"/>
      <c r="DE64" s="102"/>
      <c r="DF64" s="102"/>
      <c r="DG64" s="102"/>
      <c r="DH64" s="102"/>
      <c r="DI64" s="102"/>
      <c r="DJ64" s="102"/>
      <c r="DK64" s="102"/>
      <c r="DL64" s="102"/>
      <c r="DM64" s="102"/>
      <c r="DN64" s="102"/>
      <c r="DO64" s="102"/>
      <c r="DP64" s="102"/>
      <c r="DQ64" s="102"/>
      <c r="DR64" s="102"/>
      <c r="DS64" s="66"/>
      <c r="DT64" s="66"/>
      <c r="DU64" s="66"/>
      <c r="DV64" s="66"/>
      <c r="DW64" s="66"/>
      <c r="DX64" s="66"/>
      <c r="DZ64" s="102"/>
      <c r="EA64" s="102"/>
      <c r="EB64" s="102"/>
      <c r="EC64" s="102"/>
      <c r="ED64" s="102"/>
      <c r="EE64" s="102"/>
      <c r="EF64" s="102"/>
      <c r="EG64" s="102"/>
      <c r="EH64" s="102"/>
      <c r="EI64" s="102"/>
      <c r="EJ64" s="102"/>
      <c r="EK64" s="102"/>
      <c r="EL64" s="102"/>
      <c r="EM64" s="102"/>
      <c r="EN64" s="102"/>
      <c r="EO64" s="102"/>
    </row>
    <row r="65" spans="1:145">
      <c r="A65" s="115"/>
      <c r="B65" s="102"/>
      <c r="C65" s="102"/>
      <c r="D65" s="102"/>
      <c r="E65" s="102"/>
      <c r="F65" s="102"/>
      <c r="G65" s="102"/>
      <c r="H65" s="102"/>
      <c r="I65" s="102"/>
      <c r="J65" s="102"/>
      <c r="K65" s="102"/>
      <c r="L65" s="102"/>
      <c r="M65" s="102"/>
      <c r="N65" s="102"/>
      <c r="O65" s="102"/>
      <c r="P65" s="102"/>
      <c r="Q65" s="102"/>
      <c r="R65" s="102"/>
      <c r="S65" s="102"/>
      <c r="T65" s="102"/>
      <c r="U65" s="102"/>
      <c r="V65" s="102"/>
      <c r="W65" s="102"/>
      <c r="X65" s="102"/>
      <c r="Y65" s="102"/>
      <c r="Z65" s="102"/>
      <c r="AA65" s="102"/>
      <c r="AB65" s="102"/>
      <c r="AC65" s="102"/>
      <c r="AD65" s="102"/>
      <c r="AE65" s="102"/>
      <c r="AF65" s="102"/>
      <c r="AG65" s="102"/>
      <c r="AH65" s="102"/>
      <c r="AI65" s="102"/>
      <c r="AJ65" s="102"/>
      <c r="AK65" s="102"/>
      <c r="AL65" s="102"/>
      <c r="AM65" s="102"/>
      <c r="AN65" s="102"/>
      <c r="AO65" s="102"/>
      <c r="AP65" s="102"/>
      <c r="AQ65" s="102"/>
      <c r="AR65" s="102"/>
      <c r="AS65" s="102"/>
      <c r="AT65" s="102"/>
      <c r="AU65" s="102"/>
      <c r="AV65" s="102"/>
      <c r="AW65" s="102"/>
      <c r="AX65" s="102"/>
      <c r="AY65" s="102"/>
      <c r="AZ65" s="102"/>
      <c r="BA65" s="102"/>
      <c r="BB65" s="102"/>
      <c r="BC65" s="102"/>
      <c r="BD65" s="102"/>
      <c r="BE65" s="102"/>
      <c r="BF65" s="102"/>
      <c r="BG65" s="102"/>
      <c r="BH65" s="102"/>
      <c r="BI65" s="102"/>
      <c r="BJ65" s="102"/>
      <c r="BK65" s="102"/>
      <c r="BL65" s="102"/>
      <c r="BM65" s="102"/>
      <c r="BN65" s="102"/>
      <c r="BO65" s="102"/>
      <c r="BP65" s="102"/>
      <c r="BQ65" s="102"/>
      <c r="BR65" s="102"/>
      <c r="BS65" s="102"/>
      <c r="BT65" s="102"/>
      <c r="BU65" s="102"/>
      <c r="BV65" s="102"/>
      <c r="BW65" s="102"/>
      <c r="BX65" s="102"/>
      <c r="BY65" s="102"/>
      <c r="BZ65" s="102"/>
      <c r="CA65" s="102"/>
      <c r="CB65" s="102"/>
      <c r="CC65" s="102"/>
      <c r="CD65" s="102"/>
      <c r="CE65" s="102"/>
      <c r="CF65" s="102"/>
      <c r="CG65" s="102"/>
      <c r="CH65" s="102"/>
      <c r="CI65" s="102"/>
      <c r="CJ65" s="102"/>
      <c r="CK65" s="102"/>
      <c r="CL65" s="102"/>
      <c r="CM65" s="102"/>
      <c r="CN65" s="102"/>
      <c r="CO65" s="102"/>
      <c r="CP65" s="102"/>
      <c r="CQ65" s="102"/>
      <c r="CR65" s="102"/>
      <c r="CS65" s="102"/>
      <c r="CT65" s="102"/>
      <c r="CU65" s="102"/>
      <c r="CV65" s="102"/>
      <c r="CW65" s="102"/>
      <c r="CX65" s="102"/>
      <c r="CY65" s="102"/>
      <c r="CZ65" s="102"/>
      <c r="DA65" s="102"/>
      <c r="DB65" s="102"/>
      <c r="DC65" s="102"/>
      <c r="DD65" s="102"/>
      <c r="DE65" s="102"/>
      <c r="DF65" s="102"/>
      <c r="DG65" s="102"/>
      <c r="DH65" s="102"/>
      <c r="DI65" s="102"/>
      <c r="DJ65" s="102"/>
      <c r="DK65" s="102"/>
      <c r="DL65" s="102"/>
      <c r="DM65" s="102"/>
      <c r="DN65" s="102"/>
      <c r="DO65" s="102"/>
      <c r="DP65" s="102"/>
      <c r="DQ65" s="102"/>
      <c r="DR65" s="102"/>
      <c r="DS65" s="66"/>
      <c r="DT65" s="66"/>
      <c r="DU65" s="66"/>
      <c r="DV65" s="66"/>
      <c r="DW65" s="66"/>
      <c r="DX65" s="66"/>
      <c r="DZ65" s="102"/>
      <c r="EA65" s="102"/>
      <c r="EB65" s="102"/>
      <c r="EC65" s="102"/>
      <c r="ED65" s="102"/>
      <c r="EE65" s="102"/>
      <c r="EF65" s="102"/>
      <c r="EG65" s="102"/>
      <c r="EH65" s="102"/>
      <c r="EI65" s="102"/>
      <c r="EJ65" s="102"/>
      <c r="EK65" s="102"/>
      <c r="EL65" s="102"/>
      <c r="EM65" s="102"/>
      <c r="EN65" s="102"/>
      <c r="EO65" s="102"/>
    </row>
    <row r="66" spans="1:145">
      <c r="A66" s="115"/>
      <c r="B66" s="102"/>
      <c r="C66" s="102"/>
      <c r="D66" s="102"/>
      <c r="E66" s="102"/>
      <c r="F66" s="102"/>
      <c r="G66" s="102"/>
      <c r="H66" s="102"/>
      <c r="I66" s="102"/>
      <c r="J66" s="102"/>
      <c r="K66" s="102"/>
      <c r="L66" s="102"/>
      <c r="M66" s="102"/>
      <c r="N66" s="102"/>
      <c r="O66" s="102"/>
      <c r="P66" s="102"/>
      <c r="Q66" s="102"/>
      <c r="R66" s="102"/>
      <c r="S66" s="102"/>
      <c r="T66" s="102"/>
      <c r="U66" s="102"/>
      <c r="V66" s="102"/>
      <c r="W66" s="102"/>
      <c r="X66" s="102"/>
      <c r="Y66" s="102"/>
      <c r="Z66" s="102"/>
      <c r="AA66" s="102"/>
      <c r="AB66" s="102"/>
      <c r="AC66" s="102"/>
      <c r="AD66" s="102"/>
      <c r="AE66" s="102"/>
      <c r="AF66" s="102"/>
      <c r="AG66" s="102"/>
      <c r="AH66" s="102"/>
      <c r="AI66" s="102"/>
      <c r="AJ66" s="102"/>
      <c r="AK66" s="102"/>
      <c r="AL66" s="102"/>
      <c r="AM66" s="102"/>
      <c r="AN66" s="102"/>
      <c r="AO66" s="102"/>
      <c r="AP66" s="102"/>
      <c r="AQ66" s="102"/>
      <c r="AR66" s="102"/>
      <c r="AS66" s="102"/>
      <c r="AT66" s="102"/>
      <c r="AU66" s="102"/>
      <c r="AV66" s="102"/>
      <c r="AW66" s="102"/>
      <c r="AX66" s="102"/>
      <c r="AY66" s="102"/>
      <c r="AZ66" s="102"/>
      <c r="BA66" s="102"/>
      <c r="BB66" s="102"/>
      <c r="BC66" s="102"/>
      <c r="BD66" s="102"/>
      <c r="BE66" s="102"/>
      <c r="BF66" s="102"/>
      <c r="BG66" s="102"/>
      <c r="BH66" s="102"/>
      <c r="BI66" s="102"/>
      <c r="BJ66" s="102"/>
      <c r="BK66" s="102"/>
      <c r="BL66" s="102"/>
      <c r="BM66" s="102"/>
      <c r="BN66" s="102"/>
      <c r="BO66" s="102"/>
      <c r="BP66" s="102"/>
      <c r="BQ66" s="102"/>
      <c r="BR66" s="102"/>
      <c r="BS66" s="102"/>
      <c r="BT66" s="102"/>
      <c r="BU66" s="102"/>
      <c r="BV66" s="102"/>
      <c r="BW66" s="102"/>
      <c r="BX66" s="102"/>
      <c r="BY66" s="102"/>
      <c r="BZ66" s="102"/>
      <c r="CA66" s="102"/>
      <c r="CB66" s="102"/>
      <c r="CC66" s="102"/>
      <c r="CD66" s="102"/>
      <c r="CE66" s="102"/>
      <c r="CF66" s="102"/>
      <c r="CG66" s="102"/>
      <c r="CH66" s="102"/>
      <c r="CI66" s="102"/>
      <c r="CJ66" s="102"/>
      <c r="CK66" s="102"/>
      <c r="CL66" s="102"/>
      <c r="CM66" s="102"/>
      <c r="CN66" s="102"/>
      <c r="CO66" s="102"/>
      <c r="CP66" s="102"/>
      <c r="CQ66" s="102"/>
      <c r="CR66" s="102"/>
      <c r="CS66" s="102"/>
      <c r="CT66" s="102"/>
      <c r="CU66" s="102"/>
      <c r="CV66" s="102"/>
      <c r="CW66" s="102"/>
      <c r="CX66" s="102"/>
      <c r="CY66" s="102"/>
      <c r="CZ66" s="102"/>
      <c r="DA66" s="102"/>
      <c r="DB66" s="102"/>
      <c r="DC66" s="102"/>
      <c r="DD66" s="102"/>
      <c r="DE66" s="102"/>
      <c r="DF66" s="102"/>
      <c r="DG66" s="102"/>
      <c r="DH66" s="102"/>
      <c r="DI66" s="102"/>
      <c r="DJ66" s="102"/>
      <c r="DK66" s="102"/>
      <c r="DL66" s="102"/>
      <c r="DM66" s="102"/>
      <c r="DN66" s="102"/>
      <c r="DO66" s="102"/>
      <c r="DP66" s="102"/>
      <c r="DQ66" s="102"/>
      <c r="DR66" s="102"/>
      <c r="DS66" s="66"/>
      <c r="DT66" s="66"/>
      <c r="DU66" s="66"/>
      <c r="DV66" s="66"/>
      <c r="DW66" s="66"/>
      <c r="DX66" s="66"/>
      <c r="DZ66" s="102"/>
      <c r="EA66" s="102"/>
      <c r="EB66" s="102"/>
      <c r="EC66" s="102"/>
      <c r="ED66" s="102"/>
      <c r="EE66" s="102"/>
      <c r="EF66" s="102"/>
      <c r="EG66" s="102"/>
      <c r="EH66" s="102"/>
      <c r="EI66" s="102"/>
      <c r="EJ66" s="102"/>
      <c r="EK66" s="102"/>
      <c r="EL66" s="102"/>
      <c r="EM66" s="102"/>
      <c r="EN66" s="102"/>
      <c r="EO66" s="102"/>
    </row>
    <row r="67" spans="1:145">
      <c r="A67" s="115"/>
      <c r="B67" s="102"/>
      <c r="C67" s="102"/>
      <c r="D67" s="102"/>
      <c r="E67" s="102"/>
      <c r="F67" s="102"/>
      <c r="G67" s="102"/>
      <c r="H67" s="102"/>
      <c r="I67" s="102"/>
      <c r="J67" s="102"/>
      <c r="K67" s="102"/>
      <c r="L67" s="102"/>
      <c r="M67" s="102"/>
      <c r="N67" s="102"/>
      <c r="O67" s="102"/>
      <c r="P67" s="102"/>
      <c r="Q67" s="102"/>
      <c r="R67" s="102"/>
      <c r="S67" s="102"/>
      <c r="T67" s="102"/>
      <c r="U67" s="102"/>
      <c r="V67" s="102"/>
      <c r="W67" s="102"/>
      <c r="X67" s="102"/>
      <c r="Y67" s="102"/>
      <c r="Z67" s="102"/>
      <c r="AA67" s="102"/>
      <c r="AB67" s="102"/>
      <c r="AC67" s="102"/>
      <c r="AD67" s="102"/>
      <c r="AE67" s="102"/>
      <c r="AF67" s="102"/>
      <c r="AG67" s="102"/>
      <c r="AH67" s="102"/>
      <c r="AI67" s="102"/>
      <c r="AJ67" s="102"/>
      <c r="AK67" s="102"/>
      <c r="AL67" s="102"/>
      <c r="AM67" s="102"/>
      <c r="AN67" s="102"/>
      <c r="AO67" s="102"/>
      <c r="AP67" s="102"/>
      <c r="AQ67" s="102"/>
      <c r="AR67" s="102"/>
      <c r="AS67" s="102"/>
      <c r="AT67" s="102"/>
      <c r="AU67" s="102"/>
      <c r="AV67" s="102"/>
      <c r="AW67" s="102"/>
      <c r="AX67" s="102"/>
      <c r="AY67" s="102"/>
      <c r="AZ67" s="102"/>
      <c r="BA67" s="102"/>
      <c r="BB67" s="102"/>
      <c r="BC67" s="102"/>
      <c r="BD67" s="102"/>
      <c r="BE67" s="102"/>
      <c r="BF67" s="102"/>
      <c r="BG67" s="102"/>
      <c r="BH67" s="102"/>
      <c r="BI67" s="102"/>
      <c r="BJ67" s="102"/>
      <c r="BK67" s="102"/>
      <c r="BL67" s="102"/>
      <c r="BM67" s="102"/>
      <c r="BN67" s="102"/>
      <c r="BO67" s="102"/>
      <c r="BP67" s="102"/>
      <c r="BQ67" s="102"/>
      <c r="BR67" s="102"/>
      <c r="BS67" s="102"/>
      <c r="BT67" s="102"/>
      <c r="BU67" s="102"/>
      <c r="BV67" s="102"/>
      <c r="BW67" s="102"/>
      <c r="BX67" s="102"/>
      <c r="BY67" s="102"/>
      <c r="BZ67" s="102"/>
      <c r="CA67" s="102"/>
      <c r="CB67" s="102"/>
      <c r="CC67" s="102"/>
      <c r="CD67" s="102"/>
      <c r="CE67" s="102"/>
      <c r="CF67" s="102"/>
      <c r="CG67" s="102"/>
      <c r="CH67" s="102"/>
      <c r="CI67" s="102"/>
      <c r="CJ67" s="102"/>
      <c r="CK67" s="102"/>
      <c r="CL67" s="102"/>
      <c r="CM67" s="102"/>
      <c r="CN67" s="102"/>
      <c r="CO67" s="102"/>
      <c r="CP67" s="102"/>
      <c r="CQ67" s="102"/>
      <c r="CR67" s="102"/>
      <c r="CS67" s="102"/>
      <c r="CT67" s="102"/>
      <c r="CU67" s="102"/>
      <c r="CV67" s="102"/>
      <c r="CW67" s="102"/>
      <c r="CX67" s="102"/>
      <c r="CY67" s="102"/>
      <c r="CZ67" s="102"/>
      <c r="DA67" s="102"/>
      <c r="DB67" s="102"/>
      <c r="DC67" s="102"/>
      <c r="DD67" s="102"/>
      <c r="DE67" s="102"/>
      <c r="DF67" s="102"/>
      <c r="DG67" s="102"/>
      <c r="DH67" s="102"/>
      <c r="DI67" s="102"/>
      <c r="DJ67" s="102"/>
      <c r="DK67" s="102"/>
      <c r="DL67" s="102"/>
      <c r="DM67" s="102"/>
      <c r="DN67" s="102"/>
      <c r="DO67" s="102"/>
      <c r="DP67" s="102"/>
      <c r="DQ67" s="102"/>
      <c r="DR67" s="102"/>
      <c r="DS67" s="66"/>
      <c r="DT67" s="66"/>
      <c r="DU67" s="66"/>
      <c r="DV67" s="66"/>
      <c r="DW67" s="66"/>
      <c r="DX67" s="66"/>
      <c r="DZ67" s="102"/>
      <c r="EA67" s="102"/>
      <c r="EB67" s="102"/>
      <c r="EC67" s="102"/>
      <c r="ED67" s="102"/>
      <c r="EE67" s="102"/>
      <c r="EF67" s="102"/>
      <c r="EG67" s="102"/>
      <c r="EH67" s="102"/>
      <c r="EI67" s="102"/>
      <c r="EJ67" s="102"/>
      <c r="EK67" s="102"/>
      <c r="EL67" s="102"/>
      <c r="EM67" s="102"/>
      <c r="EN67" s="102"/>
      <c r="EO67" s="102"/>
    </row>
    <row r="68" spans="1:145">
      <c r="A68" s="115"/>
      <c r="B68" s="102"/>
      <c r="C68" s="102"/>
      <c r="D68" s="102"/>
      <c r="E68" s="102"/>
      <c r="F68" s="102"/>
      <c r="G68" s="102"/>
      <c r="H68" s="102"/>
      <c r="I68" s="102"/>
      <c r="J68" s="102"/>
      <c r="K68" s="102"/>
      <c r="L68" s="102"/>
      <c r="M68" s="102"/>
      <c r="N68" s="102"/>
      <c r="O68" s="102"/>
      <c r="P68" s="102"/>
      <c r="Q68" s="102"/>
      <c r="R68" s="102"/>
      <c r="S68" s="102"/>
      <c r="T68" s="102"/>
      <c r="U68" s="102"/>
      <c r="V68" s="102"/>
      <c r="W68" s="102"/>
      <c r="X68" s="102"/>
      <c r="Y68" s="102"/>
      <c r="Z68" s="102"/>
      <c r="AA68" s="102"/>
      <c r="AB68" s="102"/>
      <c r="AC68" s="102"/>
      <c r="AD68" s="102"/>
      <c r="AE68" s="102"/>
      <c r="AF68" s="102"/>
      <c r="AG68" s="102"/>
      <c r="AH68" s="102"/>
      <c r="AI68" s="102"/>
      <c r="AJ68" s="102"/>
      <c r="AK68" s="102"/>
      <c r="AL68" s="102"/>
      <c r="AM68" s="102"/>
      <c r="AN68" s="102"/>
      <c r="AO68" s="102"/>
      <c r="AP68" s="102"/>
      <c r="AQ68" s="102"/>
      <c r="AR68" s="102"/>
      <c r="AS68" s="102"/>
      <c r="AT68" s="102"/>
      <c r="AU68" s="102"/>
      <c r="AV68" s="102"/>
      <c r="AW68" s="102"/>
      <c r="AX68" s="102"/>
      <c r="AY68" s="102"/>
      <c r="AZ68" s="102"/>
      <c r="BA68" s="102"/>
      <c r="BB68" s="102"/>
      <c r="BC68" s="102"/>
      <c r="BD68" s="102"/>
      <c r="BE68" s="102"/>
      <c r="BF68" s="102"/>
      <c r="BG68" s="102"/>
      <c r="BH68" s="102"/>
      <c r="BI68" s="102"/>
      <c r="BJ68" s="102"/>
      <c r="BK68" s="102"/>
      <c r="BL68" s="102"/>
      <c r="BM68" s="102"/>
      <c r="BN68" s="102"/>
      <c r="BO68" s="102"/>
      <c r="BP68" s="102"/>
      <c r="BQ68" s="102"/>
      <c r="BR68" s="102"/>
      <c r="BS68" s="102"/>
      <c r="BT68" s="102"/>
      <c r="BU68" s="102"/>
      <c r="BV68" s="102"/>
      <c r="BW68" s="102"/>
      <c r="BX68" s="102"/>
      <c r="BY68" s="102"/>
      <c r="BZ68" s="102"/>
      <c r="CA68" s="102"/>
      <c r="CB68" s="102"/>
      <c r="CC68" s="102"/>
      <c r="CD68" s="102"/>
      <c r="CE68" s="102"/>
      <c r="CF68" s="102"/>
      <c r="CG68" s="102"/>
      <c r="CH68" s="102"/>
      <c r="CI68" s="102"/>
      <c r="CJ68" s="102"/>
      <c r="CK68" s="102"/>
      <c r="CL68" s="102"/>
      <c r="CM68" s="102"/>
      <c r="CN68" s="102"/>
      <c r="CO68" s="102"/>
      <c r="CP68" s="102"/>
      <c r="CQ68" s="102"/>
      <c r="CR68" s="102"/>
      <c r="CS68" s="102"/>
      <c r="CT68" s="102"/>
      <c r="CU68" s="102"/>
      <c r="CV68" s="102"/>
      <c r="CW68" s="102"/>
      <c r="CX68" s="102"/>
      <c r="CY68" s="102"/>
      <c r="CZ68" s="102"/>
      <c r="DA68" s="102"/>
      <c r="DB68" s="102"/>
      <c r="DC68" s="102"/>
      <c r="DD68" s="102"/>
      <c r="DE68" s="102"/>
      <c r="DF68" s="102"/>
      <c r="DG68" s="102"/>
      <c r="DH68" s="102"/>
      <c r="DI68" s="102"/>
      <c r="DJ68" s="102"/>
      <c r="DK68" s="102"/>
      <c r="DL68" s="102"/>
      <c r="DM68" s="102"/>
      <c r="DN68" s="102"/>
      <c r="DO68" s="102"/>
      <c r="DP68" s="102"/>
      <c r="DQ68" s="102"/>
      <c r="DR68" s="102"/>
      <c r="DS68" s="66"/>
      <c r="DT68" s="66"/>
      <c r="DU68" s="66"/>
      <c r="DV68" s="66"/>
      <c r="DW68" s="66"/>
      <c r="DX68" s="66"/>
      <c r="DZ68" s="102"/>
      <c r="EA68" s="102"/>
      <c r="EB68" s="102"/>
      <c r="EC68" s="102"/>
      <c r="ED68" s="102"/>
      <c r="EE68" s="102"/>
      <c r="EF68" s="102"/>
      <c r="EG68" s="102"/>
      <c r="EH68" s="102"/>
      <c r="EI68" s="102"/>
      <c r="EJ68" s="102"/>
      <c r="EK68" s="102"/>
      <c r="EL68" s="102"/>
      <c r="EM68" s="102"/>
      <c r="EN68" s="102"/>
      <c r="EO68" s="102"/>
    </row>
    <row r="69" spans="1:145">
      <c r="A69" s="115"/>
      <c r="B69" s="102"/>
      <c r="C69" s="102"/>
      <c r="D69" s="102"/>
      <c r="E69" s="102"/>
      <c r="F69" s="102"/>
      <c r="G69" s="102"/>
      <c r="H69" s="102"/>
      <c r="I69" s="102"/>
      <c r="J69" s="102"/>
      <c r="K69" s="102"/>
      <c r="L69" s="102"/>
      <c r="M69" s="102"/>
      <c r="N69" s="102"/>
      <c r="O69" s="102"/>
      <c r="P69" s="102"/>
      <c r="Q69" s="102"/>
      <c r="R69" s="102"/>
      <c r="S69" s="102"/>
      <c r="T69" s="102"/>
      <c r="U69" s="102"/>
      <c r="V69" s="102"/>
      <c r="W69" s="102"/>
      <c r="X69" s="102"/>
      <c r="Y69" s="102"/>
      <c r="Z69" s="102"/>
      <c r="AA69" s="102"/>
      <c r="AB69" s="102"/>
      <c r="AC69" s="102"/>
      <c r="AD69" s="102"/>
      <c r="AE69" s="102"/>
      <c r="AF69" s="102"/>
      <c r="AG69" s="102"/>
      <c r="AH69" s="102"/>
      <c r="AI69" s="102"/>
      <c r="AJ69" s="102"/>
      <c r="AK69" s="102"/>
      <c r="AL69" s="102"/>
      <c r="AM69" s="102"/>
      <c r="AN69" s="102"/>
      <c r="AO69" s="102"/>
      <c r="AP69" s="102"/>
      <c r="AQ69" s="102"/>
      <c r="AR69" s="102"/>
      <c r="AS69" s="102"/>
      <c r="AT69" s="102"/>
      <c r="AU69" s="102"/>
      <c r="AV69" s="102"/>
      <c r="AW69" s="102"/>
      <c r="AX69" s="102"/>
      <c r="AY69" s="102"/>
      <c r="AZ69" s="102"/>
      <c r="BA69" s="102"/>
      <c r="BB69" s="102"/>
      <c r="BC69" s="102"/>
      <c r="BD69" s="102"/>
      <c r="BE69" s="102"/>
      <c r="BF69" s="102"/>
      <c r="BG69" s="102"/>
      <c r="BH69" s="102"/>
      <c r="BI69" s="102"/>
      <c r="BJ69" s="102"/>
      <c r="BK69" s="102"/>
      <c r="BL69" s="102"/>
      <c r="BM69" s="102"/>
      <c r="BN69" s="102"/>
      <c r="BO69" s="102"/>
      <c r="BP69" s="102"/>
      <c r="BQ69" s="102"/>
      <c r="BR69" s="102"/>
      <c r="BS69" s="102"/>
      <c r="BT69" s="102"/>
      <c r="BU69" s="102"/>
      <c r="BV69" s="102"/>
      <c r="BW69" s="102"/>
      <c r="BX69" s="102"/>
      <c r="BY69" s="102"/>
      <c r="BZ69" s="102"/>
      <c r="CA69" s="102"/>
      <c r="CB69" s="102"/>
      <c r="CC69" s="102"/>
      <c r="CD69" s="102"/>
      <c r="CE69" s="102"/>
      <c r="CF69" s="102"/>
      <c r="CG69" s="102"/>
      <c r="CH69" s="102"/>
      <c r="CI69" s="102"/>
      <c r="CJ69" s="102"/>
      <c r="CK69" s="102"/>
      <c r="CL69" s="102"/>
      <c r="CM69" s="102"/>
      <c r="CN69" s="102"/>
      <c r="CO69" s="102"/>
      <c r="CP69" s="102"/>
      <c r="CQ69" s="102"/>
      <c r="CR69" s="102"/>
      <c r="CS69" s="102"/>
      <c r="CT69" s="102"/>
      <c r="CU69" s="102"/>
      <c r="CV69" s="102"/>
      <c r="CW69" s="102"/>
      <c r="CX69" s="102"/>
      <c r="CY69" s="102"/>
      <c r="CZ69" s="102"/>
      <c r="DA69" s="102"/>
      <c r="DB69" s="102"/>
      <c r="DC69" s="102"/>
      <c r="DD69" s="102"/>
      <c r="DE69" s="102"/>
      <c r="DF69" s="102"/>
      <c r="DG69" s="102"/>
      <c r="DH69" s="102"/>
      <c r="DI69" s="102"/>
      <c r="DJ69" s="102"/>
      <c r="DK69" s="102"/>
      <c r="DL69" s="102"/>
      <c r="DM69" s="102"/>
      <c r="DN69" s="102"/>
      <c r="DO69" s="102"/>
      <c r="DP69" s="102"/>
      <c r="DQ69" s="102"/>
      <c r="DR69" s="102"/>
      <c r="DS69" s="66"/>
      <c r="DT69" s="66"/>
      <c r="DU69" s="66"/>
      <c r="DV69" s="66"/>
      <c r="DW69" s="66"/>
      <c r="DX69" s="66"/>
      <c r="DZ69" s="102"/>
      <c r="EA69" s="102"/>
      <c r="EB69" s="102"/>
      <c r="EC69" s="102"/>
      <c r="ED69" s="102"/>
      <c r="EE69" s="102"/>
      <c r="EF69" s="102"/>
      <c r="EG69" s="102"/>
      <c r="EH69" s="102"/>
      <c r="EI69" s="102"/>
      <c r="EJ69" s="102"/>
      <c r="EK69" s="102"/>
      <c r="EL69" s="102"/>
      <c r="EM69" s="102"/>
      <c r="EN69" s="102"/>
      <c r="EO69" s="102"/>
    </row>
    <row r="70" spans="1:145">
      <c r="A70" s="115"/>
      <c r="B70" s="102"/>
      <c r="C70" s="102"/>
      <c r="D70" s="102"/>
      <c r="E70" s="102"/>
      <c r="F70" s="102"/>
      <c r="G70" s="102"/>
      <c r="H70" s="102"/>
      <c r="I70" s="102"/>
      <c r="J70" s="102"/>
      <c r="K70" s="102"/>
      <c r="L70" s="102"/>
      <c r="M70" s="102"/>
      <c r="N70" s="102"/>
      <c r="O70" s="102"/>
      <c r="P70" s="102"/>
      <c r="Q70" s="102"/>
      <c r="R70" s="102"/>
      <c r="S70" s="102"/>
      <c r="T70" s="102"/>
      <c r="U70" s="102"/>
      <c r="V70" s="102"/>
      <c r="W70" s="102"/>
      <c r="X70" s="102"/>
      <c r="Y70" s="102"/>
      <c r="Z70" s="102"/>
      <c r="AA70" s="102"/>
      <c r="AB70" s="102"/>
      <c r="AC70" s="102"/>
      <c r="AD70" s="102"/>
      <c r="AE70" s="102"/>
      <c r="AF70" s="102"/>
      <c r="AG70" s="102"/>
      <c r="AH70" s="102"/>
      <c r="AI70" s="102"/>
      <c r="AJ70" s="102"/>
      <c r="AK70" s="102"/>
      <c r="AL70" s="102"/>
      <c r="AM70" s="102"/>
      <c r="AN70" s="102"/>
      <c r="AO70" s="102"/>
      <c r="AP70" s="102"/>
      <c r="AQ70" s="102"/>
      <c r="AR70" s="102"/>
      <c r="AS70" s="102"/>
      <c r="AT70" s="102"/>
      <c r="AU70" s="102"/>
      <c r="AV70" s="102"/>
      <c r="AW70" s="102"/>
      <c r="AX70" s="102"/>
      <c r="AY70" s="102"/>
      <c r="AZ70" s="102"/>
      <c r="BA70" s="102"/>
      <c r="BB70" s="102"/>
      <c r="BC70" s="102"/>
      <c r="BD70" s="102"/>
      <c r="BE70" s="102"/>
      <c r="BF70" s="102"/>
      <c r="BG70" s="102"/>
      <c r="BH70" s="102"/>
      <c r="BI70" s="102"/>
      <c r="BJ70" s="102"/>
      <c r="BK70" s="102"/>
      <c r="BL70" s="102"/>
      <c r="BM70" s="102"/>
      <c r="BN70" s="102"/>
      <c r="BO70" s="102"/>
      <c r="BP70" s="102"/>
      <c r="BQ70" s="102"/>
      <c r="BR70" s="102"/>
      <c r="BS70" s="102"/>
      <c r="BT70" s="102"/>
      <c r="BU70" s="102"/>
      <c r="BV70" s="102"/>
      <c r="BW70" s="102"/>
      <c r="BX70" s="102"/>
      <c r="BY70" s="102"/>
      <c r="BZ70" s="102"/>
      <c r="CA70" s="102"/>
      <c r="CB70" s="102"/>
      <c r="CC70" s="102"/>
      <c r="CD70" s="102"/>
      <c r="CE70" s="102"/>
      <c r="CF70" s="102"/>
      <c r="CG70" s="102"/>
      <c r="CH70" s="102"/>
      <c r="CI70" s="102"/>
      <c r="CJ70" s="102"/>
      <c r="CK70" s="102"/>
      <c r="CL70" s="102"/>
      <c r="CM70" s="102"/>
      <c r="CN70" s="102"/>
      <c r="CO70" s="102"/>
      <c r="CP70" s="102"/>
      <c r="CQ70" s="102"/>
      <c r="CR70" s="102"/>
      <c r="CS70" s="102"/>
      <c r="CT70" s="102"/>
      <c r="CU70" s="102"/>
      <c r="CV70" s="102"/>
      <c r="CW70" s="102"/>
      <c r="CX70" s="102"/>
      <c r="CY70" s="102"/>
      <c r="CZ70" s="102"/>
      <c r="DA70" s="102"/>
      <c r="DB70" s="102"/>
      <c r="DC70" s="102"/>
      <c r="DD70" s="102"/>
      <c r="DE70" s="102"/>
      <c r="DF70" s="102"/>
      <c r="DG70" s="102"/>
      <c r="DH70" s="102"/>
      <c r="DI70" s="102"/>
      <c r="DJ70" s="102"/>
      <c r="DK70" s="102"/>
      <c r="DL70" s="102"/>
      <c r="DM70" s="102"/>
      <c r="DN70" s="102"/>
      <c r="DO70" s="102"/>
      <c r="DP70" s="102"/>
      <c r="DQ70" s="102"/>
      <c r="DR70" s="102"/>
      <c r="DS70" s="66"/>
      <c r="DT70" s="66"/>
      <c r="DU70" s="66"/>
      <c r="DV70" s="66"/>
      <c r="DW70" s="66"/>
      <c r="DX70" s="66"/>
      <c r="DZ70" s="102"/>
      <c r="EA70" s="102"/>
      <c r="EB70" s="102"/>
      <c r="EC70" s="102"/>
      <c r="ED70" s="102"/>
      <c r="EE70" s="102"/>
      <c r="EF70" s="102"/>
      <c r="EG70" s="102"/>
      <c r="EH70" s="102"/>
      <c r="EI70" s="102"/>
      <c r="EJ70" s="102"/>
      <c r="EK70" s="102"/>
      <c r="EL70" s="102"/>
      <c r="EM70" s="102"/>
      <c r="EN70" s="102"/>
      <c r="EO70" s="102"/>
    </row>
  </sheetData>
  <autoFilter ref="A2:DX2" xr:uid="{00000000-0001-0000-0100-000000000000}">
    <sortState xmlns:xlrd2="http://schemas.microsoft.com/office/spreadsheetml/2017/richdata2" ref="A3:DX46">
      <sortCondition ref="A2"/>
    </sortState>
  </autoFilter>
  <phoneticPr fontId="9"/>
  <conditionalFormatting sqref="A1:A1048576">
    <cfRule type="duplicateValues" dxfId="372" priority="1"/>
  </conditionalFormatting>
  <pageMargins left="0.7" right="0.7" top="0.75" bottom="0.75" header="0.3" footer="0.3"/>
  <pageSetup paperSize="9" scale="10" fitToHeight="0"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7">
    <tabColor rgb="FFFFC000"/>
    <pageSetUpPr fitToPage="1"/>
  </sheetPr>
  <dimension ref="A1:AI74"/>
  <sheetViews>
    <sheetView showGridLines="0" view="pageBreakPreview" topLeftCell="A20" zoomScale="60" zoomScaleNormal="100" workbookViewId="0">
      <selection activeCell="J30" activeCellId="2" sqref="B30:G74 K30:M74 J30:J74"/>
    </sheetView>
  </sheetViews>
  <sheetFormatPr defaultColWidth="8.625" defaultRowHeight="18"/>
  <cols>
    <col min="1" max="1" width="3.625" style="12" customWidth="1"/>
    <col min="2" max="4" width="8.625" style="19"/>
    <col min="5" max="5" width="30.625" style="19" customWidth="1"/>
    <col min="6" max="6" width="8.625" style="19"/>
    <col min="7" max="10" width="12.625" style="19" customWidth="1"/>
    <col min="11" max="13" width="3.625" style="19" customWidth="1"/>
    <col min="14" max="14" width="12.625" style="19" customWidth="1"/>
    <col min="15" max="15" width="8.625" style="19"/>
    <col min="16" max="16" width="3.625" style="19" customWidth="1"/>
    <col min="17" max="17" width="12.625" style="19" customWidth="1"/>
    <col min="18" max="20" width="3.625" style="19" customWidth="1"/>
    <col min="21" max="26" width="8.625" style="19"/>
    <col min="27" max="27" width="8.625" style="19" customWidth="1"/>
    <col min="28" max="28" width="3.625" style="12" customWidth="1"/>
    <col min="29" max="29" width="8.625" style="19"/>
    <col min="30" max="30" width="40.625" style="19" customWidth="1"/>
    <col min="31" max="31" width="3.625" style="19" customWidth="1"/>
    <col min="32" max="35" width="8.625" style="19"/>
    <col min="36" max="36" width="30.625" style="19" customWidth="1"/>
    <col min="37" max="16384" width="8.625" style="19"/>
  </cols>
  <sheetData>
    <row r="1" spans="1:35" ht="20.100000000000001" customHeight="1">
      <c r="N1" s="1829" t="str">
        <f xml:space="preserve">
IF(表紙!$X$2="事前協議","（10月１日～３月31日分）",
IF(表紙!$X$2="交付申請（２次）","（10月１日～３月31日分）",
IF(表紙!$X$2="変更申請","（10月１日～３月31日分）",
IF(表紙!$X$2="実績報告（１次）","（５月８日～10月31日分）",
IF(表紙!$X$2="実績報告（２次）","（10月１日～３月31日分）",
IF(表紙!$X$2="交付申請兼実績報告","（10月１日～３月31日分）"))))))</f>
        <v>（10月１日～３月31日分）</v>
      </c>
      <c r="O1" s="1364"/>
      <c r="P1" s="1364"/>
    </row>
    <row r="2" spans="1:35" ht="20.100000000000001" customHeight="1">
      <c r="B2" s="1817" t="s">
        <v>425</v>
      </c>
      <c r="C2" s="1818"/>
      <c r="D2" s="1819"/>
      <c r="H2" s="5" t="s">
        <v>538</v>
      </c>
      <c r="I2" s="701" t="s">
        <v>539</v>
      </c>
      <c r="J2" s="5" t="s">
        <v>44</v>
      </c>
      <c r="K2" s="600"/>
      <c r="L2" s="600"/>
      <c r="M2" s="600"/>
      <c r="AC2" s="701" t="s">
        <v>419</v>
      </c>
      <c r="AD2" s="701" t="s">
        <v>417</v>
      </c>
      <c r="AF2" s="701" t="str">
        <f>AC9</f>
        <v>×</v>
      </c>
      <c r="AG2" s="701" t="str">
        <f>AC15</f>
        <v>○</v>
      </c>
      <c r="AH2" s="701" t="str">
        <f>AC22</f>
        <v>○</v>
      </c>
      <c r="AI2" s="701" t="str">
        <f>AC26</f>
        <v>○</v>
      </c>
    </row>
    <row r="3" spans="1:35" ht="20.100000000000001" customHeight="1">
      <c r="B3" s="1820"/>
      <c r="C3" s="1821"/>
      <c r="D3" s="1822"/>
      <c r="H3" s="358">
        <f>SUM(I30:I74)</f>
        <v>0</v>
      </c>
      <c r="I3" s="8"/>
      <c r="J3" s="358">
        <f>IFERROR(ROUNDUP(SUM(N30:N74)*((H3-I3)/H3),0),0)</f>
        <v>0</v>
      </c>
      <c r="K3" s="601"/>
      <c r="L3" s="601"/>
      <c r="M3" s="601"/>
      <c r="AC3" s="863" t="str">
        <f xml:space="preserve">
IF(COUNTIF(AG2:AI2,"○")=3,"○",
IF(COUNTIF(AG2:AI2,"◎")=3,"◎","×"
))</f>
        <v>○</v>
      </c>
      <c r="AD3" s="1812" t="str">
        <f xml:space="preserve">
IF(AC3="○","整備しない場合は入力不要です。",
IF(AC3="×","【要修正】入力が不十分な箇所があります。",
IF(AC3="◎","適切に入力がされました。")))</f>
        <v>整備しない場合は入力不要です。</v>
      </c>
    </row>
    <row r="4" spans="1:35" ht="9.9499999999999993" customHeight="1">
      <c r="AC4" s="863"/>
      <c r="AD4" s="1812"/>
    </row>
    <row r="5" spans="1:35" ht="20.100000000000001" customHeight="1">
      <c r="B5" s="705" t="s">
        <v>55</v>
      </c>
      <c r="C5" s="705"/>
      <c r="D5" s="705"/>
      <c r="E5" s="705"/>
      <c r="F5" s="705"/>
      <c r="G5" s="705"/>
      <c r="H5" s="705"/>
      <c r="I5" s="705"/>
      <c r="J5" s="705"/>
      <c r="K5" s="705"/>
      <c r="L5" s="705"/>
      <c r="M5" s="705"/>
      <c r="N5" s="705"/>
      <c r="O5" s="705"/>
      <c r="AC5" s="908"/>
      <c r="AD5" s="843"/>
    </row>
    <row r="6" spans="1:35" ht="9.9499999999999993" customHeight="1"/>
    <row r="7" spans="1:35" ht="20.100000000000001" customHeight="1">
      <c r="B7" s="1833" t="str">
        <f>初度設備!B7</f>
        <v>（１）整備を行う対象病床数</v>
      </c>
      <c r="C7" s="932"/>
      <c r="D7" s="932"/>
      <c r="E7" s="932"/>
      <c r="F7" s="932"/>
      <c r="G7" s="932"/>
      <c r="H7" s="932"/>
      <c r="I7" s="932"/>
      <c r="J7" s="932"/>
      <c r="K7" s="932"/>
      <c r="L7" s="932"/>
      <c r="M7" s="932"/>
      <c r="N7" s="932"/>
      <c r="O7" s="932"/>
      <c r="AC7" s="1808" t="s">
        <v>415</v>
      </c>
      <c r="AD7" s="1808" t="s">
        <v>417</v>
      </c>
    </row>
    <row r="8" spans="1:35" ht="9.9499999999999993" customHeight="1">
      <c r="AC8" s="1809"/>
      <c r="AD8" s="1809"/>
    </row>
    <row r="9" spans="1:35" ht="35.1" customHeight="1">
      <c r="B9" s="1834" t="s">
        <v>56</v>
      </c>
      <c r="C9" s="1835"/>
      <c r="D9" s="205" t="str">
        <f>IF(はじめに入力してください!K50="","",はじめに入力してください!K50)</f>
        <v/>
      </c>
      <c r="E9" s="359"/>
      <c r="F9" s="360"/>
      <c r="G9" s="360"/>
      <c r="H9" s="360"/>
      <c r="I9" s="360"/>
      <c r="J9" s="361"/>
      <c r="K9" s="361"/>
      <c r="L9" s="361"/>
      <c r="M9" s="361"/>
      <c r="N9" s="361"/>
      <c r="O9" s="361"/>
      <c r="AC9" s="701" t="str">
        <f xml:space="preserve">
IF(D9="","×",
IF(D9=0,"○",
IF(D9&gt;=1,"◎",
)))</f>
        <v>×</v>
      </c>
      <c r="AD9" s="702" t="str">
        <f xml:space="preserve">
IF(D9="","【要修正】「はじめに入力してください」シートに整備を行う病床の数を入力してください。",
IF(D9=0,"申請しない場合は以下入力不要です。",
IF(D9&gt;=1,"適切に入力されました。",
)))</f>
        <v>【要修正】「はじめに入力してください」シートに整備を行う病床の数を入力してください。</v>
      </c>
    </row>
    <row r="10" spans="1:35" ht="20.100000000000001" customHeight="1">
      <c r="B10" s="1830"/>
      <c r="C10" s="1831"/>
      <c r="D10" s="1832"/>
      <c r="E10" s="1832"/>
      <c r="F10" s="1832"/>
      <c r="G10" s="1832"/>
      <c r="H10" s="1832"/>
      <c r="I10" s="1832"/>
      <c r="J10" s="1832"/>
      <c r="K10" s="1832"/>
      <c r="L10" s="1832"/>
      <c r="M10" s="1832"/>
      <c r="N10" s="1832"/>
      <c r="O10" s="1832"/>
    </row>
    <row r="11" spans="1:35" ht="20.100000000000001" hidden="1" customHeight="1"/>
    <row r="12" spans="1:35" ht="20.100000000000001" customHeight="1">
      <c r="B12" s="1833" t="str">
        <f>初度設備!B12</f>
        <v>（２）この度、新たに整備を行う必要が生じた理由（フロア毎の対応から病室毎の対応への移行の計画内容）を詳しく記入してください。</v>
      </c>
      <c r="C12" s="932"/>
      <c r="D12" s="932"/>
      <c r="E12" s="932"/>
      <c r="F12" s="932"/>
      <c r="G12" s="932"/>
      <c r="H12" s="932"/>
      <c r="I12" s="932"/>
      <c r="J12" s="932"/>
      <c r="K12" s="932"/>
      <c r="L12" s="932"/>
      <c r="M12" s="932"/>
      <c r="N12" s="932"/>
      <c r="O12" s="932"/>
    </row>
    <row r="13" spans="1:35" ht="39.950000000000003" customHeight="1">
      <c r="B13" s="1813" t="s">
        <v>540</v>
      </c>
      <c r="C13" s="931"/>
      <c r="D13" s="931"/>
      <c r="E13" s="931"/>
      <c r="F13" s="931"/>
      <c r="G13" s="931"/>
      <c r="H13" s="931"/>
      <c r="I13" s="931"/>
      <c r="J13" s="931"/>
      <c r="K13" s="931"/>
      <c r="L13" s="931"/>
      <c r="M13" s="931"/>
      <c r="N13" s="931"/>
      <c r="O13" s="931"/>
    </row>
    <row r="14" spans="1:35" s="703" customFormat="1" ht="140.1" customHeight="1">
      <c r="A14" s="13"/>
      <c r="B14" s="1813" t="str">
        <f>VLOOKUP(B2,テーブル!M37:N51,2,FALSE)</f>
        <v>（例）当院は高齢者人口を多く抱える地域に立地し、付近に高齢者施設が複数あることからこれまで、主として高齢患者を多く受け入れる傾向があった。
　　　受入患者には認知症等の老年性の精神症状を呈する者を少なからずおり、その行動特性からゾーニングは難しく、フロア全体をレッドゾーンとして取り
　　　扱わざるを得ず、職員は常にPPEを着用した状態で支援に従事せざるを得ない状況であった。
　　　一方で行動症状を伴わない患者も一定数いること及び、当院の確保病床は２つのフロアに分かれており、一方については全室個室でありかつトイレ・
　　　洗面も備わっていることから当該室を陰圧化し、行動症状が特段見られない患者の受け入れに供することによってフロア内をゾーニングし職員負担の
　　　軽減に繋がるのではと考えた。
　　　ついては、当該フロアの○室の内、受入を行うために供用予定の○室について陰圧機器を設置することで院内感染防止及び職員の安全確保を図ることと
　　　したい。</v>
      </c>
      <c r="C14" s="1645"/>
      <c r="D14" s="1645"/>
      <c r="E14" s="1645"/>
      <c r="F14" s="1645"/>
      <c r="G14" s="1645"/>
      <c r="H14" s="1645"/>
      <c r="I14" s="1645"/>
      <c r="J14" s="1645"/>
      <c r="K14" s="1645"/>
      <c r="L14" s="1645"/>
      <c r="M14" s="1645"/>
      <c r="N14" s="1645"/>
      <c r="O14" s="1645"/>
      <c r="AB14" s="13"/>
      <c r="AC14" s="558" t="s">
        <v>415</v>
      </c>
      <c r="AD14" s="558" t="s">
        <v>416</v>
      </c>
    </row>
    <row r="15" spans="1:35" ht="120" customHeight="1">
      <c r="B15" s="1814"/>
      <c r="C15" s="1815"/>
      <c r="D15" s="1815"/>
      <c r="E15" s="1815"/>
      <c r="F15" s="1815"/>
      <c r="G15" s="1815"/>
      <c r="H15" s="1815"/>
      <c r="I15" s="1815"/>
      <c r="J15" s="1815"/>
      <c r="K15" s="1815"/>
      <c r="L15" s="1815"/>
      <c r="M15" s="1815"/>
      <c r="N15" s="1815"/>
      <c r="O15" s="1816"/>
      <c r="AC15" s="701" t="str">
        <f xml:space="preserve">
IF(COUNTA(B15)=0,"○",
IF(COUNTA(B15)=1,"◎"))</f>
        <v>○</v>
      </c>
      <c r="AD15" s="702" t="str">
        <f xml:space="preserve">
IF(COUNTA(B15)=0,"整備しない場合は入力不要です。",
IF(COUNTA(B15)=1,"入力された状態になりました。"))</f>
        <v>整備しない場合は入力不要です。</v>
      </c>
    </row>
    <row r="16" spans="1:35" ht="20.100000000000001" customHeight="1"/>
    <row r="17" spans="1:30" ht="20.100000000000001" customHeight="1">
      <c r="B17" s="705" t="s">
        <v>454</v>
      </c>
      <c r="C17" s="705"/>
      <c r="D17" s="705"/>
      <c r="E17" s="705"/>
      <c r="F17" s="705"/>
      <c r="G17" s="705"/>
      <c r="H17" s="705"/>
      <c r="I17" s="705"/>
      <c r="J17" s="705"/>
      <c r="K17" s="705"/>
      <c r="L17" s="705"/>
      <c r="M17" s="705"/>
      <c r="N17" s="705"/>
      <c r="O17" s="705"/>
    </row>
    <row r="18" spans="1:30" ht="20.100000000000001" customHeight="1">
      <c r="B18" s="1813" t="s">
        <v>482</v>
      </c>
      <c r="C18" s="931"/>
      <c r="D18" s="931"/>
      <c r="E18" s="931"/>
      <c r="F18" s="931"/>
      <c r="G18" s="931"/>
      <c r="H18" s="931"/>
      <c r="I18" s="931"/>
      <c r="J18" s="931"/>
      <c r="K18" s="931"/>
      <c r="L18" s="931"/>
      <c r="M18" s="931"/>
      <c r="N18" s="931"/>
      <c r="O18" s="931"/>
    </row>
    <row r="19" spans="1:30" ht="20.100000000000001" customHeight="1">
      <c r="B19" s="1813"/>
      <c r="C19" s="931"/>
      <c r="D19" s="931"/>
      <c r="E19" s="931"/>
      <c r="F19" s="931"/>
      <c r="G19" s="931"/>
      <c r="H19" s="931"/>
      <c r="I19" s="931"/>
      <c r="J19" s="931"/>
      <c r="K19" s="931"/>
      <c r="L19" s="931"/>
      <c r="M19" s="931"/>
      <c r="N19" s="931"/>
      <c r="O19" s="931"/>
    </row>
    <row r="20" spans="1:30" ht="20.100000000000001" customHeight="1">
      <c r="B20" s="1813"/>
      <c r="C20" s="931"/>
      <c r="D20" s="931"/>
      <c r="E20" s="931"/>
      <c r="F20" s="931"/>
      <c r="G20" s="931"/>
      <c r="H20" s="931"/>
      <c r="I20" s="931"/>
      <c r="J20" s="931"/>
      <c r="K20" s="931"/>
      <c r="L20" s="931"/>
      <c r="M20" s="931"/>
      <c r="N20" s="931"/>
      <c r="O20" s="931"/>
    </row>
    <row r="21" spans="1:30" ht="20.100000000000001" customHeight="1">
      <c r="B21" s="931"/>
      <c r="C21" s="931"/>
      <c r="D21" s="931"/>
      <c r="E21" s="931"/>
      <c r="F21" s="931"/>
      <c r="G21" s="931"/>
      <c r="H21" s="931"/>
      <c r="I21" s="931"/>
      <c r="J21" s="931"/>
      <c r="K21" s="931"/>
      <c r="L21" s="931"/>
      <c r="M21" s="931"/>
      <c r="N21" s="931"/>
      <c r="O21" s="931"/>
    </row>
    <row r="22" spans="1:30" ht="120" customHeight="1">
      <c r="B22" s="1814"/>
      <c r="C22" s="1815"/>
      <c r="D22" s="1815"/>
      <c r="E22" s="1815"/>
      <c r="F22" s="1815"/>
      <c r="G22" s="1815"/>
      <c r="H22" s="1815"/>
      <c r="I22" s="1815"/>
      <c r="J22" s="1815"/>
      <c r="K22" s="1815"/>
      <c r="L22" s="1815"/>
      <c r="M22" s="1815"/>
      <c r="N22" s="1815"/>
      <c r="O22" s="1816"/>
      <c r="AC22" s="701" t="str">
        <f xml:space="preserve">
IF(COUNTA(B22)=0,"○",
IF(COUNTA(B22)=1,"◎"))</f>
        <v>○</v>
      </c>
      <c r="AD22" s="702" t="str">
        <f xml:space="preserve">
IF(COUNTA(B22)=0,"整備しない場合は入力不要です。",
IF(COUNTA(B22)=1,"入力された状態になりました。"))</f>
        <v>整備しない場合は入力不要です。</v>
      </c>
    </row>
    <row r="23" spans="1:30" ht="20.100000000000001" customHeight="1"/>
    <row r="24" spans="1:30" ht="20.100000000000001" customHeight="1">
      <c r="B24" s="705" t="s">
        <v>453</v>
      </c>
      <c r="C24" s="705"/>
      <c r="D24" s="705"/>
      <c r="E24" s="705"/>
      <c r="F24" s="705"/>
      <c r="G24" s="705"/>
      <c r="H24" s="705"/>
      <c r="I24" s="705"/>
      <c r="J24" s="705"/>
      <c r="K24" s="705"/>
      <c r="L24" s="705"/>
      <c r="M24" s="705"/>
      <c r="N24" s="705"/>
      <c r="O24" s="705"/>
      <c r="AC24" s="14"/>
    </row>
    <row r="25" spans="1:30" ht="9.9499999999999993" customHeight="1"/>
    <row r="26" spans="1:30" ht="60" customHeight="1">
      <c r="B26" s="1813" t="s">
        <v>561</v>
      </c>
      <c r="C26" s="932"/>
      <c r="D26" s="932"/>
      <c r="E26" s="932"/>
      <c r="F26" s="932"/>
      <c r="G26" s="932"/>
      <c r="H26" s="932"/>
      <c r="I26" s="932"/>
      <c r="J26" s="932"/>
      <c r="K26" s="932"/>
      <c r="L26" s="932"/>
      <c r="M26" s="932"/>
      <c r="N26" s="932"/>
      <c r="O26" s="932"/>
      <c r="AC26" s="701" t="str">
        <f xml:space="preserve">
IF(COUNTIF(AC30:AC74,"○")=45,"○",
IF(COUNTIF(AC30:AC74,"×")&gt;=1,"×",
IF(AND(COUNTIF(AC30:AC74,"◎")&gt;=1,COUNTIF(AC30:AC74,"×")=0),"◎")))</f>
        <v>○</v>
      </c>
      <c r="AD26" s="702" t="str">
        <f xml:space="preserve">
IF(COUNTIF(AC30:AC74,"○")=45,"整備しない場合は入力不要です。",
IF(COUNTIF(AC30:AC74,"×")&gt;=1,"【要修正】入力が不十分な箇所があります。",
IF(AND(COUNTIF(AC30:AC74,"◎")&gt;=1,COUNTIF(AC30:AC74,"×")=0),"適切に入力がされました。")))</f>
        <v>整備しない場合は入力不要です。</v>
      </c>
    </row>
    <row r="27" spans="1:30" ht="9.9499999999999993" customHeight="1">
      <c r="AC27" s="1807" t="s">
        <v>418</v>
      </c>
      <c r="AD27" s="1810" t="s">
        <v>420</v>
      </c>
    </row>
    <row r="28" spans="1:30" ht="18.75">
      <c r="B28" s="1823" t="s">
        <v>41</v>
      </c>
      <c r="C28" s="1824"/>
      <c r="D28" s="1825"/>
      <c r="E28" s="1823" t="s">
        <v>42</v>
      </c>
      <c r="F28" s="1825"/>
      <c r="G28" s="1823" t="s">
        <v>43</v>
      </c>
      <c r="H28" s="1824"/>
      <c r="I28" s="1824"/>
      <c r="J28" s="1825"/>
      <c r="K28" s="1828" t="str">
        <f xml:space="preserve">
IF(表紙!$X$2="事前協議","納品予定日",
IF(表紙!$X$2="交付申請（２次）","納品予定日",
IF(表紙!$X$2="変更申請","納品予定日",
IF(表紙!$X$2="実績報告（１次）","納品日",
IF(表紙!$X$2="実績報告（２次）","納品日",
IF(表紙!$X$2="交付申請兼実績報告","納品日"))))))</f>
        <v>納品予定日</v>
      </c>
      <c r="L28" s="1369"/>
      <c r="M28" s="1369"/>
      <c r="N28" s="1826" t="s">
        <v>44</v>
      </c>
      <c r="O28" s="1826" t="s">
        <v>45</v>
      </c>
      <c r="Q28" s="1805" t="str">
        <f>K28</f>
        <v>納品予定日</v>
      </c>
      <c r="R28" s="603"/>
      <c r="S28" s="603"/>
      <c r="T28" s="602"/>
      <c r="AC28" s="1084"/>
      <c r="AD28" s="1811"/>
    </row>
    <row r="29" spans="1:30">
      <c r="B29" s="704" t="s">
        <v>46</v>
      </c>
      <c r="C29" s="704" t="s">
        <v>47</v>
      </c>
      <c r="D29" s="704" t="s">
        <v>48</v>
      </c>
      <c r="E29" s="704" t="s">
        <v>54</v>
      </c>
      <c r="F29" s="704" t="s">
        <v>49</v>
      </c>
      <c r="G29" s="704" t="s">
        <v>50</v>
      </c>
      <c r="H29" s="704" t="s">
        <v>51</v>
      </c>
      <c r="I29" s="704" t="s">
        <v>52</v>
      </c>
      <c r="J29" s="704" t="s">
        <v>53</v>
      </c>
      <c r="K29" s="704" t="s">
        <v>1387</v>
      </c>
      <c r="L29" s="704" t="s">
        <v>1388</v>
      </c>
      <c r="M29" s="704" t="s">
        <v>1389</v>
      </c>
      <c r="N29" s="1827"/>
      <c r="O29" s="1827"/>
      <c r="Q29" s="1806"/>
      <c r="R29" s="701" t="s">
        <v>1387</v>
      </c>
      <c r="S29" s="701" t="s">
        <v>1388</v>
      </c>
      <c r="T29" s="701" t="s">
        <v>1389</v>
      </c>
      <c r="AC29" s="701" t="s">
        <v>415</v>
      </c>
      <c r="AD29" s="701" t="s">
        <v>417</v>
      </c>
    </row>
    <row r="30" spans="1:30">
      <c r="A30" s="12">
        <v>1</v>
      </c>
      <c r="B30" s="6"/>
      <c r="C30" s="6"/>
      <c r="D30" s="6"/>
      <c r="E30" s="10"/>
      <c r="F30" s="7"/>
      <c r="G30" s="541"/>
      <c r="H30" s="15">
        <f>ROUNDDOWN(G30*1.1,0)</f>
        <v>0</v>
      </c>
      <c r="I30" s="4">
        <f>F30*H30</f>
        <v>0</v>
      </c>
      <c r="J30" s="9"/>
      <c r="K30" s="609"/>
      <c r="L30" s="609"/>
      <c r="M30" s="609"/>
      <c r="N30" s="4">
        <f>IF(J30="補助対象",I30,IF(J30="補助対象外",0,0))</f>
        <v>0</v>
      </c>
      <c r="O30" s="5" t="str">
        <f>IF(AC30="◎",COUNTIF($AC$30:AC30,"◎"),"")</f>
        <v/>
      </c>
      <c r="Q30" s="610" t="str">
        <f>IF(AND(AC30="◎",J30="補助対象"),DATE(IF(K30=5,2023,IF(K30=6,2024)),L30,M30),"")</f>
        <v/>
      </c>
      <c r="R30" s="701" t="str">
        <f>IF(Q30=MAX($Q$30:$Q$74),K30,"")</f>
        <v/>
      </c>
      <c r="S30" s="701" t="str">
        <f>IF(Q30=MAX($Q$30:$Q$74),L30,"")</f>
        <v/>
      </c>
      <c r="T30" s="701" t="str">
        <f>IF(Q30=MAX($Q$30:$Q$74),M30,"")</f>
        <v/>
      </c>
      <c r="Z30" s="702" t="str">
        <f>IF(B30="個別病床",はじめに入力してください!$K$50,IF(B30="共通使用",はじめに入力してください!$K$52,""))</f>
        <v/>
      </c>
      <c r="AB30" s="12">
        <v>1</v>
      </c>
      <c r="AC30" s="701" t="str">
        <f xml:space="preserve">
IF(SUM(COUNTA(B30:G30),COUNTA(J30:M30))=0,"○",
IF(AND(SUM(COUNTA(B30:G30),COUNTA(J30:M30))&gt;0,SUM(COUNTA(B30:G30),COUNTA(J30:M30))&lt;10),"×",
IF(SUM(COUNTA(B30:G30),COUNTA(J30:M30))=10,"◎")))</f>
        <v>○</v>
      </c>
      <c r="AD30" s="702" t="str">
        <f xml:space="preserve">
IF(SUM(COUNTA(B30:G30),COUNTA(J30))=0,"整備しない場合は入力不要です。",
IF(AND(SUM(COUNTA(B30:G30),COUNTA(J30))&gt;0,SUM(COUNTA(B30:G30),COUNTA(J30))&lt;7),"【要修正】未入力の箇所があります。",
IF(SUM(COUNTA(B30:G30),COUNTA(J30))=7,"適切に入力がされました。")))</f>
        <v>整備しない場合は入力不要です。</v>
      </c>
    </row>
    <row r="31" spans="1:30">
      <c r="A31" s="12">
        <v>2</v>
      </c>
      <c r="B31" s="6"/>
      <c r="C31" s="6"/>
      <c r="D31" s="6"/>
      <c r="E31" s="10"/>
      <c r="F31" s="7"/>
      <c r="G31" s="541"/>
      <c r="H31" s="15">
        <f t="shared" ref="H31:H74" si="0">ROUNDDOWN(G31*1.1,0)</f>
        <v>0</v>
      </c>
      <c r="I31" s="4">
        <f t="shared" ref="I31:I74" si="1">F31*H31</f>
        <v>0</v>
      </c>
      <c r="J31" s="9"/>
      <c r="K31" s="609"/>
      <c r="L31" s="609"/>
      <c r="M31" s="609"/>
      <c r="N31" s="4">
        <f t="shared" ref="N31:N74" si="2">IF(J31="補助対象",I31,IF(J31="補助対象外",0,0))</f>
        <v>0</v>
      </c>
      <c r="O31" s="5" t="str">
        <f>IF(AC31="◎",COUNTIF($AC$30:AC31,"◎"),"")</f>
        <v/>
      </c>
      <c r="Q31" s="610" t="str">
        <f t="shared" ref="Q31:Q74" si="3">IF(AND(AC31="◎",J31="補助対象"),DATE(IF(K31=5,2023,IF(K31=6,2024)),L31,M31),"")</f>
        <v/>
      </c>
      <c r="R31" s="701" t="str">
        <f t="shared" ref="R31:R74" si="4">IF(Q31=MAX($Q$30:$Q$74),K31,"")</f>
        <v/>
      </c>
      <c r="S31" s="701" t="str">
        <f t="shared" ref="S31:S74" si="5">IF(Q31=MAX($Q$30:$Q$74),L31,"")</f>
        <v/>
      </c>
      <c r="T31" s="701" t="str">
        <f t="shared" ref="T31:T74" si="6">IF(Q31=MAX($Q$30:$Q$74),M31,"")</f>
        <v/>
      </c>
      <c r="Z31" s="702" t="str">
        <f>IF(B31="個別病床",はじめに入力してください!$K$50,IF(B31="共通使用",はじめに入力してください!$K$52,""))</f>
        <v/>
      </c>
      <c r="AB31" s="12">
        <v>2</v>
      </c>
      <c r="AC31" s="701" t="str">
        <f t="shared" ref="AC31:AC74" si="7" xml:space="preserve">
IF(SUM(COUNTA(B31:G31),COUNTA(J31:M31))=0,"○",
IF(AND(SUM(COUNTA(B31:G31),COUNTA(J31:M31))&gt;0,SUM(COUNTA(B31:G31),COUNTA(J31:M31))&lt;10),"×",
IF(SUM(COUNTA(B31:G31),COUNTA(J31:M31))=10,"◎")))</f>
        <v>○</v>
      </c>
      <c r="AD31" s="702" t="str">
        <f t="shared" ref="AD31:AD74" si="8" xml:space="preserve">
IF(SUM(COUNTA(B31:G31),COUNTA(J31))=0,"整備しない場合は入力不要です。",
IF(AND(SUM(COUNTA(B31:G31),COUNTA(J31))&gt;0,SUM(COUNTA(B31:G31),COUNTA(J31))&lt;7),"【要修正】未入力の箇所があります。",
IF(SUM(COUNTA(B31:G31),COUNTA(J31))=7,"適切に入力がされました。")))</f>
        <v>整備しない場合は入力不要です。</v>
      </c>
    </row>
    <row r="32" spans="1:30">
      <c r="A32" s="12">
        <v>3</v>
      </c>
      <c r="B32" s="6"/>
      <c r="C32" s="6"/>
      <c r="D32" s="6"/>
      <c r="E32" s="10"/>
      <c r="F32" s="7"/>
      <c r="G32" s="541"/>
      <c r="H32" s="15">
        <f t="shared" si="0"/>
        <v>0</v>
      </c>
      <c r="I32" s="4">
        <f t="shared" si="1"/>
        <v>0</v>
      </c>
      <c r="J32" s="9"/>
      <c r="K32" s="609"/>
      <c r="L32" s="609"/>
      <c r="M32" s="609"/>
      <c r="N32" s="4">
        <f t="shared" si="2"/>
        <v>0</v>
      </c>
      <c r="O32" s="5" t="str">
        <f>IF(AC32="◎",COUNTIF($AC$30:AC32,"◎"),"")</f>
        <v/>
      </c>
      <c r="Q32" s="610" t="str">
        <f t="shared" si="3"/>
        <v/>
      </c>
      <c r="R32" s="701" t="str">
        <f t="shared" si="4"/>
        <v/>
      </c>
      <c r="S32" s="701" t="str">
        <f t="shared" si="5"/>
        <v/>
      </c>
      <c r="T32" s="701" t="str">
        <f t="shared" si="6"/>
        <v/>
      </c>
      <c r="Z32" s="702" t="str">
        <f>IF(B32="個別病床",はじめに入力してください!$K$50,IF(B32="共通使用",はじめに入力してください!$K$52,""))</f>
        <v/>
      </c>
      <c r="AB32" s="12">
        <v>3</v>
      </c>
      <c r="AC32" s="701" t="str">
        <f t="shared" si="7"/>
        <v>○</v>
      </c>
      <c r="AD32" s="702" t="str">
        <f t="shared" si="8"/>
        <v>整備しない場合は入力不要です。</v>
      </c>
    </row>
    <row r="33" spans="1:30">
      <c r="A33" s="12">
        <v>4</v>
      </c>
      <c r="B33" s="6"/>
      <c r="C33" s="6"/>
      <c r="D33" s="6"/>
      <c r="E33" s="10"/>
      <c r="F33" s="7"/>
      <c r="G33" s="541"/>
      <c r="H33" s="15">
        <f t="shared" si="0"/>
        <v>0</v>
      </c>
      <c r="I33" s="4">
        <f t="shared" si="1"/>
        <v>0</v>
      </c>
      <c r="J33" s="9"/>
      <c r="K33" s="609"/>
      <c r="L33" s="609"/>
      <c r="M33" s="609"/>
      <c r="N33" s="4">
        <f t="shared" si="2"/>
        <v>0</v>
      </c>
      <c r="O33" s="5" t="str">
        <f>IF(AC33="◎",COUNTIF($AC$30:AC33,"◎"),"")</f>
        <v/>
      </c>
      <c r="Q33" s="610" t="str">
        <f t="shared" si="3"/>
        <v/>
      </c>
      <c r="R33" s="701" t="str">
        <f t="shared" si="4"/>
        <v/>
      </c>
      <c r="S33" s="701" t="str">
        <f t="shared" si="5"/>
        <v/>
      </c>
      <c r="T33" s="701" t="str">
        <f t="shared" si="6"/>
        <v/>
      </c>
      <c r="Z33" s="702" t="str">
        <f>IF(B33="個別病床",はじめに入力してください!$K$50,IF(B33="共通使用",はじめに入力してください!$K$52,""))</f>
        <v/>
      </c>
      <c r="AB33" s="12">
        <v>4</v>
      </c>
      <c r="AC33" s="701" t="str">
        <f t="shared" si="7"/>
        <v>○</v>
      </c>
      <c r="AD33" s="702" t="str">
        <f t="shared" si="8"/>
        <v>整備しない場合は入力不要です。</v>
      </c>
    </row>
    <row r="34" spans="1:30">
      <c r="A34" s="12">
        <v>5</v>
      </c>
      <c r="B34" s="6"/>
      <c r="C34" s="6"/>
      <c r="D34" s="6"/>
      <c r="E34" s="10"/>
      <c r="F34" s="7"/>
      <c r="G34" s="541"/>
      <c r="H34" s="15">
        <f t="shared" si="0"/>
        <v>0</v>
      </c>
      <c r="I34" s="4">
        <f t="shared" si="1"/>
        <v>0</v>
      </c>
      <c r="J34" s="9"/>
      <c r="K34" s="609"/>
      <c r="L34" s="609"/>
      <c r="M34" s="609"/>
      <c r="N34" s="4">
        <f t="shared" si="2"/>
        <v>0</v>
      </c>
      <c r="O34" s="5" t="str">
        <f>IF(AC34="◎",COUNTIF($AC$30:AC34,"◎"),"")</f>
        <v/>
      </c>
      <c r="Q34" s="610" t="str">
        <f t="shared" si="3"/>
        <v/>
      </c>
      <c r="R34" s="701" t="str">
        <f t="shared" si="4"/>
        <v/>
      </c>
      <c r="S34" s="701" t="str">
        <f t="shared" si="5"/>
        <v/>
      </c>
      <c r="T34" s="701" t="str">
        <f t="shared" si="6"/>
        <v/>
      </c>
      <c r="Z34" s="702" t="str">
        <f>IF(B34="個別病床",はじめに入力してください!$K$50,IF(B34="共通使用",はじめに入力してください!$K$52,""))</f>
        <v/>
      </c>
      <c r="AB34" s="12">
        <v>5</v>
      </c>
      <c r="AC34" s="701" t="str">
        <f t="shared" si="7"/>
        <v>○</v>
      </c>
      <c r="AD34" s="702" t="str">
        <f t="shared" si="8"/>
        <v>整備しない場合は入力不要です。</v>
      </c>
    </row>
    <row r="35" spans="1:30">
      <c r="A35" s="12">
        <v>6</v>
      </c>
      <c r="B35" s="6"/>
      <c r="C35" s="6"/>
      <c r="D35" s="6"/>
      <c r="E35" s="10"/>
      <c r="F35" s="7"/>
      <c r="G35" s="541"/>
      <c r="H35" s="15">
        <f t="shared" si="0"/>
        <v>0</v>
      </c>
      <c r="I35" s="4">
        <f t="shared" si="1"/>
        <v>0</v>
      </c>
      <c r="J35" s="9"/>
      <c r="K35" s="609"/>
      <c r="L35" s="609"/>
      <c r="M35" s="609"/>
      <c r="N35" s="4">
        <f t="shared" si="2"/>
        <v>0</v>
      </c>
      <c r="O35" s="5" t="str">
        <f>IF(AC35="◎",COUNTIF($AC$30:AC35,"◎"),"")</f>
        <v/>
      </c>
      <c r="Q35" s="610" t="str">
        <f t="shared" si="3"/>
        <v/>
      </c>
      <c r="R35" s="701" t="str">
        <f t="shared" si="4"/>
        <v/>
      </c>
      <c r="S35" s="701" t="str">
        <f t="shared" si="5"/>
        <v/>
      </c>
      <c r="T35" s="701" t="str">
        <f t="shared" si="6"/>
        <v/>
      </c>
      <c r="Z35" s="702" t="str">
        <f>IF(B35="個別病床",はじめに入力してください!$K$50,IF(B35="共通使用",はじめに入力してください!$K$52,""))</f>
        <v/>
      </c>
      <c r="AB35" s="12">
        <v>6</v>
      </c>
      <c r="AC35" s="701" t="str">
        <f t="shared" si="7"/>
        <v>○</v>
      </c>
      <c r="AD35" s="702" t="str">
        <f t="shared" si="8"/>
        <v>整備しない場合は入力不要です。</v>
      </c>
    </row>
    <row r="36" spans="1:30">
      <c r="A36" s="12">
        <v>7</v>
      </c>
      <c r="B36" s="6"/>
      <c r="C36" s="6"/>
      <c r="D36" s="6"/>
      <c r="E36" s="10"/>
      <c r="F36" s="7"/>
      <c r="G36" s="541"/>
      <c r="H36" s="15">
        <f t="shared" si="0"/>
        <v>0</v>
      </c>
      <c r="I36" s="4">
        <f t="shared" si="1"/>
        <v>0</v>
      </c>
      <c r="J36" s="9"/>
      <c r="K36" s="609"/>
      <c r="L36" s="609"/>
      <c r="M36" s="609"/>
      <c r="N36" s="4">
        <f t="shared" si="2"/>
        <v>0</v>
      </c>
      <c r="O36" s="5" t="str">
        <f>IF(AC36="◎",COUNTIF($AC$30:AC36,"◎"),"")</f>
        <v/>
      </c>
      <c r="Q36" s="610" t="str">
        <f t="shared" si="3"/>
        <v/>
      </c>
      <c r="R36" s="701" t="str">
        <f t="shared" si="4"/>
        <v/>
      </c>
      <c r="S36" s="701" t="str">
        <f t="shared" si="5"/>
        <v/>
      </c>
      <c r="T36" s="701" t="str">
        <f t="shared" si="6"/>
        <v/>
      </c>
      <c r="Z36" s="702" t="str">
        <f>IF(B36="個別病床",はじめに入力してください!$K$50,IF(B36="共通使用",はじめに入力してください!$K$52,""))</f>
        <v/>
      </c>
      <c r="AB36" s="12">
        <v>7</v>
      </c>
      <c r="AC36" s="701" t="str">
        <f t="shared" si="7"/>
        <v>○</v>
      </c>
      <c r="AD36" s="702" t="str">
        <f t="shared" si="8"/>
        <v>整備しない場合は入力不要です。</v>
      </c>
    </row>
    <row r="37" spans="1:30">
      <c r="A37" s="12">
        <v>8</v>
      </c>
      <c r="B37" s="6"/>
      <c r="C37" s="6"/>
      <c r="D37" s="6"/>
      <c r="E37" s="10"/>
      <c r="F37" s="7"/>
      <c r="G37" s="541"/>
      <c r="H37" s="15">
        <f t="shared" si="0"/>
        <v>0</v>
      </c>
      <c r="I37" s="4">
        <f t="shared" si="1"/>
        <v>0</v>
      </c>
      <c r="J37" s="9"/>
      <c r="K37" s="609"/>
      <c r="L37" s="609"/>
      <c r="M37" s="609"/>
      <c r="N37" s="4">
        <f t="shared" si="2"/>
        <v>0</v>
      </c>
      <c r="O37" s="5" t="str">
        <f>IF(AC37="◎",COUNTIF($AC$30:AC37,"◎"),"")</f>
        <v/>
      </c>
      <c r="Q37" s="610" t="str">
        <f t="shared" si="3"/>
        <v/>
      </c>
      <c r="R37" s="701" t="str">
        <f t="shared" si="4"/>
        <v/>
      </c>
      <c r="S37" s="701" t="str">
        <f t="shared" si="5"/>
        <v/>
      </c>
      <c r="T37" s="701" t="str">
        <f t="shared" si="6"/>
        <v/>
      </c>
      <c r="Z37" s="702" t="str">
        <f>IF(B37="個別病床",はじめに入力してください!$K$50,IF(B37="共通使用",はじめに入力してください!$K$52,""))</f>
        <v/>
      </c>
      <c r="AB37" s="12">
        <v>8</v>
      </c>
      <c r="AC37" s="701" t="str">
        <f t="shared" si="7"/>
        <v>○</v>
      </c>
      <c r="AD37" s="702" t="str">
        <f t="shared" si="8"/>
        <v>整備しない場合は入力不要です。</v>
      </c>
    </row>
    <row r="38" spans="1:30">
      <c r="A38" s="12">
        <v>9</v>
      </c>
      <c r="B38" s="6"/>
      <c r="C38" s="6"/>
      <c r="D38" s="6"/>
      <c r="E38" s="10"/>
      <c r="F38" s="7"/>
      <c r="G38" s="541"/>
      <c r="H38" s="15">
        <f t="shared" si="0"/>
        <v>0</v>
      </c>
      <c r="I38" s="4">
        <f t="shared" si="1"/>
        <v>0</v>
      </c>
      <c r="J38" s="9"/>
      <c r="K38" s="609"/>
      <c r="L38" s="609"/>
      <c r="M38" s="609"/>
      <c r="N38" s="4">
        <f t="shared" si="2"/>
        <v>0</v>
      </c>
      <c r="O38" s="5" t="str">
        <f>IF(AC38="◎",COUNTIF($AC$30:AC38,"◎"),"")</f>
        <v/>
      </c>
      <c r="Q38" s="610" t="str">
        <f t="shared" si="3"/>
        <v/>
      </c>
      <c r="R38" s="701" t="str">
        <f t="shared" si="4"/>
        <v/>
      </c>
      <c r="S38" s="701" t="str">
        <f t="shared" si="5"/>
        <v/>
      </c>
      <c r="T38" s="701" t="str">
        <f t="shared" si="6"/>
        <v/>
      </c>
      <c r="Z38" s="702" t="str">
        <f>IF(B38="個別病床",はじめに入力してください!$K$50,IF(B38="共通使用",はじめに入力してください!$K$52,""))</f>
        <v/>
      </c>
      <c r="AB38" s="12">
        <v>9</v>
      </c>
      <c r="AC38" s="701" t="str">
        <f t="shared" si="7"/>
        <v>○</v>
      </c>
      <c r="AD38" s="702" t="str">
        <f t="shared" si="8"/>
        <v>整備しない場合は入力不要です。</v>
      </c>
    </row>
    <row r="39" spans="1:30">
      <c r="A39" s="12">
        <v>10</v>
      </c>
      <c r="B39" s="6"/>
      <c r="C39" s="6"/>
      <c r="D39" s="6"/>
      <c r="E39" s="10"/>
      <c r="F39" s="7"/>
      <c r="G39" s="541"/>
      <c r="H39" s="15">
        <f t="shared" si="0"/>
        <v>0</v>
      </c>
      <c r="I39" s="4">
        <f t="shared" si="1"/>
        <v>0</v>
      </c>
      <c r="J39" s="9"/>
      <c r="K39" s="609"/>
      <c r="L39" s="609"/>
      <c r="M39" s="609"/>
      <c r="N39" s="4">
        <f t="shared" si="2"/>
        <v>0</v>
      </c>
      <c r="O39" s="5" t="str">
        <f>IF(AC39="◎",COUNTIF($AC$30:AC39,"◎"),"")</f>
        <v/>
      </c>
      <c r="Q39" s="610" t="str">
        <f t="shared" si="3"/>
        <v/>
      </c>
      <c r="R39" s="701" t="str">
        <f t="shared" si="4"/>
        <v/>
      </c>
      <c r="S39" s="701" t="str">
        <f t="shared" si="5"/>
        <v/>
      </c>
      <c r="T39" s="701" t="str">
        <f t="shared" si="6"/>
        <v/>
      </c>
      <c r="Z39" s="702" t="str">
        <f>IF(B39="個別病床",はじめに入力してください!$K$50,IF(B39="共通使用",はじめに入力してください!$K$52,""))</f>
        <v/>
      </c>
      <c r="AB39" s="12">
        <v>10</v>
      </c>
      <c r="AC39" s="701" t="str">
        <f t="shared" si="7"/>
        <v>○</v>
      </c>
      <c r="AD39" s="702" t="str">
        <f t="shared" si="8"/>
        <v>整備しない場合は入力不要です。</v>
      </c>
    </row>
    <row r="40" spans="1:30">
      <c r="A40" s="12">
        <v>11</v>
      </c>
      <c r="B40" s="6"/>
      <c r="C40" s="6"/>
      <c r="D40" s="6"/>
      <c r="E40" s="10"/>
      <c r="F40" s="7"/>
      <c r="G40" s="541"/>
      <c r="H40" s="15">
        <f t="shared" si="0"/>
        <v>0</v>
      </c>
      <c r="I40" s="4">
        <f t="shared" si="1"/>
        <v>0</v>
      </c>
      <c r="J40" s="9"/>
      <c r="K40" s="609"/>
      <c r="L40" s="609"/>
      <c r="M40" s="609"/>
      <c r="N40" s="4">
        <f t="shared" si="2"/>
        <v>0</v>
      </c>
      <c r="O40" s="5" t="str">
        <f>IF(AC40="◎",COUNTIF($AC$30:AC40,"◎"),"")</f>
        <v/>
      </c>
      <c r="Q40" s="610" t="str">
        <f t="shared" si="3"/>
        <v/>
      </c>
      <c r="R40" s="701" t="str">
        <f t="shared" si="4"/>
        <v/>
      </c>
      <c r="S40" s="701" t="str">
        <f t="shared" si="5"/>
        <v/>
      </c>
      <c r="T40" s="701" t="str">
        <f t="shared" si="6"/>
        <v/>
      </c>
      <c r="Z40" s="702" t="str">
        <f>IF(B40="個別病床",はじめに入力してください!$K$50,IF(B40="共通使用",はじめに入力してください!$K$52,""))</f>
        <v/>
      </c>
      <c r="AB40" s="12">
        <v>11</v>
      </c>
      <c r="AC40" s="701" t="str">
        <f t="shared" si="7"/>
        <v>○</v>
      </c>
      <c r="AD40" s="702" t="str">
        <f t="shared" si="8"/>
        <v>整備しない場合は入力不要です。</v>
      </c>
    </row>
    <row r="41" spans="1:30">
      <c r="A41" s="12">
        <v>12</v>
      </c>
      <c r="B41" s="6"/>
      <c r="C41" s="6"/>
      <c r="D41" s="6"/>
      <c r="E41" s="10"/>
      <c r="F41" s="7"/>
      <c r="G41" s="541"/>
      <c r="H41" s="15">
        <f t="shared" si="0"/>
        <v>0</v>
      </c>
      <c r="I41" s="4">
        <f t="shared" si="1"/>
        <v>0</v>
      </c>
      <c r="J41" s="9"/>
      <c r="K41" s="609"/>
      <c r="L41" s="609"/>
      <c r="M41" s="609"/>
      <c r="N41" s="4">
        <f t="shared" si="2"/>
        <v>0</v>
      </c>
      <c r="O41" s="5" t="str">
        <f>IF(AC41="◎",COUNTIF($AC$30:AC41,"◎"),"")</f>
        <v/>
      </c>
      <c r="Q41" s="610" t="str">
        <f t="shared" si="3"/>
        <v/>
      </c>
      <c r="R41" s="701" t="str">
        <f t="shared" si="4"/>
        <v/>
      </c>
      <c r="S41" s="701" t="str">
        <f t="shared" si="5"/>
        <v/>
      </c>
      <c r="T41" s="701" t="str">
        <f t="shared" si="6"/>
        <v/>
      </c>
      <c r="Z41" s="702" t="str">
        <f>IF(B41="個別病床",はじめに入力してください!$K$50,IF(B41="共通使用",はじめに入力してください!$K$52,""))</f>
        <v/>
      </c>
      <c r="AB41" s="12">
        <v>12</v>
      </c>
      <c r="AC41" s="701" t="str">
        <f t="shared" si="7"/>
        <v>○</v>
      </c>
      <c r="AD41" s="702" t="str">
        <f t="shared" si="8"/>
        <v>整備しない場合は入力不要です。</v>
      </c>
    </row>
    <row r="42" spans="1:30">
      <c r="A42" s="12">
        <v>13</v>
      </c>
      <c r="B42" s="6"/>
      <c r="C42" s="6"/>
      <c r="D42" s="6"/>
      <c r="E42" s="10"/>
      <c r="F42" s="7"/>
      <c r="G42" s="541"/>
      <c r="H42" s="15">
        <f t="shared" si="0"/>
        <v>0</v>
      </c>
      <c r="I42" s="4">
        <f t="shared" si="1"/>
        <v>0</v>
      </c>
      <c r="J42" s="9"/>
      <c r="K42" s="609"/>
      <c r="L42" s="609"/>
      <c r="M42" s="609"/>
      <c r="N42" s="4">
        <f t="shared" si="2"/>
        <v>0</v>
      </c>
      <c r="O42" s="5" t="str">
        <f>IF(AC42="◎",COUNTIF($AC$30:AC42,"◎"),"")</f>
        <v/>
      </c>
      <c r="Q42" s="610" t="str">
        <f t="shared" si="3"/>
        <v/>
      </c>
      <c r="R42" s="701" t="str">
        <f t="shared" si="4"/>
        <v/>
      </c>
      <c r="S42" s="701" t="str">
        <f t="shared" si="5"/>
        <v/>
      </c>
      <c r="T42" s="701" t="str">
        <f t="shared" si="6"/>
        <v/>
      </c>
      <c r="Z42" s="702" t="str">
        <f>IF(B42="個別病床",はじめに入力してください!$K$50,IF(B42="共通使用",はじめに入力してください!$K$52,""))</f>
        <v/>
      </c>
      <c r="AB42" s="12">
        <v>13</v>
      </c>
      <c r="AC42" s="701" t="str">
        <f t="shared" si="7"/>
        <v>○</v>
      </c>
      <c r="AD42" s="702" t="str">
        <f t="shared" si="8"/>
        <v>整備しない場合は入力不要です。</v>
      </c>
    </row>
    <row r="43" spans="1:30">
      <c r="A43" s="12">
        <v>14</v>
      </c>
      <c r="B43" s="6"/>
      <c r="C43" s="6"/>
      <c r="D43" s="6"/>
      <c r="E43" s="10"/>
      <c r="F43" s="7"/>
      <c r="G43" s="541"/>
      <c r="H43" s="15">
        <f t="shared" si="0"/>
        <v>0</v>
      </c>
      <c r="I43" s="4">
        <f t="shared" si="1"/>
        <v>0</v>
      </c>
      <c r="J43" s="9"/>
      <c r="K43" s="609"/>
      <c r="L43" s="609"/>
      <c r="M43" s="609"/>
      <c r="N43" s="4">
        <f t="shared" si="2"/>
        <v>0</v>
      </c>
      <c r="O43" s="5" t="str">
        <f>IF(AC43="◎",COUNTIF($AC$30:AC43,"◎"),"")</f>
        <v/>
      </c>
      <c r="Q43" s="610" t="str">
        <f t="shared" si="3"/>
        <v/>
      </c>
      <c r="R43" s="701" t="str">
        <f t="shared" si="4"/>
        <v/>
      </c>
      <c r="S43" s="701" t="str">
        <f t="shared" si="5"/>
        <v/>
      </c>
      <c r="T43" s="701" t="str">
        <f t="shared" si="6"/>
        <v/>
      </c>
      <c r="Z43" s="702" t="str">
        <f>IF(B43="個別病床",はじめに入力してください!$K$50,IF(B43="共通使用",はじめに入力してください!$K$52,""))</f>
        <v/>
      </c>
      <c r="AB43" s="12">
        <v>14</v>
      </c>
      <c r="AC43" s="701" t="str">
        <f t="shared" si="7"/>
        <v>○</v>
      </c>
      <c r="AD43" s="702" t="str">
        <f t="shared" si="8"/>
        <v>整備しない場合は入力不要です。</v>
      </c>
    </row>
    <row r="44" spans="1:30">
      <c r="A44" s="12">
        <v>15</v>
      </c>
      <c r="B44" s="6"/>
      <c r="C44" s="6"/>
      <c r="D44" s="6"/>
      <c r="E44" s="10"/>
      <c r="F44" s="7"/>
      <c r="G44" s="541"/>
      <c r="H44" s="15">
        <f t="shared" si="0"/>
        <v>0</v>
      </c>
      <c r="I44" s="4">
        <f t="shared" si="1"/>
        <v>0</v>
      </c>
      <c r="J44" s="9"/>
      <c r="K44" s="609"/>
      <c r="L44" s="609"/>
      <c r="M44" s="609"/>
      <c r="N44" s="4">
        <f t="shared" si="2"/>
        <v>0</v>
      </c>
      <c r="O44" s="5" t="str">
        <f>IF(AC44="◎",COUNTIF($AC$30:AC44,"◎"),"")</f>
        <v/>
      </c>
      <c r="Q44" s="610" t="str">
        <f t="shared" si="3"/>
        <v/>
      </c>
      <c r="R44" s="701" t="str">
        <f t="shared" si="4"/>
        <v/>
      </c>
      <c r="S44" s="701" t="str">
        <f t="shared" si="5"/>
        <v/>
      </c>
      <c r="T44" s="701" t="str">
        <f t="shared" si="6"/>
        <v/>
      </c>
      <c r="Z44" s="702" t="str">
        <f>IF(B44="個別病床",はじめに入力してください!$K$50,IF(B44="共通使用",はじめに入力してください!$K$52,""))</f>
        <v/>
      </c>
      <c r="AB44" s="12">
        <v>15</v>
      </c>
      <c r="AC44" s="701" t="str">
        <f t="shared" si="7"/>
        <v>○</v>
      </c>
      <c r="AD44" s="702" t="str">
        <f t="shared" si="8"/>
        <v>整備しない場合は入力不要です。</v>
      </c>
    </row>
    <row r="45" spans="1:30">
      <c r="A45" s="12">
        <v>16</v>
      </c>
      <c r="B45" s="6"/>
      <c r="C45" s="6"/>
      <c r="D45" s="6"/>
      <c r="E45" s="10"/>
      <c r="F45" s="7"/>
      <c r="G45" s="541"/>
      <c r="H45" s="15">
        <f t="shared" si="0"/>
        <v>0</v>
      </c>
      <c r="I45" s="4">
        <f t="shared" si="1"/>
        <v>0</v>
      </c>
      <c r="J45" s="9"/>
      <c r="K45" s="609"/>
      <c r="L45" s="609"/>
      <c r="M45" s="609"/>
      <c r="N45" s="4">
        <f t="shared" si="2"/>
        <v>0</v>
      </c>
      <c r="O45" s="5" t="str">
        <f>IF(AC45="◎",COUNTIF($AC$30:AC45,"◎"),"")</f>
        <v/>
      </c>
      <c r="Q45" s="610" t="str">
        <f t="shared" si="3"/>
        <v/>
      </c>
      <c r="R45" s="701" t="str">
        <f t="shared" si="4"/>
        <v/>
      </c>
      <c r="S45" s="701" t="str">
        <f t="shared" si="5"/>
        <v/>
      </c>
      <c r="T45" s="701" t="str">
        <f t="shared" si="6"/>
        <v/>
      </c>
      <c r="Z45" s="702" t="str">
        <f>IF(B45="個別病床",はじめに入力してください!$K$50,IF(B45="共通使用",はじめに入力してください!$K$52,""))</f>
        <v/>
      </c>
      <c r="AB45" s="12">
        <v>16</v>
      </c>
      <c r="AC45" s="701" t="str">
        <f t="shared" si="7"/>
        <v>○</v>
      </c>
      <c r="AD45" s="702" t="str">
        <f t="shared" si="8"/>
        <v>整備しない場合は入力不要です。</v>
      </c>
    </row>
    <row r="46" spans="1:30">
      <c r="A46" s="12">
        <v>17</v>
      </c>
      <c r="B46" s="6"/>
      <c r="C46" s="6"/>
      <c r="D46" s="6"/>
      <c r="E46" s="10"/>
      <c r="F46" s="7"/>
      <c r="G46" s="541"/>
      <c r="H46" s="15">
        <f t="shared" si="0"/>
        <v>0</v>
      </c>
      <c r="I46" s="4">
        <f t="shared" si="1"/>
        <v>0</v>
      </c>
      <c r="J46" s="9"/>
      <c r="K46" s="609"/>
      <c r="L46" s="609"/>
      <c r="M46" s="609"/>
      <c r="N46" s="4">
        <f t="shared" si="2"/>
        <v>0</v>
      </c>
      <c r="O46" s="5" t="str">
        <f>IF(AC46="◎",COUNTIF($AC$30:AC46,"◎"),"")</f>
        <v/>
      </c>
      <c r="Q46" s="610" t="str">
        <f t="shared" si="3"/>
        <v/>
      </c>
      <c r="R46" s="701" t="str">
        <f t="shared" si="4"/>
        <v/>
      </c>
      <c r="S46" s="701" t="str">
        <f t="shared" si="5"/>
        <v/>
      </c>
      <c r="T46" s="701" t="str">
        <f t="shared" si="6"/>
        <v/>
      </c>
      <c r="Z46" s="702" t="str">
        <f>IF(B46="個別病床",はじめに入力してください!$K$50,IF(B46="共通使用",はじめに入力してください!$K$52,""))</f>
        <v/>
      </c>
      <c r="AB46" s="12">
        <v>17</v>
      </c>
      <c r="AC46" s="701" t="str">
        <f t="shared" si="7"/>
        <v>○</v>
      </c>
      <c r="AD46" s="702" t="str">
        <f t="shared" si="8"/>
        <v>整備しない場合は入力不要です。</v>
      </c>
    </row>
    <row r="47" spans="1:30">
      <c r="A47" s="12">
        <v>18</v>
      </c>
      <c r="B47" s="6"/>
      <c r="C47" s="6"/>
      <c r="D47" s="6"/>
      <c r="E47" s="10"/>
      <c r="F47" s="7"/>
      <c r="G47" s="541"/>
      <c r="H47" s="15">
        <f t="shared" si="0"/>
        <v>0</v>
      </c>
      <c r="I47" s="4">
        <f t="shared" si="1"/>
        <v>0</v>
      </c>
      <c r="J47" s="9"/>
      <c r="K47" s="609"/>
      <c r="L47" s="609"/>
      <c r="M47" s="609"/>
      <c r="N47" s="4">
        <f t="shared" si="2"/>
        <v>0</v>
      </c>
      <c r="O47" s="5" t="str">
        <f>IF(AC47="◎",COUNTIF($AC$30:AC47,"◎"),"")</f>
        <v/>
      </c>
      <c r="Q47" s="610" t="str">
        <f t="shared" si="3"/>
        <v/>
      </c>
      <c r="R47" s="701" t="str">
        <f t="shared" si="4"/>
        <v/>
      </c>
      <c r="S47" s="701" t="str">
        <f t="shared" si="5"/>
        <v/>
      </c>
      <c r="T47" s="701" t="str">
        <f t="shared" si="6"/>
        <v/>
      </c>
      <c r="Z47" s="702" t="str">
        <f>IF(B47="個別病床",はじめに入力してください!$K$50,IF(B47="共通使用",はじめに入力してください!$K$52,""))</f>
        <v/>
      </c>
      <c r="AB47" s="12">
        <v>18</v>
      </c>
      <c r="AC47" s="701" t="str">
        <f t="shared" si="7"/>
        <v>○</v>
      </c>
      <c r="AD47" s="702" t="str">
        <f t="shared" si="8"/>
        <v>整備しない場合は入力不要です。</v>
      </c>
    </row>
    <row r="48" spans="1:30">
      <c r="A48" s="12">
        <v>19</v>
      </c>
      <c r="B48" s="6"/>
      <c r="C48" s="6"/>
      <c r="D48" s="6"/>
      <c r="E48" s="10"/>
      <c r="F48" s="7"/>
      <c r="G48" s="541"/>
      <c r="H48" s="15">
        <f t="shared" si="0"/>
        <v>0</v>
      </c>
      <c r="I48" s="4">
        <f t="shared" si="1"/>
        <v>0</v>
      </c>
      <c r="J48" s="9"/>
      <c r="K48" s="609"/>
      <c r="L48" s="609"/>
      <c r="M48" s="609"/>
      <c r="N48" s="4">
        <f t="shared" si="2"/>
        <v>0</v>
      </c>
      <c r="O48" s="5" t="str">
        <f>IF(AC48="◎",COUNTIF($AC$30:AC48,"◎"),"")</f>
        <v/>
      </c>
      <c r="Q48" s="610" t="str">
        <f t="shared" si="3"/>
        <v/>
      </c>
      <c r="R48" s="701" t="str">
        <f t="shared" si="4"/>
        <v/>
      </c>
      <c r="S48" s="701" t="str">
        <f t="shared" si="5"/>
        <v/>
      </c>
      <c r="T48" s="701" t="str">
        <f t="shared" si="6"/>
        <v/>
      </c>
      <c r="Z48" s="702" t="str">
        <f>IF(B48="個別病床",はじめに入力してください!$K$50,IF(B48="共通使用",はじめに入力してください!$K$52,""))</f>
        <v/>
      </c>
      <c r="AB48" s="12">
        <v>19</v>
      </c>
      <c r="AC48" s="701" t="str">
        <f t="shared" si="7"/>
        <v>○</v>
      </c>
      <c r="AD48" s="702" t="str">
        <f t="shared" si="8"/>
        <v>整備しない場合は入力不要です。</v>
      </c>
    </row>
    <row r="49" spans="1:30">
      <c r="A49" s="12">
        <v>20</v>
      </c>
      <c r="B49" s="6"/>
      <c r="C49" s="6"/>
      <c r="D49" s="6"/>
      <c r="E49" s="10"/>
      <c r="F49" s="7"/>
      <c r="G49" s="541"/>
      <c r="H49" s="15">
        <f t="shared" si="0"/>
        <v>0</v>
      </c>
      <c r="I49" s="4">
        <f t="shared" si="1"/>
        <v>0</v>
      </c>
      <c r="J49" s="9"/>
      <c r="K49" s="609"/>
      <c r="L49" s="609"/>
      <c r="M49" s="609"/>
      <c r="N49" s="4">
        <f t="shared" si="2"/>
        <v>0</v>
      </c>
      <c r="O49" s="5" t="str">
        <f>IF(AC49="◎",COUNTIF($AC$30:AC49,"◎"),"")</f>
        <v/>
      </c>
      <c r="Q49" s="610" t="str">
        <f t="shared" si="3"/>
        <v/>
      </c>
      <c r="R49" s="701" t="str">
        <f t="shared" si="4"/>
        <v/>
      </c>
      <c r="S49" s="701" t="str">
        <f t="shared" si="5"/>
        <v/>
      </c>
      <c r="T49" s="701" t="str">
        <f t="shared" si="6"/>
        <v/>
      </c>
      <c r="Z49" s="702" t="str">
        <f>IF(B49="個別病床",はじめに入力してください!$K$50,IF(B49="共通使用",はじめに入力してください!$K$52,""))</f>
        <v/>
      </c>
      <c r="AB49" s="12">
        <v>20</v>
      </c>
      <c r="AC49" s="701" t="str">
        <f t="shared" si="7"/>
        <v>○</v>
      </c>
      <c r="AD49" s="702" t="str">
        <f t="shared" si="8"/>
        <v>整備しない場合は入力不要です。</v>
      </c>
    </row>
    <row r="50" spans="1:30">
      <c r="A50" s="12">
        <v>21</v>
      </c>
      <c r="B50" s="6"/>
      <c r="C50" s="6"/>
      <c r="D50" s="6"/>
      <c r="E50" s="10"/>
      <c r="F50" s="7"/>
      <c r="G50" s="541"/>
      <c r="H50" s="15">
        <f t="shared" si="0"/>
        <v>0</v>
      </c>
      <c r="I50" s="4">
        <f t="shared" si="1"/>
        <v>0</v>
      </c>
      <c r="J50" s="9"/>
      <c r="K50" s="609"/>
      <c r="L50" s="609"/>
      <c r="M50" s="609"/>
      <c r="N50" s="4">
        <f t="shared" si="2"/>
        <v>0</v>
      </c>
      <c r="O50" s="5" t="str">
        <f>IF(AC50="◎",COUNTIF($AC$30:AC50,"◎"),"")</f>
        <v/>
      </c>
      <c r="Q50" s="610" t="str">
        <f t="shared" si="3"/>
        <v/>
      </c>
      <c r="R50" s="701" t="str">
        <f t="shared" si="4"/>
        <v/>
      </c>
      <c r="S50" s="701" t="str">
        <f t="shared" si="5"/>
        <v/>
      </c>
      <c r="T50" s="701" t="str">
        <f t="shared" si="6"/>
        <v/>
      </c>
      <c r="Z50" s="702" t="str">
        <f>IF(B50="個別病床",はじめに入力してください!$K$50,IF(B50="共通使用",はじめに入力してください!$K$52,""))</f>
        <v/>
      </c>
      <c r="AB50" s="12">
        <v>21</v>
      </c>
      <c r="AC50" s="701" t="str">
        <f t="shared" si="7"/>
        <v>○</v>
      </c>
      <c r="AD50" s="702" t="str">
        <f t="shared" si="8"/>
        <v>整備しない場合は入力不要です。</v>
      </c>
    </row>
    <row r="51" spans="1:30">
      <c r="A51" s="12">
        <v>22</v>
      </c>
      <c r="B51" s="6"/>
      <c r="C51" s="6"/>
      <c r="D51" s="6"/>
      <c r="E51" s="10"/>
      <c r="F51" s="7"/>
      <c r="G51" s="541"/>
      <c r="H51" s="15">
        <f t="shared" si="0"/>
        <v>0</v>
      </c>
      <c r="I51" s="4">
        <f t="shared" si="1"/>
        <v>0</v>
      </c>
      <c r="J51" s="9"/>
      <c r="K51" s="609"/>
      <c r="L51" s="609"/>
      <c r="M51" s="609"/>
      <c r="N51" s="4">
        <f t="shared" si="2"/>
        <v>0</v>
      </c>
      <c r="O51" s="5" t="str">
        <f>IF(AC51="◎",COUNTIF($AC$30:AC51,"◎"),"")</f>
        <v/>
      </c>
      <c r="Q51" s="610" t="str">
        <f t="shared" si="3"/>
        <v/>
      </c>
      <c r="R51" s="701" t="str">
        <f t="shared" si="4"/>
        <v/>
      </c>
      <c r="S51" s="701" t="str">
        <f t="shared" si="5"/>
        <v/>
      </c>
      <c r="T51" s="701" t="str">
        <f t="shared" si="6"/>
        <v/>
      </c>
      <c r="Z51" s="702" t="str">
        <f>IF(B51="個別病床",はじめに入力してください!$K$50,IF(B51="共通使用",はじめに入力してください!$K$52,""))</f>
        <v/>
      </c>
      <c r="AB51" s="12">
        <v>22</v>
      </c>
      <c r="AC51" s="701" t="str">
        <f t="shared" si="7"/>
        <v>○</v>
      </c>
      <c r="AD51" s="702" t="str">
        <f t="shared" si="8"/>
        <v>整備しない場合は入力不要です。</v>
      </c>
    </row>
    <row r="52" spans="1:30">
      <c r="A52" s="12">
        <v>23</v>
      </c>
      <c r="B52" s="6"/>
      <c r="C52" s="6"/>
      <c r="D52" s="6"/>
      <c r="E52" s="10"/>
      <c r="F52" s="7"/>
      <c r="G52" s="541"/>
      <c r="H52" s="15">
        <f t="shared" si="0"/>
        <v>0</v>
      </c>
      <c r="I52" s="4">
        <f t="shared" si="1"/>
        <v>0</v>
      </c>
      <c r="J52" s="9"/>
      <c r="K52" s="609"/>
      <c r="L52" s="609"/>
      <c r="M52" s="609"/>
      <c r="N52" s="4">
        <f t="shared" si="2"/>
        <v>0</v>
      </c>
      <c r="O52" s="5" t="str">
        <f>IF(AC52="◎",COUNTIF($AC$30:AC52,"◎"),"")</f>
        <v/>
      </c>
      <c r="Q52" s="610" t="str">
        <f t="shared" si="3"/>
        <v/>
      </c>
      <c r="R52" s="701" t="str">
        <f t="shared" si="4"/>
        <v/>
      </c>
      <c r="S52" s="701" t="str">
        <f t="shared" si="5"/>
        <v/>
      </c>
      <c r="T52" s="701" t="str">
        <f t="shared" si="6"/>
        <v/>
      </c>
      <c r="Z52" s="702" t="str">
        <f>IF(B52="個別病床",はじめに入力してください!$K$50,IF(B52="共通使用",はじめに入力してください!$K$52,""))</f>
        <v/>
      </c>
      <c r="AB52" s="12">
        <v>23</v>
      </c>
      <c r="AC52" s="701" t="str">
        <f t="shared" si="7"/>
        <v>○</v>
      </c>
      <c r="AD52" s="702" t="str">
        <f t="shared" si="8"/>
        <v>整備しない場合は入力不要です。</v>
      </c>
    </row>
    <row r="53" spans="1:30">
      <c r="A53" s="12">
        <v>24</v>
      </c>
      <c r="B53" s="6"/>
      <c r="C53" s="6"/>
      <c r="D53" s="6"/>
      <c r="E53" s="10"/>
      <c r="F53" s="7"/>
      <c r="G53" s="541"/>
      <c r="H53" s="15">
        <f t="shared" si="0"/>
        <v>0</v>
      </c>
      <c r="I53" s="4">
        <f t="shared" si="1"/>
        <v>0</v>
      </c>
      <c r="J53" s="9"/>
      <c r="K53" s="609"/>
      <c r="L53" s="609"/>
      <c r="M53" s="609"/>
      <c r="N53" s="4">
        <f t="shared" si="2"/>
        <v>0</v>
      </c>
      <c r="O53" s="5" t="str">
        <f>IF(AC53="◎",COUNTIF($AC$30:AC53,"◎"),"")</f>
        <v/>
      </c>
      <c r="Q53" s="610" t="str">
        <f t="shared" si="3"/>
        <v/>
      </c>
      <c r="R53" s="701" t="str">
        <f t="shared" si="4"/>
        <v/>
      </c>
      <c r="S53" s="701" t="str">
        <f t="shared" si="5"/>
        <v/>
      </c>
      <c r="T53" s="701" t="str">
        <f t="shared" si="6"/>
        <v/>
      </c>
      <c r="Z53" s="702" t="str">
        <f>IF(B53="個別病床",はじめに入力してください!$K$50,IF(B53="共通使用",はじめに入力してください!$K$52,""))</f>
        <v/>
      </c>
      <c r="AB53" s="12">
        <v>24</v>
      </c>
      <c r="AC53" s="701" t="str">
        <f t="shared" si="7"/>
        <v>○</v>
      </c>
      <c r="AD53" s="702" t="str">
        <f t="shared" si="8"/>
        <v>整備しない場合は入力不要です。</v>
      </c>
    </row>
    <row r="54" spans="1:30">
      <c r="A54" s="12">
        <v>25</v>
      </c>
      <c r="B54" s="6"/>
      <c r="C54" s="6"/>
      <c r="D54" s="6"/>
      <c r="E54" s="10"/>
      <c r="F54" s="7"/>
      <c r="G54" s="541"/>
      <c r="H54" s="15">
        <f t="shared" si="0"/>
        <v>0</v>
      </c>
      <c r="I54" s="4">
        <f t="shared" si="1"/>
        <v>0</v>
      </c>
      <c r="J54" s="9"/>
      <c r="K54" s="609"/>
      <c r="L54" s="609"/>
      <c r="M54" s="609"/>
      <c r="N54" s="4">
        <f t="shared" si="2"/>
        <v>0</v>
      </c>
      <c r="O54" s="5" t="str">
        <f>IF(AC54="◎",COUNTIF($AC$30:AC54,"◎"),"")</f>
        <v/>
      </c>
      <c r="Q54" s="610" t="str">
        <f t="shared" si="3"/>
        <v/>
      </c>
      <c r="R54" s="701" t="str">
        <f t="shared" si="4"/>
        <v/>
      </c>
      <c r="S54" s="701" t="str">
        <f t="shared" si="5"/>
        <v/>
      </c>
      <c r="T54" s="701" t="str">
        <f t="shared" si="6"/>
        <v/>
      </c>
      <c r="Z54" s="702" t="str">
        <f>IF(B54="個別病床",はじめに入力してください!$K$50,IF(B54="共通使用",はじめに入力してください!$K$52,""))</f>
        <v/>
      </c>
      <c r="AB54" s="12">
        <v>25</v>
      </c>
      <c r="AC54" s="701" t="str">
        <f t="shared" si="7"/>
        <v>○</v>
      </c>
      <c r="AD54" s="702" t="str">
        <f t="shared" si="8"/>
        <v>整備しない場合は入力不要です。</v>
      </c>
    </row>
    <row r="55" spans="1:30">
      <c r="A55" s="12">
        <v>26</v>
      </c>
      <c r="B55" s="6"/>
      <c r="C55" s="6"/>
      <c r="D55" s="6"/>
      <c r="E55" s="10"/>
      <c r="F55" s="7"/>
      <c r="G55" s="541"/>
      <c r="H55" s="15">
        <f t="shared" si="0"/>
        <v>0</v>
      </c>
      <c r="I55" s="4">
        <f t="shared" si="1"/>
        <v>0</v>
      </c>
      <c r="J55" s="9"/>
      <c r="K55" s="609"/>
      <c r="L55" s="609"/>
      <c r="M55" s="609"/>
      <c r="N55" s="4">
        <f t="shared" si="2"/>
        <v>0</v>
      </c>
      <c r="O55" s="5" t="str">
        <f>IF(AC55="◎",COUNTIF($AC$30:AC55,"◎"),"")</f>
        <v/>
      </c>
      <c r="Q55" s="610" t="str">
        <f t="shared" si="3"/>
        <v/>
      </c>
      <c r="R55" s="701" t="str">
        <f t="shared" si="4"/>
        <v/>
      </c>
      <c r="S55" s="701" t="str">
        <f t="shared" si="5"/>
        <v/>
      </c>
      <c r="T55" s="701" t="str">
        <f t="shared" si="6"/>
        <v/>
      </c>
      <c r="Z55" s="702" t="str">
        <f>IF(B55="個別病床",はじめに入力してください!$K$50,IF(B55="共通使用",はじめに入力してください!$K$52,""))</f>
        <v/>
      </c>
      <c r="AB55" s="12">
        <v>26</v>
      </c>
      <c r="AC55" s="701" t="str">
        <f t="shared" si="7"/>
        <v>○</v>
      </c>
      <c r="AD55" s="702" t="str">
        <f t="shared" si="8"/>
        <v>整備しない場合は入力不要です。</v>
      </c>
    </row>
    <row r="56" spans="1:30">
      <c r="A56" s="12">
        <v>27</v>
      </c>
      <c r="B56" s="6"/>
      <c r="C56" s="6"/>
      <c r="D56" s="6"/>
      <c r="E56" s="10"/>
      <c r="F56" s="7"/>
      <c r="G56" s="541"/>
      <c r="H56" s="15">
        <f t="shared" si="0"/>
        <v>0</v>
      </c>
      <c r="I56" s="4">
        <f t="shared" si="1"/>
        <v>0</v>
      </c>
      <c r="J56" s="9"/>
      <c r="K56" s="609"/>
      <c r="L56" s="609"/>
      <c r="M56" s="609"/>
      <c r="N56" s="4">
        <f t="shared" si="2"/>
        <v>0</v>
      </c>
      <c r="O56" s="5" t="str">
        <f>IF(AC56="◎",COUNTIF($AC$30:AC56,"◎"),"")</f>
        <v/>
      </c>
      <c r="Q56" s="610" t="str">
        <f t="shared" si="3"/>
        <v/>
      </c>
      <c r="R56" s="701" t="str">
        <f t="shared" si="4"/>
        <v/>
      </c>
      <c r="S56" s="701" t="str">
        <f t="shared" si="5"/>
        <v/>
      </c>
      <c r="T56" s="701" t="str">
        <f t="shared" si="6"/>
        <v/>
      </c>
      <c r="Z56" s="702" t="str">
        <f>IF(B56="個別病床",はじめに入力してください!$K$50,IF(B56="共通使用",はじめに入力してください!$K$52,""))</f>
        <v/>
      </c>
      <c r="AB56" s="12">
        <v>27</v>
      </c>
      <c r="AC56" s="701" t="str">
        <f t="shared" si="7"/>
        <v>○</v>
      </c>
      <c r="AD56" s="702" t="str">
        <f t="shared" si="8"/>
        <v>整備しない場合は入力不要です。</v>
      </c>
    </row>
    <row r="57" spans="1:30">
      <c r="A57" s="12">
        <v>28</v>
      </c>
      <c r="B57" s="6"/>
      <c r="C57" s="6"/>
      <c r="D57" s="6"/>
      <c r="E57" s="10"/>
      <c r="F57" s="7"/>
      <c r="G57" s="541"/>
      <c r="H57" s="15">
        <f t="shared" si="0"/>
        <v>0</v>
      </c>
      <c r="I57" s="4">
        <f t="shared" si="1"/>
        <v>0</v>
      </c>
      <c r="J57" s="9"/>
      <c r="K57" s="609"/>
      <c r="L57" s="609"/>
      <c r="M57" s="609"/>
      <c r="N57" s="4">
        <f t="shared" si="2"/>
        <v>0</v>
      </c>
      <c r="O57" s="5" t="str">
        <f>IF(AC57="◎",COUNTIF($AC$30:AC57,"◎"),"")</f>
        <v/>
      </c>
      <c r="Q57" s="610" t="str">
        <f t="shared" si="3"/>
        <v/>
      </c>
      <c r="R57" s="701" t="str">
        <f t="shared" si="4"/>
        <v/>
      </c>
      <c r="S57" s="701" t="str">
        <f t="shared" si="5"/>
        <v/>
      </c>
      <c r="T57" s="701" t="str">
        <f t="shared" si="6"/>
        <v/>
      </c>
      <c r="Z57" s="702" t="str">
        <f>IF(B57="個別病床",はじめに入力してください!$K$50,IF(B57="共通使用",はじめに入力してください!$K$52,""))</f>
        <v/>
      </c>
      <c r="AB57" s="12">
        <v>28</v>
      </c>
      <c r="AC57" s="701" t="str">
        <f t="shared" si="7"/>
        <v>○</v>
      </c>
      <c r="AD57" s="702" t="str">
        <f t="shared" si="8"/>
        <v>整備しない場合は入力不要です。</v>
      </c>
    </row>
    <row r="58" spans="1:30">
      <c r="A58" s="12">
        <v>29</v>
      </c>
      <c r="B58" s="6"/>
      <c r="C58" s="6"/>
      <c r="D58" s="6"/>
      <c r="E58" s="10"/>
      <c r="F58" s="7"/>
      <c r="G58" s="541"/>
      <c r="H58" s="15">
        <f t="shared" si="0"/>
        <v>0</v>
      </c>
      <c r="I58" s="4">
        <f t="shared" si="1"/>
        <v>0</v>
      </c>
      <c r="J58" s="9"/>
      <c r="K58" s="609"/>
      <c r="L58" s="609"/>
      <c r="M58" s="609"/>
      <c r="N58" s="4">
        <f t="shared" si="2"/>
        <v>0</v>
      </c>
      <c r="O58" s="5" t="str">
        <f>IF(AC58="◎",COUNTIF($AC$30:AC58,"◎"),"")</f>
        <v/>
      </c>
      <c r="Q58" s="610" t="str">
        <f t="shared" si="3"/>
        <v/>
      </c>
      <c r="R58" s="701" t="str">
        <f t="shared" si="4"/>
        <v/>
      </c>
      <c r="S58" s="701" t="str">
        <f t="shared" si="5"/>
        <v/>
      </c>
      <c r="T58" s="701" t="str">
        <f t="shared" si="6"/>
        <v/>
      </c>
      <c r="Z58" s="702" t="str">
        <f>IF(B58="個別病床",はじめに入力してください!$K$50,IF(B58="共通使用",はじめに入力してください!$K$52,""))</f>
        <v/>
      </c>
      <c r="AB58" s="12">
        <v>29</v>
      </c>
      <c r="AC58" s="701" t="str">
        <f t="shared" si="7"/>
        <v>○</v>
      </c>
      <c r="AD58" s="702" t="str">
        <f t="shared" si="8"/>
        <v>整備しない場合は入力不要です。</v>
      </c>
    </row>
    <row r="59" spans="1:30">
      <c r="A59" s="12">
        <v>30</v>
      </c>
      <c r="B59" s="6"/>
      <c r="C59" s="6"/>
      <c r="D59" s="6"/>
      <c r="E59" s="10"/>
      <c r="F59" s="7"/>
      <c r="G59" s="541"/>
      <c r="H59" s="15">
        <f t="shared" si="0"/>
        <v>0</v>
      </c>
      <c r="I59" s="4">
        <f t="shared" si="1"/>
        <v>0</v>
      </c>
      <c r="J59" s="9"/>
      <c r="K59" s="609"/>
      <c r="L59" s="609"/>
      <c r="M59" s="609"/>
      <c r="N59" s="4">
        <f t="shared" si="2"/>
        <v>0</v>
      </c>
      <c r="O59" s="5" t="str">
        <f>IF(AC59="◎",COUNTIF($AC$30:AC59,"◎"),"")</f>
        <v/>
      </c>
      <c r="Q59" s="610" t="str">
        <f t="shared" si="3"/>
        <v/>
      </c>
      <c r="R59" s="701" t="str">
        <f t="shared" si="4"/>
        <v/>
      </c>
      <c r="S59" s="701" t="str">
        <f t="shared" si="5"/>
        <v/>
      </c>
      <c r="T59" s="701" t="str">
        <f t="shared" si="6"/>
        <v/>
      </c>
      <c r="Z59" s="702" t="str">
        <f>IF(B59="個別病床",はじめに入力してください!$K$50,IF(B59="共通使用",はじめに入力してください!$K$52,""))</f>
        <v/>
      </c>
      <c r="AB59" s="12">
        <v>30</v>
      </c>
      <c r="AC59" s="701" t="str">
        <f t="shared" si="7"/>
        <v>○</v>
      </c>
      <c r="AD59" s="702" t="str">
        <f t="shared" si="8"/>
        <v>整備しない場合は入力不要です。</v>
      </c>
    </row>
    <row r="60" spans="1:30">
      <c r="A60" s="12">
        <v>31</v>
      </c>
      <c r="B60" s="6"/>
      <c r="C60" s="6"/>
      <c r="D60" s="6"/>
      <c r="E60" s="10"/>
      <c r="F60" s="7"/>
      <c r="G60" s="541"/>
      <c r="H60" s="15">
        <f t="shared" si="0"/>
        <v>0</v>
      </c>
      <c r="I60" s="4">
        <f t="shared" si="1"/>
        <v>0</v>
      </c>
      <c r="J60" s="9"/>
      <c r="K60" s="609"/>
      <c r="L60" s="609"/>
      <c r="M60" s="609"/>
      <c r="N60" s="4">
        <f t="shared" si="2"/>
        <v>0</v>
      </c>
      <c r="O60" s="5" t="str">
        <f>IF(AC60="◎",COUNTIF($AC$30:AC60,"◎"),"")</f>
        <v/>
      </c>
      <c r="Q60" s="610" t="str">
        <f t="shared" si="3"/>
        <v/>
      </c>
      <c r="R60" s="701" t="str">
        <f t="shared" si="4"/>
        <v/>
      </c>
      <c r="S60" s="701" t="str">
        <f t="shared" si="5"/>
        <v/>
      </c>
      <c r="T60" s="701" t="str">
        <f t="shared" si="6"/>
        <v/>
      </c>
      <c r="Z60" s="702" t="str">
        <f>IF(B60="個別病床",はじめに入力してください!$K$50,IF(B60="共通使用",はじめに入力してください!$K$52,""))</f>
        <v/>
      </c>
      <c r="AB60" s="12">
        <v>31</v>
      </c>
      <c r="AC60" s="701" t="str">
        <f t="shared" si="7"/>
        <v>○</v>
      </c>
      <c r="AD60" s="702" t="str">
        <f t="shared" si="8"/>
        <v>整備しない場合は入力不要です。</v>
      </c>
    </row>
    <row r="61" spans="1:30">
      <c r="A61" s="12">
        <v>32</v>
      </c>
      <c r="B61" s="6"/>
      <c r="C61" s="6"/>
      <c r="D61" s="6"/>
      <c r="E61" s="10"/>
      <c r="F61" s="7"/>
      <c r="G61" s="541"/>
      <c r="H61" s="15">
        <f t="shared" si="0"/>
        <v>0</v>
      </c>
      <c r="I61" s="4">
        <f t="shared" si="1"/>
        <v>0</v>
      </c>
      <c r="J61" s="9"/>
      <c r="K61" s="609"/>
      <c r="L61" s="609"/>
      <c r="M61" s="609"/>
      <c r="N61" s="4">
        <f t="shared" si="2"/>
        <v>0</v>
      </c>
      <c r="O61" s="5" t="str">
        <f>IF(AC61="◎",COUNTIF($AC$30:AC61,"◎"),"")</f>
        <v/>
      </c>
      <c r="Q61" s="610" t="str">
        <f t="shared" si="3"/>
        <v/>
      </c>
      <c r="R61" s="701" t="str">
        <f t="shared" si="4"/>
        <v/>
      </c>
      <c r="S61" s="701" t="str">
        <f t="shared" si="5"/>
        <v/>
      </c>
      <c r="T61" s="701" t="str">
        <f t="shared" si="6"/>
        <v/>
      </c>
      <c r="Z61" s="702" t="str">
        <f>IF(B61="個別病床",はじめに入力してください!$K$50,IF(B61="共通使用",はじめに入力してください!$K$52,""))</f>
        <v/>
      </c>
      <c r="AB61" s="12">
        <v>32</v>
      </c>
      <c r="AC61" s="701" t="str">
        <f t="shared" si="7"/>
        <v>○</v>
      </c>
      <c r="AD61" s="702" t="str">
        <f t="shared" si="8"/>
        <v>整備しない場合は入力不要です。</v>
      </c>
    </row>
    <row r="62" spans="1:30">
      <c r="A62" s="12">
        <v>33</v>
      </c>
      <c r="B62" s="6"/>
      <c r="C62" s="6"/>
      <c r="D62" s="6"/>
      <c r="E62" s="10"/>
      <c r="F62" s="7"/>
      <c r="G62" s="541"/>
      <c r="H62" s="15">
        <f t="shared" si="0"/>
        <v>0</v>
      </c>
      <c r="I62" s="4">
        <f t="shared" si="1"/>
        <v>0</v>
      </c>
      <c r="J62" s="9"/>
      <c r="K62" s="609"/>
      <c r="L62" s="609"/>
      <c r="M62" s="609"/>
      <c r="N62" s="4">
        <f t="shared" si="2"/>
        <v>0</v>
      </c>
      <c r="O62" s="5" t="str">
        <f>IF(AC62="◎",COUNTIF($AC$30:AC62,"◎"),"")</f>
        <v/>
      </c>
      <c r="Q62" s="610" t="str">
        <f t="shared" si="3"/>
        <v/>
      </c>
      <c r="R62" s="701" t="str">
        <f t="shared" si="4"/>
        <v/>
      </c>
      <c r="S62" s="701" t="str">
        <f t="shared" si="5"/>
        <v/>
      </c>
      <c r="T62" s="701" t="str">
        <f t="shared" si="6"/>
        <v/>
      </c>
      <c r="Z62" s="702" t="str">
        <f>IF(B62="個別病床",はじめに入力してください!$K$50,IF(B62="共通使用",はじめに入力してください!$K$52,""))</f>
        <v/>
      </c>
      <c r="AB62" s="12">
        <v>33</v>
      </c>
      <c r="AC62" s="701" t="str">
        <f t="shared" si="7"/>
        <v>○</v>
      </c>
      <c r="AD62" s="702" t="str">
        <f t="shared" si="8"/>
        <v>整備しない場合は入力不要です。</v>
      </c>
    </row>
    <row r="63" spans="1:30">
      <c r="A63" s="12">
        <v>34</v>
      </c>
      <c r="B63" s="6"/>
      <c r="C63" s="6"/>
      <c r="D63" s="6"/>
      <c r="E63" s="10"/>
      <c r="F63" s="7"/>
      <c r="G63" s="541"/>
      <c r="H63" s="15">
        <f t="shared" si="0"/>
        <v>0</v>
      </c>
      <c r="I63" s="4">
        <f t="shared" si="1"/>
        <v>0</v>
      </c>
      <c r="J63" s="9"/>
      <c r="K63" s="609"/>
      <c r="L63" s="609"/>
      <c r="M63" s="609"/>
      <c r="N63" s="4">
        <f t="shared" si="2"/>
        <v>0</v>
      </c>
      <c r="O63" s="5" t="str">
        <f>IF(AC63="◎",COUNTIF($AC$30:AC63,"◎"),"")</f>
        <v/>
      </c>
      <c r="Q63" s="610" t="str">
        <f t="shared" si="3"/>
        <v/>
      </c>
      <c r="R63" s="701" t="str">
        <f t="shared" si="4"/>
        <v/>
      </c>
      <c r="S63" s="701" t="str">
        <f t="shared" si="5"/>
        <v/>
      </c>
      <c r="T63" s="701" t="str">
        <f t="shared" si="6"/>
        <v/>
      </c>
      <c r="Z63" s="702" t="str">
        <f>IF(B63="個別病床",はじめに入力してください!$K$50,IF(B63="共通使用",はじめに入力してください!$K$52,""))</f>
        <v/>
      </c>
      <c r="AB63" s="12">
        <v>34</v>
      </c>
      <c r="AC63" s="701" t="str">
        <f t="shared" si="7"/>
        <v>○</v>
      </c>
      <c r="AD63" s="702" t="str">
        <f t="shared" si="8"/>
        <v>整備しない場合は入力不要です。</v>
      </c>
    </row>
    <row r="64" spans="1:30">
      <c r="A64" s="12">
        <v>35</v>
      </c>
      <c r="B64" s="6"/>
      <c r="C64" s="6"/>
      <c r="D64" s="6"/>
      <c r="E64" s="10"/>
      <c r="F64" s="7"/>
      <c r="G64" s="541"/>
      <c r="H64" s="15">
        <f t="shared" si="0"/>
        <v>0</v>
      </c>
      <c r="I64" s="4">
        <f t="shared" si="1"/>
        <v>0</v>
      </c>
      <c r="J64" s="9"/>
      <c r="K64" s="609"/>
      <c r="L64" s="609"/>
      <c r="M64" s="609"/>
      <c r="N64" s="4">
        <f t="shared" si="2"/>
        <v>0</v>
      </c>
      <c r="O64" s="5" t="str">
        <f>IF(AC64="◎",COUNTIF($AC$30:AC64,"◎"),"")</f>
        <v/>
      </c>
      <c r="Q64" s="610" t="str">
        <f t="shared" si="3"/>
        <v/>
      </c>
      <c r="R64" s="701" t="str">
        <f t="shared" si="4"/>
        <v/>
      </c>
      <c r="S64" s="701" t="str">
        <f t="shared" si="5"/>
        <v/>
      </c>
      <c r="T64" s="701" t="str">
        <f t="shared" si="6"/>
        <v/>
      </c>
      <c r="Z64" s="702" t="str">
        <f>IF(B64="個別病床",はじめに入力してください!$K$50,IF(B64="共通使用",はじめに入力してください!$K$52,""))</f>
        <v/>
      </c>
      <c r="AB64" s="12">
        <v>35</v>
      </c>
      <c r="AC64" s="701" t="str">
        <f t="shared" si="7"/>
        <v>○</v>
      </c>
      <c r="AD64" s="702" t="str">
        <f t="shared" si="8"/>
        <v>整備しない場合は入力不要です。</v>
      </c>
    </row>
    <row r="65" spans="1:30">
      <c r="A65" s="12">
        <v>36</v>
      </c>
      <c r="B65" s="6"/>
      <c r="C65" s="6"/>
      <c r="D65" s="6"/>
      <c r="E65" s="10"/>
      <c r="F65" s="7"/>
      <c r="G65" s="541"/>
      <c r="H65" s="15">
        <f t="shared" si="0"/>
        <v>0</v>
      </c>
      <c r="I65" s="4">
        <f t="shared" si="1"/>
        <v>0</v>
      </c>
      <c r="J65" s="9"/>
      <c r="K65" s="609"/>
      <c r="L65" s="609"/>
      <c r="M65" s="609"/>
      <c r="N65" s="4">
        <f t="shared" si="2"/>
        <v>0</v>
      </c>
      <c r="O65" s="5" t="str">
        <f>IF(AC65="◎",COUNTIF($AC$30:AC65,"◎"),"")</f>
        <v/>
      </c>
      <c r="Q65" s="610" t="str">
        <f t="shared" si="3"/>
        <v/>
      </c>
      <c r="R65" s="701" t="str">
        <f t="shared" si="4"/>
        <v/>
      </c>
      <c r="S65" s="701" t="str">
        <f t="shared" si="5"/>
        <v/>
      </c>
      <c r="T65" s="701" t="str">
        <f t="shared" si="6"/>
        <v/>
      </c>
      <c r="Z65" s="702" t="str">
        <f>IF(B65="個別病床",はじめに入力してください!$K$50,IF(B65="共通使用",はじめに入力してください!$K$52,""))</f>
        <v/>
      </c>
      <c r="AB65" s="12">
        <v>36</v>
      </c>
      <c r="AC65" s="701" t="str">
        <f t="shared" si="7"/>
        <v>○</v>
      </c>
      <c r="AD65" s="702" t="str">
        <f t="shared" si="8"/>
        <v>整備しない場合は入力不要です。</v>
      </c>
    </row>
    <row r="66" spans="1:30">
      <c r="A66" s="12">
        <v>37</v>
      </c>
      <c r="B66" s="6"/>
      <c r="C66" s="6"/>
      <c r="D66" s="6"/>
      <c r="E66" s="10"/>
      <c r="F66" s="7"/>
      <c r="G66" s="541"/>
      <c r="H66" s="15">
        <f t="shared" si="0"/>
        <v>0</v>
      </c>
      <c r="I66" s="4">
        <f t="shared" si="1"/>
        <v>0</v>
      </c>
      <c r="J66" s="9"/>
      <c r="K66" s="609"/>
      <c r="L66" s="609"/>
      <c r="M66" s="609"/>
      <c r="N66" s="4">
        <f t="shared" si="2"/>
        <v>0</v>
      </c>
      <c r="O66" s="5" t="str">
        <f>IF(AC66="◎",COUNTIF($AC$30:AC66,"◎"),"")</f>
        <v/>
      </c>
      <c r="Q66" s="610" t="str">
        <f t="shared" si="3"/>
        <v/>
      </c>
      <c r="R66" s="701" t="str">
        <f t="shared" si="4"/>
        <v/>
      </c>
      <c r="S66" s="701" t="str">
        <f t="shared" si="5"/>
        <v/>
      </c>
      <c r="T66" s="701" t="str">
        <f t="shared" si="6"/>
        <v/>
      </c>
      <c r="Z66" s="702" t="str">
        <f>IF(B66="個別病床",はじめに入力してください!$K$50,IF(B66="共通使用",はじめに入力してください!$K$52,""))</f>
        <v/>
      </c>
      <c r="AB66" s="12">
        <v>37</v>
      </c>
      <c r="AC66" s="701" t="str">
        <f t="shared" si="7"/>
        <v>○</v>
      </c>
      <c r="AD66" s="702" t="str">
        <f t="shared" si="8"/>
        <v>整備しない場合は入力不要です。</v>
      </c>
    </row>
    <row r="67" spans="1:30">
      <c r="A67" s="12">
        <v>38</v>
      </c>
      <c r="B67" s="6"/>
      <c r="C67" s="6"/>
      <c r="D67" s="6"/>
      <c r="E67" s="10"/>
      <c r="F67" s="7"/>
      <c r="G67" s="541"/>
      <c r="H67" s="15">
        <f t="shared" si="0"/>
        <v>0</v>
      </c>
      <c r="I67" s="4">
        <f t="shared" si="1"/>
        <v>0</v>
      </c>
      <c r="J67" s="9"/>
      <c r="K67" s="609"/>
      <c r="L67" s="609"/>
      <c r="M67" s="609"/>
      <c r="N67" s="4">
        <f t="shared" si="2"/>
        <v>0</v>
      </c>
      <c r="O67" s="5" t="str">
        <f>IF(AC67="◎",COUNTIF($AC$30:AC67,"◎"),"")</f>
        <v/>
      </c>
      <c r="Q67" s="610" t="str">
        <f t="shared" si="3"/>
        <v/>
      </c>
      <c r="R67" s="701" t="str">
        <f t="shared" si="4"/>
        <v/>
      </c>
      <c r="S67" s="701" t="str">
        <f t="shared" si="5"/>
        <v/>
      </c>
      <c r="T67" s="701" t="str">
        <f t="shared" si="6"/>
        <v/>
      </c>
      <c r="Z67" s="702" t="str">
        <f>IF(B67="個別病床",はじめに入力してください!$K$50,IF(B67="共通使用",はじめに入力してください!$K$52,""))</f>
        <v/>
      </c>
      <c r="AB67" s="12">
        <v>38</v>
      </c>
      <c r="AC67" s="701" t="str">
        <f t="shared" si="7"/>
        <v>○</v>
      </c>
      <c r="AD67" s="702" t="str">
        <f t="shared" si="8"/>
        <v>整備しない場合は入力不要です。</v>
      </c>
    </row>
    <row r="68" spans="1:30">
      <c r="A68" s="12">
        <v>39</v>
      </c>
      <c r="B68" s="6"/>
      <c r="C68" s="6"/>
      <c r="D68" s="6"/>
      <c r="E68" s="10"/>
      <c r="F68" s="7"/>
      <c r="G68" s="541"/>
      <c r="H68" s="15">
        <f t="shared" si="0"/>
        <v>0</v>
      </c>
      <c r="I68" s="4">
        <f t="shared" si="1"/>
        <v>0</v>
      </c>
      <c r="J68" s="9"/>
      <c r="K68" s="609"/>
      <c r="L68" s="609"/>
      <c r="M68" s="609"/>
      <c r="N68" s="4">
        <f t="shared" si="2"/>
        <v>0</v>
      </c>
      <c r="O68" s="5" t="str">
        <f>IF(AC68="◎",COUNTIF($AC$30:AC68,"◎"),"")</f>
        <v/>
      </c>
      <c r="Q68" s="610" t="str">
        <f t="shared" si="3"/>
        <v/>
      </c>
      <c r="R68" s="701" t="str">
        <f t="shared" si="4"/>
        <v/>
      </c>
      <c r="S68" s="701" t="str">
        <f t="shared" si="5"/>
        <v/>
      </c>
      <c r="T68" s="701" t="str">
        <f t="shared" si="6"/>
        <v/>
      </c>
      <c r="Z68" s="702" t="str">
        <f>IF(B68="個別病床",はじめに入力してください!$K$50,IF(B68="共通使用",はじめに入力してください!$K$52,""))</f>
        <v/>
      </c>
      <c r="AB68" s="12">
        <v>39</v>
      </c>
      <c r="AC68" s="701" t="str">
        <f t="shared" si="7"/>
        <v>○</v>
      </c>
      <c r="AD68" s="702" t="str">
        <f t="shared" si="8"/>
        <v>整備しない場合は入力不要です。</v>
      </c>
    </row>
    <row r="69" spans="1:30">
      <c r="A69" s="12">
        <v>40</v>
      </c>
      <c r="B69" s="6"/>
      <c r="C69" s="6"/>
      <c r="D69" s="6"/>
      <c r="E69" s="10"/>
      <c r="F69" s="7"/>
      <c r="G69" s="541"/>
      <c r="H69" s="15">
        <f t="shared" si="0"/>
        <v>0</v>
      </c>
      <c r="I69" s="4">
        <f t="shared" si="1"/>
        <v>0</v>
      </c>
      <c r="J69" s="9"/>
      <c r="K69" s="609"/>
      <c r="L69" s="609"/>
      <c r="M69" s="609"/>
      <c r="N69" s="4">
        <f t="shared" si="2"/>
        <v>0</v>
      </c>
      <c r="O69" s="5" t="str">
        <f>IF(AC69="◎",COUNTIF($AC$30:AC69,"◎"),"")</f>
        <v/>
      </c>
      <c r="Q69" s="610" t="str">
        <f t="shared" si="3"/>
        <v/>
      </c>
      <c r="R69" s="701" t="str">
        <f t="shared" si="4"/>
        <v/>
      </c>
      <c r="S69" s="701" t="str">
        <f t="shared" si="5"/>
        <v/>
      </c>
      <c r="T69" s="701" t="str">
        <f t="shared" si="6"/>
        <v/>
      </c>
      <c r="Z69" s="702" t="str">
        <f>IF(B69="個別病床",はじめに入力してください!$K$50,IF(B69="共通使用",はじめに入力してください!$K$52,""))</f>
        <v/>
      </c>
      <c r="AB69" s="12">
        <v>40</v>
      </c>
      <c r="AC69" s="701" t="str">
        <f t="shared" si="7"/>
        <v>○</v>
      </c>
      <c r="AD69" s="702" t="str">
        <f t="shared" si="8"/>
        <v>整備しない場合は入力不要です。</v>
      </c>
    </row>
    <row r="70" spans="1:30">
      <c r="A70" s="12">
        <v>41</v>
      </c>
      <c r="B70" s="6"/>
      <c r="C70" s="6"/>
      <c r="D70" s="6"/>
      <c r="E70" s="10"/>
      <c r="F70" s="7"/>
      <c r="G70" s="541"/>
      <c r="H70" s="15">
        <f t="shared" si="0"/>
        <v>0</v>
      </c>
      <c r="I70" s="4">
        <f t="shared" si="1"/>
        <v>0</v>
      </c>
      <c r="J70" s="9"/>
      <c r="K70" s="609"/>
      <c r="L70" s="609"/>
      <c r="M70" s="609"/>
      <c r="N70" s="4">
        <f t="shared" si="2"/>
        <v>0</v>
      </c>
      <c r="O70" s="5" t="str">
        <f>IF(AC70="◎",COUNTIF($AC$30:AC70,"◎"),"")</f>
        <v/>
      </c>
      <c r="Q70" s="610" t="str">
        <f t="shared" si="3"/>
        <v/>
      </c>
      <c r="R70" s="701" t="str">
        <f t="shared" si="4"/>
        <v/>
      </c>
      <c r="S70" s="701" t="str">
        <f t="shared" si="5"/>
        <v/>
      </c>
      <c r="T70" s="701" t="str">
        <f t="shared" si="6"/>
        <v/>
      </c>
      <c r="Z70" s="702" t="str">
        <f>IF(B70="個別病床",はじめに入力してください!$K$50,IF(B70="共通使用",はじめに入力してください!$K$52,""))</f>
        <v/>
      </c>
      <c r="AB70" s="12">
        <v>41</v>
      </c>
      <c r="AC70" s="701" t="str">
        <f t="shared" si="7"/>
        <v>○</v>
      </c>
      <c r="AD70" s="702" t="str">
        <f t="shared" si="8"/>
        <v>整備しない場合は入力不要です。</v>
      </c>
    </row>
    <row r="71" spans="1:30">
      <c r="A71" s="12">
        <v>42</v>
      </c>
      <c r="B71" s="6"/>
      <c r="C71" s="6"/>
      <c r="D71" s="6"/>
      <c r="E71" s="10"/>
      <c r="F71" s="7"/>
      <c r="G71" s="541"/>
      <c r="H71" s="15">
        <f t="shared" si="0"/>
        <v>0</v>
      </c>
      <c r="I71" s="4">
        <f t="shared" si="1"/>
        <v>0</v>
      </c>
      <c r="J71" s="9"/>
      <c r="K71" s="609"/>
      <c r="L71" s="609"/>
      <c r="M71" s="609"/>
      <c r="N71" s="4">
        <f t="shared" si="2"/>
        <v>0</v>
      </c>
      <c r="O71" s="5" t="str">
        <f>IF(AC71="◎",COUNTIF($AC$30:AC71,"◎"),"")</f>
        <v/>
      </c>
      <c r="Q71" s="610" t="str">
        <f t="shared" si="3"/>
        <v/>
      </c>
      <c r="R71" s="701" t="str">
        <f t="shared" si="4"/>
        <v/>
      </c>
      <c r="S71" s="701" t="str">
        <f t="shared" si="5"/>
        <v/>
      </c>
      <c r="T71" s="701" t="str">
        <f t="shared" si="6"/>
        <v/>
      </c>
      <c r="Z71" s="702" t="str">
        <f>IF(B71="個別病床",はじめに入力してください!$K$50,IF(B71="共通使用",はじめに入力してください!$K$52,""))</f>
        <v/>
      </c>
      <c r="AB71" s="12">
        <v>42</v>
      </c>
      <c r="AC71" s="701" t="str">
        <f t="shared" si="7"/>
        <v>○</v>
      </c>
      <c r="AD71" s="702" t="str">
        <f t="shared" si="8"/>
        <v>整備しない場合は入力不要です。</v>
      </c>
    </row>
    <row r="72" spans="1:30">
      <c r="A72" s="12">
        <v>43</v>
      </c>
      <c r="B72" s="6"/>
      <c r="C72" s="6"/>
      <c r="D72" s="6"/>
      <c r="E72" s="10"/>
      <c r="F72" s="7"/>
      <c r="G72" s="541"/>
      <c r="H72" s="15">
        <f t="shared" si="0"/>
        <v>0</v>
      </c>
      <c r="I72" s="4">
        <f t="shared" si="1"/>
        <v>0</v>
      </c>
      <c r="J72" s="9"/>
      <c r="K72" s="609"/>
      <c r="L72" s="609"/>
      <c r="M72" s="609"/>
      <c r="N72" s="4">
        <f t="shared" si="2"/>
        <v>0</v>
      </c>
      <c r="O72" s="5" t="str">
        <f>IF(AC72="◎",COUNTIF($AC$30:AC72,"◎"),"")</f>
        <v/>
      </c>
      <c r="Q72" s="610" t="str">
        <f t="shared" si="3"/>
        <v/>
      </c>
      <c r="R72" s="701" t="str">
        <f t="shared" si="4"/>
        <v/>
      </c>
      <c r="S72" s="701" t="str">
        <f t="shared" si="5"/>
        <v/>
      </c>
      <c r="T72" s="701" t="str">
        <f t="shared" si="6"/>
        <v/>
      </c>
      <c r="Z72" s="702" t="str">
        <f>IF(B72="個別病床",はじめに入力してください!$K$50,IF(B72="共通使用",はじめに入力してください!$K$52,""))</f>
        <v/>
      </c>
      <c r="AB72" s="12">
        <v>43</v>
      </c>
      <c r="AC72" s="701" t="str">
        <f t="shared" si="7"/>
        <v>○</v>
      </c>
      <c r="AD72" s="702" t="str">
        <f t="shared" si="8"/>
        <v>整備しない場合は入力不要です。</v>
      </c>
    </row>
    <row r="73" spans="1:30">
      <c r="A73" s="12">
        <v>44</v>
      </c>
      <c r="B73" s="6"/>
      <c r="C73" s="6"/>
      <c r="D73" s="6"/>
      <c r="E73" s="10"/>
      <c r="F73" s="7"/>
      <c r="G73" s="541"/>
      <c r="H73" s="15">
        <f t="shared" si="0"/>
        <v>0</v>
      </c>
      <c r="I73" s="4">
        <f t="shared" si="1"/>
        <v>0</v>
      </c>
      <c r="J73" s="9"/>
      <c r="K73" s="609"/>
      <c r="L73" s="609"/>
      <c r="M73" s="609"/>
      <c r="N73" s="4">
        <f t="shared" si="2"/>
        <v>0</v>
      </c>
      <c r="O73" s="5" t="str">
        <f>IF(AC73="◎",COUNTIF($AC$30:AC73,"◎"),"")</f>
        <v/>
      </c>
      <c r="Q73" s="610" t="str">
        <f t="shared" si="3"/>
        <v/>
      </c>
      <c r="R73" s="701" t="str">
        <f t="shared" si="4"/>
        <v/>
      </c>
      <c r="S73" s="701" t="str">
        <f t="shared" si="5"/>
        <v/>
      </c>
      <c r="T73" s="701" t="str">
        <f t="shared" si="6"/>
        <v/>
      </c>
      <c r="Z73" s="702" t="str">
        <f>IF(B73="個別病床",はじめに入力してください!$K$50,IF(B73="共通使用",はじめに入力してください!$K$52,""))</f>
        <v/>
      </c>
      <c r="AB73" s="12">
        <v>44</v>
      </c>
      <c r="AC73" s="701" t="str">
        <f t="shared" si="7"/>
        <v>○</v>
      </c>
      <c r="AD73" s="702" t="str">
        <f t="shared" si="8"/>
        <v>整備しない場合は入力不要です。</v>
      </c>
    </row>
    <row r="74" spans="1:30">
      <c r="A74" s="12">
        <v>45</v>
      </c>
      <c r="B74" s="6"/>
      <c r="C74" s="6"/>
      <c r="D74" s="6"/>
      <c r="E74" s="10"/>
      <c r="F74" s="7"/>
      <c r="G74" s="541"/>
      <c r="H74" s="15">
        <f t="shared" si="0"/>
        <v>0</v>
      </c>
      <c r="I74" s="4">
        <f t="shared" si="1"/>
        <v>0</v>
      </c>
      <c r="J74" s="9"/>
      <c r="K74" s="609"/>
      <c r="L74" s="609"/>
      <c r="M74" s="609"/>
      <c r="N74" s="4">
        <f t="shared" si="2"/>
        <v>0</v>
      </c>
      <c r="O74" s="5" t="str">
        <f>IF(AC74="◎",COUNTIF($AC$30:AC74,"◎"),"")</f>
        <v/>
      </c>
      <c r="Q74" s="610" t="str">
        <f t="shared" si="3"/>
        <v/>
      </c>
      <c r="R74" s="701" t="str">
        <f t="shared" si="4"/>
        <v/>
      </c>
      <c r="S74" s="701" t="str">
        <f t="shared" si="5"/>
        <v/>
      </c>
      <c r="T74" s="701" t="str">
        <f t="shared" si="6"/>
        <v/>
      </c>
      <c r="Z74" s="702" t="str">
        <f>IF(B74="個別病床",はじめに入力してください!$K$50,IF(B74="共通使用",はじめに入力してください!$K$52,""))</f>
        <v/>
      </c>
      <c r="AB74" s="12">
        <v>45</v>
      </c>
      <c r="AC74" s="701" t="str">
        <f t="shared" si="7"/>
        <v>○</v>
      </c>
      <c r="AD74" s="702" t="str">
        <f t="shared" si="8"/>
        <v>整備しない場合は入力不要です。</v>
      </c>
    </row>
  </sheetData>
  <sheetProtection algorithmName="SHA-512" hashValue="kJFN4dzmxIDyZjHy38ZfBSM1DHxvCTs2E/LUiQZ4MN4Dr+kmro30fU3TEUyxCfWlDThJo69nk9knHLqXGmjkEQ==" saltValue="zPXe0YCHfwL3LnBLNRxRQg==" spinCount="100000" sheet="1" objects="1" scenarios="1"/>
  <mergeCells count="25">
    <mergeCell ref="N1:P1"/>
    <mergeCell ref="B22:O22"/>
    <mergeCell ref="B2:D3"/>
    <mergeCell ref="AC3:AC5"/>
    <mergeCell ref="AD3:AD5"/>
    <mergeCell ref="AC7:AC8"/>
    <mergeCell ref="AD7:AD8"/>
    <mergeCell ref="B10:O10"/>
    <mergeCell ref="B13:O13"/>
    <mergeCell ref="B14:O14"/>
    <mergeCell ref="B15:O15"/>
    <mergeCell ref="B18:O21"/>
    <mergeCell ref="B7:O7"/>
    <mergeCell ref="B9:C9"/>
    <mergeCell ref="B12:O12"/>
    <mergeCell ref="B26:O26"/>
    <mergeCell ref="AC27:AC28"/>
    <mergeCell ref="AD27:AD28"/>
    <mergeCell ref="B28:D28"/>
    <mergeCell ref="E28:F28"/>
    <mergeCell ref="G28:J28"/>
    <mergeCell ref="N28:N29"/>
    <mergeCell ref="O28:O29"/>
    <mergeCell ref="K28:M28"/>
    <mergeCell ref="Q28:Q29"/>
  </mergeCells>
  <phoneticPr fontId="9"/>
  <conditionalFormatting sqref="AC29 AC1:AC2 AC11:AC21 AC6 AC23:AC27 AC75:AC1048576">
    <cfRule type="containsText" dxfId="115" priority="11" operator="containsText" text="×">
      <formula>NOT(ISERROR(SEARCH("×",AC1)))</formula>
    </cfRule>
  </conditionalFormatting>
  <conditionalFormatting sqref="AD1:AD2 AD11:AD21 AD29 AD6 AD23:AD27 AD75:AD1048576">
    <cfRule type="containsText" dxfId="114" priority="10" operator="containsText" text="要修正">
      <formula>NOT(ISERROR(SEARCH("要修正",AD1)))</formula>
    </cfRule>
  </conditionalFormatting>
  <conditionalFormatting sqref="AC22">
    <cfRule type="containsText" dxfId="113" priority="9" operator="containsText" text="×">
      <formula>NOT(ISERROR(SEARCH("×",AC22)))</formula>
    </cfRule>
  </conditionalFormatting>
  <conditionalFormatting sqref="AD22">
    <cfRule type="containsText" dxfId="112" priority="8" operator="containsText" text="要修正">
      <formula>NOT(ISERROR(SEARCH("要修正",AD22)))</formula>
    </cfRule>
  </conditionalFormatting>
  <conditionalFormatting sqref="AC9:AC10 AC7">
    <cfRule type="containsText" dxfId="111" priority="7" operator="containsText" text="×">
      <formula>NOT(ISERROR(SEARCH("×",AC7)))</formula>
    </cfRule>
  </conditionalFormatting>
  <conditionalFormatting sqref="AD9:AD10 AD7">
    <cfRule type="containsText" dxfId="110" priority="6" operator="containsText" text="要修正">
      <formula>NOT(ISERROR(SEARCH("要修正",AD7)))</formula>
    </cfRule>
  </conditionalFormatting>
  <conditionalFormatting sqref="AC3:AC4">
    <cfRule type="containsText" dxfId="109" priority="5" operator="containsText" text="×">
      <formula>NOT(ISERROR(SEARCH("×",AC3)))</formula>
    </cfRule>
  </conditionalFormatting>
  <conditionalFormatting sqref="AD3:AD4">
    <cfRule type="containsText" dxfId="108" priority="4" operator="containsText" text="要修正">
      <formula>NOT(ISERROR(SEARCH("要修正",AD3)))</formula>
    </cfRule>
  </conditionalFormatting>
  <conditionalFormatting sqref="AD30:AD74">
    <cfRule type="containsText" dxfId="107" priority="2" operator="containsText" text="要修正">
      <formula>NOT(ISERROR(SEARCH("要修正",AD30)))</formula>
    </cfRule>
  </conditionalFormatting>
  <conditionalFormatting sqref="AC30:AC74">
    <cfRule type="containsText" dxfId="106" priority="1" operator="containsText" text="×">
      <formula>NOT(ISERROR(SEARCH("×",AC30)))</formula>
    </cfRule>
  </conditionalFormatting>
  <dataValidations count="10">
    <dataValidation type="list" allowBlank="1" showInputMessage="1" showErrorMessage="1" promptTitle="補助対象の該当非該当" prompt="コロナ対応病床の初度設備に係る経費が対象となります。_x000a_共用部分の設備、備品や医療用消耗品等は補助対象外なので「対象外」を選択してください。_x000a_審査において確認、対象外と認めたものについては対象外として補正をお願いする場合があります。" sqref="J30:J74" xr:uid="{C6DCC5CB-7530-490B-8464-B8CDB5CDA517}">
      <formula1>"補助対象,補助対象外"</formula1>
    </dataValidation>
    <dataValidation allowBlank="1" showInputMessage="1" showErrorMessage="1" promptTitle="金額の表示" prompt="数式が入力されているため、自動計算されます。" sqref="N30:N74 I30:I74" xr:uid="{352BB78B-3A5C-4212-BC46-6B17249B5175}"/>
    <dataValidation allowBlank="1" showInputMessage="1" showErrorMessage="1" promptTitle="添付書類番号" prompt="種類、規格、数量、単価が全て適切に入力され、右の「判定」が「◎」と表示されると自動で番号が表示されます。" sqref="O30:O74" xr:uid="{93E4E914-B280-4B18-A480-F9329F735643}"/>
    <dataValidation allowBlank="1" showInputMessage="1" showErrorMessage="1" promptTitle="単価の入力" prompt="税抜額または税込額のいずれかを入力してください。_x000a_入力しない方は「0」は入力せず、空欄としてください。" sqref="H30:H74" xr:uid="{38EC177D-F818-47CB-BCDF-0D7D88177526}"/>
    <dataValidation allowBlank="1" showInputMessage="1" showErrorMessage="1" promptTitle="規格及び数量の入力" prompt="補助対象経費を計上する際、いずれも入力してください。" sqref="E30:E74" xr:uid="{46522234-899C-41F6-BE2F-4DC265FB8902}"/>
    <dataValidation allowBlank="1" showInputMessage="1" showErrorMessage="1" promptTitle="補助対象金額" prompt="補助対象額×（見積書金額-割引額）/見積書金額_x000a_で算出されます。" sqref="J3:M3" xr:uid="{00000000-0002-0000-1100-000005000000}"/>
    <dataValidation allowBlank="1" showInputMessage="1" showErrorMessage="1" promptTitle="割引額がある場合は入力" prompt="割引がない場合は「0円」のままとしてください。" sqref="I3" xr:uid="{00000000-0002-0000-1100-000006000000}"/>
    <dataValidation type="list" allowBlank="1" showInputMessage="1" showErrorMessage="1" promptTitle="設備、備品、その他の別を選択" prompt="当該行に記載する品目が_x000a_・「設備」（設備本体）_x000a_・備品（本体設備と別の構成をなすもの）_x000a_・その他（上記の該当しないもの）_x000a_の別をプルダウンから選択してください。" sqref="D30:D74" xr:uid="{357DE74A-E193-4BEB-B60A-4A925599863F}">
      <formula1>"設備,備品,その他"</formula1>
    </dataValidation>
    <dataValidation type="decimal" operator="greaterThanOrEqual" allowBlank="1" showInputMessage="1" showErrorMessage="1" promptTitle="単価の入力" prompt="税抜額または税込額のいずれかを入力してください。_x000a_入力しない方は「0」は入力せず、空欄としてください。" sqref="G30:G74" xr:uid="{00A70FFD-BBE9-4764-9021-AB3686ED1A35}">
      <formula1>0</formula1>
    </dataValidation>
    <dataValidation type="whole" operator="greaterThanOrEqual" allowBlank="1" showInputMessage="1" showErrorMessage="1" errorTitle="数値のみを入力してください。" error="「個」、「枚」等の単位入力は不要です。" promptTitle="規格及び数量の入力" prompt="補助対象経費を計上する際、いずれも入力してください。" sqref="F30:F74" xr:uid="{A8A4F997-3329-4419-9388-8DB9742D25EE}">
      <formula1>0</formula1>
    </dataValidation>
  </dataValidations>
  <pageMargins left="0.7" right="0.7" top="0.75" bottom="0.75" header="0.3" footer="0.3"/>
  <pageSetup paperSize="9" scale="51" orientation="portrait" r:id="rId1"/>
  <drawing r:id="rId2"/>
  <legacyDrawing r:id="rId3"/>
  <extLst>
    <ext xmlns:x14="http://schemas.microsoft.com/office/spreadsheetml/2009/9/main" uri="{CCE6A557-97BC-4b89-ADB6-D9C93CAAB3DF}">
      <x14:dataValidations xmlns:xm="http://schemas.microsoft.com/office/excel/2006/main" count="6">
        <x14:dataValidation type="list" allowBlank="1" showInputMessage="1" showErrorMessage="1" promptTitle="配備先の別を選択" prompt="確保病床の共通使用のものか、個別のベッドに配備するものか選択してください。" xr:uid="{27C6046F-3261-4A39-B46B-933C7D5E4CFA}">
          <x14:formula1>
            <xm:f>テーブル!$X$48:$X$49</xm:f>
          </x14:formula1>
          <xm:sqref>B30:B74</xm:sqref>
        </x14:dataValidation>
        <x14:dataValidation type="list" allowBlank="1" showInputMessage="1" showErrorMessage="1" promptTitle="「用途先」病床の選択（左の「病床」を選択しないと表示されません。" prompt="ベッドに必ずしも紐付けるものではありませんが、１病床１台で紐付けした場合、整備する病床に番号付けをした場合の番号を選択してください。" xr:uid="{74B36214-8425-4926-83F8-BF58BCA80DC4}">
          <x14:formula1>
            <xm:f>OFFSET(テーブル!$X$48, 0, MATCH(B30,テーブル!$Y$47:$Z$47,0), COUNTA(OFFSET(テーブル!$X$48,0,MATCH(B30,テーブル!$Y$47:$Z$47,0),$Z$30,1)),1)</xm:f>
          </x14:formula1>
          <xm:sqref>C30:C74</xm:sqref>
        </x14:dataValidation>
        <x14:dataValidation type="list" allowBlank="1" showInputMessage="1" showErrorMessage="1" xr:uid="{00000000-0002-0000-1100-000008000000}">
          <x14:formula1>
            <xm:f>テーブル!$M$37:$M$51</xm:f>
          </x14:formula1>
          <xm:sqref>B2:D2</xm:sqref>
        </x14:dataValidation>
        <x14:dataValidation type="list" allowBlank="1" showInputMessage="1" showErrorMessage="1" xr:uid="{8809C48F-6EC9-4104-A201-AD31ED47C84C}">
          <x14:formula1>
            <xm:f>テーブル!$I$2:$I$3</xm:f>
          </x14:formula1>
          <xm:sqref>K30:K74</xm:sqref>
        </x14:dataValidation>
        <x14:dataValidation type="list" allowBlank="1" showInputMessage="1" showErrorMessage="1" xr:uid="{ECEEE891-D83F-4A25-95EC-A9417A48FD91}">
          <x14:formula1>
            <xm:f>テーブル!$J$2:$J$7</xm:f>
          </x14:formula1>
          <xm:sqref>L30:L74</xm:sqref>
        </x14:dataValidation>
        <x14:dataValidation type="list" allowBlank="1" showInputMessage="1" showErrorMessage="1" xr:uid="{EA2E537B-160D-4B13-88B8-2A82CAD3FF8C}">
          <x14:formula1>
            <xm:f>テーブル!$K$2:$K$32</xm:f>
          </x14:formula1>
          <xm:sqref>M30:M74</xm:sqref>
        </x14:dataValidation>
      </x14:dataValidations>
    </ext>
  </extLs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452537-C50D-4AE7-A5DB-144AB8A6D9FB}">
  <sheetPr>
    <tabColor rgb="FFFFC000"/>
    <pageSetUpPr fitToPage="1"/>
  </sheetPr>
  <dimension ref="A1:AX120"/>
  <sheetViews>
    <sheetView showGridLines="0" view="pageBreakPreview" zoomScale="70" zoomScaleNormal="100" zoomScaleSheetLayoutView="70" workbookViewId="0">
      <selection activeCell="L17" sqref="L17"/>
    </sheetView>
  </sheetViews>
  <sheetFormatPr defaultColWidth="9" defaultRowHeight="20.100000000000001" customHeight="1"/>
  <cols>
    <col min="1" max="1" width="3.625" style="377" customWidth="1"/>
    <col min="2" max="2" width="15.625" style="511" customWidth="1"/>
    <col min="3" max="3" width="12.625" style="511" customWidth="1"/>
    <col min="4" max="4" width="10.625" style="511" customWidth="1"/>
    <col min="5" max="5" width="10.625" style="512" customWidth="1"/>
    <col min="6" max="6" width="10.625" style="615" customWidth="1"/>
    <col min="7" max="7" width="8.625" style="513" customWidth="1"/>
    <col min="8" max="8" width="11.625" style="513" customWidth="1"/>
    <col min="9" max="10" width="12.625" style="513" customWidth="1"/>
    <col min="11" max="13" width="3.625" style="513" customWidth="1"/>
    <col min="14" max="14" width="9" style="513"/>
    <col min="15" max="15" width="15.625" style="513" customWidth="1"/>
    <col min="16" max="16" width="2.625" style="513" customWidth="1"/>
    <col min="17" max="17" width="12.625" style="513" customWidth="1"/>
    <col min="18" max="20" width="3.625" style="513" customWidth="1"/>
    <col min="21" max="21" width="30.625" style="513" customWidth="1"/>
    <col min="22" max="25" width="12.625" style="513" customWidth="1"/>
    <col min="26" max="31" width="9" style="513"/>
    <col min="32" max="32" width="3.625" style="514" customWidth="1"/>
    <col min="33" max="33" width="9" style="377"/>
    <col min="34" max="34" width="9" style="513"/>
    <col min="35" max="35" width="90.625" style="513" customWidth="1"/>
    <col min="36" max="40" width="9" style="513"/>
    <col min="41" max="41" width="30.625" style="513" customWidth="1"/>
    <col min="42" max="42" width="9.875" style="513" bestFit="1" customWidth="1"/>
    <col min="43" max="43" width="9" style="513"/>
    <col min="44" max="44" width="60.625" style="513" customWidth="1"/>
    <col min="45" max="45" width="9" style="513"/>
    <col min="46" max="46" width="10.625" style="377" customWidth="1"/>
    <col min="47" max="47" width="20.625" style="513" customWidth="1"/>
    <col min="48" max="52" width="10.625" style="513" customWidth="1"/>
    <col min="53" max="16384" width="9" style="513"/>
  </cols>
  <sheetData>
    <row r="1" spans="1:39" ht="20.100000000000001" customHeight="1">
      <c r="N1" s="1937" t="str">
        <f xml:space="preserve">
IF(表紙!$X$2="事前協議","（10月１日～３月31日分）",
IF(表紙!$X$2="交付申請（２次）","（10月１日～３月31日分）",
IF(表紙!$X$2="変更申請","（10月１日～３月31日分）",
IF(表紙!$X$2="実績報告（１次）","（５月８日～10月31日分）",
IF(表紙!$X$2="実績報告（２次）","（10月１日～３月31日分）",
IF(表紙!$X$2="交付申請兼実績報告","（10月１日～３月31日分）"))))))</f>
        <v>（10月１日～３月31日分）</v>
      </c>
      <c r="O1" s="1937"/>
      <c r="P1" s="1938"/>
    </row>
    <row r="2" spans="1:39" ht="20.100000000000001" customHeight="1">
      <c r="B2" s="515" t="s">
        <v>1133</v>
      </c>
      <c r="C2" s="516"/>
      <c r="D2" s="516"/>
      <c r="K2" s="1950" t="s">
        <v>456</v>
      </c>
      <c r="L2" s="1951"/>
      <c r="M2" s="1915"/>
      <c r="N2" s="1939">
        <f xml:space="preserve">
IF(表紙!$X$2="事前協議",0,
IF(表紙!$X$2="交付申請（２次）",0,
IF(表紙!$X$2="変更申請",0,
IF(AND(表紙!$X$2="実績報告（１次）",はじめに入力してください!H49=""),0,
IF(AND(表紙!$X$2="実績報告（１次）",はじめに入力してください!H49="有"),0,
IF(AND(表紙!$X$2="実績報告（１次）",はじめに入力してください!H49="無",AQ118="×"),0,
IF(AND(表紙!$X$2="実績報告（１次）",はじめに入力してください!H49="無",AQ118="○"),0,
IF(AND(表紙!$X$2="実績報告（１次）",はじめに入力してください!H49="無",AQ118="◎"),SUM(J13:J112),
IF(表紙!$X$2="実績報告（２次）",0,
IF(表紙!$X$2="交付申請兼実績報告",0))))))
))))</f>
        <v>0</v>
      </c>
      <c r="O2" s="1940"/>
    </row>
    <row r="3" spans="1:39" ht="20.100000000000001" customHeight="1">
      <c r="B3" s="1949" t="str">
        <f xml:space="preserve">
IF(表紙!$X$2="事前協議",
"令和５年10月以降の消毒経費への支援は廃止されたため申請できません。",
IF(表紙!$X$2="交付申請（２次）",
"令和５年10月以降の消毒経費への支援は廃止されたため申請できません。",
IF(表紙!$X$2="変更申請",
"令和５年10月以降の消毒経費への支援は廃止されたため申請できません。",
IF(AND(表紙!$X$2="実績報告（１次）",はじめに入力してください!H49=""),
"【注意】「はじめに入力してください」シートの「確保病床の有無」を入力してください。",
IF(AND(表紙!$X$2="実績報告（１次）",はじめに入力してください!H49="有"),
"【注意】確保病床を有する場合、消毒経費は空床補償の手続で申請してください。",
IF(AND(表紙!$X$2="実績報告（１次）",はじめに入力してください!H49="無",AQ118="×"),
"【要修正】本シートで入力不十分の箇所があります。",
IF(AND(表紙!$X$2="実績報告（１次）",はじめに入力してください!H49="無",AQ118="○"),
"実績額を報告しない場合は入力不要です。",
IF(AND(表紙!$X$2="実績報告（１次）",はじめに入力してください!H49="無",AQ118="◎"),
"",
IF(表紙!$X$2="実績報告（２次）",
"令和５年10月以降の消毒経費への支援は廃止されたため申請できません。",
IF(表紙!$X$2="交付申請兼実績報告",
"令和５年10月以降の消毒経費への支援は廃止されたため申請できません。"))))))
))))</f>
        <v>令和５年10月以降の消毒経費への支援は廃止されたため申請できません。</v>
      </c>
      <c r="C3" s="1612"/>
      <c r="D3" s="1612"/>
      <c r="E3" s="1612"/>
      <c r="F3" s="1612"/>
      <c r="G3" s="1612"/>
      <c r="H3" s="1612"/>
      <c r="I3" s="1612"/>
      <c r="J3" s="1612"/>
      <c r="K3" s="1612"/>
      <c r="L3" s="1612"/>
      <c r="M3" s="1612"/>
      <c r="N3" s="1612"/>
      <c r="O3" s="1612"/>
      <c r="P3" s="518"/>
    </row>
    <row r="4" spans="1:39" ht="24.95" customHeight="1">
      <c r="A4" s="1935" t="s">
        <v>457</v>
      </c>
      <c r="B4" s="932"/>
      <c r="C4" s="932"/>
      <c r="D4" s="932"/>
      <c r="E4" s="932"/>
      <c r="F4" s="932"/>
      <c r="G4" s="932"/>
      <c r="H4" s="932"/>
      <c r="I4" s="932"/>
      <c r="J4" s="932"/>
      <c r="K4" s="932"/>
      <c r="L4" s="932"/>
      <c r="M4" s="932"/>
      <c r="N4" s="932"/>
      <c r="O4" s="932"/>
      <c r="P4" s="932"/>
    </row>
    <row r="5" spans="1:39" ht="35.1" customHeight="1">
      <c r="A5" s="1941" t="s">
        <v>1206</v>
      </c>
      <c r="B5" s="1926"/>
      <c r="C5" s="1926"/>
      <c r="D5" s="1926"/>
      <c r="E5" s="1926"/>
      <c r="F5" s="1926"/>
      <c r="G5" s="1926"/>
      <c r="H5" s="1926"/>
      <c r="I5" s="1926"/>
      <c r="J5" s="1926"/>
      <c r="K5" s="1926"/>
      <c r="L5" s="1926"/>
      <c r="M5" s="1926"/>
      <c r="N5" s="1926"/>
      <c r="O5" s="1926"/>
      <c r="AC5" s="513" t="s">
        <v>1140</v>
      </c>
      <c r="AG5" s="377">
        <v>1000</v>
      </c>
      <c r="AH5" s="513">
        <v>1000</v>
      </c>
    </row>
    <row r="6" spans="1:39" ht="20.100000000000001" customHeight="1">
      <c r="A6" s="517">
        <v>1</v>
      </c>
      <c r="B6" s="519" t="s">
        <v>1205</v>
      </c>
      <c r="C6" s="520" t="str">
        <f xml:space="preserve">
IF(AND(表紙!X2="交付申請兼実績報告",《基礎情報》!AU52="要修正・表示不可"),0,
IF(AND(表紙!X2="交付申請兼実績報告",《基礎情報》!AU52&lt;&gt;"要修正・表示不可"),《基礎情報》!AU52,
IF(AND(表紙!X2&lt;&gt;"交付申請兼実績報告",基礎情報!AK85="要修正・表示不可"),0,
IF(AND(表紙!X2&lt;&gt;"交付申請兼実績報告",基礎情報!AK85&lt;&gt;"要修正・表示不可"),基礎情報!AK85))))</f>
        <v>×</v>
      </c>
      <c r="D6" s="521" t="str">
        <f>IF(C6="「基礎情報」要修正","×","○")</f>
        <v>○</v>
      </c>
      <c r="E6" s="1942" t="s">
        <v>458</v>
      </c>
      <c r="F6" s="1943"/>
      <c r="G6" s="1565"/>
      <c r="H6" s="1566"/>
      <c r="AB6" s="513" t="s">
        <v>1324</v>
      </c>
      <c r="AC6" s="513" t="s">
        <v>1324</v>
      </c>
      <c r="AG6" s="377">
        <v>1000</v>
      </c>
      <c r="AH6" s="513">
        <v>500</v>
      </c>
      <c r="AJ6" s="377"/>
      <c r="AK6" s="377"/>
      <c r="AL6" s="377"/>
      <c r="AM6" s="377"/>
    </row>
    <row r="7" spans="1:39" ht="20.100000000000001" customHeight="1">
      <c r="A7" s="517">
        <v>2</v>
      </c>
      <c r="B7" s="519" t="s">
        <v>1134</v>
      </c>
      <c r="C7" s="522">
        <v>1000</v>
      </c>
      <c r="D7" s="521" t="str">
        <f>IF(C7="「基礎情報」要修正","×","○")</f>
        <v>○</v>
      </c>
      <c r="E7" s="523" t="s">
        <v>459</v>
      </c>
      <c r="F7" s="616"/>
      <c r="G7" s="1944"/>
      <c r="H7" s="1945"/>
      <c r="I7" s="1919" t="s">
        <v>1135</v>
      </c>
      <c r="J7" s="1526"/>
      <c r="K7" s="1526"/>
      <c r="L7" s="1526"/>
      <c r="M7" s="1526"/>
      <c r="N7" s="1526"/>
      <c r="O7" s="1207"/>
      <c r="AB7" s="513" t="s">
        <v>1325</v>
      </c>
      <c r="AC7" s="513" t="s">
        <v>1327</v>
      </c>
      <c r="AG7" s="377">
        <v>1</v>
      </c>
      <c r="AH7" s="513">
        <v>50000</v>
      </c>
      <c r="AJ7" s="524"/>
      <c r="AK7" s="524"/>
      <c r="AL7" s="524"/>
      <c r="AM7" s="524"/>
    </row>
    <row r="8" spans="1:39" ht="20.100000000000001" customHeight="1">
      <c r="A8" s="517">
        <v>3</v>
      </c>
      <c r="B8" s="525" t="s">
        <v>1136</v>
      </c>
      <c r="C8" s="522" t="e">
        <f xml:space="preserve">
IF(COUNTIF(D6:D7,"○")=2,C6*C7,
IF(COUNTIF(D6:D7,"○")&lt;&gt;2,"表示不可"))</f>
        <v>#VALUE!</v>
      </c>
      <c r="E8" s="523" t="s">
        <v>460</v>
      </c>
      <c r="F8" s="616"/>
      <c r="G8" s="1947">
        <f>ROUNDUP(G7/1.1,2)</f>
        <v>0</v>
      </c>
      <c r="H8" s="1948"/>
      <c r="I8" s="1946"/>
      <c r="J8" s="1526"/>
      <c r="K8" s="1526"/>
      <c r="L8" s="1526"/>
      <c r="M8" s="1526"/>
      <c r="N8" s="1526"/>
      <c r="O8" s="1207"/>
      <c r="AB8" s="513" t="s">
        <v>1327</v>
      </c>
      <c r="AJ8" s="524"/>
      <c r="AK8" s="524"/>
      <c r="AL8" s="524"/>
      <c r="AM8" s="524"/>
    </row>
    <row r="9" spans="1:39" ht="20.100000000000001" customHeight="1">
      <c r="A9" s="526"/>
      <c r="B9" s="527"/>
      <c r="C9" s="528"/>
      <c r="D9" s="512"/>
      <c r="E9" s="516" t="s">
        <v>461</v>
      </c>
      <c r="F9" s="516"/>
      <c r="G9" s="529"/>
      <c r="AB9" s="513" t="s">
        <v>1326</v>
      </c>
      <c r="AJ9" s="524"/>
      <c r="AK9" s="524"/>
      <c r="AL9" s="524"/>
      <c r="AM9" s="524"/>
    </row>
    <row r="10" spans="1:39" ht="24.95" customHeight="1">
      <c r="A10" s="1935" t="s">
        <v>1137</v>
      </c>
      <c r="B10" s="1936"/>
      <c r="C10" s="932"/>
      <c r="D10" s="932"/>
      <c r="E10" s="932"/>
      <c r="F10" s="932"/>
      <c r="G10" s="932"/>
      <c r="H10" s="932"/>
      <c r="I10" s="932"/>
      <c r="J10" s="932"/>
      <c r="K10" s="932"/>
      <c r="L10" s="932"/>
      <c r="M10" s="932"/>
      <c r="N10" s="932"/>
      <c r="O10" s="932"/>
      <c r="P10" s="932"/>
      <c r="AB10" s="513" t="s">
        <v>1328</v>
      </c>
      <c r="AJ10" s="377"/>
      <c r="AK10" s="377"/>
      <c r="AL10" s="377"/>
      <c r="AM10" s="377"/>
    </row>
    <row r="11" spans="1:39" ht="120" customHeight="1">
      <c r="A11" s="1925" t="str">
        <f xml:space="preserve">
IF(OR(表紙!X2="事前協議",表紙!X2="交付申請（１次）",表紙!X2="交付申請（２次）"),
"【注意１】！！発注書、見積書、カタログ等の提出は不要です。！！"&amp;CHAR(10)&amp;
"【注意２】実績報告の際、経費発生の事実が判る書類（納品書、請求書等）のご提出が必要となりますのでご注意ください。"&amp;CHAR(10)&amp;
"【注意３】人件費を計上の際、人件費の積算内訳が判る書類（算定書、実施者の月当たり勤務時間数が判る雇用契約書、労働条件通知書等）"&amp;CHAR(10)&amp;
"【注意４】委託料を計上の際、作業箇所、実施頻度及び、業務実施報告書の提出規定の定めがある契約書（正案または案）をご提出ください。
　　　　　（ご提出いただけない等、公費補助の妥当性が判断できず補助交付できかねることとなりますのであらかじめご了承ください。）",
IF(OR(表紙!X2="変更申請"),
"【注意１】！！発注書、見積書、カタログ等の提出は不要です。！！"&amp;CHAR(10)&amp;
"【注意２】実績報告の際、経費発生の事実が判る書類（納品書、請求書等）のご提出が必要となりますのでご注意ください。"&amp;CHAR(10)&amp;
"【注意３】人件費を計上の際、人件費の積算内訳が判る書類（算定書、実施者の月当たり勤務時間数が判る雇用契約書、労働条件通知書等）"&amp;CHAR(10)&amp;
"【注意４】委託料を計上の際、作業箇所、実施頻度及び、業務実施報告書の提出規定の定めがある契約書（正案または案）をご提出ください。
　　　　　（ご提出いただけない等、公費補助の妥当性が判断できず補助交付できかねることとなりますのであらかじめご了承ください。）",
IF(OR(表紙!X2="実績報告（１次）",表紙!X2="実績報告（２次）",表紙!X2="交付申請兼実績報告"),
"【注意１】！！購入の具体的内容及び経費発生の事実がわかる書類（納品書、領収書等）の提出が必要です。！！"&amp;CHAR(10)&amp;
"【注意２】記載にあたっては納品書、領収書等に記載の金額と一致するようにしてください。"&amp;CHAR(10)&amp;
"【注意３】各行の右に表示の「添付資料番号」は資料中、該当の記述箇所に番号を付記してください。"&amp;CHAR(10)&amp;
"【注意３】人件費を計上の際、人件費の積算内訳が判る書類（算定書、実施者の月当たり勤務時間数が判る雇用契約書、労働条件通知書等）"&amp;CHAR(10)&amp;
"【注意４】委託料を計上の際、作業箇所、実施頻度及び、業務実施報告書の提出規定の定めがある契約書をご提出ください。
　　　　　（ご提出いただけない等、公費補助の妥当性が判断できず補助交付できかねることとなりますのであらかじめご了承ください。）")))</f>
        <v>【注意１】！！発注書、見積書、カタログ等の提出は不要です。！！
【注意２】実績報告の際、経費発生の事実が判る書類（納品書、請求書等）のご提出が必要となりますのでご注意ください。
【注意３】人件費を計上の際、人件費の積算内訳が判る書類（算定書、実施者の月当たり勤務時間数が判る雇用契約書、労働条件通知書等）
【注意４】委託料を計上の際、作業箇所、実施頻度及び、業務実施報告書の提出規定の定めがある契約書（正案または案）をご提出ください。
　　　　　（ご提出いただけない等、公費補助の妥当性が判断できず補助交付できかねることとなりますのであらかじめご了承ください。）</v>
      </c>
      <c r="B11" s="1926"/>
      <c r="C11" s="1926"/>
      <c r="D11" s="1926"/>
      <c r="E11" s="1926"/>
      <c r="F11" s="1926"/>
      <c r="G11" s="1926"/>
      <c r="H11" s="1926"/>
      <c r="I11" s="1926"/>
      <c r="J11" s="1926"/>
      <c r="K11" s="1926"/>
      <c r="L11" s="1926"/>
      <c r="M11" s="1926"/>
      <c r="N11" s="1926"/>
      <c r="O11" s="1347"/>
      <c r="AJ11" s="377"/>
      <c r="AK11" s="377"/>
      <c r="AL11" s="377"/>
      <c r="AM11" s="377"/>
    </row>
    <row r="12" spans="1:39" ht="39.950000000000003" customHeight="1">
      <c r="B12" s="530" t="s">
        <v>1138</v>
      </c>
      <c r="C12" s="1927" t="s">
        <v>1139</v>
      </c>
      <c r="D12" s="1928"/>
      <c r="E12" s="1929"/>
      <c r="F12" s="530" t="s">
        <v>1412</v>
      </c>
      <c r="G12" s="530" t="s">
        <v>1242</v>
      </c>
      <c r="H12" s="530" t="s">
        <v>50</v>
      </c>
      <c r="I12" s="530" t="s">
        <v>51</v>
      </c>
      <c r="J12" s="530" t="s">
        <v>52</v>
      </c>
      <c r="K12" s="1932" t="s">
        <v>1405</v>
      </c>
      <c r="L12" s="1933"/>
      <c r="M12" s="1934"/>
      <c r="N12" s="530" t="s">
        <v>464</v>
      </c>
      <c r="O12" s="631" t="s">
        <v>1413</v>
      </c>
      <c r="Q12" s="613" t="s">
        <v>1406</v>
      </c>
      <c r="R12" s="614" t="s">
        <v>1387</v>
      </c>
      <c r="S12" s="614" t="s">
        <v>1184</v>
      </c>
      <c r="T12" s="614" t="s">
        <v>1389</v>
      </c>
      <c r="AG12" s="531" t="s">
        <v>466</v>
      </c>
      <c r="AH12" s="532" t="s">
        <v>100</v>
      </c>
      <c r="AI12" s="531" t="s">
        <v>467</v>
      </c>
      <c r="AJ12" s="376"/>
      <c r="AK12" s="533"/>
      <c r="AL12" s="377"/>
      <c r="AM12" s="377"/>
    </row>
    <row r="13" spans="1:39" ht="20.100000000000001" customHeight="1">
      <c r="A13" s="534">
        <v>1</v>
      </c>
      <c r="B13" s="123" t="s">
        <v>1324</v>
      </c>
      <c r="C13" s="1916" t="s">
        <v>1411</v>
      </c>
      <c r="D13" s="1930"/>
      <c r="E13" s="1931"/>
      <c r="F13" s="630">
        <v>1000</v>
      </c>
      <c r="G13" s="7">
        <v>10</v>
      </c>
      <c r="H13" s="541">
        <v>10000</v>
      </c>
      <c r="I13" s="522">
        <f>ROUNDDOWN(H13*1.1,0)</f>
        <v>11000</v>
      </c>
      <c r="J13" s="535">
        <f>IF(COUNTA(B13:H13,K13:M13)&lt;&gt;8,0,G13*I13)</f>
        <v>110000</v>
      </c>
      <c r="K13" s="625">
        <v>5</v>
      </c>
      <c r="L13" s="625">
        <v>10</v>
      </c>
      <c r="M13" s="625">
        <v>1</v>
      </c>
      <c r="N13" s="536" t="str">
        <f xml:space="preserve">
IF(表紙!$X$2="事前協議","－",
IF(表紙!$X$2="交付申請（２次）","－",
IF(表紙!$X$2="変更申請","－",
IF(AND(表紙!$X$2="実績報告（１次）",AH13="◎"),COUNTIF($N$13:N13,"◎"),
IF(AND(表紙!$X$2="実績報告（１次）",OR(AH13="×",AH13="○")),"",
IF(表紙!$X$2="実績報告（２次）","－",
IF(表紙!$X$2="交付申請兼実績報告","－")))))))</f>
        <v>－</v>
      </c>
      <c r="O13" s="632">
        <f>IF(AH13="◎",F13*G13,"")</f>
        <v>10000</v>
      </c>
      <c r="Q13" s="610">
        <f>IF(AH13="◎",DATE(IF(K13=5,2023,IF(K13=6,2024)),L13,M13),"")</f>
        <v>45200</v>
      </c>
      <c r="R13" s="614" t="str">
        <f>IF($Q13=MAX($Q$13:$Q$112),K13,"")</f>
        <v/>
      </c>
      <c r="S13" s="614" t="str">
        <f>IF($Q13=MAX($Q$13:$Q$112),L13,"")</f>
        <v/>
      </c>
      <c r="T13" s="614" t="str">
        <f>IF($Q13=MAX($Q$13:$Q$112),M13,"")</f>
        <v/>
      </c>
      <c r="AF13" s="514" t="s">
        <v>468</v>
      </c>
      <c r="AG13" s="537">
        <v>1</v>
      </c>
      <c r="AH13" s="517" t="str">
        <f xml:space="preserve">
IF(COUNTA(B13:H13,K13:M13)=0,"○",
IF(AND(COUNTA(B13:H13,K13:M13)&gt;=1,COUNTA(B13:H13,K13:M13)&lt;8),"×",
IF(COUNTA(B13:H13,K13:M13)=8,"◎")))</f>
        <v>◎</v>
      </c>
      <c r="AI13" s="519" t="str">
        <f xml:space="preserve">
IF(COUNTA(B13:H13,K13:M13)=0,"申請しない場合は入力不要です。",
IF(AND(COUNTA(B13:H13,K13:M13)&gt;=1,COUNTA(B13:H13,K13:M13)&lt;8),"【要修正】種類、品名、内容量、数量、税抜単価の内、未入力の箇所があります。",
IF(COUNTA(B13:H13,K13:M13)=8,"適切に入力がされました。")))</f>
        <v>適切に入力がされました。</v>
      </c>
      <c r="AK13" s="538"/>
    </row>
    <row r="14" spans="1:39" ht="20.100000000000001" customHeight="1">
      <c r="A14" s="534">
        <v>2</v>
      </c>
      <c r="B14" s="123"/>
      <c r="C14" s="1916"/>
      <c r="D14" s="1930"/>
      <c r="E14" s="1931"/>
      <c r="F14" s="630"/>
      <c r="G14" s="7"/>
      <c r="H14" s="541"/>
      <c r="I14" s="522">
        <f>ROUNDDOWN(H14*1.1,0)</f>
        <v>0</v>
      </c>
      <c r="J14" s="535">
        <f t="shared" ref="J14:J77" si="0">IF(COUNTA(B14:H14,K14:M14)&lt;&gt;8,0,G14*I14)</f>
        <v>0</v>
      </c>
      <c r="K14" s="625"/>
      <c r="L14" s="625"/>
      <c r="M14" s="625"/>
      <c r="N14" s="629" t="str">
        <f xml:space="preserve">
IF(表紙!$X$2="事前協議","－",
IF(表紙!$X$2="交付申請（２次）","－",
IF(表紙!$X$2="変更申請","－",
IF(AND(表紙!$X$2="実績報告（１次）",AH14="◎"),COUNTIF($N$13:N14,"◎"),
IF(AND(表紙!$X$2="実績報告（１次）",OR(AH14="×",AH14="○")),"",
IF(表紙!$X$2="実績報告（２次）","－",
IF(表紙!$X$2="交付申請兼実績報告","－")))))))</f>
        <v>－</v>
      </c>
      <c r="O14" s="632" t="str">
        <f t="shared" ref="O14:O77" si="1">IF(AH14="◎",F14*G14,"")</f>
        <v/>
      </c>
      <c r="Q14" s="610" t="str">
        <f t="shared" ref="Q14:Q77" si="2">IF(AH14="◎",DATE(IF(K14=5,2023,IF(K14=6,2024)),L14,M14),"")</f>
        <v/>
      </c>
      <c r="R14" s="614" t="str">
        <f t="shared" ref="R14:R77" si="3">IF($Q14=MAX($Q$13:$Q$112),K14,"")</f>
        <v/>
      </c>
      <c r="S14" s="614" t="str">
        <f t="shared" ref="S14:S77" si="4">IF($Q14=MAX($Q$13:$Q$112),L14,"")</f>
        <v/>
      </c>
      <c r="T14" s="614" t="str">
        <f t="shared" ref="T14:T77" si="5">IF($Q14=MAX($Q$13:$Q$112),M14,"")</f>
        <v/>
      </c>
      <c r="AF14" s="514" t="s">
        <v>468</v>
      </c>
      <c r="AG14" s="537">
        <v>2</v>
      </c>
      <c r="AH14" s="612" t="str">
        <f t="shared" ref="AH14:AH77" si="6" xml:space="preserve">
IF(COUNTA(B14:H14,K14:M14)=0,"○",
IF(AND(COUNTA(B14:H14,K14:M14)&gt;=1,COUNTA(B14:H14,K14:M14)&lt;8),"×",
IF(COUNTA(B14:H14,K14:M14)=8,"◎")))</f>
        <v>○</v>
      </c>
      <c r="AI14" s="519" t="str">
        <f t="shared" ref="AI14:AI77" si="7" xml:space="preserve">
IF(COUNTA(B14:H14,K14:M14)=0,"申請しない場合は入力不要です。",
IF(AND(COUNTA(B14:H14,K14:M14)&gt;=1,COUNTA(B14:H14,K14:M14)&lt;8),"【要修正】種類、品名、内容量、数量、税抜単価の内、未入力の箇所があります。",
IF(COUNTA(B14:H14,K14:M14)=8,"適切に入力がされました。")))</f>
        <v>申請しない場合は入力不要です。</v>
      </c>
      <c r="AK14" s="538"/>
    </row>
    <row r="15" spans="1:39" ht="20.100000000000001" customHeight="1">
      <c r="A15" s="534">
        <v>3</v>
      </c>
      <c r="B15" s="123" t="s">
        <v>1324</v>
      </c>
      <c r="C15" s="1916" t="s">
        <v>1411</v>
      </c>
      <c r="D15" s="1930"/>
      <c r="E15" s="1931"/>
      <c r="F15" s="630">
        <v>1000</v>
      </c>
      <c r="G15" s="7">
        <v>1</v>
      </c>
      <c r="H15" s="541">
        <v>1000</v>
      </c>
      <c r="I15" s="522">
        <f>ROUNDDOWN(H15*1.1,0)</f>
        <v>1100</v>
      </c>
      <c r="J15" s="535">
        <f t="shared" si="0"/>
        <v>1100</v>
      </c>
      <c r="K15" s="625">
        <v>6</v>
      </c>
      <c r="L15" s="625">
        <v>2</v>
      </c>
      <c r="M15" s="625">
        <v>3</v>
      </c>
      <c r="N15" s="629" t="str">
        <f xml:space="preserve">
IF(表紙!$X$2="事前協議","－",
IF(表紙!$X$2="交付申請（２次）","－",
IF(表紙!$X$2="変更申請","－",
IF(AND(表紙!$X$2="実績報告（１次）",AH15="◎"),COUNTIF($N$13:N15,"◎"),
IF(AND(表紙!$X$2="実績報告（１次）",OR(AH15="×",AH15="○")),"",
IF(表紙!$X$2="実績報告（２次）","－",
IF(表紙!$X$2="交付申請兼実績報告","－")))))))</f>
        <v>－</v>
      </c>
      <c r="O15" s="632">
        <f t="shared" si="1"/>
        <v>1000</v>
      </c>
      <c r="Q15" s="610">
        <f t="shared" si="2"/>
        <v>45325</v>
      </c>
      <c r="R15" s="614">
        <f t="shared" si="3"/>
        <v>6</v>
      </c>
      <c r="S15" s="614">
        <f t="shared" si="4"/>
        <v>2</v>
      </c>
      <c r="T15" s="614">
        <f t="shared" si="5"/>
        <v>3</v>
      </c>
      <c r="AF15" s="514" t="s">
        <v>468</v>
      </c>
      <c r="AG15" s="537">
        <v>3</v>
      </c>
      <c r="AH15" s="612" t="str">
        <f t="shared" si="6"/>
        <v>◎</v>
      </c>
      <c r="AI15" s="519" t="str">
        <f t="shared" si="7"/>
        <v>適切に入力がされました。</v>
      </c>
      <c r="AK15" s="538"/>
    </row>
    <row r="16" spans="1:39" ht="20.100000000000001" customHeight="1">
      <c r="A16" s="534">
        <v>4</v>
      </c>
      <c r="B16" s="123"/>
      <c r="C16" s="1916"/>
      <c r="D16" s="1917"/>
      <c r="E16" s="1918"/>
      <c r="F16" s="630"/>
      <c r="G16" s="7"/>
      <c r="H16" s="541"/>
      <c r="I16" s="522">
        <f t="shared" ref="I16:I77" si="8">ROUNDDOWN(H16*1.1,0)</f>
        <v>0</v>
      </c>
      <c r="J16" s="535">
        <f t="shared" si="0"/>
        <v>0</v>
      </c>
      <c r="K16" s="625"/>
      <c r="L16" s="625"/>
      <c r="M16" s="625"/>
      <c r="N16" s="629" t="str">
        <f xml:space="preserve">
IF(表紙!$X$2="事前協議","－",
IF(表紙!$X$2="交付申請（２次）","－",
IF(表紙!$X$2="変更申請","－",
IF(AND(表紙!$X$2="実績報告（１次）",AH16="◎"),COUNTIF($N$13:N16,"◎"),
IF(AND(表紙!$X$2="実績報告（１次）",OR(AH16="×",AH16="○")),"",
IF(表紙!$X$2="実績報告（２次）","－",
IF(表紙!$X$2="交付申請兼実績報告","－")))))))</f>
        <v>－</v>
      </c>
      <c r="O16" s="632" t="str">
        <f t="shared" si="1"/>
        <v/>
      </c>
      <c r="Q16" s="610" t="str">
        <f t="shared" si="2"/>
        <v/>
      </c>
      <c r="R16" s="614" t="str">
        <f t="shared" si="3"/>
        <v/>
      </c>
      <c r="S16" s="614" t="str">
        <f t="shared" si="4"/>
        <v/>
      </c>
      <c r="T16" s="614" t="str">
        <f t="shared" si="5"/>
        <v/>
      </c>
      <c r="AF16" s="514" t="s">
        <v>468</v>
      </c>
      <c r="AG16" s="537">
        <v>4</v>
      </c>
      <c r="AH16" s="612" t="str">
        <f t="shared" si="6"/>
        <v>○</v>
      </c>
      <c r="AI16" s="519" t="str">
        <f t="shared" si="7"/>
        <v>申請しない場合は入力不要です。</v>
      </c>
      <c r="AK16" s="538"/>
    </row>
    <row r="17" spans="1:37" ht="20.100000000000001" customHeight="1">
      <c r="A17" s="534">
        <v>5</v>
      </c>
      <c r="B17" s="123"/>
      <c r="C17" s="1916"/>
      <c r="D17" s="1917"/>
      <c r="E17" s="1918"/>
      <c r="F17" s="630"/>
      <c r="G17" s="7"/>
      <c r="H17" s="541"/>
      <c r="I17" s="522">
        <f t="shared" si="8"/>
        <v>0</v>
      </c>
      <c r="J17" s="535">
        <f t="shared" si="0"/>
        <v>0</v>
      </c>
      <c r="K17" s="625"/>
      <c r="L17" s="625"/>
      <c r="M17" s="625"/>
      <c r="N17" s="629" t="str">
        <f xml:space="preserve">
IF(表紙!$X$2="事前協議","－",
IF(表紙!$X$2="交付申請（２次）","－",
IF(表紙!$X$2="変更申請","－",
IF(AND(表紙!$X$2="実績報告（１次）",AH17="◎"),COUNTIF($N$13:N17,"◎"),
IF(AND(表紙!$X$2="実績報告（１次）",OR(AH17="×",AH17="○")),"",
IF(表紙!$X$2="実績報告（２次）","－",
IF(表紙!$X$2="交付申請兼実績報告","－")))))))</f>
        <v>－</v>
      </c>
      <c r="O17" s="632" t="str">
        <f t="shared" si="1"/>
        <v/>
      </c>
      <c r="Q17" s="610" t="str">
        <f t="shared" si="2"/>
        <v/>
      </c>
      <c r="R17" s="614" t="str">
        <f t="shared" si="3"/>
        <v/>
      </c>
      <c r="S17" s="614" t="str">
        <f t="shared" si="4"/>
        <v/>
      </c>
      <c r="T17" s="614" t="str">
        <f t="shared" si="5"/>
        <v/>
      </c>
      <c r="AF17" s="514" t="s">
        <v>468</v>
      </c>
      <c r="AG17" s="537">
        <v>5</v>
      </c>
      <c r="AH17" s="612" t="str">
        <f t="shared" si="6"/>
        <v>○</v>
      </c>
      <c r="AI17" s="519" t="str">
        <f t="shared" si="7"/>
        <v>申請しない場合は入力不要です。</v>
      </c>
      <c r="AK17" s="538"/>
    </row>
    <row r="18" spans="1:37" ht="20.100000000000001" customHeight="1">
      <c r="A18" s="534">
        <v>6</v>
      </c>
      <c r="B18" s="123"/>
      <c r="C18" s="1916"/>
      <c r="D18" s="1917"/>
      <c r="E18" s="1918"/>
      <c r="F18" s="630"/>
      <c r="G18" s="7"/>
      <c r="H18" s="541"/>
      <c r="I18" s="522">
        <f t="shared" si="8"/>
        <v>0</v>
      </c>
      <c r="J18" s="535">
        <f t="shared" si="0"/>
        <v>0</v>
      </c>
      <c r="K18" s="625"/>
      <c r="L18" s="625"/>
      <c r="M18" s="625"/>
      <c r="N18" s="629" t="str">
        <f xml:space="preserve">
IF(表紙!$X$2="事前協議","－",
IF(表紙!$X$2="交付申請（２次）","－",
IF(表紙!$X$2="変更申請","－",
IF(AND(表紙!$X$2="実績報告（１次）",AH18="◎"),COUNTIF($N$13:N18,"◎"),
IF(AND(表紙!$X$2="実績報告（１次）",OR(AH18="×",AH18="○")),"",
IF(表紙!$X$2="実績報告（２次）","－",
IF(表紙!$X$2="交付申請兼実績報告","－")))))))</f>
        <v>－</v>
      </c>
      <c r="O18" s="632" t="str">
        <f t="shared" si="1"/>
        <v/>
      </c>
      <c r="Q18" s="610" t="str">
        <f t="shared" si="2"/>
        <v/>
      </c>
      <c r="R18" s="614" t="str">
        <f t="shared" si="3"/>
        <v/>
      </c>
      <c r="S18" s="614" t="str">
        <f t="shared" si="4"/>
        <v/>
      </c>
      <c r="T18" s="614" t="str">
        <f t="shared" si="5"/>
        <v/>
      </c>
      <c r="AF18" s="514" t="s">
        <v>468</v>
      </c>
      <c r="AG18" s="537">
        <v>6</v>
      </c>
      <c r="AH18" s="612" t="str">
        <f t="shared" si="6"/>
        <v>○</v>
      </c>
      <c r="AI18" s="519" t="str">
        <f t="shared" si="7"/>
        <v>申請しない場合は入力不要です。</v>
      </c>
      <c r="AK18" s="538"/>
    </row>
    <row r="19" spans="1:37" ht="20.100000000000001" customHeight="1">
      <c r="A19" s="534">
        <v>7</v>
      </c>
      <c r="B19" s="123"/>
      <c r="C19" s="1916"/>
      <c r="D19" s="1917"/>
      <c r="E19" s="1918"/>
      <c r="F19" s="630"/>
      <c r="G19" s="7"/>
      <c r="H19" s="541"/>
      <c r="I19" s="522">
        <f t="shared" si="8"/>
        <v>0</v>
      </c>
      <c r="J19" s="535">
        <f t="shared" si="0"/>
        <v>0</v>
      </c>
      <c r="K19" s="625"/>
      <c r="L19" s="625"/>
      <c r="M19" s="625"/>
      <c r="N19" s="629" t="str">
        <f xml:space="preserve">
IF(表紙!$X$2="事前協議","－",
IF(表紙!$X$2="交付申請（２次）","－",
IF(表紙!$X$2="変更申請","－",
IF(AND(表紙!$X$2="実績報告（１次）",AH19="◎"),COUNTIF($N$13:N19,"◎"),
IF(AND(表紙!$X$2="実績報告（１次）",OR(AH19="×",AH19="○")),"",
IF(表紙!$X$2="実績報告（２次）","－",
IF(表紙!$X$2="交付申請兼実績報告","－")))))))</f>
        <v>－</v>
      </c>
      <c r="O19" s="632" t="str">
        <f t="shared" si="1"/>
        <v/>
      </c>
      <c r="Q19" s="610" t="str">
        <f t="shared" si="2"/>
        <v/>
      </c>
      <c r="R19" s="614" t="str">
        <f t="shared" si="3"/>
        <v/>
      </c>
      <c r="S19" s="614" t="str">
        <f t="shared" si="4"/>
        <v/>
      </c>
      <c r="T19" s="614" t="str">
        <f t="shared" si="5"/>
        <v/>
      </c>
      <c r="AF19" s="514" t="s">
        <v>468</v>
      </c>
      <c r="AG19" s="537">
        <v>7</v>
      </c>
      <c r="AH19" s="612" t="str">
        <f t="shared" si="6"/>
        <v>○</v>
      </c>
      <c r="AI19" s="519" t="str">
        <f t="shared" si="7"/>
        <v>申請しない場合は入力不要です。</v>
      </c>
      <c r="AK19" s="538"/>
    </row>
    <row r="20" spans="1:37" ht="20.100000000000001" customHeight="1">
      <c r="A20" s="534">
        <v>8</v>
      </c>
      <c r="B20" s="123"/>
      <c r="C20" s="1916"/>
      <c r="D20" s="1917"/>
      <c r="E20" s="1918"/>
      <c r="F20" s="630"/>
      <c r="G20" s="7"/>
      <c r="H20" s="541"/>
      <c r="I20" s="522">
        <f t="shared" si="8"/>
        <v>0</v>
      </c>
      <c r="J20" s="535">
        <f t="shared" si="0"/>
        <v>0</v>
      </c>
      <c r="K20" s="625"/>
      <c r="L20" s="625"/>
      <c r="M20" s="625"/>
      <c r="N20" s="629" t="str">
        <f xml:space="preserve">
IF(表紙!$X$2="事前協議","－",
IF(表紙!$X$2="交付申請（２次）","－",
IF(表紙!$X$2="変更申請","－",
IF(AND(表紙!$X$2="実績報告（１次）",AH20="◎"),COUNTIF($N$13:N20,"◎"),
IF(AND(表紙!$X$2="実績報告（１次）",OR(AH20="×",AH20="○")),"",
IF(表紙!$X$2="実績報告（２次）","－",
IF(表紙!$X$2="交付申請兼実績報告","－")))))))</f>
        <v>－</v>
      </c>
      <c r="O20" s="632" t="str">
        <f t="shared" si="1"/>
        <v/>
      </c>
      <c r="Q20" s="610" t="str">
        <f t="shared" si="2"/>
        <v/>
      </c>
      <c r="R20" s="614" t="str">
        <f t="shared" si="3"/>
        <v/>
      </c>
      <c r="S20" s="614" t="str">
        <f t="shared" si="4"/>
        <v/>
      </c>
      <c r="T20" s="614" t="str">
        <f t="shared" si="5"/>
        <v/>
      </c>
      <c r="AF20" s="514" t="s">
        <v>468</v>
      </c>
      <c r="AG20" s="537">
        <v>8</v>
      </c>
      <c r="AH20" s="612" t="str">
        <f t="shared" si="6"/>
        <v>○</v>
      </c>
      <c r="AI20" s="519" t="str">
        <f t="shared" si="7"/>
        <v>申請しない場合は入力不要です。</v>
      </c>
      <c r="AK20" s="538"/>
    </row>
    <row r="21" spans="1:37" ht="20.100000000000001" customHeight="1">
      <c r="A21" s="534">
        <v>9</v>
      </c>
      <c r="B21" s="123"/>
      <c r="C21" s="1916"/>
      <c r="D21" s="1917"/>
      <c r="E21" s="1918"/>
      <c r="F21" s="630"/>
      <c r="G21" s="7"/>
      <c r="H21" s="541"/>
      <c r="I21" s="522">
        <f t="shared" si="8"/>
        <v>0</v>
      </c>
      <c r="J21" s="535">
        <f t="shared" si="0"/>
        <v>0</v>
      </c>
      <c r="K21" s="625"/>
      <c r="L21" s="625"/>
      <c r="M21" s="625"/>
      <c r="N21" s="629" t="str">
        <f xml:space="preserve">
IF(表紙!$X$2="事前協議","－",
IF(表紙!$X$2="交付申請（２次）","－",
IF(表紙!$X$2="変更申請","－",
IF(AND(表紙!$X$2="実績報告（１次）",AH21="◎"),COUNTIF($N$13:N21,"◎"),
IF(AND(表紙!$X$2="実績報告（１次）",OR(AH21="×",AH21="○")),"",
IF(表紙!$X$2="実績報告（２次）","－",
IF(表紙!$X$2="交付申請兼実績報告","－")))))))</f>
        <v>－</v>
      </c>
      <c r="O21" s="632" t="str">
        <f t="shared" si="1"/>
        <v/>
      </c>
      <c r="Q21" s="610" t="str">
        <f t="shared" si="2"/>
        <v/>
      </c>
      <c r="R21" s="614" t="str">
        <f t="shared" si="3"/>
        <v/>
      </c>
      <c r="S21" s="614" t="str">
        <f t="shared" si="4"/>
        <v/>
      </c>
      <c r="T21" s="614" t="str">
        <f t="shared" si="5"/>
        <v/>
      </c>
      <c r="AF21" s="514" t="s">
        <v>468</v>
      </c>
      <c r="AG21" s="537">
        <v>9</v>
      </c>
      <c r="AH21" s="612" t="str">
        <f t="shared" si="6"/>
        <v>○</v>
      </c>
      <c r="AI21" s="519" t="str">
        <f t="shared" si="7"/>
        <v>申請しない場合は入力不要です。</v>
      </c>
      <c r="AK21" s="538"/>
    </row>
    <row r="22" spans="1:37" ht="20.100000000000001" customHeight="1">
      <c r="A22" s="534">
        <v>10</v>
      </c>
      <c r="B22" s="123"/>
      <c r="C22" s="1916"/>
      <c r="D22" s="1917"/>
      <c r="E22" s="1918"/>
      <c r="F22" s="630"/>
      <c r="G22" s="7"/>
      <c r="H22" s="541"/>
      <c r="I22" s="522">
        <f t="shared" si="8"/>
        <v>0</v>
      </c>
      <c r="J22" s="535">
        <f t="shared" si="0"/>
        <v>0</v>
      </c>
      <c r="K22" s="625"/>
      <c r="L22" s="625"/>
      <c r="M22" s="625"/>
      <c r="N22" s="629" t="str">
        <f xml:space="preserve">
IF(表紙!$X$2="事前協議","－",
IF(表紙!$X$2="交付申請（２次）","－",
IF(表紙!$X$2="変更申請","－",
IF(AND(表紙!$X$2="実績報告（１次）",AH22="◎"),COUNTIF($N$13:N22,"◎"),
IF(AND(表紙!$X$2="実績報告（１次）",OR(AH22="×",AH22="○")),"",
IF(表紙!$X$2="実績報告（２次）","－",
IF(表紙!$X$2="交付申請兼実績報告","－")))))))</f>
        <v>－</v>
      </c>
      <c r="O22" s="632" t="str">
        <f t="shared" si="1"/>
        <v/>
      </c>
      <c r="Q22" s="610" t="str">
        <f t="shared" si="2"/>
        <v/>
      </c>
      <c r="R22" s="614" t="str">
        <f t="shared" si="3"/>
        <v/>
      </c>
      <c r="S22" s="614" t="str">
        <f t="shared" si="4"/>
        <v/>
      </c>
      <c r="T22" s="614" t="str">
        <f t="shared" si="5"/>
        <v/>
      </c>
      <c r="AF22" s="514" t="s">
        <v>468</v>
      </c>
      <c r="AG22" s="537">
        <v>10</v>
      </c>
      <c r="AH22" s="612" t="str">
        <f t="shared" si="6"/>
        <v>○</v>
      </c>
      <c r="AI22" s="519" t="str">
        <f t="shared" si="7"/>
        <v>申請しない場合は入力不要です。</v>
      </c>
      <c r="AK22" s="538"/>
    </row>
    <row r="23" spans="1:37" ht="20.100000000000001" customHeight="1">
      <c r="A23" s="534">
        <v>11</v>
      </c>
      <c r="B23" s="123"/>
      <c r="C23" s="1916"/>
      <c r="D23" s="1917"/>
      <c r="E23" s="1918"/>
      <c r="F23" s="630"/>
      <c r="G23" s="7"/>
      <c r="H23" s="541"/>
      <c r="I23" s="522">
        <f t="shared" si="8"/>
        <v>0</v>
      </c>
      <c r="J23" s="535">
        <f t="shared" si="0"/>
        <v>0</v>
      </c>
      <c r="K23" s="625"/>
      <c r="L23" s="625"/>
      <c r="M23" s="625"/>
      <c r="N23" s="629" t="str">
        <f xml:space="preserve">
IF(表紙!$X$2="事前協議","－",
IF(表紙!$X$2="交付申請（２次）","－",
IF(表紙!$X$2="変更申請","－",
IF(AND(表紙!$X$2="実績報告（１次）",AH23="◎"),COUNTIF($N$13:N23,"◎"),
IF(AND(表紙!$X$2="実績報告（１次）",OR(AH23="×",AH23="○")),"",
IF(表紙!$X$2="実績報告（２次）","－",
IF(表紙!$X$2="交付申請兼実績報告","－")))))))</f>
        <v>－</v>
      </c>
      <c r="O23" s="632" t="str">
        <f t="shared" si="1"/>
        <v/>
      </c>
      <c r="Q23" s="610" t="str">
        <f t="shared" si="2"/>
        <v/>
      </c>
      <c r="R23" s="614" t="str">
        <f t="shared" si="3"/>
        <v/>
      </c>
      <c r="S23" s="614" t="str">
        <f t="shared" si="4"/>
        <v/>
      </c>
      <c r="T23" s="614" t="str">
        <f t="shared" si="5"/>
        <v/>
      </c>
      <c r="AF23" s="514" t="s">
        <v>468</v>
      </c>
      <c r="AG23" s="537">
        <v>11</v>
      </c>
      <c r="AH23" s="612" t="str">
        <f t="shared" si="6"/>
        <v>○</v>
      </c>
      <c r="AI23" s="519" t="str">
        <f t="shared" si="7"/>
        <v>申請しない場合は入力不要です。</v>
      </c>
      <c r="AK23" s="538"/>
    </row>
    <row r="24" spans="1:37" ht="20.100000000000001" customHeight="1">
      <c r="A24" s="534">
        <v>12</v>
      </c>
      <c r="B24" s="123"/>
      <c r="C24" s="1916"/>
      <c r="D24" s="1917"/>
      <c r="E24" s="1918"/>
      <c r="F24" s="630"/>
      <c r="G24" s="7"/>
      <c r="H24" s="541"/>
      <c r="I24" s="522">
        <f t="shared" si="8"/>
        <v>0</v>
      </c>
      <c r="J24" s="535">
        <f t="shared" si="0"/>
        <v>0</v>
      </c>
      <c r="K24" s="625"/>
      <c r="L24" s="625"/>
      <c r="M24" s="625"/>
      <c r="N24" s="629" t="str">
        <f xml:space="preserve">
IF(表紙!$X$2="事前協議","－",
IF(表紙!$X$2="交付申請（２次）","－",
IF(表紙!$X$2="変更申請","－",
IF(AND(表紙!$X$2="実績報告（１次）",AH24="◎"),COUNTIF($N$13:N24,"◎"),
IF(AND(表紙!$X$2="実績報告（１次）",OR(AH24="×",AH24="○")),"",
IF(表紙!$X$2="実績報告（２次）","－",
IF(表紙!$X$2="交付申請兼実績報告","－")))))))</f>
        <v>－</v>
      </c>
      <c r="O24" s="632" t="str">
        <f t="shared" si="1"/>
        <v/>
      </c>
      <c r="Q24" s="610" t="str">
        <f t="shared" si="2"/>
        <v/>
      </c>
      <c r="R24" s="614" t="str">
        <f t="shared" si="3"/>
        <v/>
      </c>
      <c r="S24" s="614" t="str">
        <f t="shared" si="4"/>
        <v/>
      </c>
      <c r="T24" s="614" t="str">
        <f t="shared" si="5"/>
        <v/>
      </c>
      <c r="AF24" s="514" t="s">
        <v>468</v>
      </c>
      <c r="AG24" s="537">
        <v>12</v>
      </c>
      <c r="AH24" s="612" t="str">
        <f t="shared" si="6"/>
        <v>○</v>
      </c>
      <c r="AI24" s="519" t="str">
        <f t="shared" si="7"/>
        <v>申請しない場合は入力不要です。</v>
      </c>
      <c r="AK24" s="538"/>
    </row>
    <row r="25" spans="1:37" ht="20.100000000000001" customHeight="1">
      <c r="A25" s="534">
        <v>13</v>
      </c>
      <c r="B25" s="123"/>
      <c r="C25" s="1916"/>
      <c r="D25" s="1917"/>
      <c r="E25" s="1918"/>
      <c r="F25" s="630"/>
      <c r="G25" s="7"/>
      <c r="H25" s="541"/>
      <c r="I25" s="522">
        <f t="shared" si="8"/>
        <v>0</v>
      </c>
      <c r="J25" s="535">
        <f t="shared" si="0"/>
        <v>0</v>
      </c>
      <c r="K25" s="625"/>
      <c r="L25" s="625"/>
      <c r="M25" s="625"/>
      <c r="N25" s="629" t="str">
        <f xml:space="preserve">
IF(表紙!$X$2="事前協議","－",
IF(表紙!$X$2="交付申請（２次）","－",
IF(表紙!$X$2="変更申請","－",
IF(AND(表紙!$X$2="実績報告（１次）",AH25="◎"),COUNTIF($N$13:N25,"◎"),
IF(AND(表紙!$X$2="実績報告（１次）",OR(AH25="×",AH25="○")),"",
IF(表紙!$X$2="実績報告（２次）","－",
IF(表紙!$X$2="交付申請兼実績報告","－")))))))</f>
        <v>－</v>
      </c>
      <c r="O25" s="632" t="str">
        <f t="shared" si="1"/>
        <v/>
      </c>
      <c r="Q25" s="610" t="str">
        <f t="shared" si="2"/>
        <v/>
      </c>
      <c r="R25" s="614" t="str">
        <f t="shared" si="3"/>
        <v/>
      </c>
      <c r="S25" s="614" t="str">
        <f t="shared" si="4"/>
        <v/>
      </c>
      <c r="T25" s="614" t="str">
        <f t="shared" si="5"/>
        <v/>
      </c>
      <c r="AF25" s="514" t="s">
        <v>468</v>
      </c>
      <c r="AG25" s="537">
        <v>13</v>
      </c>
      <c r="AH25" s="612" t="str">
        <f t="shared" si="6"/>
        <v>○</v>
      </c>
      <c r="AI25" s="519" t="str">
        <f t="shared" si="7"/>
        <v>申請しない場合は入力不要です。</v>
      </c>
      <c r="AK25" s="538"/>
    </row>
    <row r="26" spans="1:37" ht="20.100000000000001" customHeight="1">
      <c r="A26" s="534">
        <v>14</v>
      </c>
      <c r="B26" s="123"/>
      <c r="C26" s="1916"/>
      <c r="D26" s="1917"/>
      <c r="E26" s="1918"/>
      <c r="F26" s="630"/>
      <c r="G26" s="7"/>
      <c r="H26" s="541"/>
      <c r="I26" s="522">
        <f t="shared" si="8"/>
        <v>0</v>
      </c>
      <c r="J26" s="535">
        <f t="shared" si="0"/>
        <v>0</v>
      </c>
      <c r="K26" s="625"/>
      <c r="L26" s="625"/>
      <c r="M26" s="625"/>
      <c r="N26" s="629" t="str">
        <f xml:space="preserve">
IF(表紙!$X$2="事前協議","－",
IF(表紙!$X$2="交付申請（２次）","－",
IF(表紙!$X$2="変更申請","－",
IF(AND(表紙!$X$2="実績報告（１次）",AH26="◎"),COUNTIF($N$13:N26,"◎"),
IF(AND(表紙!$X$2="実績報告（１次）",OR(AH26="×",AH26="○")),"",
IF(表紙!$X$2="実績報告（２次）","－",
IF(表紙!$X$2="交付申請兼実績報告","－")))))))</f>
        <v>－</v>
      </c>
      <c r="O26" s="632" t="str">
        <f t="shared" si="1"/>
        <v/>
      </c>
      <c r="Q26" s="610" t="str">
        <f t="shared" si="2"/>
        <v/>
      </c>
      <c r="R26" s="614" t="str">
        <f t="shared" si="3"/>
        <v/>
      </c>
      <c r="S26" s="614" t="str">
        <f t="shared" si="4"/>
        <v/>
      </c>
      <c r="T26" s="614" t="str">
        <f t="shared" si="5"/>
        <v/>
      </c>
      <c r="AF26" s="514" t="s">
        <v>468</v>
      </c>
      <c r="AG26" s="537">
        <v>14</v>
      </c>
      <c r="AH26" s="612" t="str">
        <f t="shared" si="6"/>
        <v>○</v>
      </c>
      <c r="AI26" s="519" t="str">
        <f t="shared" si="7"/>
        <v>申請しない場合は入力不要です。</v>
      </c>
      <c r="AK26" s="538"/>
    </row>
    <row r="27" spans="1:37" ht="20.100000000000001" customHeight="1">
      <c r="A27" s="534">
        <v>15</v>
      </c>
      <c r="B27" s="123"/>
      <c r="C27" s="1916"/>
      <c r="D27" s="1917"/>
      <c r="E27" s="1918"/>
      <c r="F27" s="630"/>
      <c r="G27" s="7"/>
      <c r="H27" s="541"/>
      <c r="I27" s="522">
        <f t="shared" si="8"/>
        <v>0</v>
      </c>
      <c r="J27" s="535">
        <f t="shared" si="0"/>
        <v>0</v>
      </c>
      <c r="K27" s="625"/>
      <c r="L27" s="625"/>
      <c r="M27" s="625"/>
      <c r="N27" s="629" t="str">
        <f xml:space="preserve">
IF(表紙!$X$2="事前協議","－",
IF(表紙!$X$2="交付申請（２次）","－",
IF(表紙!$X$2="変更申請","－",
IF(AND(表紙!$X$2="実績報告（１次）",AH27="◎"),COUNTIF($N$13:N27,"◎"),
IF(AND(表紙!$X$2="実績報告（１次）",OR(AH27="×",AH27="○")),"",
IF(表紙!$X$2="実績報告（２次）","－",
IF(表紙!$X$2="交付申請兼実績報告","－")))))))</f>
        <v>－</v>
      </c>
      <c r="O27" s="632" t="str">
        <f t="shared" si="1"/>
        <v/>
      </c>
      <c r="Q27" s="610" t="str">
        <f t="shared" si="2"/>
        <v/>
      </c>
      <c r="R27" s="614" t="str">
        <f t="shared" si="3"/>
        <v/>
      </c>
      <c r="S27" s="614" t="str">
        <f t="shared" si="4"/>
        <v/>
      </c>
      <c r="T27" s="614" t="str">
        <f t="shared" si="5"/>
        <v/>
      </c>
      <c r="AF27" s="514" t="s">
        <v>468</v>
      </c>
      <c r="AG27" s="537">
        <v>15</v>
      </c>
      <c r="AH27" s="612" t="str">
        <f t="shared" si="6"/>
        <v>○</v>
      </c>
      <c r="AI27" s="519" t="str">
        <f t="shared" si="7"/>
        <v>申請しない場合は入力不要です。</v>
      </c>
      <c r="AK27" s="538"/>
    </row>
    <row r="28" spans="1:37" ht="20.100000000000001" customHeight="1">
      <c r="A28" s="534">
        <v>16</v>
      </c>
      <c r="B28" s="123"/>
      <c r="C28" s="1916"/>
      <c r="D28" s="1917"/>
      <c r="E28" s="1918"/>
      <c r="F28" s="630"/>
      <c r="G28" s="7"/>
      <c r="H28" s="541"/>
      <c r="I28" s="522">
        <f t="shared" si="8"/>
        <v>0</v>
      </c>
      <c r="J28" s="535">
        <f t="shared" si="0"/>
        <v>0</v>
      </c>
      <c r="K28" s="625"/>
      <c r="L28" s="625"/>
      <c r="M28" s="625"/>
      <c r="N28" s="629" t="str">
        <f xml:space="preserve">
IF(表紙!$X$2="事前協議","－",
IF(表紙!$X$2="交付申請（２次）","－",
IF(表紙!$X$2="変更申請","－",
IF(AND(表紙!$X$2="実績報告（１次）",AH28="◎"),COUNTIF($N$13:N28,"◎"),
IF(AND(表紙!$X$2="実績報告（１次）",OR(AH28="×",AH28="○")),"",
IF(表紙!$X$2="実績報告（２次）","－",
IF(表紙!$X$2="交付申請兼実績報告","－")))))))</f>
        <v>－</v>
      </c>
      <c r="O28" s="632" t="str">
        <f t="shared" si="1"/>
        <v/>
      </c>
      <c r="Q28" s="610" t="str">
        <f t="shared" si="2"/>
        <v/>
      </c>
      <c r="R28" s="614" t="str">
        <f t="shared" si="3"/>
        <v/>
      </c>
      <c r="S28" s="614" t="str">
        <f t="shared" si="4"/>
        <v/>
      </c>
      <c r="T28" s="614" t="str">
        <f t="shared" si="5"/>
        <v/>
      </c>
      <c r="AF28" s="514" t="s">
        <v>468</v>
      </c>
      <c r="AG28" s="537">
        <v>16</v>
      </c>
      <c r="AH28" s="612" t="str">
        <f t="shared" si="6"/>
        <v>○</v>
      </c>
      <c r="AI28" s="519" t="str">
        <f t="shared" si="7"/>
        <v>申請しない場合は入力不要です。</v>
      </c>
      <c r="AK28" s="538"/>
    </row>
    <row r="29" spans="1:37" ht="20.100000000000001" customHeight="1">
      <c r="A29" s="534">
        <v>17</v>
      </c>
      <c r="B29" s="123"/>
      <c r="C29" s="1916"/>
      <c r="D29" s="1917"/>
      <c r="E29" s="1918"/>
      <c r="F29" s="630"/>
      <c r="G29" s="7"/>
      <c r="H29" s="541"/>
      <c r="I29" s="522">
        <f t="shared" si="8"/>
        <v>0</v>
      </c>
      <c r="J29" s="535">
        <f t="shared" si="0"/>
        <v>0</v>
      </c>
      <c r="K29" s="625"/>
      <c r="L29" s="625"/>
      <c r="M29" s="625"/>
      <c r="N29" s="629" t="str">
        <f xml:space="preserve">
IF(表紙!$X$2="事前協議","－",
IF(表紙!$X$2="交付申請（２次）","－",
IF(表紙!$X$2="変更申請","－",
IF(AND(表紙!$X$2="実績報告（１次）",AH29="◎"),COUNTIF($N$13:N29,"◎"),
IF(AND(表紙!$X$2="実績報告（１次）",OR(AH29="×",AH29="○")),"",
IF(表紙!$X$2="実績報告（２次）","－",
IF(表紙!$X$2="交付申請兼実績報告","－")))))))</f>
        <v>－</v>
      </c>
      <c r="O29" s="632" t="str">
        <f t="shared" si="1"/>
        <v/>
      </c>
      <c r="Q29" s="610" t="str">
        <f t="shared" si="2"/>
        <v/>
      </c>
      <c r="R29" s="614" t="str">
        <f t="shared" si="3"/>
        <v/>
      </c>
      <c r="S29" s="614" t="str">
        <f t="shared" si="4"/>
        <v/>
      </c>
      <c r="T29" s="614" t="str">
        <f t="shared" si="5"/>
        <v/>
      </c>
      <c r="AF29" s="514" t="s">
        <v>468</v>
      </c>
      <c r="AG29" s="537">
        <v>17</v>
      </c>
      <c r="AH29" s="612" t="str">
        <f t="shared" si="6"/>
        <v>○</v>
      </c>
      <c r="AI29" s="519" t="str">
        <f t="shared" si="7"/>
        <v>申請しない場合は入力不要です。</v>
      </c>
      <c r="AK29" s="538"/>
    </row>
    <row r="30" spans="1:37" ht="20.100000000000001" customHeight="1">
      <c r="A30" s="534">
        <v>18</v>
      </c>
      <c r="B30" s="123"/>
      <c r="C30" s="1916"/>
      <c r="D30" s="1917"/>
      <c r="E30" s="1918"/>
      <c r="F30" s="630"/>
      <c r="G30" s="7"/>
      <c r="H30" s="541"/>
      <c r="I30" s="522">
        <f t="shared" si="8"/>
        <v>0</v>
      </c>
      <c r="J30" s="535">
        <f t="shared" si="0"/>
        <v>0</v>
      </c>
      <c r="K30" s="625"/>
      <c r="L30" s="625"/>
      <c r="M30" s="625"/>
      <c r="N30" s="629" t="str">
        <f xml:space="preserve">
IF(表紙!$X$2="事前協議","－",
IF(表紙!$X$2="交付申請（２次）","－",
IF(表紙!$X$2="変更申請","－",
IF(AND(表紙!$X$2="実績報告（１次）",AH30="◎"),COUNTIF($N$13:N30,"◎"),
IF(AND(表紙!$X$2="実績報告（１次）",OR(AH30="×",AH30="○")),"",
IF(表紙!$X$2="実績報告（２次）","－",
IF(表紙!$X$2="交付申請兼実績報告","－")))))))</f>
        <v>－</v>
      </c>
      <c r="O30" s="632" t="str">
        <f t="shared" si="1"/>
        <v/>
      </c>
      <c r="Q30" s="610" t="str">
        <f t="shared" si="2"/>
        <v/>
      </c>
      <c r="R30" s="614" t="str">
        <f t="shared" si="3"/>
        <v/>
      </c>
      <c r="S30" s="614" t="str">
        <f t="shared" si="4"/>
        <v/>
      </c>
      <c r="T30" s="614" t="str">
        <f t="shared" si="5"/>
        <v/>
      </c>
      <c r="AF30" s="514" t="s">
        <v>468</v>
      </c>
      <c r="AG30" s="537">
        <v>18</v>
      </c>
      <c r="AH30" s="612" t="str">
        <f t="shared" si="6"/>
        <v>○</v>
      </c>
      <c r="AI30" s="519" t="str">
        <f t="shared" si="7"/>
        <v>申請しない場合は入力不要です。</v>
      </c>
      <c r="AK30" s="538"/>
    </row>
    <row r="31" spans="1:37" ht="20.100000000000001" customHeight="1">
      <c r="A31" s="534">
        <v>19</v>
      </c>
      <c r="B31" s="123"/>
      <c r="C31" s="1916"/>
      <c r="D31" s="1917"/>
      <c r="E31" s="1918"/>
      <c r="F31" s="630"/>
      <c r="G31" s="7"/>
      <c r="H31" s="541"/>
      <c r="I31" s="522">
        <f t="shared" si="8"/>
        <v>0</v>
      </c>
      <c r="J31" s="535">
        <f t="shared" si="0"/>
        <v>0</v>
      </c>
      <c r="K31" s="625"/>
      <c r="L31" s="625"/>
      <c r="M31" s="625"/>
      <c r="N31" s="629" t="str">
        <f xml:space="preserve">
IF(表紙!$X$2="事前協議","－",
IF(表紙!$X$2="交付申請（２次）","－",
IF(表紙!$X$2="変更申請","－",
IF(AND(表紙!$X$2="実績報告（１次）",AH31="◎"),COUNTIF($N$13:N31,"◎"),
IF(AND(表紙!$X$2="実績報告（１次）",OR(AH31="×",AH31="○")),"",
IF(表紙!$X$2="実績報告（２次）","－",
IF(表紙!$X$2="交付申請兼実績報告","－")))))))</f>
        <v>－</v>
      </c>
      <c r="O31" s="632" t="str">
        <f t="shared" si="1"/>
        <v/>
      </c>
      <c r="Q31" s="610" t="str">
        <f t="shared" si="2"/>
        <v/>
      </c>
      <c r="R31" s="614" t="str">
        <f t="shared" si="3"/>
        <v/>
      </c>
      <c r="S31" s="614" t="str">
        <f t="shared" si="4"/>
        <v/>
      </c>
      <c r="T31" s="614" t="str">
        <f t="shared" si="5"/>
        <v/>
      </c>
      <c r="AF31" s="514" t="s">
        <v>468</v>
      </c>
      <c r="AG31" s="537">
        <v>19</v>
      </c>
      <c r="AH31" s="612" t="str">
        <f t="shared" si="6"/>
        <v>○</v>
      </c>
      <c r="AI31" s="519" t="str">
        <f t="shared" si="7"/>
        <v>申請しない場合は入力不要です。</v>
      </c>
      <c r="AK31" s="538"/>
    </row>
    <row r="32" spans="1:37" ht="20.100000000000001" customHeight="1">
      <c r="A32" s="534">
        <v>20</v>
      </c>
      <c r="B32" s="123"/>
      <c r="C32" s="1916"/>
      <c r="D32" s="1917"/>
      <c r="E32" s="1918"/>
      <c r="F32" s="630"/>
      <c r="G32" s="7"/>
      <c r="H32" s="541"/>
      <c r="I32" s="522">
        <f t="shared" si="8"/>
        <v>0</v>
      </c>
      <c r="J32" s="535">
        <f t="shared" si="0"/>
        <v>0</v>
      </c>
      <c r="K32" s="625"/>
      <c r="L32" s="625"/>
      <c r="M32" s="625"/>
      <c r="N32" s="629" t="str">
        <f xml:space="preserve">
IF(表紙!$X$2="事前協議","－",
IF(表紙!$X$2="交付申請（２次）","－",
IF(表紙!$X$2="変更申請","－",
IF(AND(表紙!$X$2="実績報告（１次）",AH32="◎"),COUNTIF($N$13:N32,"◎"),
IF(AND(表紙!$X$2="実績報告（１次）",OR(AH32="×",AH32="○")),"",
IF(表紙!$X$2="実績報告（２次）","－",
IF(表紙!$X$2="交付申請兼実績報告","－")))))))</f>
        <v>－</v>
      </c>
      <c r="O32" s="632" t="str">
        <f t="shared" si="1"/>
        <v/>
      </c>
      <c r="Q32" s="610" t="str">
        <f t="shared" si="2"/>
        <v/>
      </c>
      <c r="R32" s="614" t="str">
        <f t="shared" si="3"/>
        <v/>
      </c>
      <c r="S32" s="614" t="str">
        <f t="shared" si="4"/>
        <v/>
      </c>
      <c r="T32" s="614" t="str">
        <f t="shared" si="5"/>
        <v/>
      </c>
      <c r="AF32" s="514" t="s">
        <v>468</v>
      </c>
      <c r="AG32" s="537">
        <v>20</v>
      </c>
      <c r="AH32" s="612" t="str">
        <f t="shared" si="6"/>
        <v>○</v>
      </c>
      <c r="AI32" s="519" t="str">
        <f t="shared" si="7"/>
        <v>申請しない場合は入力不要です。</v>
      </c>
      <c r="AK32" s="538"/>
    </row>
    <row r="33" spans="1:37" ht="20.100000000000001" customHeight="1">
      <c r="A33" s="534">
        <v>21</v>
      </c>
      <c r="B33" s="123"/>
      <c r="C33" s="1916"/>
      <c r="D33" s="1917"/>
      <c r="E33" s="1918"/>
      <c r="F33" s="630"/>
      <c r="G33" s="7"/>
      <c r="H33" s="541"/>
      <c r="I33" s="522">
        <f t="shared" si="8"/>
        <v>0</v>
      </c>
      <c r="J33" s="535">
        <f t="shared" si="0"/>
        <v>0</v>
      </c>
      <c r="K33" s="625"/>
      <c r="L33" s="625"/>
      <c r="M33" s="625"/>
      <c r="N33" s="629" t="str">
        <f xml:space="preserve">
IF(表紙!$X$2="事前協議","－",
IF(表紙!$X$2="交付申請（２次）","－",
IF(表紙!$X$2="変更申請","－",
IF(AND(表紙!$X$2="実績報告（１次）",AH33="◎"),COUNTIF($N$13:N33,"◎"),
IF(AND(表紙!$X$2="実績報告（１次）",OR(AH33="×",AH33="○")),"",
IF(表紙!$X$2="実績報告（２次）","－",
IF(表紙!$X$2="交付申請兼実績報告","－")))))))</f>
        <v>－</v>
      </c>
      <c r="O33" s="632" t="str">
        <f t="shared" si="1"/>
        <v/>
      </c>
      <c r="Q33" s="610" t="str">
        <f t="shared" si="2"/>
        <v/>
      </c>
      <c r="R33" s="614" t="str">
        <f t="shared" si="3"/>
        <v/>
      </c>
      <c r="S33" s="614" t="str">
        <f t="shared" si="4"/>
        <v/>
      </c>
      <c r="T33" s="614" t="str">
        <f t="shared" si="5"/>
        <v/>
      </c>
      <c r="AF33" s="514" t="s">
        <v>468</v>
      </c>
      <c r="AG33" s="537">
        <v>21</v>
      </c>
      <c r="AH33" s="612" t="str">
        <f t="shared" si="6"/>
        <v>○</v>
      </c>
      <c r="AI33" s="519" t="str">
        <f t="shared" si="7"/>
        <v>申請しない場合は入力不要です。</v>
      </c>
      <c r="AK33" s="538"/>
    </row>
    <row r="34" spans="1:37" ht="20.100000000000001" customHeight="1">
      <c r="A34" s="534">
        <v>22</v>
      </c>
      <c r="B34" s="123"/>
      <c r="C34" s="1916"/>
      <c r="D34" s="1917"/>
      <c r="E34" s="1918"/>
      <c r="F34" s="630"/>
      <c r="G34" s="7"/>
      <c r="H34" s="541"/>
      <c r="I34" s="522">
        <f t="shared" si="8"/>
        <v>0</v>
      </c>
      <c r="J34" s="535">
        <f t="shared" si="0"/>
        <v>0</v>
      </c>
      <c r="K34" s="625"/>
      <c r="L34" s="625"/>
      <c r="M34" s="625"/>
      <c r="N34" s="629" t="str">
        <f xml:space="preserve">
IF(表紙!$X$2="事前協議","－",
IF(表紙!$X$2="交付申請（２次）","－",
IF(表紙!$X$2="変更申請","－",
IF(AND(表紙!$X$2="実績報告（１次）",AH34="◎"),COUNTIF($N$13:N34,"◎"),
IF(AND(表紙!$X$2="実績報告（１次）",OR(AH34="×",AH34="○")),"",
IF(表紙!$X$2="実績報告（２次）","－",
IF(表紙!$X$2="交付申請兼実績報告","－")))))))</f>
        <v>－</v>
      </c>
      <c r="O34" s="632" t="str">
        <f t="shared" si="1"/>
        <v/>
      </c>
      <c r="Q34" s="610" t="str">
        <f t="shared" si="2"/>
        <v/>
      </c>
      <c r="R34" s="614" t="str">
        <f t="shared" si="3"/>
        <v/>
      </c>
      <c r="S34" s="614" t="str">
        <f t="shared" si="4"/>
        <v/>
      </c>
      <c r="T34" s="614" t="str">
        <f t="shared" si="5"/>
        <v/>
      </c>
      <c r="AF34" s="514" t="s">
        <v>468</v>
      </c>
      <c r="AG34" s="537">
        <v>22</v>
      </c>
      <c r="AH34" s="612" t="str">
        <f t="shared" si="6"/>
        <v>○</v>
      </c>
      <c r="AI34" s="519" t="str">
        <f t="shared" si="7"/>
        <v>申請しない場合は入力不要です。</v>
      </c>
      <c r="AK34" s="538"/>
    </row>
    <row r="35" spans="1:37" ht="20.100000000000001" customHeight="1">
      <c r="A35" s="534">
        <v>23</v>
      </c>
      <c r="B35" s="123"/>
      <c r="C35" s="1916"/>
      <c r="D35" s="1917"/>
      <c r="E35" s="1918"/>
      <c r="F35" s="630"/>
      <c r="G35" s="7"/>
      <c r="H35" s="541"/>
      <c r="I35" s="522">
        <f t="shared" si="8"/>
        <v>0</v>
      </c>
      <c r="J35" s="535">
        <f t="shared" si="0"/>
        <v>0</v>
      </c>
      <c r="K35" s="625"/>
      <c r="L35" s="625"/>
      <c r="M35" s="625"/>
      <c r="N35" s="629" t="str">
        <f xml:space="preserve">
IF(表紙!$X$2="事前協議","－",
IF(表紙!$X$2="交付申請（２次）","－",
IF(表紙!$X$2="変更申請","－",
IF(AND(表紙!$X$2="実績報告（１次）",AH35="◎"),COUNTIF($N$13:N35,"◎"),
IF(AND(表紙!$X$2="実績報告（１次）",OR(AH35="×",AH35="○")),"",
IF(表紙!$X$2="実績報告（２次）","－",
IF(表紙!$X$2="交付申請兼実績報告","－")))))))</f>
        <v>－</v>
      </c>
      <c r="O35" s="632" t="str">
        <f t="shared" si="1"/>
        <v/>
      </c>
      <c r="Q35" s="610" t="str">
        <f t="shared" si="2"/>
        <v/>
      </c>
      <c r="R35" s="614" t="str">
        <f t="shared" si="3"/>
        <v/>
      </c>
      <c r="S35" s="614" t="str">
        <f t="shared" si="4"/>
        <v/>
      </c>
      <c r="T35" s="614" t="str">
        <f t="shared" si="5"/>
        <v/>
      </c>
      <c r="AF35" s="514" t="s">
        <v>468</v>
      </c>
      <c r="AG35" s="537">
        <v>23</v>
      </c>
      <c r="AH35" s="612" t="str">
        <f t="shared" si="6"/>
        <v>○</v>
      </c>
      <c r="AI35" s="519" t="str">
        <f t="shared" si="7"/>
        <v>申請しない場合は入力不要です。</v>
      </c>
      <c r="AK35" s="538"/>
    </row>
    <row r="36" spans="1:37" ht="20.100000000000001" customHeight="1">
      <c r="A36" s="534">
        <v>24</v>
      </c>
      <c r="B36" s="123"/>
      <c r="C36" s="1916"/>
      <c r="D36" s="1917"/>
      <c r="E36" s="1918"/>
      <c r="F36" s="630"/>
      <c r="G36" s="7"/>
      <c r="H36" s="541"/>
      <c r="I36" s="522">
        <f t="shared" si="8"/>
        <v>0</v>
      </c>
      <c r="J36" s="535">
        <f t="shared" si="0"/>
        <v>0</v>
      </c>
      <c r="K36" s="625"/>
      <c r="L36" s="625"/>
      <c r="M36" s="625"/>
      <c r="N36" s="629" t="str">
        <f xml:space="preserve">
IF(表紙!$X$2="事前協議","－",
IF(表紙!$X$2="交付申請（２次）","－",
IF(表紙!$X$2="変更申請","－",
IF(AND(表紙!$X$2="実績報告（１次）",AH36="◎"),COUNTIF($N$13:N36,"◎"),
IF(AND(表紙!$X$2="実績報告（１次）",OR(AH36="×",AH36="○")),"",
IF(表紙!$X$2="実績報告（２次）","－",
IF(表紙!$X$2="交付申請兼実績報告","－")))))))</f>
        <v>－</v>
      </c>
      <c r="O36" s="632" t="str">
        <f t="shared" si="1"/>
        <v/>
      </c>
      <c r="Q36" s="610" t="str">
        <f t="shared" si="2"/>
        <v/>
      </c>
      <c r="R36" s="614" t="str">
        <f t="shared" si="3"/>
        <v/>
      </c>
      <c r="S36" s="614" t="str">
        <f t="shared" si="4"/>
        <v/>
      </c>
      <c r="T36" s="614" t="str">
        <f t="shared" si="5"/>
        <v/>
      </c>
      <c r="AF36" s="514" t="s">
        <v>468</v>
      </c>
      <c r="AG36" s="537">
        <v>24</v>
      </c>
      <c r="AH36" s="612" t="str">
        <f t="shared" si="6"/>
        <v>○</v>
      </c>
      <c r="AI36" s="519" t="str">
        <f t="shared" si="7"/>
        <v>申請しない場合は入力不要です。</v>
      </c>
      <c r="AK36" s="538"/>
    </row>
    <row r="37" spans="1:37" ht="20.100000000000001" customHeight="1">
      <c r="A37" s="534">
        <v>25</v>
      </c>
      <c r="B37" s="123"/>
      <c r="C37" s="1916"/>
      <c r="D37" s="1917"/>
      <c r="E37" s="1918"/>
      <c r="F37" s="630"/>
      <c r="G37" s="7"/>
      <c r="H37" s="541"/>
      <c r="I37" s="522">
        <f t="shared" si="8"/>
        <v>0</v>
      </c>
      <c r="J37" s="535">
        <f t="shared" si="0"/>
        <v>0</v>
      </c>
      <c r="K37" s="625"/>
      <c r="L37" s="625"/>
      <c r="M37" s="625"/>
      <c r="N37" s="629" t="str">
        <f xml:space="preserve">
IF(表紙!$X$2="事前協議","－",
IF(表紙!$X$2="交付申請（２次）","－",
IF(表紙!$X$2="変更申請","－",
IF(AND(表紙!$X$2="実績報告（１次）",AH37="◎"),COUNTIF($N$13:N37,"◎"),
IF(AND(表紙!$X$2="実績報告（１次）",OR(AH37="×",AH37="○")),"",
IF(表紙!$X$2="実績報告（２次）","－",
IF(表紙!$X$2="交付申請兼実績報告","－")))))))</f>
        <v>－</v>
      </c>
      <c r="O37" s="632" t="str">
        <f t="shared" si="1"/>
        <v/>
      </c>
      <c r="Q37" s="610" t="str">
        <f t="shared" si="2"/>
        <v/>
      </c>
      <c r="R37" s="614" t="str">
        <f t="shared" si="3"/>
        <v/>
      </c>
      <c r="S37" s="614" t="str">
        <f t="shared" si="4"/>
        <v/>
      </c>
      <c r="T37" s="614" t="str">
        <f t="shared" si="5"/>
        <v/>
      </c>
      <c r="AF37" s="514" t="s">
        <v>468</v>
      </c>
      <c r="AG37" s="537">
        <v>25</v>
      </c>
      <c r="AH37" s="612" t="str">
        <f t="shared" si="6"/>
        <v>○</v>
      </c>
      <c r="AI37" s="519" t="str">
        <f t="shared" si="7"/>
        <v>申請しない場合は入力不要です。</v>
      </c>
      <c r="AK37" s="538"/>
    </row>
    <row r="38" spans="1:37" ht="20.100000000000001" customHeight="1">
      <c r="A38" s="534">
        <v>26</v>
      </c>
      <c r="B38" s="123"/>
      <c r="C38" s="1916"/>
      <c r="D38" s="1917"/>
      <c r="E38" s="1918"/>
      <c r="F38" s="630"/>
      <c r="G38" s="7"/>
      <c r="H38" s="541"/>
      <c r="I38" s="522">
        <f t="shared" si="8"/>
        <v>0</v>
      </c>
      <c r="J38" s="535">
        <f t="shared" si="0"/>
        <v>0</v>
      </c>
      <c r="K38" s="625"/>
      <c r="L38" s="625"/>
      <c r="M38" s="625"/>
      <c r="N38" s="629" t="str">
        <f xml:space="preserve">
IF(表紙!$X$2="事前協議","－",
IF(表紙!$X$2="交付申請（２次）","－",
IF(表紙!$X$2="変更申請","－",
IF(AND(表紙!$X$2="実績報告（１次）",AH38="◎"),COUNTIF($N$13:N38,"◎"),
IF(AND(表紙!$X$2="実績報告（１次）",OR(AH38="×",AH38="○")),"",
IF(表紙!$X$2="実績報告（２次）","－",
IF(表紙!$X$2="交付申請兼実績報告","－")))))))</f>
        <v>－</v>
      </c>
      <c r="O38" s="632" t="str">
        <f t="shared" si="1"/>
        <v/>
      </c>
      <c r="Q38" s="610" t="str">
        <f t="shared" si="2"/>
        <v/>
      </c>
      <c r="R38" s="614" t="str">
        <f t="shared" si="3"/>
        <v/>
      </c>
      <c r="S38" s="614" t="str">
        <f t="shared" si="4"/>
        <v/>
      </c>
      <c r="T38" s="614" t="str">
        <f t="shared" si="5"/>
        <v/>
      </c>
      <c r="AF38" s="514" t="s">
        <v>468</v>
      </c>
      <c r="AG38" s="537">
        <v>26</v>
      </c>
      <c r="AH38" s="612" t="str">
        <f t="shared" si="6"/>
        <v>○</v>
      </c>
      <c r="AI38" s="519" t="str">
        <f t="shared" si="7"/>
        <v>申請しない場合は入力不要です。</v>
      </c>
      <c r="AK38" s="538"/>
    </row>
    <row r="39" spans="1:37" ht="20.100000000000001" customHeight="1">
      <c r="A39" s="534">
        <v>27</v>
      </c>
      <c r="B39" s="123"/>
      <c r="C39" s="1916"/>
      <c r="D39" s="1917"/>
      <c r="E39" s="1918"/>
      <c r="F39" s="630"/>
      <c r="G39" s="7"/>
      <c r="H39" s="541"/>
      <c r="I39" s="522">
        <f t="shared" si="8"/>
        <v>0</v>
      </c>
      <c r="J39" s="535">
        <f t="shared" si="0"/>
        <v>0</v>
      </c>
      <c r="K39" s="625"/>
      <c r="L39" s="625"/>
      <c r="M39" s="625"/>
      <c r="N39" s="629" t="str">
        <f xml:space="preserve">
IF(表紙!$X$2="事前協議","－",
IF(表紙!$X$2="交付申請（２次）","－",
IF(表紙!$X$2="変更申請","－",
IF(AND(表紙!$X$2="実績報告（１次）",AH39="◎"),COUNTIF($N$13:N39,"◎"),
IF(AND(表紙!$X$2="実績報告（１次）",OR(AH39="×",AH39="○")),"",
IF(表紙!$X$2="実績報告（２次）","－",
IF(表紙!$X$2="交付申請兼実績報告","－")))))))</f>
        <v>－</v>
      </c>
      <c r="O39" s="632" t="str">
        <f t="shared" si="1"/>
        <v/>
      </c>
      <c r="Q39" s="610" t="str">
        <f t="shared" si="2"/>
        <v/>
      </c>
      <c r="R39" s="614" t="str">
        <f t="shared" si="3"/>
        <v/>
      </c>
      <c r="S39" s="614" t="str">
        <f t="shared" si="4"/>
        <v/>
      </c>
      <c r="T39" s="614" t="str">
        <f t="shared" si="5"/>
        <v/>
      </c>
      <c r="AF39" s="514" t="s">
        <v>468</v>
      </c>
      <c r="AG39" s="537">
        <v>27</v>
      </c>
      <c r="AH39" s="612" t="str">
        <f t="shared" si="6"/>
        <v>○</v>
      </c>
      <c r="AI39" s="519" t="str">
        <f t="shared" si="7"/>
        <v>申請しない場合は入力不要です。</v>
      </c>
      <c r="AK39" s="538"/>
    </row>
    <row r="40" spans="1:37" ht="20.100000000000001" customHeight="1">
      <c r="A40" s="534">
        <v>28</v>
      </c>
      <c r="B40" s="123"/>
      <c r="C40" s="1916"/>
      <c r="D40" s="1917"/>
      <c r="E40" s="1918"/>
      <c r="F40" s="630"/>
      <c r="G40" s="7"/>
      <c r="H40" s="541"/>
      <c r="I40" s="522">
        <f t="shared" si="8"/>
        <v>0</v>
      </c>
      <c r="J40" s="535">
        <f t="shared" si="0"/>
        <v>0</v>
      </c>
      <c r="K40" s="625"/>
      <c r="L40" s="625"/>
      <c r="M40" s="625"/>
      <c r="N40" s="629" t="str">
        <f xml:space="preserve">
IF(表紙!$X$2="事前協議","－",
IF(表紙!$X$2="交付申請（２次）","－",
IF(表紙!$X$2="変更申請","－",
IF(AND(表紙!$X$2="実績報告（１次）",AH40="◎"),COUNTIF($N$13:N40,"◎"),
IF(AND(表紙!$X$2="実績報告（１次）",OR(AH40="×",AH40="○")),"",
IF(表紙!$X$2="実績報告（２次）","－",
IF(表紙!$X$2="交付申請兼実績報告","－")))))))</f>
        <v>－</v>
      </c>
      <c r="O40" s="632" t="str">
        <f t="shared" si="1"/>
        <v/>
      </c>
      <c r="Q40" s="610" t="str">
        <f t="shared" si="2"/>
        <v/>
      </c>
      <c r="R40" s="614" t="str">
        <f t="shared" si="3"/>
        <v/>
      </c>
      <c r="S40" s="614" t="str">
        <f t="shared" si="4"/>
        <v/>
      </c>
      <c r="T40" s="614" t="str">
        <f t="shared" si="5"/>
        <v/>
      </c>
      <c r="AF40" s="514" t="s">
        <v>468</v>
      </c>
      <c r="AG40" s="537">
        <v>28</v>
      </c>
      <c r="AH40" s="612" t="str">
        <f t="shared" si="6"/>
        <v>○</v>
      </c>
      <c r="AI40" s="519" t="str">
        <f t="shared" si="7"/>
        <v>申請しない場合は入力不要です。</v>
      </c>
      <c r="AK40" s="538"/>
    </row>
    <row r="41" spans="1:37" ht="20.100000000000001" customHeight="1">
      <c r="A41" s="534">
        <v>29</v>
      </c>
      <c r="B41" s="123"/>
      <c r="C41" s="1916"/>
      <c r="D41" s="1917"/>
      <c r="E41" s="1918"/>
      <c r="F41" s="630"/>
      <c r="G41" s="7"/>
      <c r="H41" s="541"/>
      <c r="I41" s="522">
        <f t="shared" si="8"/>
        <v>0</v>
      </c>
      <c r="J41" s="535">
        <f t="shared" si="0"/>
        <v>0</v>
      </c>
      <c r="K41" s="625"/>
      <c r="L41" s="625"/>
      <c r="M41" s="625"/>
      <c r="N41" s="629" t="str">
        <f xml:space="preserve">
IF(表紙!$X$2="事前協議","－",
IF(表紙!$X$2="交付申請（２次）","－",
IF(表紙!$X$2="変更申請","－",
IF(AND(表紙!$X$2="実績報告（１次）",AH41="◎"),COUNTIF($N$13:N41,"◎"),
IF(AND(表紙!$X$2="実績報告（１次）",OR(AH41="×",AH41="○")),"",
IF(表紙!$X$2="実績報告（２次）","－",
IF(表紙!$X$2="交付申請兼実績報告","－")))))))</f>
        <v>－</v>
      </c>
      <c r="O41" s="632" t="str">
        <f t="shared" si="1"/>
        <v/>
      </c>
      <c r="Q41" s="610" t="str">
        <f t="shared" si="2"/>
        <v/>
      </c>
      <c r="R41" s="614" t="str">
        <f t="shared" si="3"/>
        <v/>
      </c>
      <c r="S41" s="614" t="str">
        <f t="shared" si="4"/>
        <v/>
      </c>
      <c r="T41" s="614" t="str">
        <f t="shared" si="5"/>
        <v/>
      </c>
      <c r="AF41" s="514" t="s">
        <v>468</v>
      </c>
      <c r="AG41" s="537">
        <v>29</v>
      </c>
      <c r="AH41" s="612" t="str">
        <f t="shared" si="6"/>
        <v>○</v>
      </c>
      <c r="AI41" s="519" t="str">
        <f t="shared" si="7"/>
        <v>申請しない場合は入力不要です。</v>
      </c>
      <c r="AK41" s="538"/>
    </row>
    <row r="42" spans="1:37" ht="20.100000000000001" customHeight="1">
      <c r="A42" s="534">
        <v>30</v>
      </c>
      <c r="B42" s="123"/>
      <c r="C42" s="1916"/>
      <c r="D42" s="1917"/>
      <c r="E42" s="1918"/>
      <c r="F42" s="630"/>
      <c r="G42" s="7"/>
      <c r="H42" s="541"/>
      <c r="I42" s="522">
        <f t="shared" si="8"/>
        <v>0</v>
      </c>
      <c r="J42" s="535">
        <f t="shared" si="0"/>
        <v>0</v>
      </c>
      <c r="K42" s="625"/>
      <c r="L42" s="625"/>
      <c r="M42" s="625"/>
      <c r="N42" s="629" t="str">
        <f xml:space="preserve">
IF(表紙!$X$2="事前協議","－",
IF(表紙!$X$2="交付申請（２次）","－",
IF(表紙!$X$2="変更申請","－",
IF(AND(表紙!$X$2="実績報告（１次）",AH42="◎"),COUNTIF($N$13:N42,"◎"),
IF(AND(表紙!$X$2="実績報告（１次）",OR(AH42="×",AH42="○")),"",
IF(表紙!$X$2="実績報告（２次）","－",
IF(表紙!$X$2="交付申請兼実績報告","－")))))))</f>
        <v>－</v>
      </c>
      <c r="O42" s="632" t="str">
        <f t="shared" si="1"/>
        <v/>
      </c>
      <c r="Q42" s="610" t="str">
        <f t="shared" si="2"/>
        <v/>
      </c>
      <c r="R42" s="614" t="str">
        <f t="shared" si="3"/>
        <v/>
      </c>
      <c r="S42" s="614" t="str">
        <f t="shared" si="4"/>
        <v/>
      </c>
      <c r="T42" s="614" t="str">
        <f t="shared" si="5"/>
        <v/>
      </c>
      <c r="AF42" s="514" t="s">
        <v>468</v>
      </c>
      <c r="AG42" s="537">
        <v>30</v>
      </c>
      <c r="AH42" s="612" t="str">
        <f t="shared" si="6"/>
        <v>○</v>
      </c>
      <c r="AI42" s="519" t="str">
        <f t="shared" si="7"/>
        <v>申請しない場合は入力不要です。</v>
      </c>
      <c r="AK42" s="538"/>
    </row>
    <row r="43" spans="1:37" ht="20.100000000000001" customHeight="1">
      <c r="A43" s="534">
        <v>31</v>
      </c>
      <c r="B43" s="123"/>
      <c r="C43" s="1916"/>
      <c r="D43" s="1917"/>
      <c r="E43" s="1918"/>
      <c r="F43" s="630"/>
      <c r="G43" s="7"/>
      <c r="H43" s="541"/>
      <c r="I43" s="522">
        <f t="shared" si="8"/>
        <v>0</v>
      </c>
      <c r="J43" s="535">
        <f t="shared" si="0"/>
        <v>0</v>
      </c>
      <c r="K43" s="625"/>
      <c r="L43" s="625"/>
      <c r="M43" s="625"/>
      <c r="N43" s="629" t="str">
        <f xml:space="preserve">
IF(表紙!$X$2="事前協議","－",
IF(表紙!$X$2="交付申請（２次）","－",
IF(表紙!$X$2="変更申請","－",
IF(AND(表紙!$X$2="実績報告（１次）",AH43="◎"),COUNTIF($N$13:N43,"◎"),
IF(AND(表紙!$X$2="実績報告（１次）",OR(AH43="×",AH43="○")),"",
IF(表紙!$X$2="実績報告（２次）","－",
IF(表紙!$X$2="交付申請兼実績報告","－")))))))</f>
        <v>－</v>
      </c>
      <c r="O43" s="632" t="str">
        <f t="shared" si="1"/>
        <v/>
      </c>
      <c r="Q43" s="610" t="str">
        <f t="shared" si="2"/>
        <v/>
      </c>
      <c r="R43" s="614" t="str">
        <f t="shared" si="3"/>
        <v/>
      </c>
      <c r="S43" s="614" t="str">
        <f t="shared" si="4"/>
        <v/>
      </c>
      <c r="T43" s="614" t="str">
        <f t="shared" si="5"/>
        <v/>
      </c>
      <c r="AF43" s="514" t="s">
        <v>468</v>
      </c>
      <c r="AG43" s="537">
        <v>31</v>
      </c>
      <c r="AH43" s="612" t="str">
        <f t="shared" si="6"/>
        <v>○</v>
      </c>
      <c r="AI43" s="519" t="str">
        <f t="shared" si="7"/>
        <v>申請しない場合は入力不要です。</v>
      </c>
      <c r="AK43" s="538"/>
    </row>
    <row r="44" spans="1:37" ht="20.100000000000001" customHeight="1">
      <c r="A44" s="534">
        <v>32</v>
      </c>
      <c r="B44" s="123"/>
      <c r="C44" s="1916"/>
      <c r="D44" s="1917"/>
      <c r="E44" s="1918"/>
      <c r="F44" s="630"/>
      <c r="G44" s="7"/>
      <c r="H44" s="541"/>
      <c r="I44" s="522">
        <f t="shared" si="8"/>
        <v>0</v>
      </c>
      <c r="J44" s="535">
        <f t="shared" si="0"/>
        <v>0</v>
      </c>
      <c r="K44" s="625"/>
      <c r="L44" s="625"/>
      <c r="M44" s="625"/>
      <c r="N44" s="629" t="str">
        <f xml:space="preserve">
IF(表紙!$X$2="事前協議","－",
IF(表紙!$X$2="交付申請（２次）","－",
IF(表紙!$X$2="変更申請","－",
IF(AND(表紙!$X$2="実績報告（１次）",AH44="◎"),COUNTIF($N$13:N44,"◎"),
IF(AND(表紙!$X$2="実績報告（１次）",OR(AH44="×",AH44="○")),"",
IF(表紙!$X$2="実績報告（２次）","－",
IF(表紙!$X$2="交付申請兼実績報告","－")))))))</f>
        <v>－</v>
      </c>
      <c r="O44" s="632" t="str">
        <f t="shared" si="1"/>
        <v/>
      </c>
      <c r="Q44" s="610" t="str">
        <f t="shared" si="2"/>
        <v/>
      </c>
      <c r="R44" s="614" t="str">
        <f t="shared" si="3"/>
        <v/>
      </c>
      <c r="S44" s="614" t="str">
        <f t="shared" si="4"/>
        <v/>
      </c>
      <c r="T44" s="614" t="str">
        <f t="shared" si="5"/>
        <v/>
      </c>
      <c r="AF44" s="514" t="s">
        <v>468</v>
      </c>
      <c r="AG44" s="537">
        <v>32</v>
      </c>
      <c r="AH44" s="612" t="str">
        <f t="shared" si="6"/>
        <v>○</v>
      </c>
      <c r="AI44" s="519" t="str">
        <f t="shared" si="7"/>
        <v>申請しない場合は入力不要です。</v>
      </c>
      <c r="AK44" s="538"/>
    </row>
    <row r="45" spans="1:37" ht="20.100000000000001" customHeight="1">
      <c r="A45" s="534">
        <v>33</v>
      </c>
      <c r="B45" s="123"/>
      <c r="C45" s="1916"/>
      <c r="D45" s="1917"/>
      <c r="E45" s="1918"/>
      <c r="F45" s="630"/>
      <c r="G45" s="7"/>
      <c r="H45" s="541"/>
      <c r="I45" s="522">
        <f t="shared" si="8"/>
        <v>0</v>
      </c>
      <c r="J45" s="535">
        <f t="shared" si="0"/>
        <v>0</v>
      </c>
      <c r="K45" s="625"/>
      <c r="L45" s="625"/>
      <c r="M45" s="625"/>
      <c r="N45" s="629" t="str">
        <f xml:space="preserve">
IF(表紙!$X$2="事前協議","－",
IF(表紙!$X$2="交付申請（２次）","－",
IF(表紙!$X$2="変更申請","－",
IF(AND(表紙!$X$2="実績報告（１次）",AH45="◎"),COUNTIF($N$13:N45,"◎"),
IF(AND(表紙!$X$2="実績報告（１次）",OR(AH45="×",AH45="○")),"",
IF(表紙!$X$2="実績報告（２次）","－",
IF(表紙!$X$2="交付申請兼実績報告","－")))))))</f>
        <v>－</v>
      </c>
      <c r="O45" s="632" t="str">
        <f t="shared" si="1"/>
        <v/>
      </c>
      <c r="Q45" s="610" t="str">
        <f t="shared" si="2"/>
        <v/>
      </c>
      <c r="R45" s="614" t="str">
        <f t="shared" si="3"/>
        <v/>
      </c>
      <c r="S45" s="614" t="str">
        <f t="shared" si="4"/>
        <v/>
      </c>
      <c r="T45" s="614" t="str">
        <f t="shared" si="5"/>
        <v/>
      </c>
      <c r="AE45" s="514" t="e">
        <f>IF(C8=0,"×","○")</f>
        <v>#VALUE!</v>
      </c>
      <c r="AF45" s="514" t="s">
        <v>468</v>
      </c>
      <c r="AG45" s="537">
        <v>33</v>
      </c>
      <c r="AH45" s="612" t="str">
        <f t="shared" si="6"/>
        <v>○</v>
      </c>
      <c r="AI45" s="519" t="str">
        <f t="shared" si="7"/>
        <v>申請しない場合は入力不要です。</v>
      </c>
      <c r="AK45" s="538"/>
    </row>
    <row r="46" spans="1:37" ht="20.100000000000001" customHeight="1">
      <c r="A46" s="534">
        <v>34</v>
      </c>
      <c r="B46" s="123"/>
      <c r="C46" s="1916"/>
      <c r="D46" s="1917"/>
      <c r="E46" s="1918"/>
      <c r="F46" s="630"/>
      <c r="G46" s="7"/>
      <c r="H46" s="541"/>
      <c r="I46" s="522">
        <f t="shared" si="8"/>
        <v>0</v>
      </c>
      <c r="J46" s="535">
        <f t="shared" si="0"/>
        <v>0</v>
      </c>
      <c r="K46" s="625"/>
      <c r="L46" s="625"/>
      <c r="M46" s="625"/>
      <c r="N46" s="629" t="str">
        <f xml:space="preserve">
IF(表紙!$X$2="事前協議","－",
IF(表紙!$X$2="交付申請（２次）","－",
IF(表紙!$X$2="変更申請","－",
IF(AND(表紙!$X$2="実績報告（１次）",AH46="◎"),COUNTIF($N$13:N46,"◎"),
IF(AND(表紙!$X$2="実績報告（１次）",OR(AH46="×",AH46="○")),"",
IF(表紙!$X$2="実績報告（２次）","－",
IF(表紙!$X$2="交付申請兼実績報告","－")))))))</f>
        <v>－</v>
      </c>
      <c r="O46" s="632" t="str">
        <f t="shared" si="1"/>
        <v/>
      </c>
      <c r="Q46" s="610" t="str">
        <f t="shared" si="2"/>
        <v/>
      </c>
      <c r="R46" s="614" t="str">
        <f t="shared" si="3"/>
        <v/>
      </c>
      <c r="S46" s="614" t="str">
        <f t="shared" si="4"/>
        <v/>
      </c>
      <c r="T46" s="614" t="str">
        <f t="shared" si="5"/>
        <v/>
      </c>
      <c r="AF46" s="514" t="s">
        <v>468</v>
      </c>
      <c r="AG46" s="537">
        <v>34</v>
      </c>
      <c r="AH46" s="612" t="str">
        <f t="shared" si="6"/>
        <v>○</v>
      </c>
      <c r="AI46" s="519" t="str">
        <f t="shared" si="7"/>
        <v>申請しない場合は入力不要です。</v>
      </c>
      <c r="AK46" s="538"/>
    </row>
    <row r="47" spans="1:37" ht="20.100000000000001" customHeight="1">
      <c r="A47" s="534">
        <v>35</v>
      </c>
      <c r="B47" s="123"/>
      <c r="C47" s="1916"/>
      <c r="D47" s="1917"/>
      <c r="E47" s="1918"/>
      <c r="F47" s="630"/>
      <c r="G47" s="7"/>
      <c r="H47" s="541"/>
      <c r="I47" s="522">
        <f t="shared" si="8"/>
        <v>0</v>
      </c>
      <c r="J47" s="535">
        <f t="shared" si="0"/>
        <v>0</v>
      </c>
      <c r="K47" s="625"/>
      <c r="L47" s="625"/>
      <c r="M47" s="625"/>
      <c r="N47" s="629" t="str">
        <f xml:space="preserve">
IF(表紙!$X$2="事前協議","－",
IF(表紙!$X$2="交付申請（２次）","－",
IF(表紙!$X$2="変更申請","－",
IF(AND(表紙!$X$2="実績報告（１次）",AH47="◎"),COUNTIF($N$13:N47,"◎"),
IF(AND(表紙!$X$2="実績報告（１次）",OR(AH47="×",AH47="○")),"",
IF(表紙!$X$2="実績報告（２次）","－",
IF(表紙!$X$2="交付申請兼実績報告","－")))))))</f>
        <v>－</v>
      </c>
      <c r="O47" s="632" t="str">
        <f t="shared" si="1"/>
        <v/>
      </c>
      <c r="Q47" s="610" t="str">
        <f t="shared" si="2"/>
        <v/>
      </c>
      <c r="R47" s="614" t="str">
        <f t="shared" si="3"/>
        <v/>
      </c>
      <c r="S47" s="614" t="str">
        <f t="shared" si="4"/>
        <v/>
      </c>
      <c r="T47" s="614" t="str">
        <f t="shared" si="5"/>
        <v/>
      </c>
      <c r="AF47" s="514" t="s">
        <v>468</v>
      </c>
      <c r="AG47" s="537">
        <v>35</v>
      </c>
      <c r="AH47" s="612" t="str">
        <f t="shared" si="6"/>
        <v>○</v>
      </c>
      <c r="AI47" s="519" t="str">
        <f t="shared" si="7"/>
        <v>申請しない場合は入力不要です。</v>
      </c>
      <c r="AK47" s="538"/>
    </row>
    <row r="48" spans="1:37" ht="20.100000000000001" customHeight="1">
      <c r="A48" s="534">
        <v>36</v>
      </c>
      <c r="B48" s="123"/>
      <c r="C48" s="1916"/>
      <c r="D48" s="1917"/>
      <c r="E48" s="1918"/>
      <c r="F48" s="630"/>
      <c r="G48" s="7"/>
      <c r="H48" s="541"/>
      <c r="I48" s="522">
        <f t="shared" si="8"/>
        <v>0</v>
      </c>
      <c r="J48" s="535">
        <f t="shared" si="0"/>
        <v>0</v>
      </c>
      <c r="K48" s="625"/>
      <c r="L48" s="625"/>
      <c r="M48" s="625"/>
      <c r="N48" s="629" t="str">
        <f xml:space="preserve">
IF(表紙!$X$2="事前協議","－",
IF(表紙!$X$2="交付申請（２次）","－",
IF(表紙!$X$2="変更申請","－",
IF(AND(表紙!$X$2="実績報告（１次）",AH48="◎"),COUNTIF($N$13:N48,"◎"),
IF(AND(表紙!$X$2="実績報告（１次）",OR(AH48="×",AH48="○")),"",
IF(表紙!$X$2="実績報告（２次）","－",
IF(表紙!$X$2="交付申請兼実績報告","－")))))))</f>
        <v>－</v>
      </c>
      <c r="O48" s="632" t="str">
        <f t="shared" si="1"/>
        <v/>
      </c>
      <c r="Q48" s="610" t="str">
        <f t="shared" si="2"/>
        <v/>
      </c>
      <c r="R48" s="614" t="str">
        <f t="shared" si="3"/>
        <v/>
      </c>
      <c r="S48" s="614" t="str">
        <f t="shared" si="4"/>
        <v/>
      </c>
      <c r="T48" s="614" t="str">
        <f t="shared" si="5"/>
        <v/>
      </c>
      <c r="AF48" s="514" t="s">
        <v>468</v>
      </c>
      <c r="AG48" s="537">
        <v>36</v>
      </c>
      <c r="AH48" s="612" t="str">
        <f t="shared" si="6"/>
        <v>○</v>
      </c>
      <c r="AI48" s="519" t="str">
        <f t="shared" si="7"/>
        <v>申請しない場合は入力不要です。</v>
      </c>
      <c r="AK48" s="538"/>
    </row>
    <row r="49" spans="1:37" ht="20.100000000000001" customHeight="1">
      <c r="A49" s="534">
        <v>37</v>
      </c>
      <c r="B49" s="123"/>
      <c r="C49" s="1916"/>
      <c r="D49" s="1917"/>
      <c r="E49" s="1918"/>
      <c r="F49" s="630"/>
      <c r="G49" s="7"/>
      <c r="H49" s="541"/>
      <c r="I49" s="522">
        <f t="shared" si="8"/>
        <v>0</v>
      </c>
      <c r="J49" s="535">
        <f t="shared" si="0"/>
        <v>0</v>
      </c>
      <c r="K49" s="625"/>
      <c r="L49" s="625"/>
      <c r="M49" s="625"/>
      <c r="N49" s="629" t="str">
        <f xml:space="preserve">
IF(表紙!$X$2="事前協議","－",
IF(表紙!$X$2="交付申請（２次）","－",
IF(表紙!$X$2="変更申請","－",
IF(AND(表紙!$X$2="実績報告（１次）",AH49="◎"),COUNTIF($N$13:N49,"◎"),
IF(AND(表紙!$X$2="実績報告（１次）",OR(AH49="×",AH49="○")),"",
IF(表紙!$X$2="実績報告（２次）","－",
IF(表紙!$X$2="交付申請兼実績報告","－")))))))</f>
        <v>－</v>
      </c>
      <c r="O49" s="632" t="str">
        <f t="shared" si="1"/>
        <v/>
      </c>
      <c r="Q49" s="610" t="str">
        <f t="shared" si="2"/>
        <v/>
      </c>
      <c r="R49" s="614" t="str">
        <f t="shared" si="3"/>
        <v/>
      </c>
      <c r="S49" s="614" t="str">
        <f t="shared" si="4"/>
        <v/>
      </c>
      <c r="T49" s="614" t="str">
        <f t="shared" si="5"/>
        <v/>
      </c>
      <c r="AF49" s="514" t="s">
        <v>468</v>
      </c>
      <c r="AG49" s="537">
        <v>37</v>
      </c>
      <c r="AH49" s="612" t="str">
        <f t="shared" si="6"/>
        <v>○</v>
      </c>
      <c r="AI49" s="519" t="str">
        <f t="shared" si="7"/>
        <v>申請しない場合は入力不要です。</v>
      </c>
      <c r="AK49" s="538"/>
    </row>
    <row r="50" spans="1:37" ht="20.100000000000001" customHeight="1">
      <c r="A50" s="534">
        <v>38</v>
      </c>
      <c r="B50" s="123"/>
      <c r="C50" s="1916"/>
      <c r="D50" s="1917"/>
      <c r="E50" s="1918"/>
      <c r="F50" s="630"/>
      <c r="G50" s="7"/>
      <c r="H50" s="541"/>
      <c r="I50" s="522">
        <f t="shared" si="8"/>
        <v>0</v>
      </c>
      <c r="J50" s="535">
        <f t="shared" si="0"/>
        <v>0</v>
      </c>
      <c r="K50" s="625"/>
      <c r="L50" s="625"/>
      <c r="M50" s="625"/>
      <c r="N50" s="629" t="str">
        <f xml:space="preserve">
IF(表紙!$X$2="事前協議","－",
IF(表紙!$X$2="交付申請（２次）","－",
IF(表紙!$X$2="変更申請","－",
IF(AND(表紙!$X$2="実績報告（１次）",AH50="◎"),COUNTIF($N$13:N50,"◎"),
IF(AND(表紙!$X$2="実績報告（１次）",OR(AH50="×",AH50="○")),"",
IF(表紙!$X$2="実績報告（２次）","－",
IF(表紙!$X$2="交付申請兼実績報告","－")))))))</f>
        <v>－</v>
      </c>
      <c r="O50" s="632" t="str">
        <f t="shared" si="1"/>
        <v/>
      </c>
      <c r="Q50" s="610" t="str">
        <f t="shared" si="2"/>
        <v/>
      </c>
      <c r="R50" s="614" t="str">
        <f t="shared" si="3"/>
        <v/>
      </c>
      <c r="S50" s="614" t="str">
        <f t="shared" si="4"/>
        <v/>
      </c>
      <c r="T50" s="614" t="str">
        <f t="shared" si="5"/>
        <v/>
      </c>
      <c r="AF50" s="514" t="s">
        <v>468</v>
      </c>
      <c r="AG50" s="537">
        <v>38</v>
      </c>
      <c r="AH50" s="612" t="str">
        <f t="shared" si="6"/>
        <v>○</v>
      </c>
      <c r="AI50" s="519" t="str">
        <f t="shared" si="7"/>
        <v>申請しない場合は入力不要です。</v>
      </c>
      <c r="AK50" s="538"/>
    </row>
    <row r="51" spans="1:37" ht="20.100000000000001" customHeight="1">
      <c r="A51" s="534">
        <v>39</v>
      </c>
      <c r="B51" s="123"/>
      <c r="C51" s="1916"/>
      <c r="D51" s="1917"/>
      <c r="E51" s="1918"/>
      <c r="F51" s="630"/>
      <c r="G51" s="7"/>
      <c r="H51" s="541"/>
      <c r="I51" s="522">
        <f t="shared" si="8"/>
        <v>0</v>
      </c>
      <c r="J51" s="535">
        <f t="shared" si="0"/>
        <v>0</v>
      </c>
      <c r="K51" s="625"/>
      <c r="L51" s="625"/>
      <c r="M51" s="625"/>
      <c r="N51" s="629" t="str">
        <f xml:space="preserve">
IF(表紙!$X$2="事前協議","－",
IF(表紙!$X$2="交付申請（２次）","－",
IF(表紙!$X$2="変更申請","－",
IF(AND(表紙!$X$2="実績報告（１次）",AH51="◎"),COUNTIF($N$13:N51,"◎"),
IF(AND(表紙!$X$2="実績報告（１次）",OR(AH51="×",AH51="○")),"",
IF(表紙!$X$2="実績報告（２次）","－",
IF(表紙!$X$2="交付申請兼実績報告","－")))))))</f>
        <v>－</v>
      </c>
      <c r="O51" s="632" t="str">
        <f t="shared" si="1"/>
        <v/>
      </c>
      <c r="Q51" s="610" t="str">
        <f t="shared" si="2"/>
        <v/>
      </c>
      <c r="R51" s="614" t="str">
        <f t="shared" si="3"/>
        <v/>
      </c>
      <c r="S51" s="614" t="str">
        <f t="shared" si="4"/>
        <v/>
      </c>
      <c r="T51" s="614" t="str">
        <f t="shared" si="5"/>
        <v/>
      </c>
      <c r="AF51" s="514" t="s">
        <v>468</v>
      </c>
      <c r="AG51" s="537">
        <v>39</v>
      </c>
      <c r="AH51" s="612" t="str">
        <f t="shared" si="6"/>
        <v>○</v>
      </c>
      <c r="AI51" s="519" t="str">
        <f t="shared" si="7"/>
        <v>申請しない場合は入力不要です。</v>
      </c>
      <c r="AK51" s="538"/>
    </row>
    <row r="52" spans="1:37" ht="20.100000000000001" customHeight="1">
      <c r="A52" s="534">
        <v>40</v>
      </c>
      <c r="B52" s="123"/>
      <c r="C52" s="1916"/>
      <c r="D52" s="1917"/>
      <c r="E52" s="1918"/>
      <c r="F52" s="630"/>
      <c r="G52" s="7"/>
      <c r="H52" s="541"/>
      <c r="I52" s="522">
        <f t="shared" si="8"/>
        <v>0</v>
      </c>
      <c r="J52" s="535">
        <f t="shared" si="0"/>
        <v>0</v>
      </c>
      <c r="K52" s="625"/>
      <c r="L52" s="625"/>
      <c r="M52" s="625"/>
      <c r="N52" s="629" t="str">
        <f xml:space="preserve">
IF(表紙!$X$2="事前協議","－",
IF(表紙!$X$2="交付申請（２次）","－",
IF(表紙!$X$2="変更申請","－",
IF(AND(表紙!$X$2="実績報告（１次）",AH52="◎"),COUNTIF($N$13:N52,"◎"),
IF(AND(表紙!$X$2="実績報告（１次）",OR(AH52="×",AH52="○")),"",
IF(表紙!$X$2="実績報告（２次）","－",
IF(表紙!$X$2="交付申請兼実績報告","－")))))))</f>
        <v>－</v>
      </c>
      <c r="O52" s="632" t="str">
        <f t="shared" si="1"/>
        <v/>
      </c>
      <c r="Q52" s="610" t="str">
        <f t="shared" si="2"/>
        <v/>
      </c>
      <c r="R52" s="614" t="str">
        <f t="shared" si="3"/>
        <v/>
      </c>
      <c r="S52" s="614" t="str">
        <f t="shared" si="4"/>
        <v/>
      </c>
      <c r="T52" s="614" t="str">
        <f t="shared" si="5"/>
        <v/>
      </c>
      <c r="AF52" s="514" t="s">
        <v>468</v>
      </c>
      <c r="AG52" s="537">
        <v>40</v>
      </c>
      <c r="AH52" s="612" t="str">
        <f t="shared" si="6"/>
        <v>○</v>
      </c>
      <c r="AI52" s="519" t="str">
        <f t="shared" si="7"/>
        <v>申請しない場合は入力不要です。</v>
      </c>
      <c r="AK52" s="538"/>
    </row>
    <row r="53" spans="1:37" ht="20.100000000000001" customHeight="1">
      <c r="A53" s="534">
        <v>41</v>
      </c>
      <c r="B53" s="123"/>
      <c r="C53" s="1916"/>
      <c r="D53" s="1917"/>
      <c r="E53" s="1918"/>
      <c r="F53" s="630"/>
      <c r="G53" s="7"/>
      <c r="H53" s="541"/>
      <c r="I53" s="522">
        <f t="shared" si="8"/>
        <v>0</v>
      </c>
      <c r="J53" s="535">
        <f t="shared" si="0"/>
        <v>0</v>
      </c>
      <c r="K53" s="625"/>
      <c r="L53" s="625"/>
      <c r="M53" s="625"/>
      <c r="N53" s="629" t="str">
        <f xml:space="preserve">
IF(表紙!$X$2="事前協議","－",
IF(表紙!$X$2="交付申請（２次）","－",
IF(表紙!$X$2="変更申請","－",
IF(AND(表紙!$X$2="実績報告（１次）",AH53="◎"),COUNTIF($N$13:N53,"◎"),
IF(AND(表紙!$X$2="実績報告（１次）",OR(AH53="×",AH53="○")),"",
IF(表紙!$X$2="実績報告（２次）","－",
IF(表紙!$X$2="交付申請兼実績報告","－")))))))</f>
        <v>－</v>
      </c>
      <c r="O53" s="632" t="str">
        <f t="shared" si="1"/>
        <v/>
      </c>
      <c r="Q53" s="610" t="str">
        <f t="shared" si="2"/>
        <v/>
      </c>
      <c r="R53" s="614" t="str">
        <f t="shared" si="3"/>
        <v/>
      </c>
      <c r="S53" s="614" t="str">
        <f t="shared" si="4"/>
        <v/>
      </c>
      <c r="T53" s="614" t="str">
        <f t="shared" si="5"/>
        <v/>
      </c>
      <c r="AF53" s="514" t="s">
        <v>468</v>
      </c>
      <c r="AG53" s="537">
        <v>41</v>
      </c>
      <c r="AH53" s="612" t="str">
        <f t="shared" si="6"/>
        <v>○</v>
      </c>
      <c r="AI53" s="519" t="str">
        <f t="shared" si="7"/>
        <v>申請しない場合は入力不要です。</v>
      </c>
      <c r="AK53" s="538"/>
    </row>
    <row r="54" spans="1:37" ht="20.100000000000001" customHeight="1">
      <c r="A54" s="534">
        <v>42</v>
      </c>
      <c r="B54" s="123"/>
      <c r="C54" s="1916"/>
      <c r="D54" s="1917"/>
      <c r="E54" s="1918"/>
      <c r="F54" s="630"/>
      <c r="G54" s="7"/>
      <c r="H54" s="541"/>
      <c r="I54" s="522">
        <f t="shared" si="8"/>
        <v>0</v>
      </c>
      <c r="J54" s="535">
        <f t="shared" si="0"/>
        <v>0</v>
      </c>
      <c r="K54" s="625"/>
      <c r="L54" s="625"/>
      <c r="M54" s="625"/>
      <c r="N54" s="629" t="str">
        <f xml:space="preserve">
IF(表紙!$X$2="事前協議","－",
IF(表紙!$X$2="交付申請（２次）","－",
IF(表紙!$X$2="変更申請","－",
IF(AND(表紙!$X$2="実績報告（１次）",AH54="◎"),COUNTIF($N$13:N54,"◎"),
IF(AND(表紙!$X$2="実績報告（１次）",OR(AH54="×",AH54="○")),"",
IF(表紙!$X$2="実績報告（２次）","－",
IF(表紙!$X$2="交付申請兼実績報告","－")))))))</f>
        <v>－</v>
      </c>
      <c r="O54" s="632" t="str">
        <f t="shared" si="1"/>
        <v/>
      </c>
      <c r="Q54" s="610" t="str">
        <f t="shared" si="2"/>
        <v/>
      </c>
      <c r="R54" s="614" t="str">
        <f t="shared" si="3"/>
        <v/>
      </c>
      <c r="S54" s="614" t="str">
        <f t="shared" si="4"/>
        <v/>
      </c>
      <c r="T54" s="614" t="str">
        <f t="shared" si="5"/>
        <v/>
      </c>
      <c r="AF54" s="514" t="s">
        <v>468</v>
      </c>
      <c r="AG54" s="537">
        <v>42</v>
      </c>
      <c r="AH54" s="612" t="str">
        <f t="shared" si="6"/>
        <v>○</v>
      </c>
      <c r="AI54" s="519" t="str">
        <f t="shared" si="7"/>
        <v>申請しない場合は入力不要です。</v>
      </c>
      <c r="AK54" s="538"/>
    </row>
    <row r="55" spans="1:37" ht="20.100000000000001" customHeight="1">
      <c r="A55" s="534">
        <v>43</v>
      </c>
      <c r="B55" s="123"/>
      <c r="C55" s="1916"/>
      <c r="D55" s="1917"/>
      <c r="E55" s="1918"/>
      <c r="F55" s="630"/>
      <c r="G55" s="7"/>
      <c r="H55" s="541"/>
      <c r="I55" s="522">
        <f t="shared" si="8"/>
        <v>0</v>
      </c>
      <c r="J55" s="535">
        <f t="shared" si="0"/>
        <v>0</v>
      </c>
      <c r="K55" s="625"/>
      <c r="L55" s="625"/>
      <c r="M55" s="625"/>
      <c r="N55" s="629" t="str">
        <f xml:space="preserve">
IF(表紙!$X$2="事前協議","－",
IF(表紙!$X$2="交付申請（２次）","－",
IF(表紙!$X$2="変更申請","－",
IF(AND(表紙!$X$2="実績報告（１次）",AH55="◎"),COUNTIF($N$13:N55,"◎"),
IF(AND(表紙!$X$2="実績報告（１次）",OR(AH55="×",AH55="○")),"",
IF(表紙!$X$2="実績報告（２次）","－",
IF(表紙!$X$2="交付申請兼実績報告","－")))))))</f>
        <v>－</v>
      </c>
      <c r="O55" s="632" t="str">
        <f t="shared" si="1"/>
        <v/>
      </c>
      <c r="Q55" s="610" t="str">
        <f t="shared" si="2"/>
        <v/>
      </c>
      <c r="R55" s="614" t="str">
        <f t="shared" si="3"/>
        <v/>
      </c>
      <c r="S55" s="614" t="str">
        <f t="shared" si="4"/>
        <v/>
      </c>
      <c r="T55" s="614" t="str">
        <f t="shared" si="5"/>
        <v/>
      </c>
      <c r="AF55" s="514" t="s">
        <v>468</v>
      </c>
      <c r="AG55" s="537">
        <v>43</v>
      </c>
      <c r="AH55" s="612" t="str">
        <f t="shared" si="6"/>
        <v>○</v>
      </c>
      <c r="AI55" s="519" t="str">
        <f t="shared" si="7"/>
        <v>申請しない場合は入力不要です。</v>
      </c>
      <c r="AK55" s="538"/>
    </row>
    <row r="56" spans="1:37" ht="20.100000000000001" customHeight="1">
      <c r="A56" s="534">
        <v>44</v>
      </c>
      <c r="B56" s="123"/>
      <c r="C56" s="1916"/>
      <c r="D56" s="1917"/>
      <c r="E56" s="1918"/>
      <c r="F56" s="630"/>
      <c r="G56" s="7"/>
      <c r="H56" s="541"/>
      <c r="I56" s="522">
        <f t="shared" si="8"/>
        <v>0</v>
      </c>
      <c r="J56" s="535">
        <f t="shared" si="0"/>
        <v>0</v>
      </c>
      <c r="K56" s="625"/>
      <c r="L56" s="625"/>
      <c r="M56" s="625"/>
      <c r="N56" s="629" t="str">
        <f xml:space="preserve">
IF(表紙!$X$2="事前協議","－",
IF(表紙!$X$2="交付申請（２次）","－",
IF(表紙!$X$2="変更申請","－",
IF(AND(表紙!$X$2="実績報告（１次）",AH56="◎"),COUNTIF($N$13:N56,"◎"),
IF(AND(表紙!$X$2="実績報告（１次）",OR(AH56="×",AH56="○")),"",
IF(表紙!$X$2="実績報告（２次）","－",
IF(表紙!$X$2="交付申請兼実績報告","－")))))))</f>
        <v>－</v>
      </c>
      <c r="O56" s="632" t="str">
        <f t="shared" si="1"/>
        <v/>
      </c>
      <c r="Q56" s="610" t="str">
        <f t="shared" si="2"/>
        <v/>
      </c>
      <c r="R56" s="614" t="str">
        <f t="shared" si="3"/>
        <v/>
      </c>
      <c r="S56" s="614" t="str">
        <f t="shared" si="4"/>
        <v/>
      </c>
      <c r="T56" s="614" t="str">
        <f t="shared" si="5"/>
        <v/>
      </c>
      <c r="AF56" s="514" t="s">
        <v>468</v>
      </c>
      <c r="AG56" s="537">
        <v>44</v>
      </c>
      <c r="AH56" s="612" t="str">
        <f t="shared" si="6"/>
        <v>○</v>
      </c>
      <c r="AI56" s="519" t="str">
        <f t="shared" si="7"/>
        <v>申請しない場合は入力不要です。</v>
      </c>
      <c r="AK56" s="538"/>
    </row>
    <row r="57" spans="1:37" ht="20.100000000000001" customHeight="1">
      <c r="A57" s="534">
        <v>45</v>
      </c>
      <c r="B57" s="123"/>
      <c r="C57" s="1916"/>
      <c r="D57" s="1917"/>
      <c r="E57" s="1918"/>
      <c r="F57" s="630"/>
      <c r="G57" s="7"/>
      <c r="H57" s="541"/>
      <c r="I57" s="522">
        <f t="shared" si="8"/>
        <v>0</v>
      </c>
      <c r="J57" s="535">
        <f t="shared" si="0"/>
        <v>0</v>
      </c>
      <c r="K57" s="625"/>
      <c r="L57" s="625"/>
      <c r="M57" s="625"/>
      <c r="N57" s="629" t="str">
        <f xml:space="preserve">
IF(表紙!$X$2="事前協議","－",
IF(表紙!$X$2="交付申請（２次）","－",
IF(表紙!$X$2="変更申請","－",
IF(AND(表紙!$X$2="実績報告（１次）",AH57="◎"),COUNTIF($N$13:N57,"◎"),
IF(AND(表紙!$X$2="実績報告（１次）",OR(AH57="×",AH57="○")),"",
IF(表紙!$X$2="実績報告（２次）","－",
IF(表紙!$X$2="交付申請兼実績報告","－")))))))</f>
        <v>－</v>
      </c>
      <c r="O57" s="632" t="str">
        <f t="shared" si="1"/>
        <v/>
      </c>
      <c r="Q57" s="610" t="str">
        <f t="shared" si="2"/>
        <v/>
      </c>
      <c r="R57" s="614" t="str">
        <f t="shared" si="3"/>
        <v/>
      </c>
      <c r="S57" s="614" t="str">
        <f t="shared" si="4"/>
        <v/>
      </c>
      <c r="T57" s="614" t="str">
        <f t="shared" si="5"/>
        <v/>
      </c>
      <c r="AF57" s="514" t="s">
        <v>468</v>
      </c>
      <c r="AG57" s="537">
        <v>45</v>
      </c>
      <c r="AH57" s="612" t="str">
        <f t="shared" si="6"/>
        <v>○</v>
      </c>
      <c r="AI57" s="519" t="str">
        <f t="shared" si="7"/>
        <v>申請しない場合は入力不要です。</v>
      </c>
      <c r="AK57" s="538"/>
    </row>
    <row r="58" spans="1:37" ht="20.100000000000001" customHeight="1">
      <c r="A58" s="534">
        <v>46</v>
      </c>
      <c r="B58" s="123"/>
      <c r="C58" s="1916"/>
      <c r="D58" s="1917"/>
      <c r="E58" s="1918"/>
      <c r="F58" s="630"/>
      <c r="G58" s="7"/>
      <c r="H58" s="541"/>
      <c r="I58" s="522">
        <f t="shared" si="8"/>
        <v>0</v>
      </c>
      <c r="J58" s="535">
        <f t="shared" si="0"/>
        <v>0</v>
      </c>
      <c r="K58" s="625"/>
      <c r="L58" s="625"/>
      <c r="M58" s="625"/>
      <c r="N58" s="629" t="str">
        <f xml:space="preserve">
IF(表紙!$X$2="事前協議","－",
IF(表紙!$X$2="交付申請（２次）","－",
IF(表紙!$X$2="変更申請","－",
IF(AND(表紙!$X$2="実績報告（１次）",AH58="◎"),COUNTIF($N$13:N58,"◎"),
IF(AND(表紙!$X$2="実績報告（１次）",OR(AH58="×",AH58="○")),"",
IF(表紙!$X$2="実績報告（２次）","－",
IF(表紙!$X$2="交付申請兼実績報告","－")))))))</f>
        <v>－</v>
      </c>
      <c r="O58" s="632" t="str">
        <f t="shared" si="1"/>
        <v/>
      </c>
      <c r="Q58" s="610" t="str">
        <f t="shared" si="2"/>
        <v/>
      </c>
      <c r="R58" s="614" t="str">
        <f t="shared" si="3"/>
        <v/>
      </c>
      <c r="S58" s="614" t="str">
        <f t="shared" si="4"/>
        <v/>
      </c>
      <c r="T58" s="614" t="str">
        <f t="shared" si="5"/>
        <v/>
      </c>
      <c r="AF58" s="514" t="s">
        <v>468</v>
      </c>
      <c r="AG58" s="537">
        <v>46</v>
      </c>
      <c r="AH58" s="612" t="str">
        <f t="shared" si="6"/>
        <v>○</v>
      </c>
      <c r="AI58" s="519" t="str">
        <f t="shared" si="7"/>
        <v>申請しない場合は入力不要です。</v>
      </c>
      <c r="AK58" s="538"/>
    </row>
    <row r="59" spans="1:37" ht="20.100000000000001" customHeight="1">
      <c r="A59" s="534">
        <v>47</v>
      </c>
      <c r="B59" s="123"/>
      <c r="C59" s="1916"/>
      <c r="D59" s="1917"/>
      <c r="E59" s="1918"/>
      <c r="F59" s="630"/>
      <c r="G59" s="7"/>
      <c r="H59" s="541"/>
      <c r="I59" s="522">
        <f t="shared" si="8"/>
        <v>0</v>
      </c>
      <c r="J59" s="535">
        <f t="shared" si="0"/>
        <v>0</v>
      </c>
      <c r="K59" s="625"/>
      <c r="L59" s="625"/>
      <c r="M59" s="625"/>
      <c r="N59" s="629" t="str">
        <f xml:space="preserve">
IF(表紙!$X$2="事前協議","－",
IF(表紙!$X$2="交付申請（２次）","－",
IF(表紙!$X$2="変更申請","－",
IF(AND(表紙!$X$2="実績報告（１次）",AH59="◎"),COUNTIF($N$13:N59,"◎"),
IF(AND(表紙!$X$2="実績報告（１次）",OR(AH59="×",AH59="○")),"",
IF(表紙!$X$2="実績報告（２次）","－",
IF(表紙!$X$2="交付申請兼実績報告","－")))))))</f>
        <v>－</v>
      </c>
      <c r="O59" s="632" t="str">
        <f t="shared" si="1"/>
        <v/>
      </c>
      <c r="Q59" s="610" t="str">
        <f t="shared" si="2"/>
        <v/>
      </c>
      <c r="R59" s="614" t="str">
        <f t="shared" si="3"/>
        <v/>
      </c>
      <c r="S59" s="614" t="str">
        <f t="shared" si="4"/>
        <v/>
      </c>
      <c r="T59" s="614" t="str">
        <f t="shared" si="5"/>
        <v/>
      </c>
      <c r="AF59" s="514" t="s">
        <v>468</v>
      </c>
      <c r="AG59" s="537">
        <v>47</v>
      </c>
      <c r="AH59" s="612" t="str">
        <f t="shared" si="6"/>
        <v>○</v>
      </c>
      <c r="AI59" s="519" t="str">
        <f t="shared" si="7"/>
        <v>申請しない場合は入力不要です。</v>
      </c>
      <c r="AK59" s="538"/>
    </row>
    <row r="60" spans="1:37" ht="20.100000000000001" customHeight="1">
      <c r="A60" s="534">
        <v>48</v>
      </c>
      <c r="B60" s="123"/>
      <c r="C60" s="1916"/>
      <c r="D60" s="1917"/>
      <c r="E60" s="1918"/>
      <c r="F60" s="630"/>
      <c r="G60" s="7"/>
      <c r="H60" s="541"/>
      <c r="I60" s="522">
        <f t="shared" si="8"/>
        <v>0</v>
      </c>
      <c r="J60" s="535">
        <f t="shared" si="0"/>
        <v>0</v>
      </c>
      <c r="K60" s="625"/>
      <c r="L60" s="625"/>
      <c r="M60" s="625"/>
      <c r="N60" s="629" t="str">
        <f xml:space="preserve">
IF(表紙!$X$2="事前協議","－",
IF(表紙!$X$2="交付申請（２次）","－",
IF(表紙!$X$2="変更申請","－",
IF(AND(表紙!$X$2="実績報告（１次）",AH60="◎"),COUNTIF($N$13:N60,"◎"),
IF(AND(表紙!$X$2="実績報告（１次）",OR(AH60="×",AH60="○")),"",
IF(表紙!$X$2="実績報告（２次）","－",
IF(表紙!$X$2="交付申請兼実績報告","－")))))))</f>
        <v>－</v>
      </c>
      <c r="O60" s="632" t="str">
        <f t="shared" si="1"/>
        <v/>
      </c>
      <c r="Q60" s="610" t="str">
        <f t="shared" si="2"/>
        <v/>
      </c>
      <c r="R60" s="614" t="str">
        <f t="shared" si="3"/>
        <v/>
      </c>
      <c r="S60" s="614" t="str">
        <f t="shared" si="4"/>
        <v/>
      </c>
      <c r="T60" s="614" t="str">
        <f t="shared" si="5"/>
        <v/>
      </c>
      <c r="AF60" s="514" t="s">
        <v>468</v>
      </c>
      <c r="AG60" s="537">
        <v>48</v>
      </c>
      <c r="AH60" s="612" t="str">
        <f t="shared" si="6"/>
        <v>○</v>
      </c>
      <c r="AI60" s="519" t="str">
        <f t="shared" si="7"/>
        <v>申請しない場合は入力不要です。</v>
      </c>
      <c r="AK60" s="538"/>
    </row>
    <row r="61" spans="1:37" ht="20.100000000000001" customHeight="1">
      <c r="A61" s="534">
        <v>49</v>
      </c>
      <c r="B61" s="123"/>
      <c r="C61" s="1916"/>
      <c r="D61" s="1917"/>
      <c r="E61" s="1918"/>
      <c r="F61" s="630"/>
      <c r="G61" s="7"/>
      <c r="H61" s="541"/>
      <c r="I61" s="522">
        <f t="shared" si="8"/>
        <v>0</v>
      </c>
      <c r="J61" s="535">
        <f t="shared" si="0"/>
        <v>0</v>
      </c>
      <c r="K61" s="625"/>
      <c r="L61" s="625"/>
      <c r="M61" s="625"/>
      <c r="N61" s="629" t="str">
        <f xml:space="preserve">
IF(表紙!$X$2="事前協議","－",
IF(表紙!$X$2="交付申請（２次）","－",
IF(表紙!$X$2="変更申請","－",
IF(AND(表紙!$X$2="実績報告（１次）",AH61="◎"),COUNTIF($N$13:N61,"◎"),
IF(AND(表紙!$X$2="実績報告（１次）",OR(AH61="×",AH61="○")),"",
IF(表紙!$X$2="実績報告（２次）","－",
IF(表紙!$X$2="交付申請兼実績報告","－")))))))</f>
        <v>－</v>
      </c>
      <c r="O61" s="632" t="str">
        <f t="shared" si="1"/>
        <v/>
      </c>
      <c r="Q61" s="610" t="str">
        <f t="shared" si="2"/>
        <v/>
      </c>
      <c r="R61" s="614" t="str">
        <f t="shared" si="3"/>
        <v/>
      </c>
      <c r="S61" s="614" t="str">
        <f t="shared" si="4"/>
        <v/>
      </c>
      <c r="T61" s="614" t="str">
        <f t="shared" si="5"/>
        <v/>
      </c>
      <c r="AF61" s="514" t="s">
        <v>468</v>
      </c>
      <c r="AG61" s="537">
        <v>49</v>
      </c>
      <c r="AH61" s="612" t="str">
        <f t="shared" si="6"/>
        <v>○</v>
      </c>
      <c r="AI61" s="519" t="str">
        <f t="shared" si="7"/>
        <v>申請しない場合は入力不要です。</v>
      </c>
      <c r="AK61" s="538"/>
    </row>
    <row r="62" spans="1:37" ht="20.100000000000001" customHeight="1">
      <c r="A62" s="534">
        <v>50</v>
      </c>
      <c r="B62" s="123"/>
      <c r="C62" s="1916"/>
      <c r="D62" s="1917"/>
      <c r="E62" s="1918"/>
      <c r="F62" s="630"/>
      <c r="G62" s="7"/>
      <c r="H62" s="541"/>
      <c r="I62" s="522">
        <f t="shared" si="8"/>
        <v>0</v>
      </c>
      <c r="J62" s="535">
        <f t="shared" si="0"/>
        <v>0</v>
      </c>
      <c r="K62" s="625"/>
      <c r="L62" s="625"/>
      <c r="M62" s="625"/>
      <c r="N62" s="629" t="str">
        <f xml:space="preserve">
IF(表紙!$X$2="事前協議","－",
IF(表紙!$X$2="交付申請（２次）","－",
IF(表紙!$X$2="変更申請","－",
IF(AND(表紙!$X$2="実績報告（１次）",AH62="◎"),COUNTIF($N$13:N62,"◎"),
IF(AND(表紙!$X$2="実績報告（１次）",OR(AH62="×",AH62="○")),"",
IF(表紙!$X$2="実績報告（２次）","－",
IF(表紙!$X$2="交付申請兼実績報告","－")))))))</f>
        <v>－</v>
      </c>
      <c r="O62" s="632" t="str">
        <f t="shared" si="1"/>
        <v/>
      </c>
      <c r="Q62" s="610" t="str">
        <f t="shared" si="2"/>
        <v/>
      </c>
      <c r="R62" s="614" t="str">
        <f t="shared" si="3"/>
        <v/>
      </c>
      <c r="S62" s="614" t="str">
        <f t="shared" si="4"/>
        <v/>
      </c>
      <c r="T62" s="614" t="str">
        <f t="shared" si="5"/>
        <v/>
      </c>
      <c r="AF62" s="514" t="s">
        <v>468</v>
      </c>
      <c r="AG62" s="537">
        <v>50</v>
      </c>
      <c r="AH62" s="612" t="str">
        <f t="shared" si="6"/>
        <v>○</v>
      </c>
      <c r="AI62" s="519" t="str">
        <f t="shared" si="7"/>
        <v>申請しない場合は入力不要です。</v>
      </c>
      <c r="AK62" s="538"/>
    </row>
    <row r="63" spans="1:37" ht="20.100000000000001" customHeight="1">
      <c r="A63" s="534">
        <v>51</v>
      </c>
      <c r="B63" s="123"/>
      <c r="C63" s="1916"/>
      <c r="D63" s="1917"/>
      <c r="E63" s="1918"/>
      <c r="F63" s="630"/>
      <c r="G63" s="7"/>
      <c r="H63" s="541"/>
      <c r="I63" s="522">
        <f t="shared" si="8"/>
        <v>0</v>
      </c>
      <c r="J63" s="535">
        <f t="shared" si="0"/>
        <v>0</v>
      </c>
      <c r="K63" s="625"/>
      <c r="L63" s="625"/>
      <c r="M63" s="625"/>
      <c r="N63" s="629" t="str">
        <f xml:space="preserve">
IF(表紙!$X$2="事前協議","－",
IF(表紙!$X$2="交付申請（２次）","－",
IF(表紙!$X$2="変更申請","－",
IF(AND(表紙!$X$2="実績報告（１次）",AH63="◎"),COUNTIF($N$13:N63,"◎"),
IF(AND(表紙!$X$2="実績報告（１次）",OR(AH63="×",AH63="○")),"",
IF(表紙!$X$2="実績報告（２次）","－",
IF(表紙!$X$2="交付申請兼実績報告","－")))))))</f>
        <v>－</v>
      </c>
      <c r="O63" s="632" t="str">
        <f t="shared" si="1"/>
        <v/>
      </c>
      <c r="Q63" s="610" t="str">
        <f t="shared" si="2"/>
        <v/>
      </c>
      <c r="R63" s="614" t="str">
        <f t="shared" si="3"/>
        <v/>
      </c>
      <c r="S63" s="614" t="str">
        <f t="shared" si="4"/>
        <v/>
      </c>
      <c r="T63" s="614" t="str">
        <f t="shared" si="5"/>
        <v/>
      </c>
      <c r="AF63" s="514" t="s">
        <v>468</v>
      </c>
      <c r="AG63" s="537">
        <v>51</v>
      </c>
      <c r="AH63" s="612" t="str">
        <f t="shared" si="6"/>
        <v>○</v>
      </c>
      <c r="AI63" s="519" t="str">
        <f t="shared" si="7"/>
        <v>申請しない場合は入力不要です。</v>
      </c>
      <c r="AK63" s="538"/>
    </row>
    <row r="64" spans="1:37" ht="20.100000000000001" customHeight="1">
      <c r="A64" s="534">
        <v>52</v>
      </c>
      <c r="B64" s="123"/>
      <c r="C64" s="1916"/>
      <c r="D64" s="1917"/>
      <c r="E64" s="1918"/>
      <c r="F64" s="630"/>
      <c r="G64" s="7"/>
      <c r="H64" s="541"/>
      <c r="I64" s="522">
        <f t="shared" si="8"/>
        <v>0</v>
      </c>
      <c r="J64" s="535">
        <f t="shared" si="0"/>
        <v>0</v>
      </c>
      <c r="K64" s="625"/>
      <c r="L64" s="625"/>
      <c r="M64" s="625"/>
      <c r="N64" s="629" t="str">
        <f xml:space="preserve">
IF(表紙!$X$2="事前協議","－",
IF(表紙!$X$2="交付申請（２次）","－",
IF(表紙!$X$2="変更申請","－",
IF(AND(表紙!$X$2="実績報告（１次）",AH64="◎"),COUNTIF($N$13:N64,"◎"),
IF(AND(表紙!$X$2="実績報告（１次）",OR(AH64="×",AH64="○")),"",
IF(表紙!$X$2="実績報告（２次）","－",
IF(表紙!$X$2="交付申請兼実績報告","－")))))))</f>
        <v>－</v>
      </c>
      <c r="O64" s="632" t="str">
        <f t="shared" si="1"/>
        <v/>
      </c>
      <c r="Q64" s="610" t="str">
        <f t="shared" si="2"/>
        <v/>
      </c>
      <c r="R64" s="614" t="str">
        <f t="shared" si="3"/>
        <v/>
      </c>
      <c r="S64" s="614" t="str">
        <f t="shared" si="4"/>
        <v/>
      </c>
      <c r="T64" s="614" t="str">
        <f t="shared" si="5"/>
        <v/>
      </c>
      <c r="AF64" s="514" t="s">
        <v>468</v>
      </c>
      <c r="AG64" s="537">
        <v>52</v>
      </c>
      <c r="AH64" s="612" t="str">
        <f t="shared" si="6"/>
        <v>○</v>
      </c>
      <c r="AI64" s="519" t="str">
        <f t="shared" si="7"/>
        <v>申請しない場合は入力不要です。</v>
      </c>
      <c r="AK64" s="538"/>
    </row>
    <row r="65" spans="1:37" ht="20.100000000000001" customHeight="1">
      <c r="A65" s="534">
        <v>53</v>
      </c>
      <c r="B65" s="123"/>
      <c r="C65" s="1916"/>
      <c r="D65" s="1917"/>
      <c r="E65" s="1918"/>
      <c r="F65" s="630"/>
      <c r="G65" s="7"/>
      <c r="H65" s="541"/>
      <c r="I65" s="522">
        <f t="shared" si="8"/>
        <v>0</v>
      </c>
      <c r="J65" s="535">
        <f t="shared" si="0"/>
        <v>0</v>
      </c>
      <c r="K65" s="625"/>
      <c r="L65" s="625"/>
      <c r="M65" s="625"/>
      <c r="N65" s="629" t="str">
        <f xml:space="preserve">
IF(表紙!$X$2="事前協議","－",
IF(表紙!$X$2="交付申請（２次）","－",
IF(表紙!$X$2="変更申請","－",
IF(AND(表紙!$X$2="実績報告（１次）",AH65="◎"),COUNTIF($N$13:N65,"◎"),
IF(AND(表紙!$X$2="実績報告（１次）",OR(AH65="×",AH65="○")),"",
IF(表紙!$X$2="実績報告（２次）","－",
IF(表紙!$X$2="交付申請兼実績報告","－")))))))</f>
        <v>－</v>
      </c>
      <c r="O65" s="632" t="str">
        <f t="shared" si="1"/>
        <v/>
      </c>
      <c r="Q65" s="610" t="str">
        <f t="shared" si="2"/>
        <v/>
      </c>
      <c r="R65" s="614" t="str">
        <f t="shared" si="3"/>
        <v/>
      </c>
      <c r="S65" s="614" t="str">
        <f t="shared" si="4"/>
        <v/>
      </c>
      <c r="T65" s="614" t="str">
        <f t="shared" si="5"/>
        <v/>
      </c>
      <c r="AF65" s="514" t="s">
        <v>468</v>
      </c>
      <c r="AG65" s="537">
        <v>53</v>
      </c>
      <c r="AH65" s="612" t="str">
        <f t="shared" si="6"/>
        <v>○</v>
      </c>
      <c r="AI65" s="519" t="str">
        <f t="shared" si="7"/>
        <v>申請しない場合は入力不要です。</v>
      </c>
      <c r="AK65" s="538"/>
    </row>
    <row r="66" spans="1:37" ht="20.100000000000001" customHeight="1">
      <c r="A66" s="534">
        <v>54</v>
      </c>
      <c r="B66" s="123"/>
      <c r="C66" s="1916"/>
      <c r="D66" s="1917"/>
      <c r="E66" s="1918"/>
      <c r="F66" s="630"/>
      <c r="G66" s="7"/>
      <c r="H66" s="541"/>
      <c r="I66" s="522">
        <f t="shared" si="8"/>
        <v>0</v>
      </c>
      <c r="J66" s="535">
        <f t="shared" si="0"/>
        <v>0</v>
      </c>
      <c r="K66" s="625"/>
      <c r="L66" s="625"/>
      <c r="M66" s="625"/>
      <c r="N66" s="629" t="str">
        <f xml:space="preserve">
IF(表紙!$X$2="事前協議","－",
IF(表紙!$X$2="交付申請（２次）","－",
IF(表紙!$X$2="変更申請","－",
IF(AND(表紙!$X$2="実績報告（１次）",AH66="◎"),COUNTIF($N$13:N66,"◎"),
IF(AND(表紙!$X$2="実績報告（１次）",OR(AH66="×",AH66="○")),"",
IF(表紙!$X$2="実績報告（２次）","－",
IF(表紙!$X$2="交付申請兼実績報告","－")))))))</f>
        <v>－</v>
      </c>
      <c r="O66" s="632" t="str">
        <f t="shared" si="1"/>
        <v/>
      </c>
      <c r="Q66" s="610" t="str">
        <f t="shared" si="2"/>
        <v/>
      </c>
      <c r="R66" s="614" t="str">
        <f t="shared" si="3"/>
        <v/>
      </c>
      <c r="S66" s="614" t="str">
        <f t="shared" si="4"/>
        <v/>
      </c>
      <c r="T66" s="614" t="str">
        <f t="shared" si="5"/>
        <v/>
      </c>
      <c r="AF66" s="514" t="s">
        <v>468</v>
      </c>
      <c r="AG66" s="537">
        <v>54</v>
      </c>
      <c r="AH66" s="612" t="str">
        <f t="shared" si="6"/>
        <v>○</v>
      </c>
      <c r="AI66" s="519" t="str">
        <f t="shared" si="7"/>
        <v>申請しない場合は入力不要です。</v>
      </c>
      <c r="AK66" s="538"/>
    </row>
    <row r="67" spans="1:37" ht="20.100000000000001" customHeight="1">
      <c r="A67" s="534">
        <v>55</v>
      </c>
      <c r="B67" s="123"/>
      <c r="C67" s="1916"/>
      <c r="D67" s="1917"/>
      <c r="E67" s="1918"/>
      <c r="F67" s="630"/>
      <c r="G67" s="7"/>
      <c r="H67" s="541"/>
      <c r="I67" s="522">
        <f t="shared" si="8"/>
        <v>0</v>
      </c>
      <c r="J67" s="535">
        <f t="shared" si="0"/>
        <v>0</v>
      </c>
      <c r="K67" s="625"/>
      <c r="L67" s="625"/>
      <c r="M67" s="625"/>
      <c r="N67" s="629" t="str">
        <f xml:space="preserve">
IF(表紙!$X$2="事前協議","－",
IF(表紙!$X$2="交付申請（２次）","－",
IF(表紙!$X$2="変更申請","－",
IF(AND(表紙!$X$2="実績報告（１次）",AH67="◎"),COUNTIF($N$13:N67,"◎"),
IF(AND(表紙!$X$2="実績報告（１次）",OR(AH67="×",AH67="○")),"",
IF(表紙!$X$2="実績報告（２次）","－",
IF(表紙!$X$2="交付申請兼実績報告","－")))))))</f>
        <v>－</v>
      </c>
      <c r="O67" s="632" t="str">
        <f t="shared" si="1"/>
        <v/>
      </c>
      <c r="Q67" s="610" t="str">
        <f t="shared" si="2"/>
        <v/>
      </c>
      <c r="R67" s="614" t="str">
        <f t="shared" si="3"/>
        <v/>
      </c>
      <c r="S67" s="614" t="str">
        <f t="shared" si="4"/>
        <v/>
      </c>
      <c r="T67" s="614" t="str">
        <f t="shared" si="5"/>
        <v/>
      </c>
      <c r="AF67" s="514" t="s">
        <v>468</v>
      </c>
      <c r="AG67" s="537">
        <v>55</v>
      </c>
      <c r="AH67" s="612" t="str">
        <f t="shared" si="6"/>
        <v>○</v>
      </c>
      <c r="AI67" s="519" t="str">
        <f t="shared" si="7"/>
        <v>申請しない場合は入力不要です。</v>
      </c>
      <c r="AK67" s="538"/>
    </row>
    <row r="68" spans="1:37" ht="20.100000000000001" customHeight="1">
      <c r="A68" s="534">
        <v>56</v>
      </c>
      <c r="B68" s="123"/>
      <c r="C68" s="1916"/>
      <c r="D68" s="1917"/>
      <c r="E68" s="1918"/>
      <c r="F68" s="630"/>
      <c r="G68" s="7"/>
      <c r="H68" s="541"/>
      <c r="I68" s="522">
        <f t="shared" si="8"/>
        <v>0</v>
      </c>
      <c r="J68" s="535">
        <f t="shared" si="0"/>
        <v>0</v>
      </c>
      <c r="K68" s="625"/>
      <c r="L68" s="625"/>
      <c r="M68" s="625"/>
      <c r="N68" s="629" t="str">
        <f xml:space="preserve">
IF(表紙!$X$2="事前協議","－",
IF(表紙!$X$2="交付申請（２次）","－",
IF(表紙!$X$2="変更申請","－",
IF(AND(表紙!$X$2="実績報告（１次）",AH68="◎"),COUNTIF($N$13:N68,"◎"),
IF(AND(表紙!$X$2="実績報告（１次）",OR(AH68="×",AH68="○")),"",
IF(表紙!$X$2="実績報告（２次）","－",
IF(表紙!$X$2="交付申請兼実績報告","－")))))))</f>
        <v>－</v>
      </c>
      <c r="O68" s="632" t="str">
        <f t="shared" si="1"/>
        <v/>
      </c>
      <c r="Q68" s="610" t="str">
        <f t="shared" si="2"/>
        <v/>
      </c>
      <c r="R68" s="614" t="str">
        <f t="shared" si="3"/>
        <v/>
      </c>
      <c r="S68" s="614" t="str">
        <f t="shared" si="4"/>
        <v/>
      </c>
      <c r="T68" s="614" t="str">
        <f t="shared" si="5"/>
        <v/>
      </c>
      <c r="AF68" s="514" t="s">
        <v>468</v>
      </c>
      <c r="AG68" s="537">
        <v>56</v>
      </c>
      <c r="AH68" s="612" t="str">
        <f t="shared" si="6"/>
        <v>○</v>
      </c>
      <c r="AI68" s="519" t="str">
        <f t="shared" si="7"/>
        <v>申請しない場合は入力不要です。</v>
      </c>
      <c r="AK68" s="538"/>
    </row>
    <row r="69" spans="1:37" ht="20.100000000000001" customHeight="1">
      <c r="A69" s="534">
        <v>57</v>
      </c>
      <c r="B69" s="123"/>
      <c r="C69" s="1916"/>
      <c r="D69" s="1917"/>
      <c r="E69" s="1918"/>
      <c r="F69" s="630"/>
      <c r="G69" s="7"/>
      <c r="H69" s="541"/>
      <c r="I69" s="522">
        <f t="shared" si="8"/>
        <v>0</v>
      </c>
      <c r="J69" s="535">
        <f t="shared" si="0"/>
        <v>0</v>
      </c>
      <c r="K69" s="625"/>
      <c r="L69" s="625"/>
      <c r="M69" s="625"/>
      <c r="N69" s="629" t="str">
        <f xml:space="preserve">
IF(表紙!$X$2="事前協議","－",
IF(表紙!$X$2="交付申請（２次）","－",
IF(表紙!$X$2="変更申請","－",
IF(AND(表紙!$X$2="実績報告（１次）",AH69="◎"),COUNTIF($N$13:N69,"◎"),
IF(AND(表紙!$X$2="実績報告（１次）",OR(AH69="×",AH69="○")),"",
IF(表紙!$X$2="実績報告（２次）","－",
IF(表紙!$X$2="交付申請兼実績報告","－")))))))</f>
        <v>－</v>
      </c>
      <c r="O69" s="632" t="str">
        <f t="shared" si="1"/>
        <v/>
      </c>
      <c r="Q69" s="610" t="str">
        <f t="shared" si="2"/>
        <v/>
      </c>
      <c r="R69" s="614" t="str">
        <f t="shared" si="3"/>
        <v/>
      </c>
      <c r="S69" s="614" t="str">
        <f t="shared" si="4"/>
        <v/>
      </c>
      <c r="T69" s="614" t="str">
        <f t="shared" si="5"/>
        <v/>
      </c>
      <c r="AF69" s="514" t="s">
        <v>468</v>
      </c>
      <c r="AG69" s="537">
        <v>57</v>
      </c>
      <c r="AH69" s="612" t="str">
        <f t="shared" si="6"/>
        <v>○</v>
      </c>
      <c r="AI69" s="519" t="str">
        <f t="shared" si="7"/>
        <v>申請しない場合は入力不要です。</v>
      </c>
      <c r="AK69" s="538"/>
    </row>
    <row r="70" spans="1:37" ht="20.100000000000001" customHeight="1">
      <c r="A70" s="534">
        <v>58</v>
      </c>
      <c r="B70" s="123"/>
      <c r="C70" s="1916"/>
      <c r="D70" s="1917"/>
      <c r="E70" s="1918"/>
      <c r="F70" s="630"/>
      <c r="G70" s="7"/>
      <c r="H70" s="541"/>
      <c r="I70" s="522">
        <f t="shared" si="8"/>
        <v>0</v>
      </c>
      <c r="J70" s="535">
        <f t="shared" si="0"/>
        <v>0</v>
      </c>
      <c r="K70" s="625"/>
      <c r="L70" s="625"/>
      <c r="M70" s="625"/>
      <c r="N70" s="629" t="str">
        <f xml:space="preserve">
IF(表紙!$X$2="事前協議","－",
IF(表紙!$X$2="交付申請（２次）","－",
IF(表紙!$X$2="変更申請","－",
IF(AND(表紙!$X$2="実績報告（１次）",AH70="◎"),COUNTIF($N$13:N70,"◎"),
IF(AND(表紙!$X$2="実績報告（１次）",OR(AH70="×",AH70="○")),"",
IF(表紙!$X$2="実績報告（２次）","－",
IF(表紙!$X$2="交付申請兼実績報告","－")))))))</f>
        <v>－</v>
      </c>
      <c r="O70" s="632" t="str">
        <f t="shared" si="1"/>
        <v/>
      </c>
      <c r="Q70" s="610" t="str">
        <f t="shared" si="2"/>
        <v/>
      </c>
      <c r="R70" s="614" t="str">
        <f t="shared" si="3"/>
        <v/>
      </c>
      <c r="S70" s="614" t="str">
        <f t="shared" si="4"/>
        <v/>
      </c>
      <c r="T70" s="614" t="str">
        <f t="shared" si="5"/>
        <v/>
      </c>
      <c r="AF70" s="514" t="s">
        <v>468</v>
      </c>
      <c r="AG70" s="537">
        <v>58</v>
      </c>
      <c r="AH70" s="612" t="str">
        <f t="shared" si="6"/>
        <v>○</v>
      </c>
      <c r="AI70" s="519" t="str">
        <f t="shared" si="7"/>
        <v>申請しない場合は入力不要です。</v>
      </c>
      <c r="AK70" s="538"/>
    </row>
    <row r="71" spans="1:37" ht="20.100000000000001" customHeight="1">
      <c r="A71" s="534">
        <v>59</v>
      </c>
      <c r="B71" s="123"/>
      <c r="C71" s="1916"/>
      <c r="D71" s="1917"/>
      <c r="E71" s="1918"/>
      <c r="F71" s="630"/>
      <c r="G71" s="7"/>
      <c r="H71" s="541"/>
      <c r="I71" s="522">
        <f t="shared" si="8"/>
        <v>0</v>
      </c>
      <c r="J71" s="535">
        <f t="shared" si="0"/>
        <v>0</v>
      </c>
      <c r="K71" s="625"/>
      <c r="L71" s="625"/>
      <c r="M71" s="625"/>
      <c r="N71" s="629" t="str">
        <f xml:space="preserve">
IF(表紙!$X$2="事前協議","－",
IF(表紙!$X$2="交付申請（２次）","－",
IF(表紙!$X$2="変更申請","－",
IF(AND(表紙!$X$2="実績報告（１次）",AH71="◎"),COUNTIF($N$13:N71,"◎"),
IF(AND(表紙!$X$2="実績報告（１次）",OR(AH71="×",AH71="○")),"",
IF(表紙!$X$2="実績報告（２次）","－",
IF(表紙!$X$2="交付申請兼実績報告","－")))))))</f>
        <v>－</v>
      </c>
      <c r="O71" s="632" t="str">
        <f t="shared" si="1"/>
        <v/>
      </c>
      <c r="Q71" s="610" t="str">
        <f t="shared" si="2"/>
        <v/>
      </c>
      <c r="R71" s="614" t="str">
        <f t="shared" si="3"/>
        <v/>
      </c>
      <c r="S71" s="614" t="str">
        <f t="shared" si="4"/>
        <v/>
      </c>
      <c r="T71" s="614" t="str">
        <f t="shared" si="5"/>
        <v/>
      </c>
      <c r="AF71" s="514" t="s">
        <v>468</v>
      </c>
      <c r="AG71" s="537">
        <v>59</v>
      </c>
      <c r="AH71" s="612" t="str">
        <f t="shared" si="6"/>
        <v>○</v>
      </c>
      <c r="AI71" s="519" t="str">
        <f t="shared" si="7"/>
        <v>申請しない場合は入力不要です。</v>
      </c>
      <c r="AK71" s="538"/>
    </row>
    <row r="72" spans="1:37" ht="20.100000000000001" customHeight="1">
      <c r="A72" s="534">
        <v>60</v>
      </c>
      <c r="B72" s="123"/>
      <c r="C72" s="1916"/>
      <c r="D72" s="1917"/>
      <c r="E72" s="1918"/>
      <c r="F72" s="630"/>
      <c r="G72" s="7"/>
      <c r="H72" s="541"/>
      <c r="I72" s="522">
        <f t="shared" si="8"/>
        <v>0</v>
      </c>
      <c r="J72" s="535">
        <f t="shared" si="0"/>
        <v>0</v>
      </c>
      <c r="K72" s="625"/>
      <c r="L72" s="625"/>
      <c r="M72" s="625"/>
      <c r="N72" s="629" t="str">
        <f xml:space="preserve">
IF(表紙!$X$2="事前協議","－",
IF(表紙!$X$2="交付申請（２次）","－",
IF(表紙!$X$2="変更申請","－",
IF(AND(表紙!$X$2="実績報告（１次）",AH72="◎"),COUNTIF($N$13:N72,"◎"),
IF(AND(表紙!$X$2="実績報告（１次）",OR(AH72="×",AH72="○")),"",
IF(表紙!$X$2="実績報告（２次）","－",
IF(表紙!$X$2="交付申請兼実績報告","－")))))))</f>
        <v>－</v>
      </c>
      <c r="O72" s="632" t="str">
        <f t="shared" si="1"/>
        <v/>
      </c>
      <c r="Q72" s="610" t="str">
        <f t="shared" si="2"/>
        <v/>
      </c>
      <c r="R72" s="614" t="str">
        <f t="shared" si="3"/>
        <v/>
      </c>
      <c r="S72" s="614" t="str">
        <f t="shared" si="4"/>
        <v/>
      </c>
      <c r="T72" s="614" t="str">
        <f t="shared" si="5"/>
        <v/>
      </c>
      <c r="AF72" s="514" t="s">
        <v>468</v>
      </c>
      <c r="AG72" s="537">
        <v>60</v>
      </c>
      <c r="AH72" s="612" t="str">
        <f t="shared" si="6"/>
        <v>○</v>
      </c>
      <c r="AI72" s="519" t="str">
        <f t="shared" si="7"/>
        <v>申請しない場合は入力不要です。</v>
      </c>
      <c r="AK72" s="538"/>
    </row>
    <row r="73" spans="1:37" ht="20.100000000000001" customHeight="1">
      <c r="A73" s="534">
        <v>61</v>
      </c>
      <c r="B73" s="123"/>
      <c r="C73" s="1916"/>
      <c r="D73" s="1917"/>
      <c r="E73" s="1918"/>
      <c r="F73" s="630"/>
      <c r="G73" s="7"/>
      <c r="H73" s="541"/>
      <c r="I73" s="522">
        <f t="shared" si="8"/>
        <v>0</v>
      </c>
      <c r="J73" s="535">
        <f t="shared" si="0"/>
        <v>0</v>
      </c>
      <c r="K73" s="625"/>
      <c r="L73" s="625"/>
      <c r="M73" s="625"/>
      <c r="N73" s="629" t="str">
        <f xml:space="preserve">
IF(表紙!$X$2="事前協議","－",
IF(表紙!$X$2="交付申請（２次）","－",
IF(表紙!$X$2="変更申請","－",
IF(AND(表紙!$X$2="実績報告（１次）",AH73="◎"),COUNTIF($N$13:N73,"◎"),
IF(AND(表紙!$X$2="実績報告（１次）",OR(AH73="×",AH73="○")),"",
IF(表紙!$X$2="実績報告（２次）","－",
IF(表紙!$X$2="交付申請兼実績報告","－")))))))</f>
        <v>－</v>
      </c>
      <c r="O73" s="632" t="str">
        <f t="shared" si="1"/>
        <v/>
      </c>
      <c r="Q73" s="610" t="str">
        <f t="shared" si="2"/>
        <v/>
      </c>
      <c r="R73" s="614" t="str">
        <f t="shared" si="3"/>
        <v/>
      </c>
      <c r="S73" s="614" t="str">
        <f t="shared" si="4"/>
        <v/>
      </c>
      <c r="T73" s="614" t="str">
        <f t="shared" si="5"/>
        <v/>
      </c>
      <c r="AF73" s="514" t="s">
        <v>468</v>
      </c>
      <c r="AG73" s="537">
        <v>61</v>
      </c>
      <c r="AH73" s="612" t="str">
        <f t="shared" si="6"/>
        <v>○</v>
      </c>
      <c r="AI73" s="519" t="str">
        <f t="shared" si="7"/>
        <v>申請しない場合は入力不要です。</v>
      </c>
      <c r="AK73" s="538"/>
    </row>
    <row r="74" spans="1:37" ht="20.100000000000001" customHeight="1">
      <c r="A74" s="534">
        <v>62</v>
      </c>
      <c r="B74" s="123"/>
      <c r="C74" s="1916"/>
      <c r="D74" s="1917"/>
      <c r="E74" s="1918"/>
      <c r="F74" s="630"/>
      <c r="G74" s="7"/>
      <c r="H74" s="541"/>
      <c r="I74" s="522">
        <f t="shared" si="8"/>
        <v>0</v>
      </c>
      <c r="J74" s="535">
        <f t="shared" si="0"/>
        <v>0</v>
      </c>
      <c r="K74" s="625"/>
      <c r="L74" s="625"/>
      <c r="M74" s="625"/>
      <c r="N74" s="629" t="str">
        <f xml:space="preserve">
IF(表紙!$X$2="事前協議","－",
IF(表紙!$X$2="交付申請（２次）","－",
IF(表紙!$X$2="変更申請","－",
IF(AND(表紙!$X$2="実績報告（１次）",AH74="◎"),COUNTIF($N$13:N74,"◎"),
IF(AND(表紙!$X$2="実績報告（１次）",OR(AH74="×",AH74="○")),"",
IF(表紙!$X$2="実績報告（２次）","－",
IF(表紙!$X$2="交付申請兼実績報告","－")))))))</f>
        <v>－</v>
      </c>
      <c r="O74" s="632" t="str">
        <f t="shared" si="1"/>
        <v/>
      </c>
      <c r="Q74" s="610" t="str">
        <f t="shared" si="2"/>
        <v/>
      </c>
      <c r="R74" s="614" t="str">
        <f t="shared" si="3"/>
        <v/>
      </c>
      <c r="S74" s="614" t="str">
        <f t="shared" si="4"/>
        <v/>
      </c>
      <c r="T74" s="614" t="str">
        <f t="shared" si="5"/>
        <v/>
      </c>
      <c r="AF74" s="514" t="s">
        <v>468</v>
      </c>
      <c r="AG74" s="537">
        <v>62</v>
      </c>
      <c r="AH74" s="612" t="str">
        <f t="shared" si="6"/>
        <v>○</v>
      </c>
      <c r="AI74" s="519" t="str">
        <f t="shared" si="7"/>
        <v>申請しない場合は入力不要です。</v>
      </c>
      <c r="AK74" s="538"/>
    </row>
    <row r="75" spans="1:37" ht="20.100000000000001" customHeight="1">
      <c r="A75" s="534">
        <v>63</v>
      </c>
      <c r="B75" s="123"/>
      <c r="C75" s="1916"/>
      <c r="D75" s="1917"/>
      <c r="E75" s="1918"/>
      <c r="F75" s="630"/>
      <c r="G75" s="7"/>
      <c r="H75" s="541"/>
      <c r="I75" s="522">
        <f t="shared" si="8"/>
        <v>0</v>
      </c>
      <c r="J75" s="535">
        <f t="shared" si="0"/>
        <v>0</v>
      </c>
      <c r="K75" s="625"/>
      <c r="L75" s="625"/>
      <c r="M75" s="625"/>
      <c r="N75" s="629" t="str">
        <f xml:space="preserve">
IF(表紙!$X$2="事前協議","－",
IF(表紙!$X$2="交付申請（２次）","－",
IF(表紙!$X$2="変更申請","－",
IF(AND(表紙!$X$2="実績報告（１次）",AH75="◎"),COUNTIF($N$13:N75,"◎"),
IF(AND(表紙!$X$2="実績報告（１次）",OR(AH75="×",AH75="○")),"",
IF(表紙!$X$2="実績報告（２次）","－",
IF(表紙!$X$2="交付申請兼実績報告","－")))))))</f>
        <v>－</v>
      </c>
      <c r="O75" s="632" t="str">
        <f t="shared" si="1"/>
        <v/>
      </c>
      <c r="Q75" s="610" t="str">
        <f t="shared" si="2"/>
        <v/>
      </c>
      <c r="R75" s="614" t="str">
        <f t="shared" si="3"/>
        <v/>
      </c>
      <c r="S75" s="614" t="str">
        <f t="shared" si="4"/>
        <v/>
      </c>
      <c r="T75" s="614" t="str">
        <f t="shared" si="5"/>
        <v/>
      </c>
      <c r="AF75" s="514" t="s">
        <v>468</v>
      </c>
      <c r="AG75" s="537">
        <v>63</v>
      </c>
      <c r="AH75" s="612" t="str">
        <f t="shared" si="6"/>
        <v>○</v>
      </c>
      <c r="AI75" s="519" t="str">
        <f t="shared" si="7"/>
        <v>申請しない場合は入力不要です。</v>
      </c>
      <c r="AK75" s="538"/>
    </row>
    <row r="76" spans="1:37" ht="20.100000000000001" customHeight="1">
      <c r="A76" s="534">
        <v>64</v>
      </c>
      <c r="B76" s="123"/>
      <c r="C76" s="1916"/>
      <c r="D76" s="1917"/>
      <c r="E76" s="1918"/>
      <c r="F76" s="630"/>
      <c r="G76" s="7"/>
      <c r="H76" s="541"/>
      <c r="I76" s="522">
        <f t="shared" si="8"/>
        <v>0</v>
      </c>
      <c r="J76" s="535">
        <f t="shared" si="0"/>
        <v>0</v>
      </c>
      <c r="K76" s="625"/>
      <c r="L76" s="625"/>
      <c r="M76" s="625"/>
      <c r="N76" s="629" t="str">
        <f xml:space="preserve">
IF(表紙!$X$2="事前協議","－",
IF(表紙!$X$2="交付申請（２次）","－",
IF(表紙!$X$2="変更申請","－",
IF(AND(表紙!$X$2="実績報告（１次）",AH76="◎"),COUNTIF($N$13:N76,"◎"),
IF(AND(表紙!$X$2="実績報告（１次）",OR(AH76="×",AH76="○")),"",
IF(表紙!$X$2="実績報告（２次）","－",
IF(表紙!$X$2="交付申請兼実績報告","－")))))))</f>
        <v>－</v>
      </c>
      <c r="O76" s="632" t="str">
        <f t="shared" si="1"/>
        <v/>
      </c>
      <c r="Q76" s="610" t="str">
        <f t="shared" si="2"/>
        <v/>
      </c>
      <c r="R76" s="614" t="str">
        <f t="shared" si="3"/>
        <v/>
      </c>
      <c r="S76" s="614" t="str">
        <f t="shared" si="4"/>
        <v/>
      </c>
      <c r="T76" s="614" t="str">
        <f t="shared" si="5"/>
        <v/>
      </c>
      <c r="AF76" s="514" t="s">
        <v>468</v>
      </c>
      <c r="AG76" s="537">
        <v>64</v>
      </c>
      <c r="AH76" s="612" t="str">
        <f t="shared" si="6"/>
        <v>○</v>
      </c>
      <c r="AI76" s="519" t="str">
        <f t="shared" si="7"/>
        <v>申請しない場合は入力不要です。</v>
      </c>
      <c r="AK76" s="538"/>
    </row>
    <row r="77" spans="1:37" ht="20.100000000000001" customHeight="1">
      <c r="A77" s="534">
        <v>65</v>
      </c>
      <c r="B77" s="123"/>
      <c r="C77" s="1916"/>
      <c r="D77" s="1917"/>
      <c r="E77" s="1918"/>
      <c r="F77" s="630"/>
      <c r="G77" s="7"/>
      <c r="H77" s="541"/>
      <c r="I77" s="522">
        <f t="shared" si="8"/>
        <v>0</v>
      </c>
      <c r="J77" s="535">
        <f t="shared" si="0"/>
        <v>0</v>
      </c>
      <c r="K77" s="625"/>
      <c r="L77" s="625"/>
      <c r="M77" s="625"/>
      <c r="N77" s="629" t="str">
        <f xml:space="preserve">
IF(表紙!$X$2="事前協議","－",
IF(表紙!$X$2="交付申請（２次）","－",
IF(表紙!$X$2="変更申請","－",
IF(AND(表紙!$X$2="実績報告（１次）",AH77="◎"),COUNTIF($N$13:N77,"◎"),
IF(AND(表紙!$X$2="実績報告（１次）",OR(AH77="×",AH77="○")),"",
IF(表紙!$X$2="実績報告（２次）","－",
IF(表紙!$X$2="交付申請兼実績報告","－")))))))</f>
        <v>－</v>
      </c>
      <c r="O77" s="632" t="str">
        <f t="shared" si="1"/>
        <v/>
      </c>
      <c r="Q77" s="610" t="str">
        <f t="shared" si="2"/>
        <v/>
      </c>
      <c r="R77" s="614" t="str">
        <f t="shared" si="3"/>
        <v/>
      </c>
      <c r="S77" s="614" t="str">
        <f t="shared" si="4"/>
        <v/>
      </c>
      <c r="T77" s="614" t="str">
        <f t="shared" si="5"/>
        <v/>
      </c>
      <c r="AF77" s="514" t="s">
        <v>468</v>
      </c>
      <c r="AG77" s="537">
        <v>65</v>
      </c>
      <c r="AH77" s="612" t="str">
        <f t="shared" si="6"/>
        <v>○</v>
      </c>
      <c r="AI77" s="519" t="str">
        <f t="shared" si="7"/>
        <v>申請しない場合は入力不要です。</v>
      </c>
      <c r="AK77" s="538"/>
    </row>
    <row r="78" spans="1:37" ht="20.100000000000001" customHeight="1">
      <c r="A78" s="534">
        <v>66</v>
      </c>
      <c r="B78" s="123"/>
      <c r="C78" s="1916"/>
      <c r="D78" s="1917"/>
      <c r="E78" s="1918"/>
      <c r="F78" s="630"/>
      <c r="G78" s="7"/>
      <c r="H78" s="541"/>
      <c r="I78" s="522">
        <f t="shared" ref="I78:I112" si="9">ROUNDDOWN(H78*1.1,0)</f>
        <v>0</v>
      </c>
      <c r="J78" s="535">
        <f t="shared" ref="J78:J112" si="10">IF(COUNTA(B78:H78,K78:M78)&lt;&gt;8,0,G78*I78)</f>
        <v>0</v>
      </c>
      <c r="K78" s="625"/>
      <c r="L78" s="625"/>
      <c r="M78" s="625"/>
      <c r="N78" s="629" t="str">
        <f xml:space="preserve">
IF(表紙!$X$2="事前協議","－",
IF(表紙!$X$2="交付申請（２次）","－",
IF(表紙!$X$2="変更申請","－",
IF(AND(表紙!$X$2="実績報告（１次）",AH78="◎"),COUNTIF($N$13:N78,"◎"),
IF(AND(表紙!$X$2="実績報告（１次）",OR(AH78="×",AH78="○")),"",
IF(表紙!$X$2="実績報告（２次）","－",
IF(表紙!$X$2="交付申請兼実績報告","－")))))))</f>
        <v>－</v>
      </c>
      <c r="O78" s="632" t="str">
        <f t="shared" ref="O78:O112" si="11">IF(AH78="◎",F78*G78,"")</f>
        <v/>
      </c>
      <c r="Q78" s="610" t="str">
        <f t="shared" ref="Q78:Q111" si="12">IF(AH78="◎",DATE(IF(K78=5,2023,IF(K78=6,2024)),L78,M78),"")</f>
        <v/>
      </c>
      <c r="R78" s="614" t="str">
        <f t="shared" ref="R78:R112" si="13">IF($Q78=MAX($Q$13:$Q$112),K78,"")</f>
        <v/>
      </c>
      <c r="S78" s="614" t="str">
        <f t="shared" ref="S78:S112" si="14">IF($Q78=MAX($Q$13:$Q$112),L78,"")</f>
        <v/>
      </c>
      <c r="T78" s="614" t="str">
        <f t="shared" ref="T78:T112" si="15">IF($Q78=MAX($Q$13:$Q$112),M78,"")</f>
        <v/>
      </c>
      <c r="AF78" s="514" t="s">
        <v>468</v>
      </c>
      <c r="AG78" s="537">
        <v>66</v>
      </c>
      <c r="AH78" s="612" t="str">
        <f t="shared" ref="AH78:AH112" si="16" xml:space="preserve">
IF(COUNTA(B78:H78,K78:M78)=0,"○",
IF(AND(COUNTA(B78:H78,K78:M78)&gt;=1,COUNTA(B78:H78,K78:M78)&lt;8),"×",
IF(COUNTA(B78:H78,K78:M78)=8,"◎")))</f>
        <v>○</v>
      </c>
      <c r="AI78" s="519" t="str">
        <f t="shared" ref="AI78:AI112" si="17" xml:space="preserve">
IF(COUNTA(B78:H78,K78:M78)=0,"申請しない場合は入力不要です。",
IF(AND(COUNTA(B78:H78,K78:M78)&gt;=1,COUNTA(B78:H78,K78:M78)&lt;8),"【要修正】種類、品名、内容量、数量、税抜単価の内、未入力の箇所があります。",
IF(COUNTA(B78:H78,K78:M78)=8,"適切に入力がされました。")))</f>
        <v>申請しない場合は入力不要です。</v>
      </c>
      <c r="AK78" s="538"/>
    </row>
    <row r="79" spans="1:37" ht="20.100000000000001" customHeight="1">
      <c r="A79" s="534">
        <v>67</v>
      </c>
      <c r="B79" s="123"/>
      <c r="C79" s="1916"/>
      <c r="D79" s="1917"/>
      <c r="E79" s="1918"/>
      <c r="F79" s="630"/>
      <c r="G79" s="7"/>
      <c r="H79" s="541"/>
      <c r="I79" s="522">
        <f t="shared" si="9"/>
        <v>0</v>
      </c>
      <c r="J79" s="535">
        <f t="shared" si="10"/>
        <v>0</v>
      </c>
      <c r="K79" s="625"/>
      <c r="L79" s="625"/>
      <c r="M79" s="625"/>
      <c r="N79" s="629" t="str">
        <f xml:space="preserve">
IF(表紙!$X$2="事前協議","－",
IF(表紙!$X$2="交付申請（２次）","－",
IF(表紙!$X$2="変更申請","－",
IF(AND(表紙!$X$2="実績報告（１次）",AH79="◎"),COUNTIF($N$13:N79,"◎"),
IF(AND(表紙!$X$2="実績報告（１次）",OR(AH79="×",AH79="○")),"",
IF(表紙!$X$2="実績報告（２次）","－",
IF(表紙!$X$2="交付申請兼実績報告","－")))))))</f>
        <v>－</v>
      </c>
      <c r="O79" s="632" t="str">
        <f t="shared" si="11"/>
        <v/>
      </c>
      <c r="Q79" s="610" t="str">
        <f t="shared" si="12"/>
        <v/>
      </c>
      <c r="R79" s="614" t="str">
        <f t="shared" si="13"/>
        <v/>
      </c>
      <c r="S79" s="614" t="str">
        <f t="shared" si="14"/>
        <v/>
      </c>
      <c r="T79" s="614" t="str">
        <f t="shared" si="15"/>
        <v/>
      </c>
      <c r="AF79" s="514" t="s">
        <v>468</v>
      </c>
      <c r="AG79" s="537">
        <v>67</v>
      </c>
      <c r="AH79" s="612" t="str">
        <f t="shared" si="16"/>
        <v>○</v>
      </c>
      <c r="AI79" s="519" t="str">
        <f t="shared" si="17"/>
        <v>申請しない場合は入力不要です。</v>
      </c>
      <c r="AK79" s="538"/>
    </row>
    <row r="80" spans="1:37" ht="20.100000000000001" customHeight="1">
      <c r="A80" s="534">
        <v>68</v>
      </c>
      <c r="B80" s="123"/>
      <c r="C80" s="1916"/>
      <c r="D80" s="1917"/>
      <c r="E80" s="1918"/>
      <c r="F80" s="630"/>
      <c r="G80" s="7"/>
      <c r="H80" s="541"/>
      <c r="I80" s="522">
        <f t="shared" si="9"/>
        <v>0</v>
      </c>
      <c r="J80" s="535">
        <f t="shared" si="10"/>
        <v>0</v>
      </c>
      <c r="K80" s="625"/>
      <c r="L80" s="625"/>
      <c r="M80" s="625"/>
      <c r="N80" s="629" t="str">
        <f xml:space="preserve">
IF(表紙!$X$2="事前協議","－",
IF(表紙!$X$2="交付申請（２次）","－",
IF(表紙!$X$2="変更申請","－",
IF(AND(表紙!$X$2="実績報告（１次）",AH80="◎"),COUNTIF($N$13:N80,"◎"),
IF(AND(表紙!$X$2="実績報告（１次）",OR(AH80="×",AH80="○")),"",
IF(表紙!$X$2="実績報告（２次）","－",
IF(表紙!$X$2="交付申請兼実績報告","－")))))))</f>
        <v>－</v>
      </c>
      <c r="O80" s="632" t="str">
        <f t="shared" si="11"/>
        <v/>
      </c>
      <c r="Q80" s="610" t="str">
        <f t="shared" si="12"/>
        <v/>
      </c>
      <c r="R80" s="614" t="str">
        <f t="shared" si="13"/>
        <v/>
      </c>
      <c r="S80" s="614" t="str">
        <f t="shared" si="14"/>
        <v/>
      </c>
      <c r="T80" s="614" t="str">
        <f t="shared" si="15"/>
        <v/>
      </c>
      <c r="AF80" s="514" t="s">
        <v>468</v>
      </c>
      <c r="AG80" s="537">
        <v>68</v>
      </c>
      <c r="AH80" s="612" t="str">
        <f t="shared" si="16"/>
        <v>○</v>
      </c>
      <c r="AI80" s="519" t="str">
        <f t="shared" si="17"/>
        <v>申請しない場合は入力不要です。</v>
      </c>
      <c r="AK80" s="538"/>
    </row>
    <row r="81" spans="1:37" ht="20.100000000000001" customHeight="1">
      <c r="A81" s="534">
        <v>69</v>
      </c>
      <c r="B81" s="123"/>
      <c r="C81" s="1916"/>
      <c r="D81" s="1917"/>
      <c r="E81" s="1918"/>
      <c r="F81" s="630"/>
      <c r="G81" s="7"/>
      <c r="H81" s="541"/>
      <c r="I81" s="522">
        <f t="shared" si="9"/>
        <v>0</v>
      </c>
      <c r="J81" s="535">
        <f t="shared" si="10"/>
        <v>0</v>
      </c>
      <c r="K81" s="625"/>
      <c r="L81" s="625"/>
      <c r="M81" s="625"/>
      <c r="N81" s="629" t="str">
        <f xml:space="preserve">
IF(表紙!$X$2="事前協議","－",
IF(表紙!$X$2="交付申請（２次）","－",
IF(表紙!$X$2="変更申請","－",
IF(AND(表紙!$X$2="実績報告（１次）",AH81="◎"),COUNTIF($N$13:N81,"◎"),
IF(AND(表紙!$X$2="実績報告（１次）",OR(AH81="×",AH81="○")),"",
IF(表紙!$X$2="実績報告（２次）","－",
IF(表紙!$X$2="交付申請兼実績報告","－")))))))</f>
        <v>－</v>
      </c>
      <c r="O81" s="632" t="str">
        <f t="shared" si="11"/>
        <v/>
      </c>
      <c r="Q81" s="610" t="str">
        <f t="shared" si="12"/>
        <v/>
      </c>
      <c r="R81" s="614" t="str">
        <f t="shared" si="13"/>
        <v/>
      </c>
      <c r="S81" s="614" t="str">
        <f t="shared" si="14"/>
        <v/>
      </c>
      <c r="T81" s="614" t="str">
        <f t="shared" si="15"/>
        <v/>
      </c>
      <c r="AF81" s="514" t="s">
        <v>468</v>
      </c>
      <c r="AG81" s="537">
        <v>69</v>
      </c>
      <c r="AH81" s="612" t="str">
        <f t="shared" si="16"/>
        <v>○</v>
      </c>
      <c r="AI81" s="519" t="str">
        <f t="shared" si="17"/>
        <v>申請しない場合は入力不要です。</v>
      </c>
      <c r="AK81" s="538"/>
    </row>
    <row r="82" spans="1:37" ht="20.100000000000001" customHeight="1">
      <c r="A82" s="534">
        <v>70</v>
      </c>
      <c r="B82" s="123"/>
      <c r="C82" s="1916"/>
      <c r="D82" s="1917"/>
      <c r="E82" s="1918"/>
      <c r="F82" s="630"/>
      <c r="G82" s="7"/>
      <c r="H82" s="541"/>
      <c r="I82" s="522">
        <f t="shared" si="9"/>
        <v>0</v>
      </c>
      <c r="J82" s="535">
        <f t="shared" si="10"/>
        <v>0</v>
      </c>
      <c r="K82" s="625"/>
      <c r="L82" s="625"/>
      <c r="M82" s="625"/>
      <c r="N82" s="629" t="str">
        <f xml:space="preserve">
IF(表紙!$X$2="事前協議","－",
IF(表紙!$X$2="交付申請（２次）","－",
IF(表紙!$X$2="変更申請","－",
IF(AND(表紙!$X$2="実績報告（１次）",AH82="◎"),COUNTIF($N$13:N82,"◎"),
IF(AND(表紙!$X$2="実績報告（１次）",OR(AH82="×",AH82="○")),"",
IF(表紙!$X$2="実績報告（２次）","－",
IF(表紙!$X$2="交付申請兼実績報告","－")))))))</f>
        <v>－</v>
      </c>
      <c r="O82" s="632" t="str">
        <f t="shared" si="11"/>
        <v/>
      </c>
      <c r="Q82" s="610" t="str">
        <f t="shared" si="12"/>
        <v/>
      </c>
      <c r="R82" s="614" t="str">
        <f t="shared" si="13"/>
        <v/>
      </c>
      <c r="S82" s="614" t="str">
        <f t="shared" si="14"/>
        <v/>
      </c>
      <c r="T82" s="614" t="str">
        <f t="shared" si="15"/>
        <v/>
      </c>
      <c r="AF82" s="514" t="s">
        <v>468</v>
      </c>
      <c r="AG82" s="537">
        <v>70</v>
      </c>
      <c r="AH82" s="612" t="str">
        <f t="shared" si="16"/>
        <v>○</v>
      </c>
      <c r="AI82" s="519" t="str">
        <f t="shared" si="17"/>
        <v>申請しない場合は入力不要です。</v>
      </c>
      <c r="AK82" s="538"/>
    </row>
    <row r="83" spans="1:37" ht="20.100000000000001" customHeight="1">
      <c r="A83" s="534">
        <v>71</v>
      </c>
      <c r="B83" s="123"/>
      <c r="C83" s="1916"/>
      <c r="D83" s="1917"/>
      <c r="E83" s="1918"/>
      <c r="F83" s="630"/>
      <c r="G83" s="7"/>
      <c r="H83" s="541"/>
      <c r="I83" s="522">
        <f t="shared" si="9"/>
        <v>0</v>
      </c>
      <c r="J83" s="535">
        <f t="shared" si="10"/>
        <v>0</v>
      </c>
      <c r="K83" s="625"/>
      <c r="L83" s="625"/>
      <c r="M83" s="625"/>
      <c r="N83" s="629" t="str">
        <f xml:space="preserve">
IF(表紙!$X$2="事前協議","－",
IF(表紙!$X$2="交付申請（２次）","－",
IF(表紙!$X$2="変更申請","－",
IF(AND(表紙!$X$2="実績報告（１次）",AH83="◎"),COUNTIF($N$13:N83,"◎"),
IF(AND(表紙!$X$2="実績報告（１次）",OR(AH83="×",AH83="○")),"",
IF(表紙!$X$2="実績報告（２次）","－",
IF(表紙!$X$2="交付申請兼実績報告","－")))))))</f>
        <v>－</v>
      </c>
      <c r="O83" s="632" t="str">
        <f t="shared" si="11"/>
        <v/>
      </c>
      <c r="Q83" s="610" t="str">
        <f t="shared" si="12"/>
        <v/>
      </c>
      <c r="R83" s="614" t="str">
        <f t="shared" si="13"/>
        <v/>
      </c>
      <c r="S83" s="614" t="str">
        <f t="shared" si="14"/>
        <v/>
      </c>
      <c r="T83" s="614" t="str">
        <f t="shared" si="15"/>
        <v/>
      </c>
      <c r="AF83" s="514" t="s">
        <v>468</v>
      </c>
      <c r="AG83" s="537">
        <v>71</v>
      </c>
      <c r="AH83" s="612" t="str">
        <f t="shared" si="16"/>
        <v>○</v>
      </c>
      <c r="AI83" s="519" t="str">
        <f t="shared" si="17"/>
        <v>申請しない場合は入力不要です。</v>
      </c>
      <c r="AK83" s="538"/>
    </row>
    <row r="84" spans="1:37" ht="20.100000000000001" customHeight="1">
      <c r="A84" s="534">
        <v>72</v>
      </c>
      <c r="B84" s="123"/>
      <c r="C84" s="1916"/>
      <c r="D84" s="1917"/>
      <c r="E84" s="1918"/>
      <c r="F84" s="630"/>
      <c r="G84" s="7"/>
      <c r="H84" s="541"/>
      <c r="I84" s="522">
        <f t="shared" si="9"/>
        <v>0</v>
      </c>
      <c r="J84" s="535">
        <f t="shared" si="10"/>
        <v>0</v>
      </c>
      <c r="K84" s="625"/>
      <c r="L84" s="625"/>
      <c r="M84" s="625"/>
      <c r="N84" s="629" t="str">
        <f xml:space="preserve">
IF(表紙!$X$2="事前協議","－",
IF(表紙!$X$2="交付申請（２次）","－",
IF(表紙!$X$2="変更申請","－",
IF(AND(表紙!$X$2="実績報告（１次）",AH84="◎"),COUNTIF($N$13:N84,"◎"),
IF(AND(表紙!$X$2="実績報告（１次）",OR(AH84="×",AH84="○")),"",
IF(表紙!$X$2="実績報告（２次）","－",
IF(表紙!$X$2="交付申請兼実績報告","－")))))))</f>
        <v>－</v>
      </c>
      <c r="O84" s="632" t="str">
        <f t="shared" si="11"/>
        <v/>
      </c>
      <c r="Q84" s="610" t="str">
        <f t="shared" si="12"/>
        <v/>
      </c>
      <c r="R84" s="614" t="str">
        <f t="shared" si="13"/>
        <v/>
      </c>
      <c r="S84" s="614" t="str">
        <f t="shared" si="14"/>
        <v/>
      </c>
      <c r="T84" s="614" t="str">
        <f t="shared" si="15"/>
        <v/>
      </c>
      <c r="AF84" s="514" t="s">
        <v>468</v>
      </c>
      <c r="AG84" s="537">
        <v>72</v>
      </c>
      <c r="AH84" s="612" t="str">
        <f t="shared" si="16"/>
        <v>○</v>
      </c>
      <c r="AI84" s="519" t="str">
        <f t="shared" si="17"/>
        <v>申請しない場合は入力不要です。</v>
      </c>
      <c r="AK84" s="538"/>
    </row>
    <row r="85" spans="1:37" ht="20.100000000000001" customHeight="1">
      <c r="A85" s="534">
        <v>73</v>
      </c>
      <c r="B85" s="123"/>
      <c r="C85" s="1916"/>
      <c r="D85" s="1917"/>
      <c r="E85" s="1918"/>
      <c r="F85" s="630"/>
      <c r="G85" s="7"/>
      <c r="H85" s="541"/>
      <c r="I85" s="522">
        <f t="shared" si="9"/>
        <v>0</v>
      </c>
      <c r="J85" s="535">
        <f t="shared" si="10"/>
        <v>0</v>
      </c>
      <c r="K85" s="625"/>
      <c r="L85" s="625"/>
      <c r="M85" s="625"/>
      <c r="N85" s="629" t="str">
        <f xml:space="preserve">
IF(表紙!$X$2="事前協議","－",
IF(表紙!$X$2="交付申請（２次）","－",
IF(表紙!$X$2="変更申請","－",
IF(AND(表紙!$X$2="実績報告（１次）",AH85="◎"),COUNTIF($N$13:N85,"◎"),
IF(AND(表紙!$X$2="実績報告（１次）",OR(AH85="×",AH85="○")),"",
IF(表紙!$X$2="実績報告（２次）","－",
IF(表紙!$X$2="交付申請兼実績報告","－")))))))</f>
        <v>－</v>
      </c>
      <c r="O85" s="632" t="str">
        <f t="shared" si="11"/>
        <v/>
      </c>
      <c r="Q85" s="610" t="str">
        <f t="shared" si="12"/>
        <v/>
      </c>
      <c r="R85" s="614" t="str">
        <f t="shared" si="13"/>
        <v/>
      </c>
      <c r="S85" s="614" t="str">
        <f t="shared" si="14"/>
        <v/>
      </c>
      <c r="T85" s="614" t="str">
        <f t="shared" si="15"/>
        <v/>
      </c>
      <c r="AF85" s="514" t="s">
        <v>468</v>
      </c>
      <c r="AG85" s="537">
        <v>73</v>
      </c>
      <c r="AH85" s="612" t="str">
        <f t="shared" si="16"/>
        <v>○</v>
      </c>
      <c r="AI85" s="519" t="str">
        <f t="shared" si="17"/>
        <v>申請しない場合は入力不要です。</v>
      </c>
      <c r="AK85" s="538"/>
    </row>
    <row r="86" spans="1:37" ht="20.100000000000001" customHeight="1">
      <c r="A86" s="534">
        <v>74</v>
      </c>
      <c r="B86" s="123"/>
      <c r="C86" s="1916"/>
      <c r="D86" s="1917"/>
      <c r="E86" s="1918"/>
      <c r="F86" s="630"/>
      <c r="G86" s="7"/>
      <c r="H86" s="541"/>
      <c r="I86" s="522">
        <f t="shared" si="9"/>
        <v>0</v>
      </c>
      <c r="J86" s="535">
        <f t="shared" si="10"/>
        <v>0</v>
      </c>
      <c r="K86" s="625"/>
      <c r="L86" s="625"/>
      <c r="M86" s="625"/>
      <c r="N86" s="629" t="str">
        <f xml:space="preserve">
IF(表紙!$X$2="事前協議","－",
IF(表紙!$X$2="交付申請（２次）","－",
IF(表紙!$X$2="変更申請","－",
IF(AND(表紙!$X$2="実績報告（１次）",AH86="◎"),COUNTIF($N$13:N86,"◎"),
IF(AND(表紙!$X$2="実績報告（１次）",OR(AH86="×",AH86="○")),"",
IF(表紙!$X$2="実績報告（２次）","－",
IF(表紙!$X$2="交付申請兼実績報告","－")))))))</f>
        <v>－</v>
      </c>
      <c r="O86" s="632" t="str">
        <f t="shared" si="11"/>
        <v/>
      </c>
      <c r="Q86" s="610" t="str">
        <f t="shared" si="12"/>
        <v/>
      </c>
      <c r="R86" s="614" t="str">
        <f t="shared" si="13"/>
        <v/>
      </c>
      <c r="S86" s="614" t="str">
        <f t="shared" si="14"/>
        <v/>
      </c>
      <c r="T86" s="614" t="str">
        <f t="shared" si="15"/>
        <v/>
      </c>
      <c r="AF86" s="514" t="s">
        <v>468</v>
      </c>
      <c r="AG86" s="537">
        <v>74</v>
      </c>
      <c r="AH86" s="612" t="str">
        <f t="shared" si="16"/>
        <v>○</v>
      </c>
      <c r="AI86" s="519" t="str">
        <f t="shared" si="17"/>
        <v>申請しない場合は入力不要です。</v>
      </c>
      <c r="AK86" s="538"/>
    </row>
    <row r="87" spans="1:37" ht="20.100000000000001" customHeight="1">
      <c r="A87" s="534">
        <v>75</v>
      </c>
      <c r="B87" s="123"/>
      <c r="C87" s="1916"/>
      <c r="D87" s="1917"/>
      <c r="E87" s="1918"/>
      <c r="F87" s="630"/>
      <c r="G87" s="7"/>
      <c r="H87" s="541"/>
      <c r="I87" s="522">
        <f t="shared" si="9"/>
        <v>0</v>
      </c>
      <c r="J87" s="535">
        <f t="shared" si="10"/>
        <v>0</v>
      </c>
      <c r="K87" s="625"/>
      <c r="L87" s="625"/>
      <c r="M87" s="625"/>
      <c r="N87" s="629" t="str">
        <f xml:space="preserve">
IF(表紙!$X$2="事前協議","－",
IF(表紙!$X$2="交付申請（２次）","－",
IF(表紙!$X$2="変更申請","－",
IF(AND(表紙!$X$2="実績報告（１次）",AH87="◎"),COUNTIF($N$13:N87,"◎"),
IF(AND(表紙!$X$2="実績報告（１次）",OR(AH87="×",AH87="○")),"",
IF(表紙!$X$2="実績報告（２次）","－",
IF(表紙!$X$2="交付申請兼実績報告","－")))))))</f>
        <v>－</v>
      </c>
      <c r="O87" s="632" t="str">
        <f t="shared" si="11"/>
        <v/>
      </c>
      <c r="Q87" s="610" t="str">
        <f t="shared" si="12"/>
        <v/>
      </c>
      <c r="R87" s="614" t="str">
        <f t="shared" si="13"/>
        <v/>
      </c>
      <c r="S87" s="614" t="str">
        <f t="shared" si="14"/>
        <v/>
      </c>
      <c r="T87" s="614" t="str">
        <f t="shared" si="15"/>
        <v/>
      </c>
      <c r="AF87" s="514" t="s">
        <v>468</v>
      </c>
      <c r="AG87" s="537">
        <v>75</v>
      </c>
      <c r="AH87" s="612" t="str">
        <f t="shared" si="16"/>
        <v>○</v>
      </c>
      <c r="AI87" s="519" t="str">
        <f t="shared" si="17"/>
        <v>申請しない場合は入力不要です。</v>
      </c>
      <c r="AK87" s="538"/>
    </row>
    <row r="88" spans="1:37" ht="20.100000000000001" customHeight="1">
      <c r="A88" s="534">
        <v>76</v>
      </c>
      <c r="B88" s="123"/>
      <c r="C88" s="1916"/>
      <c r="D88" s="1917"/>
      <c r="E88" s="1918"/>
      <c r="F88" s="630"/>
      <c r="G88" s="7"/>
      <c r="H88" s="541"/>
      <c r="I88" s="522">
        <f t="shared" si="9"/>
        <v>0</v>
      </c>
      <c r="J88" s="535">
        <f t="shared" si="10"/>
        <v>0</v>
      </c>
      <c r="K88" s="625"/>
      <c r="L88" s="625"/>
      <c r="M88" s="625"/>
      <c r="N88" s="629" t="str">
        <f xml:space="preserve">
IF(表紙!$X$2="事前協議","－",
IF(表紙!$X$2="交付申請（２次）","－",
IF(表紙!$X$2="変更申請","－",
IF(AND(表紙!$X$2="実績報告（１次）",AH88="◎"),COUNTIF($N$13:N88,"◎"),
IF(AND(表紙!$X$2="実績報告（１次）",OR(AH88="×",AH88="○")),"",
IF(表紙!$X$2="実績報告（２次）","－",
IF(表紙!$X$2="交付申請兼実績報告","－")))))))</f>
        <v>－</v>
      </c>
      <c r="O88" s="632" t="str">
        <f t="shared" si="11"/>
        <v/>
      </c>
      <c r="Q88" s="610" t="str">
        <f t="shared" si="12"/>
        <v/>
      </c>
      <c r="R88" s="614" t="str">
        <f t="shared" si="13"/>
        <v/>
      </c>
      <c r="S88" s="614" t="str">
        <f t="shared" si="14"/>
        <v/>
      </c>
      <c r="T88" s="614" t="str">
        <f t="shared" si="15"/>
        <v/>
      </c>
      <c r="AF88" s="514" t="s">
        <v>468</v>
      </c>
      <c r="AG88" s="537">
        <v>76</v>
      </c>
      <c r="AH88" s="612" t="str">
        <f t="shared" si="16"/>
        <v>○</v>
      </c>
      <c r="AI88" s="519" t="str">
        <f t="shared" si="17"/>
        <v>申請しない場合は入力不要です。</v>
      </c>
      <c r="AK88" s="538"/>
    </row>
    <row r="89" spans="1:37" ht="20.100000000000001" customHeight="1">
      <c r="A89" s="534">
        <v>77</v>
      </c>
      <c r="B89" s="123"/>
      <c r="C89" s="1916"/>
      <c r="D89" s="1917"/>
      <c r="E89" s="1918"/>
      <c r="F89" s="630"/>
      <c r="G89" s="7"/>
      <c r="H89" s="541"/>
      <c r="I89" s="522">
        <f t="shared" si="9"/>
        <v>0</v>
      </c>
      <c r="J89" s="535">
        <f t="shared" si="10"/>
        <v>0</v>
      </c>
      <c r="K89" s="625"/>
      <c r="L89" s="625"/>
      <c r="M89" s="625"/>
      <c r="N89" s="629" t="str">
        <f xml:space="preserve">
IF(表紙!$X$2="事前協議","－",
IF(表紙!$X$2="交付申請（２次）","－",
IF(表紙!$X$2="変更申請","－",
IF(AND(表紙!$X$2="実績報告（１次）",AH89="◎"),COUNTIF($N$13:N89,"◎"),
IF(AND(表紙!$X$2="実績報告（１次）",OR(AH89="×",AH89="○")),"",
IF(表紙!$X$2="実績報告（２次）","－",
IF(表紙!$X$2="交付申請兼実績報告","－")))))))</f>
        <v>－</v>
      </c>
      <c r="O89" s="632" t="str">
        <f t="shared" si="11"/>
        <v/>
      </c>
      <c r="Q89" s="610" t="str">
        <f t="shared" si="12"/>
        <v/>
      </c>
      <c r="R89" s="614" t="str">
        <f t="shared" si="13"/>
        <v/>
      </c>
      <c r="S89" s="614" t="str">
        <f t="shared" si="14"/>
        <v/>
      </c>
      <c r="T89" s="614" t="str">
        <f t="shared" si="15"/>
        <v/>
      </c>
      <c r="AF89" s="514" t="s">
        <v>468</v>
      </c>
      <c r="AG89" s="537">
        <v>77</v>
      </c>
      <c r="AH89" s="612" t="str">
        <f t="shared" si="16"/>
        <v>○</v>
      </c>
      <c r="AI89" s="519" t="str">
        <f t="shared" si="17"/>
        <v>申請しない場合は入力不要です。</v>
      </c>
      <c r="AK89" s="538"/>
    </row>
    <row r="90" spans="1:37" ht="20.100000000000001" customHeight="1">
      <c r="A90" s="534">
        <v>78</v>
      </c>
      <c r="B90" s="123"/>
      <c r="C90" s="1916"/>
      <c r="D90" s="1917"/>
      <c r="E90" s="1918"/>
      <c r="F90" s="630"/>
      <c r="G90" s="7"/>
      <c r="H90" s="541"/>
      <c r="I90" s="522">
        <f t="shared" si="9"/>
        <v>0</v>
      </c>
      <c r="J90" s="535">
        <f t="shared" si="10"/>
        <v>0</v>
      </c>
      <c r="K90" s="625"/>
      <c r="L90" s="625"/>
      <c r="M90" s="625"/>
      <c r="N90" s="629" t="str">
        <f xml:space="preserve">
IF(表紙!$X$2="事前協議","－",
IF(表紙!$X$2="交付申請（２次）","－",
IF(表紙!$X$2="変更申請","－",
IF(AND(表紙!$X$2="実績報告（１次）",AH90="◎"),COUNTIF($N$13:N90,"◎"),
IF(AND(表紙!$X$2="実績報告（１次）",OR(AH90="×",AH90="○")),"",
IF(表紙!$X$2="実績報告（２次）","－",
IF(表紙!$X$2="交付申請兼実績報告","－")))))))</f>
        <v>－</v>
      </c>
      <c r="O90" s="632" t="str">
        <f t="shared" si="11"/>
        <v/>
      </c>
      <c r="Q90" s="610" t="str">
        <f t="shared" si="12"/>
        <v/>
      </c>
      <c r="R90" s="614" t="str">
        <f t="shared" si="13"/>
        <v/>
      </c>
      <c r="S90" s="614" t="str">
        <f t="shared" si="14"/>
        <v/>
      </c>
      <c r="T90" s="614" t="str">
        <f t="shared" si="15"/>
        <v/>
      </c>
      <c r="AF90" s="514" t="s">
        <v>468</v>
      </c>
      <c r="AG90" s="537">
        <v>78</v>
      </c>
      <c r="AH90" s="612" t="str">
        <f t="shared" si="16"/>
        <v>○</v>
      </c>
      <c r="AI90" s="519" t="str">
        <f t="shared" si="17"/>
        <v>申請しない場合は入力不要です。</v>
      </c>
      <c r="AK90" s="538"/>
    </row>
    <row r="91" spans="1:37" ht="20.100000000000001" customHeight="1">
      <c r="A91" s="534">
        <v>79</v>
      </c>
      <c r="B91" s="123"/>
      <c r="C91" s="1916"/>
      <c r="D91" s="1917"/>
      <c r="E91" s="1918"/>
      <c r="F91" s="630"/>
      <c r="G91" s="7"/>
      <c r="H91" s="541"/>
      <c r="I91" s="522">
        <f t="shared" si="9"/>
        <v>0</v>
      </c>
      <c r="J91" s="535">
        <f t="shared" si="10"/>
        <v>0</v>
      </c>
      <c r="K91" s="625"/>
      <c r="L91" s="625"/>
      <c r="M91" s="625"/>
      <c r="N91" s="629" t="str">
        <f xml:space="preserve">
IF(表紙!$X$2="事前協議","－",
IF(表紙!$X$2="交付申請（２次）","－",
IF(表紙!$X$2="変更申請","－",
IF(AND(表紙!$X$2="実績報告（１次）",AH91="◎"),COUNTIF($N$13:N91,"◎"),
IF(AND(表紙!$X$2="実績報告（１次）",OR(AH91="×",AH91="○")),"",
IF(表紙!$X$2="実績報告（２次）","－",
IF(表紙!$X$2="交付申請兼実績報告","－")))))))</f>
        <v>－</v>
      </c>
      <c r="O91" s="632" t="str">
        <f t="shared" si="11"/>
        <v/>
      </c>
      <c r="Q91" s="610" t="str">
        <f t="shared" si="12"/>
        <v/>
      </c>
      <c r="R91" s="614" t="str">
        <f t="shared" si="13"/>
        <v/>
      </c>
      <c r="S91" s="614" t="str">
        <f t="shared" si="14"/>
        <v/>
      </c>
      <c r="T91" s="614" t="str">
        <f t="shared" si="15"/>
        <v/>
      </c>
      <c r="AF91" s="514" t="s">
        <v>468</v>
      </c>
      <c r="AG91" s="537">
        <v>79</v>
      </c>
      <c r="AH91" s="612" t="str">
        <f t="shared" si="16"/>
        <v>○</v>
      </c>
      <c r="AI91" s="519" t="str">
        <f t="shared" si="17"/>
        <v>申請しない場合は入力不要です。</v>
      </c>
      <c r="AK91" s="538"/>
    </row>
    <row r="92" spans="1:37" ht="20.100000000000001" customHeight="1">
      <c r="A92" s="534">
        <v>80</v>
      </c>
      <c r="B92" s="123"/>
      <c r="C92" s="1916"/>
      <c r="D92" s="1917"/>
      <c r="E92" s="1918"/>
      <c r="F92" s="630"/>
      <c r="G92" s="7"/>
      <c r="H92" s="541"/>
      <c r="I92" s="522">
        <f t="shared" si="9"/>
        <v>0</v>
      </c>
      <c r="J92" s="535">
        <f t="shared" si="10"/>
        <v>0</v>
      </c>
      <c r="K92" s="625"/>
      <c r="L92" s="625"/>
      <c r="M92" s="625"/>
      <c r="N92" s="629" t="str">
        <f xml:space="preserve">
IF(表紙!$X$2="事前協議","－",
IF(表紙!$X$2="交付申請（２次）","－",
IF(表紙!$X$2="変更申請","－",
IF(AND(表紙!$X$2="実績報告（１次）",AH92="◎"),COUNTIF($N$13:N92,"◎"),
IF(AND(表紙!$X$2="実績報告（１次）",OR(AH92="×",AH92="○")),"",
IF(表紙!$X$2="実績報告（２次）","－",
IF(表紙!$X$2="交付申請兼実績報告","－")))))))</f>
        <v>－</v>
      </c>
      <c r="O92" s="632" t="str">
        <f t="shared" si="11"/>
        <v/>
      </c>
      <c r="Q92" s="610" t="str">
        <f t="shared" si="12"/>
        <v/>
      </c>
      <c r="R92" s="614" t="str">
        <f t="shared" si="13"/>
        <v/>
      </c>
      <c r="S92" s="614" t="str">
        <f t="shared" si="14"/>
        <v/>
      </c>
      <c r="T92" s="614" t="str">
        <f t="shared" si="15"/>
        <v/>
      </c>
      <c r="AF92" s="514" t="s">
        <v>468</v>
      </c>
      <c r="AG92" s="537">
        <v>80</v>
      </c>
      <c r="AH92" s="612" t="str">
        <f t="shared" si="16"/>
        <v>○</v>
      </c>
      <c r="AI92" s="519" t="str">
        <f t="shared" si="17"/>
        <v>申請しない場合は入力不要です。</v>
      </c>
      <c r="AK92" s="538"/>
    </row>
    <row r="93" spans="1:37" ht="20.100000000000001" customHeight="1">
      <c r="A93" s="534">
        <v>81</v>
      </c>
      <c r="B93" s="123"/>
      <c r="C93" s="1916"/>
      <c r="D93" s="1917"/>
      <c r="E93" s="1918"/>
      <c r="F93" s="630"/>
      <c r="G93" s="7"/>
      <c r="H93" s="541"/>
      <c r="I93" s="522">
        <f t="shared" si="9"/>
        <v>0</v>
      </c>
      <c r="J93" s="535">
        <f t="shared" si="10"/>
        <v>0</v>
      </c>
      <c r="K93" s="625"/>
      <c r="L93" s="625"/>
      <c r="M93" s="625"/>
      <c r="N93" s="629" t="str">
        <f xml:space="preserve">
IF(表紙!$X$2="事前協議","－",
IF(表紙!$X$2="交付申請（２次）","－",
IF(表紙!$X$2="変更申請","－",
IF(AND(表紙!$X$2="実績報告（１次）",AH93="◎"),COUNTIF($N$13:N93,"◎"),
IF(AND(表紙!$X$2="実績報告（１次）",OR(AH93="×",AH93="○")),"",
IF(表紙!$X$2="実績報告（２次）","－",
IF(表紙!$X$2="交付申請兼実績報告","－")))))))</f>
        <v>－</v>
      </c>
      <c r="O93" s="632" t="str">
        <f t="shared" si="11"/>
        <v/>
      </c>
      <c r="Q93" s="610" t="str">
        <f t="shared" si="12"/>
        <v/>
      </c>
      <c r="R93" s="614" t="str">
        <f t="shared" si="13"/>
        <v/>
      </c>
      <c r="S93" s="614" t="str">
        <f t="shared" si="14"/>
        <v/>
      </c>
      <c r="T93" s="614" t="str">
        <f t="shared" si="15"/>
        <v/>
      </c>
      <c r="AF93" s="514" t="s">
        <v>468</v>
      </c>
      <c r="AG93" s="537">
        <v>81</v>
      </c>
      <c r="AH93" s="612" t="str">
        <f t="shared" si="16"/>
        <v>○</v>
      </c>
      <c r="AI93" s="519" t="str">
        <f t="shared" si="17"/>
        <v>申請しない場合は入力不要です。</v>
      </c>
      <c r="AK93" s="538"/>
    </row>
    <row r="94" spans="1:37" ht="20.100000000000001" customHeight="1">
      <c r="A94" s="534">
        <v>82</v>
      </c>
      <c r="B94" s="123"/>
      <c r="C94" s="1916"/>
      <c r="D94" s="1917"/>
      <c r="E94" s="1918"/>
      <c r="F94" s="630"/>
      <c r="G94" s="7"/>
      <c r="H94" s="541"/>
      <c r="I94" s="522">
        <f t="shared" si="9"/>
        <v>0</v>
      </c>
      <c r="J94" s="535">
        <f t="shared" si="10"/>
        <v>0</v>
      </c>
      <c r="K94" s="625"/>
      <c r="L94" s="625"/>
      <c r="M94" s="625"/>
      <c r="N94" s="629" t="str">
        <f xml:space="preserve">
IF(表紙!$X$2="事前協議","－",
IF(表紙!$X$2="交付申請（２次）","－",
IF(表紙!$X$2="変更申請","－",
IF(AND(表紙!$X$2="実績報告（１次）",AH94="◎"),COUNTIF($N$13:N94,"◎"),
IF(AND(表紙!$X$2="実績報告（１次）",OR(AH94="×",AH94="○")),"",
IF(表紙!$X$2="実績報告（２次）","－",
IF(表紙!$X$2="交付申請兼実績報告","－")))))))</f>
        <v>－</v>
      </c>
      <c r="O94" s="632" t="str">
        <f t="shared" si="11"/>
        <v/>
      </c>
      <c r="Q94" s="610" t="str">
        <f t="shared" si="12"/>
        <v/>
      </c>
      <c r="R94" s="614" t="str">
        <f t="shared" si="13"/>
        <v/>
      </c>
      <c r="S94" s="614" t="str">
        <f t="shared" si="14"/>
        <v/>
      </c>
      <c r="T94" s="614" t="str">
        <f t="shared" si="15"/>
        <v/>
      </c>
      <c r="AF94" s="514" t="s">
        <v>468</v>
      </c>
      <c r="AG94" s="537">
        <v>82</v>
      </c>
      <c r="AH94" s="612" t="str">
        <f t="shared" si="16"/>
        <v>○</v>
      </c>
      <c r="AI94" s="519" t="str">
        <f t="shared" si="17"/>
        <v>申請しない場合は入力不要です。</v>
      </c>
      <c r="AK94" s="538"/>
    </row>
    <row r="95" spans="1:37" ht="20.100000000000001" customHeight="1">
      <c r="A95" s="534">
        <v>83</v>
      </c>
      <c r="B95" s="123"/>
      <c r="C95" s="1916"/>
      <c r="D95" s="1917"/>
      <c r="E95" s="1918"/>
      <c r="F95" s="630"/>
      <c r="G95" s="7"/>
      <c r="H95" s="541"/>
      <c r="I95" s="522">
        <f t="shared" si="9"/>
        <v>0</v>
      </c>
      <c r="J95" s="535">
        <f t="shared" si="10"/>
        <v>0</v>
      </c>
      <c r="K95" s="625"/>
      <c r="L95" s="625"/>
      <c r="M95" s="625"/>
      <c r="N95" s="629" t="str">
        <f xml:space="preserve">
IF(表紙!$X$2="事前協議","－",
IF(表紙!$X$2="交付申請（２次）","－",
IF(表紙!$X$2="変更申請","－",
IF(AND(表紙!$X$2="実績報告（１次）",AH95="◎"),COUNTIF($N$13:N95,"◎"),
IF(AND(表紙!$X$2="実績報告（１次）",OR(AH95="×",AH95="○")),"",
IF(表紙!$X$2="実績報告（２次）","－",
IF(表紙!$X$2="交付申請兼実績報告","－")))))))</f>
        <v>－</v>
      </c>
      <c r="O95" s="632" t="str">
        <f t="shared" si="11"/>
        <v/>
      </c>
      <c r="Q95" s="610" t="str">
        <f t="shared" si="12"/>
        <v/>
      </c>
      <c r="R95" s="614" t="str">
        <f t="shared" si="13"/>
        <v/>
      </c>
      <c r="S95" s="614" t="str">
        <f t="shared" si="14"/>
        <v/>
      </c>
      <c r="T95" s="614" t="str">
        <f t="shared" si="15"/>
        <v/>
      </c>
      <c r="AF95" s="514" t="s">
        <v>468</v>
      </c>
      <c r="AG95" s="537">
        <v>83</v>
      </c>
      <c r="AH95" s="612" t="str">
        <f t="shared" si="16"/>
        <v>○</v>
      </c>
      <c r="AI95" s="519" t="str">
        <f t="shared" si="17"/>
        <v>申請しない場合は入力不要です。</v>
      </c>
      <c r="AK95" s="538"/>
    </row>
    <row r="96" spans="1:37" ht="20.100000000000001" customHeight="1">
      <c r="A96" s="534">
        <v>84</v>
      </c>
      <c r="B96" s="123"/>
      <c r="C96" s="1916"/>
      <c r="D96" s="1917"/>
      <c r="E96" s="1918"/>
      <c r="F96" s="630"/>
      <c r="G96" s="7"/>
      <c r="H96" s="541"/>
      <c r="I96" s="522">
        <f t="shared" si="9"/>
        <v>0</v>
      </c>
      <c r="J96" s="535">
        <f t="shared" si="10"/>
        <v>0</v>
      </c>
      <c r="K96" s="625"/>
      <c r="L96" s="625"/>
      <c r="M96" s="625"/>
      <c r="N96" s="629" t="str">
        <f xml:space="preserve">
IF(表紙!$X$2="事前協議","－",
IF(表紙!$X$2="交付申請（２次）","－",
IF(表紙!$X$2="変更申請","－",
IF(AND(表紙!$X$2="実績報告（１次）",AH96="◎"),COUNTIF($N$13:N96,"◎"),
IF(AND(表紙!$X$2="実績報告（１次）",OR(AH96="×",AH96="○")),"",
IF(表紙!$X$2="実績報告（２次）","－",
IF(表紙!$X$2="交付申請兼実績報告","－")))))))</f>
        <v>－</v>
      </c>
      <c r="O96" s="632" t="str">
        <f t="shared" si="11"/>
        <v/>
      </c>
      <c r="Q96" s="610" t="str">
        <f t="shared" si="12"/>
        <v/>
      </c>
      <c r="R96" s="614" t="str">
        <f t="shared" si="13"/>
        <v/>
      </c>
      <c r="S96" s="614" t="str">
        <f t="shared" si="14"/>
        <v/>
      </c>
      <c r="T96" s="614" t="str">
        <f t="shared" si="15"/>
        <v/>
      </c>
      <c r="AF96" s="514" t="s">
        <v>468</v>
      </c>
      <c r="AG96" s="537">
        <v>84</v>
      </c>
      <c r="AH96" s="612" t="str">
        <f t="shared" si="16"/>
        <v>○</v>
      </c>
      <c r="AI96" s="519" t="str">
        <f t="shared" si="17"/>
        <v>申請しない場合は入力不要です。</v>
      </c>
      <c r="AK96" s="538"/>
    </row>
    <row r="97" spans="1:37" ht="20.100000000000001" customHeight="1">
      <c r="A97" s="534">
        <v>85</v>
      </c>
      <c r="B97" s="123"/>
      <c r="C97" s="1916"/>
      <c r="D97" s="1917"/>
      <c r="E97" s="1918"/>
      <c r="F97" s="630"/>
      <c r="G97" s="7"/>
      <c r="H97" s="541"/>
      <c r="I97" s="522">
        <f t="shared" si="9"/>
        <v>0</v>
      </c>
      <c r="J97" s="535">
        <f t="shared" si="10"/>
        <v>0</v>
      </c>
      <c r="K97" s="625"/>
      <c r="L97" s="625"/>
      <c r="M97" s="625"/>
      <c r="N97" s="629" t="str">
        <f xml:space="preserve">
IF(表紙!$X$2="事前協議","－",
IF(表紙!$X$2="交付申請（２次）","－",
IF(表紙!$X$2="変更申請","－",
IF(AND(表紙!$X$2="実績報告（１次）",AH97="◎"),COUNTIF($N$13:N97,"◎"),
IF(AND(表紙!$X$2="実績報告（１次）",OR(AH97="×",AH97="○")),"",
IF(表紙!$X$2="実績報告（２次）","－",
IF(表紙!$X$2="交付申請兼実績報告","－")))))))</f>
        <v>－</v>
      </c>
      <c r="O97" s="632" t="str">
        <f t="shared" si="11"/>
        <v/>
      </c>
      <c r="Q97" s="610" t="str">
        <f t="shared" si="12"/>
        <v/>
      </c>
      <c r="R97" s="614" t="str">
        <f t="shared" si="13"/>
        <v/>
      </c>
      <c r="S97" s="614" t="str">
        <f t="shared" si="14"/>
        <v/>
      </c>
      <c r="T97" s="614" t="str">
        <f t="shared" si="15"/>
        <v/>
      </c>
      <c r="AF97" s="514" t="s">
        <v>468</v>
      </c>
      <c r="AG97" s="537">
        <v>85</v>
      </c>
      <c r="AH97" s="612" t="str">
        <f t="shared" si="16"/>
        <v>○</v>
      </c>
      <c r="AI97" s="519" t="str">
        <f t="shared" si="17"/>
        <v>申請しない場合は入力不要です。</v>
      </c>
      <c r="AK97" s="538"/>
    </row>
    <row r="98" spans="1:37" ht="20.100000000000001" customHeight="1">
      <c r="A98" s="534">
        <v>86</v>
      </c>
      <c r="B98" s="123"/>
      <c r="C98" s="1916"/>
      <c r="D98" s="1917"/>
      <c r="E98" s="1918"/>
      <c r="F98" s="630"/>
      <c r="G98" s="7"/>
      <c r="H98" s="541"/>
      <c r="I98" s="522">
        <f t="shared" si="9"/>
        <v>0</v>
      </c>
      <c r="J98" s="535">
        <f t="shared" si="10"/>
        <v>0</v>
      </c>
      <c r="K98" s="625"/>
      <c r="L98" s="625"/>
      <c r="M98" s="625"/>
      <c r="N98" s="629" t="str">
        <f xml:space="preserve">
IF(表紙!$X$2="事前協議","－",
IF(表紙!$X$2="交付申請（２次）","－",
IF(表紙!$X$2="変更申請","－",
IF(AND(表紙!$X$2="実績報告（１次）",AH98="◎"),COUNTIF($N$13:N98,"◎"),
IF(AND(表紙!$X$2="実績報告（１次）",OR(AH98="×",AH98="○")),"",
IF(表紙!$X$2="実績報告（２次）","－",
IF(表紙!$X$2="交付申請兼実績報告","－")))))))</f>
        <v>－</v>
      </c>
      <c r="O98" s="632" t="str">
        <f t="shared" si="11"/>
        <v/>
      </c>
      <c r="Q98" s="610" t="str">
        <f t="shared" si="12"/>
        <v/>
      </c>
      <c r="R98" s="614" t="str">
        <f t="shared" si="13"/>
        <v/>
      </c>
      <c r="S98" s="614" t="str">
        <f t="shared" si="14"/>
        <v/>
      </c>
      <c r="T98" s="614" t="str">
        <f t="shared" si="15"/>
        <v/>
      </c>
      <c r="AF98" s="514" t="s">
        <v>468</v>
      </c>
      <c r="AG98" s="537">
        <v>86</v>
      </c>
      <c r="AH98" s="612" t="str">
        <f t="shared" si="16"/>
        <v>○</v>
      </c>
      <c r="AI98" s="519" t="str">
        <f t="shared" si="17"/>
        <v>申請しない場合は入力不要です。</v>
      </c>
      <c r="AK98" s="538"/>
    </row>
    <row r="99" spans="1:37" ht="20.100000000000001" customHeight="1">
      <c r="A99" s="534">
        <v>87</v>
      </c>
      <c r="B99" s="123"/>
      <c r="C99" s="1916"/>
      <c r="D99" s="1917"/>
      <c r="E99" s="1918"/>
      <c r="F99" s="630"/>
      <c r="G99" s="7"/>
      <c r="H99" s="541"/>
      <c r="I99" s="522">
        <f t="shared" si="9"/>
        <v>0</v>
      </c>
      <c r="J99" s="535">
        <f t="shared" si="10"/>
        <v>0</v>
      </c>
      <c r="K99" s="625"/>
      <c r="L99" s="625"/>
      <c r="M99" s="625"/>
      <c r="N99" s="629" t="str">
        <f xml:space="preserve">
IF(表紙!$X$2="事前協議","－",
IF(表紙!$X$2="交付申請（２次）","－",
IF(表紙!$X$2="変更申請","－",
IF(AND(表紙!$X$2="実績報告（１次）",AH99="◎"),COUNTIF($N$13:N99,"◎"),
IF(AND(表紙!$X$2="実績報告（１次）",OR(AH99="×",AH99="○")),"",
IF(表紙!$X$2="実績報告（２次）","－",
IF(表紙!$X$2="交付申請兼実績報告","－")))))))</f>
        <v>－</v>
      </c>
      <c r="O99" s="632" t="str">
        <f t="shared" si="11"/>
        <v/>
      </c>
      <c r="Q99" s="610" t="str">
        <f t="shared" si="12"/>
        <v/>
      </c>
      <c r="R99" s="614" t="str">
        <f t="shared" si="13"/>
        <v/>
      </c>
      <c r="S99" s="614" t="str">
        <f t="shared" si="14"/>
        <v/>
      </c>
      <c r="T99" s="614" t="str">
        <f t="shared" si="15"/>
        <v/>
      </c>
      <c r="AF99" s="514" t="s">
        <v>468</v>
      </c>
      <c r="AG99" s="537">
        <v>87</v>
      </c>
      <c r="AH99" s="612" t="str">
        <f t="shared" si="16"/>
        <v>○</v>
      </c>
      <c r="AI99" s="519" t="str">
        <f t="shared" si="17"/>
        <v>申請しない場合は入力不要です。</v>
      </c>
      <c r="AK99" s="538"/>
    </row>
    <row r="100" spans="1:37" ht="20.100000000000001" customHeight="1">
      <c r="A100" s="534">
        <v>88</v>
      </c>
      <c r="B100" s="123"/>
      <c r="C100" s="1916"/>
      <c r="D100" s="1917"/>
      <c r="E100" s="1918"/>
      <c r="F100" s="630"/>
      <c r="G100" s="7"/>
      <c r="H100" s="541"/>
      <c r="I100" s="522">
        <f t="shared" si="9"/>
        <v>0</v>
      </c>
      <c r="J100" s="535">
        <f t="shared" si="10"/>
        <v>0</v>
      </c>
      <c r="K100" s="625"/>
      <c r="L100" s="625"/>
      <c r="M100" s="625"/>
      <c r="N100" s="629" t="str">
        <f xml:space="preserve">
IF(表紙!$X$2="事前協議","－",
IF(表紙!$X$2="交付申請（２次）","－",
IF(表紙!$X$2="変更申請","－",
IF(AND(表紙!$X$2="実績報告（１次）",AH100="◎"),COUNTIF($N$13:N100,"◎"),
IF(AND(表紙!$X$2="実績報告（１次）",OR(AH100="×",AH100="○")),"",
IF(表紙!$X$2="実績報告（２次）","－",
IF(表紙!$X$2="交付申請兼実績報告","－")))))))</f>
        <v>－</v>
      </c>
      <c r="O100" s="632" t="str">
        <f t="shared" si="11"/>
        <v/>
      </c>
      <c r="Q100" s="610" t="str">
        <f t="shared" si="12"/>
        <v/>
      </c>
      <c r="R100" s="614" t="str">
        <f t="shared" si="13"/>
        <v/>
      </c>
      <c r="S100" s="614" t="str">
        <f t="shared" si="14"/>
        <v/>
      </c>
      <c r="T100" s="614" t="str">
        <f t="shared" si="15"/>
        <v/>
      </c>
      <c r="AF100" s="514" t="s">
        <v>468</v>
      </c>
      <c r="AG100" s="537">
        <v>88</v>
      </c>
      <c r="AH100" s="612" t="str">
        <f t="shared" si="16"/>
        <v>○</v>
      </c>
      <c r="AI100" s="519" t="str">
        <f t="shared" si="17"/>
        <v>申請しない場合は入力不要です。</v>
      </c>
      <c r="AK100" s="538"/>
    </row>
    <row r="101" spans="1:37" ht="20.100000000000001" customHeight="1">
      <c r="A101" s="534">
        <v>89</v>
      </c>
      <c r="B101" s="123"/>
      <c r="C101" s="1916"/>
      <c r="D101" s="1917"/>
      <c r="E101" s="1918"/>
      <c r="F101" s="630"/>
      <c r="G101" s="7"/>
      <c r="H101" s="541"/>
      <c r="I101" s="522">
        <f t="shared" si="9"/>
        <v>0</v>
      </c>
      <c r="J101" s="535">
        <f t="shared" si="10"/>
        <v>0</v>
      </c>
      <c r="K101" s="625"/>
      <c r="L101" s="625"/>
      <c r="M101" s="625"/>
      <c r="N101" s="629" t="str">
        <f xml:space="preserve">
IF(表紙!$X$2="事前協議","－",
IF(表紙!$X$2="交付申請（２次）","－",
IF(表紙!$X$2="変更申請","－",
IF(AND(表紙!$X$2="実績報告（１次）",AH101="◎"),COUNTIF($N$13:N101,"◎"),
IF(AND(表紙!$X$2="実績報告（１次）",OR(AH101="×",AH101="○")),"",
IF(表紙!$X$2="実績報告（２次）","－",
IF(表紙!$X$2="交付申請兼実績報告","－")))))))</f>
        <v>－</v>
      </c>
      <c r="O101" s="632" t="str">
        <f t="shared" si="11"/>
        <v/>
      </c>
      <c r="Q101" s="610" t="str">
        <f t="shared" si="12"/>
        <v/>
      </c>
      <c r="R101" s="614" t="str">
        <f t="shared" si="13"/>
        <v/>
      </c>
      <c r="S101" s="614" t="str">
        <f t="shared" si="14"/>
        <v/>
      </c>
      <c r="T101" s="614" t="str">
        <f t="shared" si="15"/>
        <v/>
      </c>
      <c r="AF101" s="514" t="s">
        <v>468</v>
      </c>
      <c r="AG101" s="537">
        <v>89</v>
      </c>
      <c r="AH101" s="612" t="str">
        <f t="shared" si="16"/>
        <v>○</v>
      </c>
      <c r="AI101" s="519" t="str">
        <f t="shared" si="17"/>
        <v>申請しない場合は入力不要です。</v>
      </c>
      <c r="AK101" s="538"/>
    </row>
    <row r="102" spans="1:37" ht="20.100000000000001" customHeight="1">
      <c r="A102" s="534">
        <v>90</v>
      </c>
      <c r="B102" s="123"/>
      <c r="C102" s="1916"/>
      <c r="D102" s="1917"/>
      <c r="E102" s="1918"/>
      <c r="F102" s="630"/>
      <c r="G102" s="7"/>
      <c r="H102" s="541"/>
      <c r="I102" s="522">
        <f t="shared" si="9"/>
        <v>0</v>
      </c>
      <c r="J102" s="535">
        <f t="shared" si="10"/>
        <v>0</v>
      </c>
      <c r="K102" s="625"/>
      <c r="L102" s="625"/>
      <c r="M102" s="625"/>
      <c r="N102" s="629" t="str">
        <f xml:space="preserve">
IF(表紙!$X$2="事前協議","－",
IF(表紙!$X$2="交付申請（２次）","－",
IF(表紙!$X$2="変更申請","－",
IF(AND(表紙!$X$2="実績報告（１次）",AH102="◎"),COUNTIF($N$13:N102,"◎"),
IF(AND(表紙!$X$2="実績報告（１次）",OR(AH102="×",AH102="○")),"",
IF(表紙!$X$2="実績報告（２次）","－",
IF(表紙!$X$2="交付申請兼実績報告","－")))))))</f>
        <v>－</v>
      </c>
      <c r="O102" s="632" t="str">
        <f t="shared" si="11"/>
        <v/>
      </c>
      <c r="Q102" s="610" t="str">
        <f t="shared" si="12"/>
        <v/>
      </c>
      <c r="R102" s="614" t="str">
        <f t="shared" si="13"/>
        <v/>
      </c>
      <c r="S102" s="614" t="str">
        <f t="shared" si="14"/>
        <v/>
      </c>
      <c r="T102" s="614" t="str">
        <f t="shared" si="15"/>
        <v/>
      </c>
      <c r="AF102" s="514" t="s">
        <v>468</v>
      </c>
      <c r="AG102" s="537">
        <v>90</v>
      </c>
      <c r="AH102" s="612" t="str">
        <f t="shared" si="16"/>
        <v>○</v>
      </c>
      <c r="AI102" s="519" t="str">
        <f t="shared" si="17"/>
        <v>申請しない場合は入力不要です。</v>
      </c>
      <c r="AK102" s="538"/>
    </row>
    <row r="103" spans="1:37" ht="20.100000000000001" customHeight="1">
      <c r="A103" s="534">
        <v>91</v>
      </c>
      <c r="B103" s="123"/>
      <c r="C103" s="1916"/>
      <c r="D103" s="1917"/>
      <c r="E103" s="1918"/>
      <c r="F103" s="630"/>
      <c r="G103" s="7"/>
      <c r="H103" s="541"/>
      <c r="I103" s="522">
        <f t="shared" si="9"/>
        <v>0</v>
      </c>
      <c r="J103" s="535">
        <f t="shared" si="10"/>
        <v>0</v>
      </c>
      <c r="K103" s="625"/>
      <c r="L103" s="625"/>
      <c r="M103" s="625"/>
      <c r="N103" s="629" t="str">
        <f xml:space="preserve">
IF(表紙!$X$2="事前協議","－",
IF(表紙!$X$2="交付申請（２次）","－",
IF(表紙!$X$2="変更申請","－",
IF(AND(表紙!$X$2="実績報告（１次）",AH103="◎"),COUNTIF($N$13:N103,"◎"),
IF(AND(表紙!$X$2="実績報告（１次）",OR(AH103="×",AH103="○")),"",
IF(表紙!$X$2="実績報告（２次）","－",
IF(表紙!$X$2="交付申請兼実績報告","－")))))))</f>
        <v>－</v>
      </c>
      <c r="O103" s="632" t="str">
        <f t="shared" si="11"/>
        <v/>
      </c>
      <c r="Q103" s="610" t="str">
        <f t="shared" si="12"/>
        <v/>
      </c>
      <c r="R103" s="614" t="str">
        <f t="shared" si="13"/>
        <v/>
      </c>
      <c r="S103" s="614" t="str">
        <f t="shared" si="14"/>
        <v/>
      </c>
      <c r="T103" s="614" t="str">
        <f t="shared" si="15"/>
        <v/>
      </c>
      <c r="AF103" s="514" t="s">
        <v>468</v>
      </c>
      <c r="AG103" s="537">
        <v>91</v>
      </c>
      <c r="AH103" s="612" t="str">
        <f t="shared" si="16"/>
        <v>○</v>
      </c>
      <c r="AI103" s="519" t="str">
        <f t="shared" si="17"/>
        <v>申請しない場合は入力不要です。</v>
      </c>
      <c r="AK103" s="538"/>
    </row>
    <row r="104" spans="1:37" ht="20.100000000000001" customHeight="1">
      <c r="A104" s="534">
        <v>92</v>
      </c>
      <c r="B104" s="123"/>
      <c r="C104" s="1916"/>
      <c r="D104" s="1917"/>
      <c r="E104" s="1918"/>
      <c r="F104" s="630"/>
      <c r="G104" s="7"/>
      <c r="H104" s="541"/>
      <c r="I104" s="522">
        <f t="shared" si="9"/>
        <v>0</v>
      </c>
      <c r="J104" s="535">
        <f t="shared" si="10"/>
        <v>0</v>
      </c>
      <c r="K104" s="625"/>
      <c r="L104" s="625"/>
      <c r="M104" s="625"/>
      <c r="N104" s="629" t="str">
        <f xml:space="preserve">
IF(表紙!$X$2="事前協議","－",
IF(表紙!$X$2="交付申請（２次）","－",
IF(表紙!$X$2="変更申請","－",
IF(AND(表紙!$X$2="実績報告（１次）",AH104="◎"),COUNTIF($N$13:N104,"◎"),
IF(AND(表紙!$X$2="実績報告（１次）",OR(AH104="×",AH104="○")),"",
IF(表紙!$X$2="実績報告（２次）","－",
IF(表紙!$X$2="交付申請兼実績報告","－")))))))</f>
        <v>－</v>
      </c>
      <c r="O104" s="632" t="str">
        <f t="shared" si="11"/>
        <v/>
      </c>
      <c r="Q104" s="610" t="str">
        <f t="shared" si="12"/>
        <v/>
      </c>
      <c r="R104" s="614" t="str">
        <f t="shared" si="13"/>
        <v/>
      </c>
      <c r="S104" s="614" t="str">
        <f t="shared" si="14"/>
        <v/>
      </c>
      <c r="T104" s="614" t="str">
        <f t="shared" si="15"/>
        <v/>
      </c>
      <c r="AF104" s="514" t="s">
        <v>468</v>
      </c>
      <c r="AG104" s="537">
        <v>92</v>
      </c>
      <c r="AH104" s="612" t="str">
        <f t="shared" si="16"/>
        <v>○</v>
      </c>
      <c r="AI104" s="519" t="str">
        <f t="shared" si="17"/>
        <v>申請しない場合は入力不要です。</v>
      </c>
      <c r="AK104" s="538"/>
    </row>
    <row r="105" spans="1:37" ht="20.100000000000001" customHeight="1">
      <c r="A105" s="534">
        <v>93</v>
      </c>
      <c r="B105" s="123"/>
      <c r="C105" s="1916"/>
      <c r="D105" s="1917"/>
      <c r="E105" s="1918"/>
      <c r="F105" s="630"/>
      <c r="G105" s="7"/>
      <c r="H105" s="541"/>
      <c r="I105" s="522">
        <f t="shared" si="9"/>
        <v>0</v>
      </c>
      <c r="J105" s="535">
        <f t="shared" si="10"/>
        <v>0</v>
      </c>
      <c r="K105" s="625"/>
      <c r="L105" s="625"/>
      <c r="M105" s="625"/>
      <c r="N105" s="629" t="str">
        <f xml:space="preserve">
IF(表紙!$X$2="事前協議","－",
IF(表紙!$X$2="交付申請（２次）","－",
IF(表紙!$X$2="変更申請","－",
IF(AND(表紙!$X$2="実績報告（１次）",AH105="◎"),COUNTIF($N$13:N105,"◎"),
IF(AND(表紙!$X$2="実績報告（１次）",OR(AH105="×",AH105="○")),"",
IF(表紙!$X$2="実績報告（２次）","－",
IF(表紙!$X$2="交付申請兼実績報告","－")))))))</f>
        <v>－</v>
      </c>
      <c r="O105" s="632" t="str">
        <f t="shared" si="11"/>
        <v/>
      </c>
      <c r="Q105" s="610" t="str">
        <f t="shared" si="12"/>
        <v/>
      </c>
      <c r="R105" s="614" t="str">
        <f t="shared" si="13"/>
        <v/>
      </c>
      <c r="S105" s="614" t="str">
        <f t="shared" si="14"/>
        <v/>
      </c>
      <c r="T105" s="614" t="str">
        <f t="shared" si="15"/>
        <v/>
      </c>
      <c r="AF105" s="514" t="s">
        <v>468</v>
      </c>
      <c r="AG105" s="537">
        <v>93</v>
      </c>
      <c r="AH105" s="612" t="str">
        <f t="shared" si="16"/>
        <v>○</v>
      </c>
      <c r="AI105" s="519" t="str">
        <f t="shared" si="17"/>
        <v>申請しない場合は入力不要です。</v>
      </c>
      <c r="AK105" s="538"/>
    </row>
    <row r="106" spans="1:37" ht="20.100000000000001" customHeight="1">
      <c r="A106" s="534">
        <v>94</v>
      </c>
      <c r="B106" s="123"/>
      <c r="C106" s="1916"/>
      <c r="D106" s="1917"/>
      <c r="E106" s="1918"/>
      <c r="F106" s="630"/>
      <c r="G106" s="7"/>
      <c r="H106" s="541"/>
      <c r="I106" s="522">
        <f t="shared" si="9"/>
        <v>0</v>
      </c>
      <c r="J106" s="535">
        <f t="shared" si="10"/>
        <v>0</v>
      </c>
      <c r="K106" s="625"/>
      <c r="L106" s="625"/>
      <c r="M106" s="625"/>
      <c r="N106" s="629" t="str">
        <f xml:space="preserve">
IF(表紙!$X$2="事前協議","－",
IF(表紙!$X$2="交付申請（２次）","－",
IF(表紙!$X$2="変更申請","－",
IF(AND(表紙!$X$2="実績報告（１次）",AH106="◎"),COUNTIF($N$13:N106,"◎"),
IF(AND(表紙!$X$2="実績報告（１次）",OR(AH106="×",AH106="○")),"",
IF(表紙!$X$2="実績報告（２次）","－",
IF(表紙!$X$2="交付申請兼実績報告","－")))))))</f>
        <v>－</v>
      </c>
      <c r="O106" s="632" t="str">
        <f t="shared" si="11"/>
        <v/>
      </c>
      <c r="Q106" s="610" t="str">
        <f t="shared" si="12"/>
        <v/>
      </c>
      <c r="R106" s="614" t="str">
        <f t="shared" si="13"/>
        <v/>
      </c>
      <c r="S106" s="614" t="str">
        <f t="shared" si="14"/>
        <v/>
      </c>
      <c r="T106" s="614" t="str">
        <f t="shared" si="15"/>
        <v/>
      </c>
      <c r="AF106" s="514" t="s">
        <v>468</v>
      </c>
      <c r="AG106" s="537">
        <v>94</v>
      </c>
      <c r="AH106" s="612" t="str">
        <f t="shared" si="16"/>
        <v>○</v>
      </c>
      <c r="AI106" s="519" t="str">
        <f t="shared" si="17"/>
        <v>申請しない場合は入力不要です。</v>
      </c>
      <c r="AK106" s="538"/>
    </row>
    <row r="107" spans="1:37" ht="20.100000000000001" customHeight="1">
      <c r="A107" s="534">
        <v>95</v>
      </c>
      <c r="B107" s="123"/>
      <c r="C107" s="1916"/>
      <c r="D107" s="1917"/>
      <c r="E107" s="1918"/>
      <c r="F107" s="630"/>
      <c r="G107" s="7"/>
      <c r="H107" s="541"/>
      <c r="I107" s="522">
        <f t="shared" si="9"/>
        <v>0</v>
      </c>
      <c r="J107" s="535">
        <f t="shared" si="10"/>
        <v>0</v>
      </c>
      <c r="K107" s="625"/>
      <c r="L107" s="625"/>
      <c r="M107" s="625"/>
      <c r="N107" s="629" t="str">
        <f xml:space="preserve">
IF(表紙!$X$2="事前協議","－",
IF(表紙!$X$2="交付申請（２次）","－",
IF(表紙!$X$2="変更申請","－",
IF(AND(表紙!$X$2="実績報告（１次）",AH107="◎"),COUNTIF($N$13:N107,"◎"),
IF(AND(表紙!$X$2="実績報告（１次）",OR(AH107="×",AH107="○")),"",
IF(表紙!$X$2="実績報告（２次）","－",
IF(表紙!$X$2="交付申請兼実績報告","－")))))))</f>
        <v>－</v>
      </c>
      <c r="O107" s="632" t="str">
        <f t="shared" si="11"/>
        <v/>
      </c>
      <c r="Q107" s="610" t="str">
        <f t="shared" si="12"/>
        <v/>
      </c>
      <c r="R107" s="614" t="str">
        <f t="shared" si="13"/>
        <v/>
      </c>
      <c r="S107" s="614" t="str">
        <f t="shared" si="14"/>
        <v/>
      </c>
      <c r="T107" s="614" t="str">
        <f t="shared" si="15"/>
        <v/>
      </c>
      <c r="AF107" s="514" t="s">
        <v>468</v>
      </c>
      <c r="AG107" s="537">
        <v>95</v>
      </c>
      <c r="AH107" s="612" t="str">
        <f t="shared" si="16"/>
        <v>○</v>
      </c>
      <c r="AI107" s="519" t="str">
        <f t="shared" si="17"/>
        <v>申請しない場合は入力不要です。</v>
      </c>
      <c r="AK107" s="538"/>
    </row>
    <row r="108" spans="1:37" ht="20.100000000000001" customHeight="1">
      <c r="A108" s="534">
        <v>96</v>
      </c>
      <c r="B108" s="123"/>
      <c r="C108" s="1916"/>
      <c r="D108" s="1917"/>
      <c r="E108" s="1918"/>
      <c r="F108" s="630"/>
      <c r="G108" s="7"/>
      <c r="H108" s="541"/>
      <c r="I108" s="522">
        <f t="shared" si="9"/>
        <v>0</v>
      </c>
      <c r="J108" s="535">
        <f t="shared" si="10"/>
        <v>0</v>
      </c>
      <c r="K108" s="625"/>
      <c r="L108" s="625"/>
      <c r="M108" s="625"/>
      <c r="N108" s="629" t="str">
        <f xml:space="preserve">
IF(表紙!$X$2="事前協議","－",
IF(表紙!$X$2="交付申請（２次）","－",
IF(表紙!$X$2="変更申請","－",
IF(AND(表紙!$X$2="実績報告（１次）",AH108="◎"),COUNTIF($N$13:N108,"◎"),
IF(AND(表紙!$X$2="実績報告（１次）",OR(AH108="×",AH108="○")),"",
IF(表紙!$X$2="実績報告（２次）","－",
IF(表紙!$X$2="交付申請兼実績報告","－")))))))</f>
        <v>－</v>
      </c>
      <c r="O108" s="632" t="str">
        <f t="shared" si="11"/>
        <v/>
      </c>
      <c r="Q108" s="610" t="str">
        <f t="shared" si="12"/>
        <v/>
      </c>
      <c r="R108" s="614" t="str">
        <f t="shared" si="13"/>
        <v/>
      </c>
      <c r="S108" s="614" t="str">
        <f t="shared" si="14"/>
        <v/>
      </c>
      <c r="T108" s="614" t="str">
        <f t="shared" si="15"/>
        <v/>
      </c>
      <c r="AF108" s="514" t="s">
        <v>468</v>
      </c>
      <c r="AG108" s="537">
        <v>96</v>
      </c>
      <c r="AH108" s="612" t="str">
        <f t="shared" si="16"/>
        <v>○</v>
      </c>
      <c r="AI108" s="519" t="str">
        <f t="shared" si="17"/>
        <v>申請しない場合は入力不要です。</v>
      </c>
      <c r="AK108" s="538"/>
    </row>
    <row r="109" spans="1:37" ht="20.100000000000001" customHeight="1">
      <c r="A109" s="534">
        <v>97</v>
      </c>
      <c r="B109" s="123"/>
      <c r="C109" s="1916"/>
      <c r="D109" s="1917"/>
      <c r="E109" s="1918"/>
      <c r="F109" s="630"/>
      <c r="G109" s="7"/>
      <c r="H109" s="541"/>
      <c r="I109" s="522">
        <f t="shared" si="9"/>
        <v>0</v>
      </c>
      <c r="J109" s="535">
        <f t="shared" si="10"/>
        <v>0</v>
      </c>
      <c r="K109" s="625"/>
      <c r="L109" s="625"/>
      <c r="M109" s="625"/>
      <c r="N109" s="629" t="str">
        <f xml:space="preserve">
IF(表紙!$X$2="事前協議","－",
IF(表紙!$X$2="交付申請（２次）","－",
IF(表紙!$X$2="変更申請","－",
IF(AND(表紙!$X$2="実績報告（１次）",AH109="◎"),COUNTIF($N$13:N109,"◎"),
IF(AND(表紙!$X$2="実績報告（１次）",OR(AH109="×",AH109="○")),"",
IF(表紙!$X$2="実績報告（２次）","－",
IF(表紙!$X$2="交付申請兼実績報告","－")))))))</f>
        <v>－</v>
      </c>
      <c r="O109" s="632" t="str">
        <f t="shared" si="11"/>
        <v/>
      </c>
      <c r="Q109" s="610" t="str">
        <f t="shared" si="12"/>
        <v/>
      </c>
      <c r="R109" s="614" t="str">
        <f t="shared" si="13"/>
        <v/>
      </c>
      <c r="S109" s="614" t="str">
        <f t="shared" si="14"/>
        <v/>
      </c>
      <c r="T109" s="614" t="str">
        <f t="shared" si="15"/>
        <v/>
      </c>
      <c r="AF109" s="514" t="s">
        <v>468</v>
      </c>
      <c r="AG109" s="537">
        <v>97</v>
      </c>
      <c r="AH109" s="612" t="str">
        <f t="shared" si="16"/>
        <v>○</v>
      </c>
      <c r="AI109" s="519" t="str">
        <f t="shared" si="17"/>
        <v>申請しない場合は入力不要です。</v>
      </c>
      <c r="AK109" s="538"/>
    </row>
    <row r="110" spans="1:37" ht="20.100000000000001" customHeight="1">
      <c r="A110" s="534">
        <v>98</v>
      </c>
      <c r="B110" s="123"/>
      <c r="C110" s="1916"/>
      <c r="D110" s="1917"/>
      <c r="E110" s="1918"/>
      <c r="F110" s="630"/>
      <c r="G110" s="7"/>
      <c r="H110" s="541"/>
      <c r="I110" s="522">
        <f t="shared" si="9"/>
        <v>0</v>
      </c>
      <c r="J110" s="535">
        <f t="shared" si="10"/>
        <v>0</v>
      </c>
      <c r="K110" s="625"/>
      <c r="L110" s="625"/>
      <c r="M110" s="625"/>
      <c r="N110" s="629" t="str">
        <f xml:space="preserve">
IF(表紙!$X$2="事前協議","－",
IF(表紙!$X$2="交付申請（２次）","－",
IF(表紙!$X$2="変更申請","－",
IF(AND(表紙!$X$2="実績報告（１次）",AH110="◎"),COUNTIF($N$13:N110,"◎"),
IF(AND(表紙!$X$2="実績報告（１次）",OR(AH110="×",AH110="○")),"",
IF(表紙!$X$2="実績報告（２次）","－",
IF(表紙!$X$2="交付申請兼実績報告","－")))))))</f>
        <v>－</v>
      </c>
      <c r="O110" s="632" t="str">
        <f t="shared" si="11"/>
        <v/>
      </c>
      <c r="Q110" s="610" t="str">
        <f t="shared" si="12"/>
        <v/>
      </c>
      <c r="R110" s="614" t="str">
        <f t="shared" si="13"/>
        <v/>
      </c>
      <c r="S110" s="614" t="str">
        <f t="shared" si="14"/>
        <v/>
      </c>
      <c r="T110" s="614" t="str">
        <f t="shared" si="15"/>
        <v/>
      </c>
      <c r="AF110" s="514" t="s">
        <v>468</v>
      </c>
      <c r="AG110" s="537">
        <v>98</v>
      </c>
      <c r="AH110" s="612" t="str">
        <f t="shared" si="16"/>
        <v>○</v>
      </c>
      <c r="AI110" s="519" t="str">
        <f t="shared" si="17"/>
        <v>申請しない場合は入力不要です。</v>
      </c>
      <c r="AK110" s="538"/>
    </row>
    <row r="111" spans="1:37" ht="20.100000000000001" customHeight="1">
      <c r="A111" s="534">
        <v>99</v>
      </c>
      <c r="B111" s="123"/>
      <c r="C111" s="1916"/>
      <c r="D111" s="1917"/>
      <c r="E111" s="1918"/>
      <c r="F111" s="630"/>
      <c r="G111" s="7"/>
      <c r="H111" s="541"/>
      <c r="I111" s="522">
        <f t="shared" si="9"/>
        <v>0</v>
      </c>
      <c r="J111" s="535">
        <f t="shared" si="10"/>
        <v>0</v>
      </c>
      <c r="K111" s="625"/>
      <c r="L111" s="625"/>
      <c r="M111" s="625"/>
      <c r="N111" s="629" t="str">
        <f xml:space="preserve">
IF(表紙!$X$2="事前協議","－",
IF(表紙!$X$2="交付申請（２次）","－",
IF(表紙!$X$2="変更申請","－",
IF(AND(表紙!$X$2="実績報告（１次）",AH111="◎"),COUNTIF($N$13:N111,"◎"),
IF(AND(表紙!$X$2="実績報告（１次）",OR(AH111="×",AH111="○")),"",
IF(表紙!$X$2="実績報告（２次）","－",
IF(表紙!$X$2="交付申請兼実績報告","－")))))))</f>
        <v>－</v>
      </c>
      <c r="O111" s="632" t="str">
        <f t="shared" si="11"/>
        <v/>
      </c>
      <c r="Q111" s="610" t="str">
        <f t="shared" si="12"/>
        <v/>
      </c>
      <c r="R111" s="614" t="str">
        <f t="shared" si="13"/>
        <v/>
      </c>
      <c r="S111" s="614" t="str">
        <f t="shared" si="14"/>
        <v/>
      </c>
      <c r="T111" s="614" t="str">
        <f t="shared" si="15"/>
        <v/>
      </c>
      <c r="AF111" s="514" t="s">
        <v>468</v>
      </c>
      <c r="AG111" s="537">
        <v>99</v>
      </c>
      <c r="AH111" s="612" t="str">
        <f t="shared" si="16"/>
        <v>○</v>
      </c>
      <c r="AI111" s="519" t="str">
        <f t="shared" si="17"/>
        <v>申請しない場合は入力不要です。</v>
      </c>
      <c r="AK111" s="538"/>
    </row>
    <row r="112" spans="1:37" ht="20.100000000000001" customHeight="1">
      <c r="A112" s="534">
        <v>100</v>
      </c>
      <c r="B112" s="123"/>
      <c r="C112" s="1916"/>
      <c r="D112" s="1917"/>
      <c r="E112" s="1918"/>
      <c r="F112" s="630"/>
      <c r="G112" s="7"/>
      <c r="H112" s="541"/>
      <c r="I112" s="522">
        <f t="shared" si="9"/>
        <v>0</v>
      </c>
      <c r="J112" s="535">
        <f t="shared" si="10"/>
        <v>0</v>
      </c>
      <c r="K112" s="625"/>
      <c r="L112" s="625"/>
      <c r="M112" s="625"/>
      <c r="N112" s="629" t="str">
        <f xml:space="preserve">
IF(表紙!$X$2="事前協議","－",
IF(表紙!$X$2="交付申請（２次）","－",
IF(表紙!$X$2="変更申請","－",
IF(AND(表紙!$X$2="実績報告（１次）",AH112="◎"),COUNTIF($N$13:N112,"◎"),
IF(AND(表紙!$X$2="実績報告（１次）",OR(AH112="×",AH112="○")),"",
IF(表紙!$X$2="実績報告（２次）","－",
IF(表紙!$X$2="交付申請兼実績報告","－")))))))</f>
        <v>－</v>
      </c>
      <c r="O112" s="632" t="str">
        <f t="shared" si="11"/>
        <v/>
      </c>
      <c r="Q112" s="610" t="str">
        <f>IF(AH112="◎",DATE(IF(K112=5,2023,IF(K112=6,2024)),L112,M112),"")</f>
        <v/>
      </c>
      <c r="R112" s="614" t="str">
        <f t="shared" si="13"/>
        <v/>
      </c>
      <c r="S112" s="614" t="str">
        <f t="shared" si="14"/>
        <v/>
      </c>
      <c r="T112" s="614" t="str">
        <f t="shared" si="15"/>
        <v/>
      </c>
      <c r="AF112" s="514" t="s">
        <v>468</v>
      </c>
      <c r="AG112" s="537">
        <v>100</v>
      </c>
      <c r="AH112" s="612" t="str">
        <f t="shared" si="16"/>
        <v>○</v>
      </c>
      <c r="AI112" s="519" t="str">
        <f t="shared" si="17"/>
        <v>申請しない場合は入力不要です。</v>
      </c>
      <c r="AK112" s="538"/>
    </row>
    <row r="117" spans="41:50" ht="30" customHeight="1">
      <c r="AO117" s="517" t="s">
        <v>469</v>
      </c>
      <c r="AP117" s="517" t="s">
        <v>100</v>
      </c>
      <c r="AQ117" s="517" t="s">
        <v>99</v>
      </c>
      <c r="AR117" s="517" t="s">
        <v>61</v>
      </c>
      <c r="AS117" s="1919" t="s">
        <v>470</v>
      </c>
      <c r="AT117" s="1920"/>
      <c r="AU117" s="1920"/>
      <c r="AV117" s="1920"/>
      <c r="AW117" s="1920"/>
      <c r="AX117" s="1920"/>
    </row>
    <row r="118" spans="41:50" ht="30" customHeight="1">
      <c r="AO118" s="539" t="s">
        <v>1211</v>
      </c>
      <c r="AP118" s="540" t="str">
        <f>IF(基礎情報!AZ77="○","◎","×")</f>
        <v>×</v>
      </c>
      <c r="AQ118" s="1921" t="str">
        <f xml:space="preserve">
IF(AND(AP118="×",AP119="×"),"×",
IF(AND(AP118="×",AP119="○"),"×",
IF(AND(AP118="×",AP119="◎"),"×",
IF(AND(AP118="◎",AP119="×"),"×",
IF(AND(AP118="◎",AP119="○"),"○",
IF(AND(AP118="◎",AP119="◎"),"◎",
))))))</f>
        <v>×</v>
      </c>
      <c r="AR118" s="1923" t="str">
        <f xml:space="preserve">
IF(AND(AP118="×",AP119="×"),"【要修正】基礎情報シート及び本シートが入力不十分です。",
IF(AND(AP118="×",AP119="○"),"【要修正】基礎情報シートが入力不十分です。",
IF(AND(AP118="×",AP119="◎"),"【要修正】基礎情報シートが入力不十分です。",
IF(AND(AP118="◎",AP119="×"),"【要修正】本シートが入力不十分です。",
IF(AND(AP118="◎",AP119="○"),"申請しない場合は入力不要です。",
IF(AND(AP118="◎",AP119="◎"),"適切に入力がされました。",
))))))</f>
        <v>【要修正】基礎情報シートが入力不十分です。</v>
      </c>
      <c r="AS118" s="1919"/>
      <c r="AT118" s="1920"/>
      <c r="AU118" s="1920"/>
      <c r="AV118" s="1920"/>
      <c r="AW118" s="1920"/>
      <c r="AX118" s="1920"/>
    </row>
    <row r="119" spans="41:50" ht="30" customHeight="1">
      <c r="AO119" s="519" t="s">
        <v>1141</v>
      </c>
      <c r="AP119" s="540" t="str">
        <f>IF(COUNTIF(AH13:AH112,"×")&gt;=1,"×",IF(COUNTIF(AH13:AH112,"○")=100,"○","◎"))</f>
        <v>◎</v>
      </c>
      <c r="AQ119" s="1922"/>
      <c r="AR119" s="1924"/>
      <c r="AS119" s="1919"/>
      <c r="AT119" s="1920"/>
      <c r="AU119" s="1920"/>
      <c r="AV119" s="1920"/>
      <c r="AW119" s="1920"/>
      <c r="AX119" s="1920"/>
    </row>
    <row r="120" spans="41:50" ht="30" customHeight="1">
      <c r="AO120" s="513" t="s">
        <v>472</v>
      </c>
      <c r="AP120" s="377"/>
      <c r="AQ120" s="377"/>
    </row>
  </sheetData>
  <sheetProtection insertRows="0"/>
  <mergeCells count="117">
    <mergeCell ref="A10:P10"/>
    <mergeCell ref="N1:P1"/>
    <mergeCell ref="N2:O2"/>
    <mergeCell ref="A5:O5"/>
    <mergeCell ref="E6:H6"/>
    <mergeCell ref="G7:H7"/>
    <mergeCell ref="I7:O8"/>
    <mergeCell ref="G8:H8"/>
    <mergeCell ref="A4:P4"/>
    <mergeCell ref="B3:O3"/>
    <mergeCell ref="K2:M2"/>
    <mergeCell ref="C17:E17"/>
    <mergeCell ref="C18:E18"/>
    <mergeCell ref="C19:E19"/>
    <mergeCell ref="C20:E20"/>
    <mergeCell ref="C21:E21"/>
    <mergeCell ref="A11:O11"/>
    <mergeCell ref="C12:E12"/>
    <mergeCell ref="C13:E13"/>
    <mergeCell ref="C14:E14"/>
    <mergeCell ref="C15:E15"/>
    <mergeCell ref="C16:E16"/>
    <mergeCell ref="K12:M12"/>
    <mergeCell ref="C28:E28"/>
    <mergeCell ref="C29:E29"/>
    <mergeCell ref="C30:E30"/>
    <mergeCell ref="C31:E31"/>
    <mergeCell ref="C32:E32"/>
    <mergeCell ref="C33:E33"/>
    <mergeCell ref="C22:E22"/>
    <mergeCell ref="C23:E23"/>
    <mergeCell ref="C24:E24"/>
    <mergeCell ref="C25:E25"/>
    <mergeCell ref="C26:E26"/>
    <mergeCell ref="C27:E27"/>
    <mergeCell ref="C40:E40"/>
    <mergeCell ref="C41:E41"/>
    <mergeCell ref="C42:E42"/>
    <mergeCell ref="C43:E43"/>
    <mergeCell ref="C44:E44"/>
    <mergeCell ref="C45:E45"/>
    <mergeCell ref="C34:E34"/>
    <mergeCell ref="C35:E35"/>
    <mergeCell ref="C36:E36"/>
    <mergeCell ref="C37:E37"/>
    <mergeCell ref="C38:E38"/>
    <mergeCell ref="C39:E39"/>
    <mergeCell ref="C52:E52"/>
    <mergeCell ref="C53:E53"/>
    <mergeCell ref="C54:E54"/>
    <mergeCell ref="C55:E55"/>
    <mergeCell ref="C56:E56"/>
    <mergeCell ref="C57:E57"/>
    <mergeCell ref="C46:E46"/>
    <mergeCell ref="C47:E47"/>
    <mergeCell ref="C48:E48"/>
    <mergeCell ref="C49:E49"/>
    <mergeCell ref="C50:E50"/>
    <mergeCell ref="C51:E51"/>
    <mergeCell ref="C64:E64"/>
    <mergeCell ref="C65:E65"/>
    <mergeCell ref="C66:E66"/>
    <mergeCell ref="C67:E67"/>
    <mergeCell ref="C68:E68"/>
    <mergeCell ref="C69:E69"/>
    <mergeCell ref="C58:E58"/>
    <mergeCell ref="C59:E59"/>
    <mergeCell ref="C60:E60"/>
    <mergeCell ref="C61:E61"/>
    <mergeCell ref="C62:E62"/>
    <mergeCell ref="C63:E63"/>
    <mergeCell ref="C76:E76"/>
    <mergeCell ref="C77:E77"/>
    <mergeCell ref="C78:E78"/>
    <mergeCell ref="C79:E79"/>
    <mergeCell ref="C80:E80"/>
    <mergeCell ref="C81:E81"/>
    <mergeCell ref="C70:E70"/>
    <mergeCell ref="C71:E71"/>
    <mergeCell ref="C72:E72"/>
    <mergeCell ref="C73:E73"/>
    <mergeCell ref="C74:E74"/>
    <mergeCell ref="C75:E75"/>
    <mergeCell ref="C88:E88"/>
    <mergeCell ref="C89:E89"/>
    <mergeCell ref="C90:E90"/>
    <mergeCell ref="C91:E91"/>
    <mergeCell ref="C92:E92"/>
    <mergeCell ref="C93:E93"/>
    <mergeCell ref="C82:E82"/>
    <mergeCell ref="C83:E83"/>
    <mergeCell ref="C84:E84"/>
    <mergeCell ref="C85:E85"/>
    <mergeCell ref="C86:E86"/>
    <mergeCell ref="C87:E87"/>
    <mergeCell ref="C100:E100"/>
    <mergeCell ref="C101:E101"/>
    <mergeCell ref="C102:E102"/>
    <mergeCell ref="C103:E103"/>
    <mergeCell ref="C104:E104"/>
    <mergeCell ref="C105:E105"/>
    <mergeCell ref="C94:E94"/>
    <mergeCell ref="C95:E95"/>
    <mergeCell ref="C96:E96"/>
    <mergeCell ref="C97:E97"/>
    <mergeCell ref="C98:E98"/>
    <mergeCell ref="C99:E99"/>
    <mergeCell ref="C112:E112"/>
    <mergeCell ref="AS117:AX119"/>
    <mergeCell ref="AQ118:AQ119"/>
    <mergeCell ref="AR118:AR119"/>
    <mergeCell ref="C106:E106"/>
    <mergeCell ref="C107:E107"/>
    <mergeCell ref="C108:E108"/>
    <mergeCell ref="C109:E109"/>
    <mergeCell ref="C110:E110"/>
    <mergeCell ref="C111:E111"/>
  </mergeCells>
  <phoneticPr fontId="9"/>
  <conditionalFormatting sqref="AJ7">
    <cfRule type="containsText" dxfId="105" priority="10" operator="containsText" text="（補助対象員数）">
      <formula>NOT(ISERROR(SEARCH("（補助対象員数）",AJ7)))</formula>
    </cfRule>
  </conditionalFormatting>
  <conditionalFormatting sqref="AI13:AI112">
    <cfRule type="containsText" dxfId="104" priority="9" operator="containsText" text="【不備の点】">
      <formula>NOT(ISERROR(SEARCH("【不備の点】",AI13)))</formula>
    </cfRule>
  </conditionalFormatting>
  <conditionalFormatting sqref="AH13:AH112">
    <cfRule type="containsText" dxfId="103" priority="8" operator="containsText" text="×">
      <formula>NOT(ISERROR(SEARCH("×",AH13)))</formula>
    </cfRule>
  </conditionalFormatting>
  <conditionalFormatting sqref="AJ7:AM12">
    <cfRule type="containsText" dxfId="102" priority="7" operator="containsText" text="【未入力有】">
      <formula>NOT(ISERROR(SEARCH("【未入力有】",AJ7)))</formula>
    </cfRule>
  </conditionalFormatting>
  <conditionalFormatting sqref="AP118:AQ119">
    <cfRule type="containsText" dxfId="101" priority="6" operator="containsText" text="×">
      <formula>NOT(ISERROR(SEARCH("×",AP118)))</formula>
    </cfRule>
  </conditionalFormatting>
  <conditionalFormatting sqref="AR118:AR119">
    <cfRule type="containsText" dxfId="100" priority="5" operator="containsText" text="要修正">
      <formula>NOT(ISERROR(SEARCH("要修正",AR118)))</formula>
    </cfRule>
  </conditionalFormatting>
  <conditionalFormatting sqref="N2:O2">
    <cfRule type="containsText" dxfId="99" priority="4" operator="containsText" text="要修正">
      <formula>NOT(ISERROR(SEARCH("要修正",N2)))</formula>
    </cfRule>
  </conditionalFormatting>
  <conditionalFormatting sqref="C6:C7">
    <cfRule type="containsText" dxfId="98" priority="3" operator="containsText" text="要修正">
      <formula>NOT(ISERROR(SEARCH("要修正",C6)))</formula>
    </cfRule>
  </conditionalFormatting>
  <conditionalFormatting sqref="C8">
    <cfRule type="containsText" dxfId="97" priority="2" operator="containsText" text="表示不可">
      <formula>NOT(ISERROR(SEARCH("表示不可",C8)))</formula>
    </cfRule>
  </conditionalFormatting>
  <conditionalFormatting sqref="B3">
    <cfRule type="containsText" dxfId="96" priority="1" operator="containsText" text="注意">
      <formula>NOT(ISERROR(SEARCH("注意",B3)))</formula>
    </cfRule>
  </conditionalFormatting>
  <dataValidations xWindow="858" yWindow="876" count="6">
    <dataValidation allowBlank="1" showInputMessage="1" showErrorMessage="1" promptTitle="金額の表示" prompt="数式が入力されているため、自動計算されます。" sqref="I13:J112" xr:uid="{E8DF5F8A-30B5-484D-81E2-3C42849B19DC}"/>
    <dataValidation allowBlank="1" showInputMessage="1" showErrorMessage="1" promptTitle="添付書類番号" prompt="種類、規格、数量、単価が全て適切に入力され、右の「判定」が「◎」と表示されると自動で番号が表示されます。" sqref="N13:O112" xr:uid="{6F58ECA0-1BA3-4B99-9D9E-BC2A5598F2E5}"/>
    <dataValidation allowBlank="1" showInputMessage="1" showErrorMessage="1" promptTitle="経費発生原因の入力" prompt="発生する経費の具体的内容を記載してください。" sqref="C13:F112" xr:uid="{03AF7846-A5B6-44D6-9FFF-0C785D620AEC}"/>
    <dataValidation type="whole" operator="greaterThanOrEqual" allowBlank="1" showInputMessage="1" showErrorMessage="1" errorTitle="整数値を入力" error="単価に基づく箱数の購入量を入力してください。_x000a_数値のみ入力し、「箱」等の単位は入力しないでください。" promptTitle="購入数量の入力" prompt="購入するセット数を入力してください。（１箱50枚入りのマスクを10箱買う場合は、「10」を入力）_x000a_数値のみ入力し、「箱」等の単位は入力しないでください。" sqref="G13:G112" xr:uid="{380CB006-3790-41DF-9278-E90437D3D75E}">
      <formula1>0</formula1>
    </dataValidation>
    <dataValidation type="decimal" operator="greaterThanOrEqual" allowBlank="1" showInputMessage="1" showErrorMessage="1" errorTitle="入力内容に誤りあり" error="数値のみを入力し、単位「円」は入力しないようにしてください。" promptTitle="税抜単価の入力" prompt="購入単価の税抜額を入力してください。_x000a_見積書の記載が税込額だけで、税抜額がわからない場合は上の算出欄をご利用ください。_x000a_入力しない方は「0」は入力せず、空欄としてください。" sqref="H13:H112" xr:uid="{D6609B2B-C1F4-4854-9162-BA7E8CC5D128}">
      <formula1>-1000000</formula1>
    </dataValidation>
    <dataValidation type="list" allowBlank="1" showInputMessage="1" showErrorMessage="1" sqref="B13:B112" xr:uid="{37BB4862-017C-4888-ACF8-7787740F9EEF}">
      <formula1>$AB$6:$AB$10</formula1>
    </dataValidation>
  </dataValidations>
  <printOptions horizontalCentered="1"/>
  <pageMargins left="0.59055118110236227" right="0.39370078740157483" top="0.39370078740157483" bottom="0.39370078740157483" header="0.31496062992125984" footer="0.31496062992125984"/>
  <pageSetup paperSize="9" scale="58" fitToHeight="0" orientation="portrait" r:id="rId1"/>
  <drawing r:id="rId2"/>
  <legacyDrawing r:id="rId3"/>
  <extLst>
    <ext xmlns:x14="http://schemas.microsoft.com/office/spreadsheetml/2009/9/main" uri="{CCE6A557-97BC-4b89-ADB6-D9C93CAAB3DF}">
      <x14:dataValidations xmlns:xm="http://schemas.microsoft.com/office/excel/2006/main" xWindow="858" yWindow="876" count="3">
        <x14:dataValidation type="list" allowBlank="1" showInputMessage="1" showErrorMessage="1" promptTitle="金額の表示" prompt="数式が入力されているため、自動計算されます。" xr:uid="{132A44EC-4256-4369-9DD3-985073E09E93}">
          <x14:formula1>
            <xm:f>テーブル!$K$2:$K$32</xm:f>
          </x14:formula1>
          <xm:sqref>M13:M112</xm:sqref>
        </x14:dataValidation>
        <x14:dataValidation type="list" allowBlank="1" showInputMessage="1" showErrorMessage="1" promptTitle="金額の表示" prompt="数式が入力されているため、自動計算されます。" xr:uid="{E87921D1-9A34-4A9D-B8A5-9E1F68109070}">
          <x14:formula1>
            <xm:f>テーブル!$J$2:$J$7</xm:f>
          </x14:formula1>
          <xm:sqref>L13:L112</xm:sqref>
        </x14:dataValidation>
        <x14:dataValidation type="list" allowBlank="1" showInputMessage="1" showErrorMessage="1" promptTitle="金額の表示" prompt="数式が入力されているため、自動計算されます。" xr:uid="{5D512A7B-2DE2-420F-8F2E-3675A75AAE13}">
          <x14:formula1>
            <xm:f>テーブル!$I$2:$I$3</xm:f>
          </x14:formula1>
          <xm:sqref>K13:K112</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5213F9-567A-4EE4-9563-1A79B6F71C34}">
  <sheetPr>
    <tabColor theme="9" tint="0.79998168889431442"/>
  </sheetPr>
  <dimension ref="A1:AO57"/>
  <sheetViews>
    <sheetView showGridLines="0" view="pageBreakPreview" topLeftCell="A8" zoomScale="60" zoomScaleNormal="100" workbookViewId="0">
      <selection activeCell="BC58" sqref="BC58"/>
    </sheetView>
  </sheetViews>
  <sheetFormatPr defaultRowHeight="18"/>
  <cols>
    <col min="1" max="41" width="3.625" style="572" customWidth="1"/>
    <col min="42" max="16384" width="9" style="572"/>
  </cols>
  <sheetData>
    <row r="1" spans="1:41">
      <c r="A1" s="571"/>
      <c r="B1" s="571"/>
      <c r="C1" s="571"/>
      <c r="D1" s="571"/>
      <c r="E1" s="571"/>
      <c r="F1" s="571"/>
      <c r="G1" s="571"/>
      <c r="H1" s="571"/>
      <c r="I1" s="571"/>
      <c r="J1" s="571"/>
      <c r="K1" s="571"/>
      <c r="L1" s="571"/>
      <c r="M1" s="571"/>
      <c r="N1" s="571"/>
      <c r="O1" s="571"/>
      <c r="P1" s="571"/>
      <c r="Q1" s="571"/>
      <c r="R1" s="571"/>
      <c r="S1" s="571"/>
      <c r="T1" s="571"/>
      <c r="U1" s="571"/>
      <c r="V1" s="571"/>
      <c r="W1" s="571"/>
      <c r="X1" s="571"/>
      <c r="Y1" s="571"/>
      <c r="Z1" s="571"/>
      <c r="AA1" s="571"/>
      <c r="AB1" s="571"/>
      <c r="AC1" s="571"/>
      <c r="AD1" s="571"/>
      <c r="AE1" s="571"/>
      <c r="AF1" s="571"/>
      <c r="AG1" s="571"/>
      <c r="AH1" s="571"/>
      <c r="AI1" s="571"/>
      <c r="AJ1" s="571"/>
      <c r="AK1" s="571"/>
      <c r="AL1" s="571"/>
      <c r="AM1" s="571"/>
      <c r="AN1" s="571"/>
      <c r="AO1" s="571"/>
    </row>
    <row r="2" spans="1:41" ht="30" customHeight="1">
      <c r="A2" s="1958" t="s">
        <v>1340</v>
      </c>
      <c r="B2" s="1959"/>
      <c r="C2" s="1959"/>
      <c r="D2" s="1959"/>
      <c r="E2" s="1959"/>
      <c r="F2" s="1959"/>
      <c r="G2" s="1959"/>
      <c r="H2" s="1959"/>
      <c r="I2" s="1959"/>
      <c r="J2" s="1959"/>
      <c r="K2" s="1959"/>
      <c r="L2" s="1959"/>
      <c r="M2" s="1959"/>
      <c r="N2" s="1959"/>
      <c r="O2" s="1959"/>
      <c r="P2" s="1959"/>
      <c r="Q2" s="1959"/>
      <c r="R2" s="1959"/>
      <c r="S2" s="1959"/>
      <c r="T2" s="1959"/>
      <c r="U2" s="1959"/>
      <c r="V2" s="1959"/>
      <c r="W2" s="1959"/>
      <c r="X2" s="1959"/>
      <c r="Y2" s="1959"/>
      <c r="Z2" s="1959"/>
      <c r="AA2" s="1959"/>
      <c r="AB2" s="1959"/>
      <c r="AC2" s="1959"/>
      <c r="AD2" s="1959"/>
      <c r="AE2" s="1959"/>
      <c r="AF2" s="1959"/>
      <c r="AG2" s="1959"/>
      <c r="AH2" s="1959"/>
      <c r="AI2" s="1959"/>
      <c r="AJ2" s="1959"/>
    </row>
    <row r="3" spans="1:41" ht="19.5">
      <c r="A3" s="1960" t="s">
        <v>1341</v>
      </c>
      <c r="B3" s="1961"/>
      <c r="C3" s="1961"/>
      <c r="D3" s="1961"/>
      <c r="E3" s="1961"/>
      <c r="F3" s="1961"/>
      <c r="G3" s="1961"/>
      <c r="H3" s="1961"/>
      <c r="I3" s="1961"/>
      <c r="J3" s="1961"/>
      <c r="K3" s="1961"/>
      <c r="L3" s="1961"/>
      <c r="M3" s="1961"/>
      <c r="N3" s="1961"/>
      <c r="O3" s="1961"/>
      <c r="P3" s="1961"/>
      <c r="Q3" s="1961"/>
      <c r="R3" s="1961"/>
      <c r="S3" s="1961"/>
      <c r="T3" s="1961"/>
      <c r="U3" s="1961"/>
      <c r="V3" s="1961"/>
      <c r="W3" s="1961"/>
      <c r="X3" s="1961"/>
      <c r="Y3" s="1961"/>
      <c r="Z3" s="1961"/>
      <c r="AA3" s="1961"/>
      <c r="AB3" s="1961"/>
      <c r="AC3" s="1961"/>
      <c r="AD3" s="1961"/>
      <c r="AE3" s="1961"/>
      <c r="AF3" s="1961"/>
      <c r="AG3" s="1961"/>
      <c r="AH3" s="1961"/>
      <c r="AI3" s="1961"/>
      <c r="AJ3" s="1961"/>
      <c r="AK3" s="573"/>
      <c r="AL3" s="573"/>
      <c r="AM3" s="573"/>
      <c r="AN3" s="573"/>
      <c r="AO3" s="573"/>
    </row>
    <row r="4" spans="1:41" ht="19.5">
      <c r="A4" s="1961"/>
      <c r="B4" s="1961"/>
      <c r="C4" s="1961"/>
      <c r="D4" s="1961"/>
      <c r="E4" s="1961"/>
      <c r="F4" s="1961"/>
      <c r="G4" s="1961"/>
      <c r="H4" s="1961"/>
      <c r="I4" s="1961"/>
      <c r="J4" s="1961"/>
      <c r="K4" s="1961"/>
      <c r="L4" s="1961"/>
      <c r="M4" s="1961"/>
      <c r="N4" s="1961"/>
      <c r="O4" s="1961"/>
      <c r="P4" s="1961"/>
      <c r="Q4" s="1961"/>
      <c r="R4" s="1961"/>
      <c r="S4" s="1961"/>
      <c r="T4" s="1961"/>
      <c r="U4" s="1961"/>
      <c r="V4" s="1961"/>
      <c r="W4" s="1961"/>
      <c r="X4" s="1961"/>
      <c r="Y4" s="1961"/>
      <c r="Z4" s="1961"/>
      <c r="AA4" s="1961"/>
      <c r="AB4" s="1961"/>
      <c r="AC4" s="1961"/>
      <c r="AD4" s="1961"/>
      <c r="AE4" s="1961"/>
      <c r="AF4" s="1961"/>
      <c r="AG4" s="1961"/>
      <c r="AH4" s="1961"/>
      <c r="AI4" s="1961"/>
      <c r="AJ4" s="1961"/>
      <c r="AK4" s="573"/>
      <c r="AL4" s="573"/>
      <c r="AM4" s="573"/>
      <c r="AN4" s="573"/>
      <c r="AO4" s="573"/>
    </row>
    <row r="5" spans="1:41" ht="24" customHeight="1">
      <c r="B5" s="1962" t="s">
        <v>1342</v>
      </c>
      <c r="C5" s="1963"/>
      <c r="D5" s="1963"/>
      <c r="E5" s="1963"/>
      <c r="F5" s="1963"/>
      <c r="G5" s="1963"/>
      <c r="H5" s="1963"/>
      <c r="I5" s="1963"/>
      <c r="J5" s="1963"/>
      <c r="K5" s="1963"/>
      <c r="L5" s="1963"/>
      <c r="M5" s="1963"/>
      <c r="N5" s="1963"/>
      <c r="O5" s="1963"/>
      <c r="P5" s="1963"/>
      <c r="Q5" s="1963"/>
      <c r="R5" s="1963"/>
      <c r="S5" s="1963"/>
      <c r="T5" s="1963"/>
      <c r="U5" s="1963"/>
      <c r="V5" s="1963"/>
      <c r="W5" s="1963"/>
      <c r="X5" s="1963"/>
      <c r="Y5" s="1963"/>
      <c r="Z5" s="1963"/>
      <c r="AA5" s="1963"/>
      <c r="AB5" s="1963"/>
      <c r="AC5" s="1963"/>
      <c r="AD5" s="1963"/>
      <c r="AE5" s="1963"/>
      <c r="AF5" s="1963"/>
      <c r="AG5" s="1963"/>
      <c r="AH5" s="1963"/>
      <c r="AI5" s="1963"/>
    </row>
    <row r="6" spans="1:41" ht="24" customHeight="1">
      <c r="B6" s="1963"/>
      <c r="C6" s="1963"/>
      <c r="D6" s="1963"/>
      <c r="E6" s="1963"/>
      <c r="F6" s="1963"/>
      <c r="G6" s="1963"/>
      <c r="H6" s="1963"/>
      <c r="I6" s="1963"/>
      <c r="J6" s="1963"/>
      <c r="K6" s="1963"/>
      <c r="L6" s="1963"/>
      <c r="M6" s="1963"/>
      <c r="N6" s="1963"/>
      <c r="O6" s="1963"/>
      <c r="P6" s="1963"/>
      <c r="Q6" s="1963"/>
      <c r="R6" s="1963"/>
      <c r="S6" s="1963"/>
      <c r="T6" s="1963"/>
      <c r="U6" s="1963"/>
      <c r="V6" s="1963"/>
      <c r="W6" s="1963"/>
      <c r="X6" s="1963"/>
      <c r="Y6" s="1963"/>
      <c r="Z6" s="1963"/>
      <c r="AA6" s="1963"/>
      <c r="AB6" s="1963"/>
      <c r="AC6" s="1963"/>
      <c r="AD6" s="1963"/>
      <c r="AE6" s="1963"/>
      <c r="AF6" s="1963"/>
      <c r="AG6" s="1963"/>
      <c r="AH6" s="1963"/>
      <c r="AI6" s="1963"/>
    </row>
    <row r="7" spans="1:41" ht="30" customHeight="1">
      <c r="A7" s="1964" t="str">
        <f>"１．算定基礎となる賃金情報　【判定】"&amp;AK7&amp;"（"&amp;AL7&amp;"）"</f>
        <v>１．算定基礎となる賃金情報　【判定】×（【要修正】未入力の状態です。）</v>
      </c>
      <c r="B7" s="1965"/>
      <c r="C7" s="1965"/>
      <c r="D7" s="1965"/>
      <c r="E7" s="1965"/>
      <c r="F7" s="1965"/>
      <c r="G7" s="1965"/>
      <c r="H7" s="1965"/>
      <c r="I7" s="1965"/>
      <c r="J7" s="1965"/>
      <c r="K7" s="1965"/>
      <c r="L7" s="1965"/>
      <c r="M7" s="1965"/>
      <c r="N7" s="1965"/>
      <c r="O7" s="1965"/>
      <c r="P7" s="1965"/>
      <c r="Q7" s="1965"/>
      <c r="R7" s="1965"/>
      <c r="S7" s="1965"/>
      <c r="T7" s="1965"/>
      <c r="U7" s="1965"/>
      <c r="V7" s="1965"/>
      <c r="W7" s="1965"/>
      <c r="X7" s="1965"/>
      <c r="Y7" s="1965"/>
      <c r="Z7" s="1965"/>
      <c r="AA7" s="1965"/>
      <c r="AB7" s="1965"/>
      <c r="AC7" s="1965"/>
      <c r="AD7" s="1965"/>
      <c r="AE7" s="1965"/>
      <c r="AF7" s="1965"/>
      <c r="AG7" s="1965"/>
      <c r="AH7" s="1965"/>
      <c r="AI7" s="1965"/>
      <c r="AJ7" s="1965"/>
      <c r="AK7" s="570" t="str">
        <f xml:space="preserve">
IF(COUNTIF(AB11:AC25,"○")=15,"×",
IF(COUNTIF(AB11:AC25,"×")&gt;=1,"×",
IF(COUNTIF(AB11:AC25,"◎")&gt;=1,"◎")))</f>
        <v>×</v>
      </c>
      <c r="AL7" s="569" t="str">
        <f xml:space="preserve">
IF(COUNTIF(AB11:AC25,"○")=15,"【要修正】未入力の状態です。",
IF(COUNTIF(AB11:AC25,"×")&gt;=1,"【要修正】入力不十分の箇所があります。",
IF(COUNTIF(AB11:AC25,"◎")&gt;=1,"適切に入力がされました。")))</f>
        <v>【要修正】未入力の状態です。</v>
      </c>
      <c r="AM7" s="574"/>
      <c r="AN7" s="574"/>
      <c r="AO7" s="574"/>
    </row>
    <row r="8" spans="1:41" ht="19.5">
      <c r="A8" s="575"/>
      <c r="B8" s="1966" t="s">
        <v>1297</v>
      </c>
      <c r="C8" s="1966"/>
      <c r="D8" s="1967"/>
      <c r="E8" s="1966" t="s">
        <v>1343</v>
      </c>
      <c r="F8" s="1966"/>
      <c r="G8" s="1967"/>
      <c r="H8" s="1954" t="s">
        <v>1344</v>
      </c>
      <c r="I8" s="1955"/>
      <c r="J8" s="1955"/>
      <c r="K8" s="1955"/>
      <c r="L8" s="1955"/>
      <c r="M8" s="1955"/>
      <c r="N8" s="1955"/>
      <c r="O8" s="1955"/>
      <c r="P8" s="1955"/>
      <c r="Q8" s="1955"/>
      <c r="R8" s="1955"/>
      <c r="S8" s="1955"/>
      <c r="T8" s="1955"/>
      <c r="U8" s="1955"/>
      <c r="V8" s="1955"/>
      <c r="W8" s="1955"/>
      <c r="X8" s="958" t="s">
        <v>1345</v>
      </c>
      <c r="Y8" s="1968"/>
      <c r="Z8" s="1968"/>
      <c r="AA8" s="1969"/>
      <c r="AB8" s="969" t="s">
        <v>415</v>
      </c>
      <c r="AC8" s="970"/>
      <c r="AD8" s="969" t="s">
        <v>417</v>
      </c>
      <c r="AE8" s="970"/>
      <c r="AF8" s="970"/>
      <c r="AG8" s="970"/>
      <c r="AH8" s="970"/>
      <c r="AI8" s="970"/>
      <c r="AJ8" s="575"/>
    </row>
    <row r="9" spans="1:41" ht="19.5">
      <c r="A9" s="575"/>
      <c r="B9" s="1966"/>
      <c r="C9" s="1966"/>
      <c r="D9" s="1967"/>
      <c r="E9" s="1966"/>
      <c r="F9" s="1966"/>
      <c r="G9" s="1967"/>
      <c r="H9" s="1954" t="s">
        <v>1346</v>
      </c>
      <c r="I9" s="1955"/>
      <c r="J9" s="1955"/>
      <c r="K9" s="1955"/>
      <c r="L9" s="1955"/>
      <c r="M9" s="1955"/>
      <c r="N9" s="1955"/>
      <c r="O9" s="1955"/>
      <c r="P9" s="1955"/>
      <c r="Q9" s="1955"/>
      <c r="R9" s="1955"/>
      <c r="S9" s="1955"/>
      <c r="T9" s="1956" t="s">
        <v>1347</v>
      </c>
      <c r="U9" s="1957"/>
      <c r="V9" s="1957"/>
      <c r="W9" s="1957"/>
      <c r="X9" s="961"/>
      <c r="Y9" s="962"/>
      <c r="Z9" s="962"/>
      <c r="AA9" s="963"/>
      <c r="AB9" s="970"/>
      <c r="AC9" s="970"/>
      <c r="AD9" s="970"/>
      <c r="AE9" s="970"/>
      <c r="AF9" s="970"/>
      <c r="AG9" s="970"/>
      <c r="AH9" s="970"/>
      <c r="AI9" s="970"/>
      <c r="AJ9" s="575"/>
    </row>
    <row r="10" spans="1:41" ht="19.5">
      <c r="A10" s="575"/>
      <c r="B10" s="1967"/>
      <c r="C10" s="1967"/>
      <c r="D10" s="1967"/>
      <c r="E10" s="1967"/>
      <c r="F10" s="1967"/>
      <c r="G10" s="1967"/>
      <c r="H10" s="1954" t="s">
        <v>1348</v>
      </c>
      <c r="I10" s="1955"/>
      <c r="J10" s="1955"/>
      <c r="K10" s="1955"/>
      <c r="L10" s="1954" t="s">
        <v>1349</v>
      </c>
      <c r="M10" s="1955"/>
      <c r="N10" s="1955"/>
      <c r="O10" s="1955"/>
      <c r="P10" s="1954" t="s">
        <v>1350</v>
      </c>
      <c r="Q10" s="1955"/>
      <c r="R10" s="1955"/>
      <c r="S10" s="1955"/>
      <c r="T10" s="1954" t="s">
        <v>1351</v>
      </c>
      <c r="U10" s="1955"/>
      <c r="V10" s="1955"/>
      <c r="W10" s="1955"/>
      <c r="X10" s="964"/>
      <c r="Y10" s="965"/>
      <c r="Z10" s="965"/>
      <c r="AA10" s="966"/>
      <c r="AB10" s="970"/>
      <c r="AC10" s="970"/>
      <c r="AD10" s="970"/>
      <c r="AE10" s="970"/>
      <c r="AF10" s="970"/>
      <c r="AG10" s="970"/>
      <c r="AH10" s="970"/>
      <c r="AI10" s="970"/>
      <c r="AJ10" s="575"/>
    </row>
    <row r="11" spans="1:41" ht="24.95" customHeight="1">
      <c r="A11" s="575"/>
      <c r="B11" s="1966" t="s">
        <v>1352</v>
      </c>
      <c r="C11" s="1966"/>
      <c r="D11" s="1967"/>
      <c r="E11" s="1972"/>
      <c r="F11" s="1972"/>
      <c r="G11" s="1973"/>
      <c r="H11" s="1952"/>
      <c r="I11" s="1953"/>
      <c r="J11" s="1953"/>
      <c r="K11" s="1953"/>
      <c r="L11" s="1974"/>
      <c r="M11" s="1975"/>
      <c r="N11" s="1975"/>
      <c r="O11" s="1975"/>
      <c r="P11" s="1976">
        <f>IFERROR(ROUNDDOWN(H11/L11,0),0)</f>
        <v>0</v>
      </c>
      <c r="Q11" s="1977"/>
      <c r="R11" s="1977"/>
      <c r="S11" s="1977"/>
      <c r="T11" s="1952"/>
      <c r="U11" s="1953"/>
      <c r="V11" s="1953"/>
      <c r="W11" s="1953"/>
      <c r="X11" s="1978">
        <f>IF(AK7&lt;&gt;"◎",0,ROUNDDOWN(SUM(AK11:AK25)/COUNTIF(AB11:AC25,"◎"),0))</f>
        <v>0</v>
      </c>
      <c r="Y11" s="1979"/>
      <c r="Z11" s="1979"/>
      <c r="AA11" s="1980"/>
      <c r="AB11" s="969" t="str">
        <f xml:space="preserve">
IF(SUM(COUNTA(E11:O11),COUNTA(T11))=0,"○",
IF(AND(COUNTA(E11)=1,OR(AND(COUNTA(H11:O11)=2,COUNTA(T11)=0),AND(COUNTA(H11:O11)=0,COUNTA(T11)=1))),"◎","×"))</f>
        <v>○</v>
      </c>
      <c r="AC11" s="970"/>
      <c r="AD11" s="1970" t="str">
        <f xml:space="preserve">
IF(SUM(COUNTA(E11:O11),COUNTA(T11))=0,"未入力の状態です",
IF(AND(COUNTA(E11)=1,OR(AND(COUNTA(H11:O11)=2,COUNTA(T11)=0),AND(COUNTA(H11:O11)=0,COUNTA(T11)=1))),"適切に入力がされました。","【要修正】入力が不十分です。"))</f>
        <v>未入力の状態です</v>
      </c>
      <c r="AE11" s="1971"/>
      <c r="AF11" s="1971"/>
      <c r="AG11" s="1971"/>
      <c r="AH11" s="1971"/>
      <c r="AI11" s="1971"/>
      <c r="AJ11" s="575"/>
      <c r="AK11" s="572" t="str">
        <f xml:space="preserve">
IF(AND(AB11="◎",COUNTA(H11:O11)=2),P11,
IF(AND(AB11="◎",COUNTA(T11)=1),T11,""))</f>
        <v/>
      </c>
    </row>
    <row r="12" spans="1:41" ht="24.95" customHeight="1">
      <c r="A12" s="575"/>
      <c r="B12" s="1966" t="s">
        <v>1353</v>
      </c>
      <c r="C12" s="1966"/>
      <c r="D12" s="1967"/>
      <c r="E12" s="1972"/>
      <c r="F12" s="1972"/>
      <c r="G12" s="1973"/>
      <c r="H12" s="1952"/>
      <c r="I12" s="1953"/>
      <c r="J12" s="1953"/>
      <c r="K12" s="1953"/>
      <c r="L12" s="1974"/>
      <c r="M12" s="1975"/>
      <c r="N12" s="1975"/>
      <c r="O12" s="1975"/>
      <c r="P12" s="1976">
        <f>IFERROR(ROUNDDOWN(H12/L12,0),0)</f>
        <v>0</v>
      </c>
      <c r="Q12" s="1977"/>
      <c r="R12" s="1977"/>
      <c r="S12" s="1977"/>
      <c r="T12" s="1952"/>
      <c r="U12" s="1953"/>
      <c r="V12" s="1953"/>
      <c r="W12" s="1953"/>
      <c r="X12" s="1981"/>
      <c r="Y12" s="1982"/>
      <c r="Z12" s="1982"/>
      <c r="AA12" s="1983"/>
      <c r="AB12" s="969" t="str">
        <f t="shared" ref="AB12:AB25" si="0" xml:space="preserve">
IF(SUM(COUNTA(E12:O12),COUNTA(T12))=0,"○",
IF(AND(COUNTA(E12)=1,OR(AND(COUNTA(H12:O12)=2,COUNTA(T12)=0),AND(COUNTA(H12:O12)=0,COUNTA(T12)=1))),"◎","×"))</f>
        <v>○</v>
      </c>
      <c r="AC12" s="970"/>
      <c r="AD12" s="1970" t="str">
        <f t="shared" ref="AD12:AD25" si="1" xml:space="preserve">
IF(SUM(COUNTA(E12:O12),COUNTA(T12))=0,"未入力の状態です",
IF(AND(COUNTA(E12)=1,OR(AND(COUNTA(H12:O12)=2,COUNTA(T12)=0),AND(COUNTA(H12:O12)=0,COUNTA(T12)=1))),"適切に入力がされました。","【要修正】入力が不十分です。"))</f>
        <v>未入力の状態です</v>
      </c>
      <c r="AE12" s="1971"/>
      <c r="AF12" s="1971"/>
      <c r="AG12" s="1971"/>
      <c r="AH12" s="1971"/>
      <c r="AI12" s="1971"/>
      <c r="AJ12" s="575"/>
      <c r="AK12" s="572" t="str">
        <f t="shared" ref="AK12:AK25" si="2" xml:space="preserve">
IF(AND(AB12="◎",COUNTA(H12:O12)=2),P12,
IF(AND(AB12="◎",COUNTA(T12)=1),T12,""))</f>
        <v/>
      </c>
    </row>
    <row r="13" spans="1:41" ht="24.95" customHeight="1">
      <c r="A13" s="575"/>
      <c r="B13" s="1966" t="s">
        <v>1355</v>
      </c>
      <c r="C13" s="1966"/>
      <c r="D13" s="1967"/>
      <c r="E13" s="1972"/>
      <c r="F13" s="1972"/>
      <c r="G13" s="1973"/>
      <c r="H13" s="1952"/>
      <c r="I13" s="1953"/>
      <c r="J13" s="1953"/>
      <c r="K13" s="1953"/>
      <c r="L13" s="1974"/>
      <c r="M13" s="1975"/>
      <c r="N13" s="1975"/>
      <c r="O13" s="1975"/>
      <c r="P13" s="1976">
        <f t="shared" ref="P13:P25" si="3">IFERROR(ROUNDDOWN(H13/L13,0),0)</f>
        <v>0</v>
      </c>
      <c r="Q13" s="1977"/>
      <c r="R13" s="1977"/>
      <c r="S13" s="1977"/>
      <c r="T13" s="1952"/>
      <c r="U13" s="1953"/>
      <c r="V13" s="1953"/>
      <c r="W13" s="1953"/>
      <c r="X13" s="1981"/>
      <c r="Y13" s="1982"/>
      <c r="Z13" s="1982"/>
      <c r="AA13" s="1983"/>
      <c r="AB13" s="969" t="str">
        <f t="shared" si="0"/>
        <v>○</v>
      </c>
      <c r="AC13" s="970"/>
      <c r="AD13" s="1970" t="str">
        <f t="shared" si="1"/>
        <v>未入力の状態です</v>
      </c>
      <c r="AE13" s="1971"/>
      <c r="AF13" s="1971"/>
      <c r="AG13" s="1971"/>
      <c r="AH13" s="1971"/>
      <c r="AI13" s="1971"/>
      <c r="AJ13" s="575"/>
      <c r="AK13" s="572" t="str">
        <f t="shared" si="2"/>
        <v/>
      </c>
    </row>
    <row r="14" spans="1:41" ht="24.95" customHeight="1">
      <c r="A14" s="575"/>
      <c r="B14" s="1966" t="s">
        <v>1356</v>
      </c>
      <c r="C14" s="1966"/>
      <c r="D14" s="1967"/>
      <c r="E14" s="1972"/>
      <c r="F14" s="1972"/>
      <c r="G14" s="1973"/>
      <c r="H14" s="1952"/>
      <c r="I14" s="1953"/>
      <c r="J14" s="1953"/>
      <c r="K14" s="1953"/>
      <c r="L14" s="1974"/>
      <c r="M14" s="1975"/>
      <c r="N14" s="1975"/>
      <c r="O14" s="1975"/>
      <c r="P14" s="1976">
        <f t="shared" si="3"/>
        <v>0</v>
      </c>
      <c r="Q14" s="1977"/>
      <c r="R14" s="1977"/>
      <c r="S14" s="1977"/>
      <c r="T14" s="1952"/>
      <c r="U14" s="1953"/>
      <c r="V14" s="1953"/>
      <c r="W14" s="1953"/>
      <c r="X14" s="1981"/>
      <c r="Y14" s="1982"/>
      <c r="Z14" s="1982"/>
      <c r="AA14" s="1983"/>
      <c r="AB14" s="969" t="str">
        <f t="shared" si="0"/>
        <v>○</v>
      </c>
      <c r="AC14" s="970"/>
      <c r="AD14" s="1970" t="str">
        <f t="shared" si="1"/>
        <v>未入力の状態です</v>
      </c>
      <c r="AE14" s="1971"/>
      <c r="AF14" s="1971"/>
      <c r="AG14" s="1971"/>
      <c r="AH14" s="1971"/>
      <c r="AI14" s="1971"/>
      <c r="AJ14" s="575"/>
      <c r="AK14" s="572" t="str">
        <f t="shared" si="2"/>
        <v/>
      </c>
    </row>
    <row r="15" spans="1:41" ht="24.95" customHeight="1">
      <c r="A15" s="575"/>
      <c r="B15" s="1966" t="s">
        <v>1357</v>
      </c>
      <c r="C15" s="1966"/>
      <c r="D15" s="1967"/>
      <c r="E15" s="1972"/>
      <c r="F15" s="1972"/>
      <c r="G15" s="1973"/>
      <c r="H15" s="1952"/>
      <c r="I15" s="1953"/>
      <c r="J15" s="1953"/>
      <c r="K15" s="1953"/>
      <c r="L15" s="1974"/>
      <c r="M15" s="1975"/>
      <c r="N15" s="1975"/>
      <c r="O15" s="1975"/>
      <c r="P15" s="1976">
        <f t="shared" si="3"/>
        <v>0</v>
      </c>
      <c r="Q15" s="1977"/>
      <c r="R15" s="1977"/>
      <c r="S15" s="1977"/>
      <c r="T15" s="1952"/>
      <c r="U15" s="1953"/>
      <c r="V15" s="1953"/>
      <c r="W15" s="1953"/>
      <c r="X15" s="1981"/>
      <c r="Y15" s="1982"/>
      <c r="Z15" s="1982"/>
      <c r="AA15" s="1983"/>
      <c r="AB15" s="969" t="str">
        <f t="shared" si="0"/>
        <v>○</v>
      </c>
      <c r="AC15" s="970"/>
      <c r="AD15" s="1970" t="str">
        <f t="shared" si="1"/>
        <v>未入力の状態です</v>
      </c>
      <c r="AE15" s="1971"/>
      <c r="AF15" s="1971"/>
      <c r="AG15" s="1971"/>
      <c r="AH15" s="1971"/>
      <c r="AI15" s="1971"/>
      <c r="AJ15" s="575"/>
      <c r="AK15" s="572" t="str">
        <f t="shared" si="2"/>
        <v/>
      </c>
    </row>
    <row r="16" spans="1:41" ht="24.95" customHeight="1">
      <c r="A16" s="575"/>
      <c r="B16" s="1966" t="s">
        <v>1358</v>
      </c>
      <c r="C16" s="1966"/>
      <c r="D16" s="1967"/>
      <c r="E16" s="1972"/>
      <c r="F16" s="1972"/>
      <c r="G16" s="1973"/>
      <c r="H16" s="1952"/>
      <c r="I16" s="1953"/>
      <c r="J16" s="1953"/>
      <c r="K16" s="1953"/>
      <c r="L16" s="1974"/>
      <c r="M16" s="1975"/>
      <c r="N16" s="1975"/>
      <c r="O16" s="1975"/>
      <c r="P16" s="1976">
        <f t="shared" si="3"/>
        <v>0</v>
      </c>
      <c r="Q16" s="1977"/>
      <c r="R16" s="1977"/>
      <c r="S16" s="1977"/>
      <c r="T16" s="1952"/>
      <c r="U16" s="1953"/>
      <c r="V16" s="1953"/>
      <c r="W16" s="1953"/>
      <c r="X16" s="1981"/>
      <c r="Y16" s="1982"/>
      <c r="Z16" s="1982"/>
      <c r="AA16" s="1983"/>
      <c r="AB16" s="969" t="str">
        <f t="shared" si="0"/>
        <v>○</v>
      </c>
      <c r="AC16" s="970"/>
      <c r="AD16" s="1970" t="str">
        <f t="shared" si="1"/>
        <v>未入力の状態です</v>
      </c>
      <c r="AE16" s="1971"/>
      <c r="AF16" s="1971"/>
      <c r="AG16" s="1971"/>
      <c r="AH16" s="1971"/>
      <c r="AI16" s="1971"/>
      <c r="AJ16" s="575"/>
      <c r="AK16" s="572" t="str">
        <f t="shared" si="2"/>
        <v/>
      </c>
    </row>
    <row r="17" spans="1:38" ht="24.95" customHeight="1">
      <c r="A17" s="575"/>
      <c r="B17" s="1966" t="s">
        <v>1359</v>
      </c>
      <c r="C17" s="1966"/>
      <c r="D17" s="1967"/>
      <c r="E17" s="1972"/>
      <c r="F17" s="1972"/>
      <c r="G17" s="1973"/>
      <c r="H17" s="1952"/>
      <c r="I17" s="1953"/>
      <c r="J17" s="1953"/>
      <c r="K17" s="1953"/>
      <c r="L17" s="1974"/>
      <c r="M17" s="1975"/>
      <c r="N17" s="1975"/>
      <c r="O17" s="1975"/>
      <c r="P17" s="1976">
        <f t="shared" si="3"/>
        <v>0</v>
      </c>
      <c r="Q17" s="1977"/>
      <c r="R17" s="1977"/>
      <c r="S17" s="1977"/>
      <c r="T17" s="1952"/>
      <c r="U17" s="1953"/>
      <c r="V17" s="1953"/>
      <c r="W17" s="1953"/>
      <c r="X17" s="1981"/>
      <c r="Y17" s="1982"/>
      <c r="Z17" s="1982"/>
      <c r="AA17" s="1983"/>
      <c r="AB17" s="969" t="str">
        <f t="shared" si="0"/>
        <v>○</v>
      </c>
      <c r="AC17" s="970"/>
      <c r="AD17" s="1970" t="str">
        <f t="shared" si="1"/>
        <v>未入力の状態です</v>
      </c>
      <c r="AE17" s="1971"/>
      <c r="AF17" s="1971"/>
      <c r="AG17" s="1971"/>
      <c r="AH17" s="1971"/>
      <c r="AI17" s="1971"/>
      <c r="AJ17" s="575"/>
      <c r="AK17" s="572" t="str">
        <f t="shared" si="2"/>
        <v/>
      </c>
    </row>
    <row r="18" spans="1:38" ht="24.95" customHeight="1">
      <c r="A18" s="575"/>
      <c r="B18" s="1966" t="s">
        <v>1360</v>
      </c>
      <c r="C18" s="1966"/>
      <c r="D18" s="1967"/>
      <c r="E18" s="1972"/>
      <c r="F18" s="1972"/>
      <c r="G18" s="1973"/>
      <c r="H18" s="1952"/>
      <c r="I18" s="1953"/>
      <c r="J18" s="1953"/>
      <c r="K18" s="1953"/>
      <c r="L18" s="1974"/>
      <c r="M18" s="1975"/>
      <c r="N18" s="1975"/>
      <c r="O18" s="1975"/>
      <c r="P18" s="1976">
        <f t="shared" si="3"/>
        <v>0</v>
      </c>
      <c r="Q18" s="1977"/>
      <c r="R18" s="1977"/>
      <c r="S18" s="1977"/>
      <c r="T18" s="1952"/>
      <c r="U18" s="1953"/>
      <c r="V18" s="1953"/>
      <c r="W18" s="1953"/>
      <c r="X18" s="1981"/>
      <c r="Y18" s="1982"/>
      <c r="Z18" s="1982"/>
      <c r="AA18" s="1983"/>
      <c r="AB18" s="969" t="str">
        <f t="shared" si="0"/>
        <v>○</v>
      </c>
      <c r="AC18" s="970"/>
      <c r="AD18" s="1970" t="str">
        <f t="shared" si="1"/>
        <v>未入力の状態です</v>
      </c>
      <c r="AE18" s="1971"/>
      <c r="AF18" s="1971"/>
      <c r="AG18" s="1971"/>
      <c r="AH18" s="1971"/>
      <c r="AI18" s="1971"/>
      <c r="AJ18" s="575"/>
      <c r="AK18" s="572" t="str">
        <f t="shared" si="2"/>
        <v/>
      </c>
    </row>
    <row r="19" spans="1:38" ht="24.95" customHeight="1">
      <c r="A19" s="575"/>
      <c r="B19" s="1966" t="s">
        <v>1361</v>
      </c>
      <c r="C19" s="1966"/>
      <c r="D19" s="1967"/>
      <c r="E19" s="1972"/>
      <c r="F19" s="1972"/>
      <c r="G19" s="1973"/>
      <c r="H19" s="1952"/>
      <c r="I19" s="1953"/>
      <c r="J19" s="1953"/>
      <c r="K19" s="1953"/>
      <c r="L19" s="1974"/>
      <c r="M19" s="1975"/>
      <c r="N19" s="1975"/>
      <c r="O19" s="1975"/>
      <c r="P19" s="1976">
        <f t="shared" si="3"/>
        <v>0</v>
      </c>
      <c r="Q19" s="1977"/>
      <c r="R19" s="1977"/>
      <c r="S19" s="1977"/>
      <c r="T19" s="1952"/>
      <c r="U19" s="1953"/>
      <c r="V19" s="1953"/>
      <c r="W19" s="1953"/>
      <c r="X19" s="1981"/>
      <c r="Y19" s="1982"/>
      <c r="Z19" s="1982"/>
      <c r="AA19" s="1983"/>
      <c r="AB19" s="969" t="str">
        <f t="shared" si="0"/>
        <v>○</v>
      </c>
      <c r="AC19" s="970"/>
      <c r="AD19" s="1970" t="str">
        <f t="shared" si="1"/>
        <v>未入力の状態です</v>
      </c>
      <c r="AE19" s="1971"/>
      <c r="AF19" s="1971"/>
      <c r="AG19" s="1971"/>
      <c r="AH19" s="1971"/>
      <c r="AI19" s="1971"/>
      <c r="AJ19" s="575"/>
      <c r="AK19" s="572" t="str">
        <f t="shared" si="2"/>
        <v/>
      </c>
    </row>
    <row r="20" spans="1:38" ht="24.95" customHeight="1">
      <c r="A20" s="575"/>
      <c r="B20" s="1966" t="s">
        <v>1362</v>
      </c>
      <c r="C20" s="1966"/>
      <c r="D20" s="1967"/>
      <c r="E20" s="1972"/>
      <c r="F20" s="1972"/>
      <c r="G20" s="1973"/>
      <c r="H20" s="1952"/>
      <c r="I20" s="1953"/>
      <c r="J20" s="1953"/>
      <c r="K20" s="1953"/>
      <c r="L20" s="1974"/>
      <c r="M20" s="1975"/>
      <c r="N20" s="1975"/>
      <c r="O20" s="1975"/>
      <c r="P20" s="1976">
        <f t="shared" si="3"/>
        <v>0</v>
      </c>
      <c r="Q20" s="1977"/>
      <c r="R20" s="1977"/>
      <c r="S20" s="1977"/>
      <c r="T20" s="1952"/>
      <c r="U20" s="1953"/>
      <c r="V20" s="1953"/>
      <c r="W20" s="1953"/>
      <c r="X20" s="1981"/>
      <c r="Y20" s="1982"/>
      <c r="Z20" s="1982"/>
      <c r="AA20" s="1983"/>
      <c r="AB20" s="969" t="str">
        <f t="shared" si="0"/>
        <v>○</v>
      </c>
      <c r="AC20" s="970"/>
      <c r="AD20" s="1970" t="str">
        <f t="shared" si="1"/>
        <v>未入力の状態です</v>
      </c>
      <c r="AE20" s="1971"/>
      <c r="AF20" s="1971"/>
      <c r="AG20" s="1971"/>
      <c r="AH20" s="1971"/>
      <c r="AI20" s="1971"/>
      <c r="AJ20" s="575"/>
      <c r="AK20" s="572" t="str">
        <f t="shared" si="2"/>
        <v/>
      </c>
    </row>
    <row r="21" spans="1:38" ht="24.95" customHeight="1">
      <c r="A21" s="575"/>
      <c r="B21" s="1966" t="s">
        <v>1363</v>
      </c>
      <c r="C21" s="1966"/>
      <c r="D21" s="1967"/>
      <c r="E21" s="1972"/>
      <c r="F21" s="1972"/>
      <c r="G21" s="1973"/>
      <c r="H21" s="1952"/>
      <c r="I21" s="1953"/>
      <c r="J21" s="1953"/>
      <c r="K21" s="1953"/>
      <c r="L21" s="1974"/>
      <c r="M21" s="1975"/>
      <c r="N21" s="1975"/>
      <c r="O21" s="1975"/>
      <c r="P21" s="1976">
        <f t="shared" si="3"/>
        <v>0</v>
      </c>
      <c r="Q21" s="1977"/>
      <c r="R21" s="1977"/>
      <c r="S21" s="1977"/>
      <c r="T21" s="1952"/>
      <c r="U21" s="1953"/>
      <c r="V21" s="1953"/>
      <c r="W21" s="1953"/>
      <c r="X21" s="1984"/>
      <c r="Y21" s="1985"/>
      <c r="Z21" s="1985"/>
      <c r="AA21" s="1986"/>
      <c r="AB21" s="969" t="str">
        <f t="shared" si="0"/>
        <v>○</v>
      </c>
      <c r="AC21" s="970"/>
      <c r="AD21" s="1970" t="str">
        <f t="shared" si="1"/>
        <v>未入力の状態です</v>
      </c>
      <c r="AE21" s="1971"/>
      <c r="AF21" s="1971"/>
      <c r="AG21" s="1971"/>
      <c r="AH21" s="1971"/>
      <c r="AI21" s="1971"/>
      <c r="AJ21" s="575"/>
      <c r="AK21" s="572" t="str">
        <f t="shared" si="2"/>
        <v/>
      </c>
    </row>
    <row r="22" spans="1:38" ht="24.95" customHeight="1">
      <c r="A22" s="575"/>
      <c r="B22" s="1966" t="s">
        <v>1364</v>
      </c>
      <c r="C22" s="1966"/>
      <c r="D22" s="1967"/>
      <c r="E22" s="1972"/>
      <c r="F22" s="1972"/>
      <c r="G22" s="1973"/>
      <c r="H22" s="1952"/>
      <c r="I22" s="1953"/>
      <c r="J22" s="1953"/>
      <c r="K22" s="1953"/>
      <c r="L22" s="1974"/>
      <c r="M22" s="1975"/>
      <c r="N22" s="1975"/>
      <c r="O22" s="1975"/>
      <c r="P22" s="1976">
        <f t="shared" si="3"/>
        <v>0</v>
      </c>
      <c r="Q22" s="1977"/>
      <c r="R22" s="1977"/>
      <c r="S22" s="1977"/>
      <c r="T22" s="1952"/>
      <c r="U22" s="1953"/>
      <c r="V22" s="1953"/>
      <c r="W22" s="1953"/>
      <c r="X22" s="1984"/>
      <c r="Y22" s="1985"/>
      <c r="Z22" s="1985"/>
      <c r="AA22" s="1986"/>
      <c r="AB22" s="969" t="str">
        <f t="shared" si="0"/>
        <v>○</v>
      </c>
      <c r="AC22" s="970"/>
      <c r="AD22" s="1970" t="str">
        <f t="shared" si="1"/>
        <v>未入力の状態です</v>
      </c>
      <c r="AE22" s="1971"/>
      <c r="AF22" s="1971"/>
      <c r="AG22" s="1971"/>
      <c r="AH22" s="1971"/>
      <c r="AI22" s="1971"/>
      <c r="AJ22" s="575"/>
      <c r="AK22" s="572" t="str">
        <f t="shared" si="2"/>
        <v/>
      </c>
    </row>
    <row r="23" spans="1:38" ht="24.95" customHeight="1">
      <c r="A23" s="575"/>
      <c r="B23" s="1966" t="s">
        <v>1365</v>
      </c>
      <c r="C23" s="1966"/>
      <c r="D23" s="1967"/>
      <c r="E23" s="1972"/>
      <c r="F23" s="1972"/>
      <c r="G23" s="1973"/>
      <c r="H23" s="1952"/>
      <c r="I23" s="1953"/>
      <c r="J23" s="1953"/>
      <c r="K23" s="1953"/>
      <c r="L23" s="1974"/>
      <c r="M23" s="1975"/>
      <c r="N23" s="1975"/>
      <c r="O23" s="1975"/>
      <c r="P23" s="1976">
        <f t="shared" si="3"/>
        <v>0</v>
      </c>
      <c r="Q23" s="1977"/>
      <c r="R23" s="1977"/>
      <c r="S23" s="1977"/>
      <c r="T23" s="1952"/>
      <c r="U23" s="1953"/>
      <c r="V23" s="1953"/>
      <c r="W23" s="1953"/>
      <c r="X23" s="1984"/>
      <c r="Y23" s="1985"/>
      <c r="Z23" s="1985"/>
      <c r="AA23" s="1986"/>
      <c r="AB23" s="969" t="str">
        <f t="shared" si="0"/>
        <v>○</v>
      </c>
      <c r="AC23" s="970"/>
      <c r="AD23" s="1970" t="str">
        <f t="shared" si="1"/>
        <v>未入力の状態です</v>
      </c>
      <c r="AE23" s="1971"/>
      <c r="AF23" s="1971"/>
      <c r="AG23" s="1971"/>
      <c r="AH23" s="1971"/>
      <c r="AI23" s="1971"/>
      <c r="AJ23" s="575"/>
      <c r="AK23" s="572" t="str">
        <f t="shared" si="2"/>
        <v/>
      </c>
    </row>
    <row r="24" spans="1:38" ht="24.95" customHeight="1">
      <c r="A24" s="575"/>
      <c r="B24" s="1966" t="s">
        <v>1366</v>
      </c>
      <c r="C24" s="1966"/>
      <c r="D24" s="1967"/>
      <c r="E24" s="1972"/>
      <c r="F24" s="1972"/>
      <c r="G24" s="1973"/>
      <c r="H24" s="1952"/>
      <c r="I24" s="1953"/>
      <c r="J24" s="1953"/>
      <c r="K24" s="1953"/>
      <c r="L24" s="1974"/>
      <c r="M24" s="1975"/>
      <c r="N24" s="1975"/>
      <c r="O24" s="1975"/>
      <c r="P24" s="1976">
        <f t="shared" si="3"/>
        <v>0</v>
      </c>
      <c r="Q24" s="1977"/>
      <c r="R24" s="1977"/>
      <c r="S24" s="1977"/>
      <c r="T24" s="1952"/>
      <c r="U24" s="1953"/>
      <c r="V24" s="1953"/>
      <c r="W24" s="1953"/>
      <c r="X24" s="1984"/>
      <c r="Y24" s="1985"/>
      <c r="Z24" s="1985"/>
      <c r="AA24" s="1986"/>
      <c r="AB24" s="969" t="str">
        <f t="shared" si="0"/>
        <v>○</v>
      </c>
      <c r="AC24" s="970"/>
      <c r="AD24" s="1970" t="str">
        <f t="shared" si="1"/>
        <v>未入力の状態です</v>
      </c>
      <c r="AE24" s="1971"/>
      <c r="AF24" s="1971"/>
      <c r="AG24" s="1971"/>
      <c r="AH24" s="1971"/>
      <c r="AI24" s="1971"/>
      <c r="AJ24" s="575"/>
      <c r="AK24" s="572" t="str">
        <f t="shared" si="2"/>
        <v/>
      </c>
    </row>
    <row r="25" spans="1:38" ht="24.95" customHeight="1">
      <c r="A25" s="575"/>
      <c r="B25" s="1966" t="s">
        <v>1367</v>
      </c>
      <c r="C25" s="1966"/>
      <c r="D25" s="1967"/>
      <c r="E25" s="1972"/>
      <c r="F25" s="1972"/>
      <c r="G25" s="1973"/>
      <c r="H25" s="1952"/>
      <c r="I25" s="1953"/>
      <c r="J25" s="1953"/>
      <c r="K25" s="1953"/>
      <c r="L25" s="1974"/>
      <c r="M25" s="1975"/>
      <c r="N25" s="1975"/>
      <c r="O25" s="1975"/>
      <c r="P25" s="1976">
        <f t="shared" si="3"/>
        <v>0</v>
      </c>
      <c r="Q25" s="1977"/>
      <c r="R25" s="1977"/>
      <c r="S25" s="1977"/>
      <c r="T25" s="1952"/>
      <c r="U25" s="1953"/>
      <c r="V25" s="1953"/>
      <c r="W25" s="1953"/>
      <c r="X25" s="1987"/>
      <c r="Y25" s="1988"/>
      <c r="Z25" s="1988"/>
      <c r="AA25" s="1989"/>
      <c r="AB25" s="969" t="str">
        <f t="shared" si="0"/>
        <v>○</v>
      </c>
      <c r="AC25" s="970"/>
      <c r="AD25" s="1970" t="str">
        <f t="shared" si="1"/>
        <v>未入力の状態です</v>
      </c>
      <c r="AE25" s="1971"/>
      <c r="AF25" s="1971"/>
      <c r="AG25" s="1971"/>
      <c r="AH25" s="1971"/>
      <c r="AI25" s="1971"/>
      <c r="AJ25" s="575"/>
      <c r="AK25" s="572" t="str">
        <f t="shared" si="2"/>
        <v/>
      </c>
    </row>
    <row r="26" spans="1:38" ht="19.5">
      <c r="A26" s="575"/>
      <c r="B26" s="575"/>
      <c r="C26" s="575"/>
      <c r="D26" s="575"/>
      <c r="E26" s="575"/>
      <c r="F26" s="575"/>
      <c r="G26" s="575"/>
      <c r="H26" s="575"/>
      <c r="I26" s="575"/>
      <c r="J26" s="575"/>
      <c r="K26" s="575"/>
      <c r="L26" s="575"/>
      <c r="M26" s="575"/>
      <c r="N26" s="575"/>
      <c r="O26" s="575"/>
      <c r="P26" s="575"/>
      <c r="Q26" s="575"/>
      <c r="R26" s="575"/>
      <c r="S26" s="575"/>
      <c r="T26" s="575"/>
      <c r="U26" s="575"/>
      <c r="V26" s="575"/>
      <c r="W26" s="575"/>
      <c r="X26" s="575"/>
      <c r="Y26" s="575"/>
      <c r="Z26" s="575"/>
      <c r="AA26" s="575"/>
      <c r="AB26" s="575"/>
      <c r="AC26" s="575"/>
      <c r="AD26" s="575"/>
      <c r="AE26" s="575"/>
      <c r="AF26" s="575"/>
      <c r="AG26" s="575"/>
      <c r="AH26" s="575"/>
      <c r="AI26" s="575"/>
      <c r="AJ26" s="575"/>
    </row>
    <row r="27" spans="1:38" ht="30" customHeight="1">
      <c r="A27" s="1964" t="str">
        <f>"２．作業内容　【判定】"&amp;AK27&amp;"（"&amp;AL27&amp;"）"</f>
        <v>２．作業内容　【判定】×（【要修正】未入力または入力不十分の箇所があります。）</v>
      </c>
      <c r="B27" s="1965"/>
      <c r="C27" s="1965"/>
      <c r="D27" s="1965"/>
      <c r="E27" s="1965"/>
      <c r="F27" s="1965"/>
      <c r="G27" s="1965"/>
      <c r="H27" s="1965"/>
      <c r="I27" s="1965"/>
      <c r="J27" s="1965"/>
      <c r="K27" s="1965"/>
      <c r="L27" s="1965"/>
      <c r="M27" s="1965"/>
      <c r="N27" s="1965"/>
      <c r="O27" s="1965"/>
      <c r="P27" s="1965"/>
      <c r="Q27" s="1965"/>
      <c r="R27" s="1965"/>
      <c r="S27" s="1965"/>
      <c r="T27" s="1965"/>
      <c r="U27" s="1965"/>
      <c r="V27" s="1965"/>
      <c r="W27" s="1965"/>
      <c r="X27" s="1965"/>
      <c r="Y27" s="1965"/>
      <c r="Z27" s="1965"/>
      <c r="AA27" s="1965"/>
      <c r="AB27" s="1965"/>
      <c r="AC27" s="1965"/>
      <c r="AD27" s="1965"/>
      <c r="AE27" s="1965"/>
      <c r="AF27" s="1965"/>
      <c r="AG27" s="1965"/>
      <c r="AH27" s="1965"/>
      <c r="AI27" s="1965"/>
      <c r="AJ27" s="1965"/>
      <c r="AK27" s="576" t="str">
        <f xml:space="preserve">
IF(OR(COUNTIF(Q29:R38,"○")=10,COUNTIF(Q29:R38,"×")&gt;=1,COUNTA(D41)=0),"×","◎")</f>
        <v>×</v>
      </c>
      <c r="AL27" s="577" t="str">
        <f xml:space="preserve">
IF(OR(COUNTIF(Q29:R38,"○")=10,COUNTIF(Q29:R38,"×")&gt;=1,COUNTA(D41)=0),"【要修正】未入力または入力不十分の箇所があります。","適切に入力がされました。")</f>
        <v>【要修正】未入力または入力不十分の箇所があります。</v>
      </c>
    </row>
    <row r="28" spans="1:38" ht="24.95" customHeight="1">
      <c r="A28" s="575"/>
      <c r="B28" s="1990" t="s">
        <v>1297</v>
      </c>
      <c r="C28" s="970"/>
      <c r="D28" s="969" t="s">
        <v>1368</v>
      </c>
      <c r="E28" s="970"/>
      <c r="F28" s="970"/>
      <c r="G28" s="970"/>
      <c r="H28" s="970"/>
      <c r="I28" s="970"/>
      <c r="J28" s="970"/>
      <c r="K28" s="970"/>
      <c r="L28" s="970"/>
      <c r="M28" s="970"/>
      <c r="N28" s="969" t="s">
        <v>1369</v>
      </c>
      <c r="O28" s="970"/>
      <c r="P28" s="970"/>
      <c r="Q28" s="969" t="s">
        <v>415</v>
      </c>
      <c r="R28" s="970"/>
      <c r="S28" s="1990" t="s">
        <v>417</v>
      </c>
      <c r="T28" s="970"/>
      <c r="U28" s="970"/>
      <c r="V28" s="970"/>
      <c r="W28" s="970"/>
      <c r="X28" s="970"/>
      <c r="Y28" s="970"/>
      <c r="Z28" s="970"/>
      <c r="AA28" s="970"/>
      <c r="AB28" s="970"/>
      <c r="AC28" s="970"/>
      <c r="AD28" s="970"/>
      <c r="AE28" s="970"/>
      <c r="AF28" s="970"/>
      <c r="AG28" s="970"/>
      <c r="AH28" s="970"/>
      <c r="AI28" s="970"/>
      <c r="AJ28" s="575"/>
    </row>
    <row r="29" spans="1:38" ht="24.95" customHeight="1">
      <c r="A29" s="575"/>
      <c r="B29" s="1990">
        <v>1</v>
      </c>
      <c r="C29" s="970"/>
      <c r="D29" s="1991"/>
      <c r="E29" s="1992"/>
      <c r="F29" s="1992"/>
      <c r="G29" s="1992"/>
      <c r="H29" s="1992"/>
      <c r="I29" s="1992"/>
      <c r="J29" s="1992"/>
      <c r="K29" s="1992"/>
      <c r="L29" s="1992"/>
      <c r="M29" s="1992"/>
      <c r="N29" s="1993"/>
      <c r="O29" s="1994"/>
      <c r="P29" s="1994"/>
      <c r="Q29" s="969" t="str">
        <f xml:space="preserve">
IF(COUNTA(D29:P29)=0,"○",
IF(COUNTA(D29:P29)=1,"×",
IF(COUNTA(D29:P29)=2,"◎")))</f>
        <v>○</v>
      </c>
      <c r="R29" s="970"/>
      <c r="S29" s="1995" t="str">
        <f xml:space="preserve">
IF(COUNTA(D29:P29)=0,"未入力の状態です。（全ての欄を埋める必要はありません。）",
IF(COUNTA(D29:P29)=1,"【要修正】入力が不十分です。",
IF(COUNTA(D29:P29)=2,"適切に入力がされました。")))</f>
        <v>未入力の状態です。（全ての欄を埋める必要はありません。）</v>
      </c>
      <c r="T29" s="1996"/>
      <c r="U29" s="1996"/>
      <c r="V29" s="1996"/>
      <c r="W29" s="1996"/>
      <c r="X29" s="1996"/>
      <c r="Y29" s="1996"/>
      <c r="Z29" s="1996"/>
      <c r="AA29" s="1996"/>
      <c r="AB29" s="1996"/>
      <c r="AC29" s="1996"/>
      <c r="AD29" s="1996"/>
      <c r="AE29" s="1996"/>
      <c r="AF29" s="1996"/>
      <c r="AG29" s="1996"/>
      <c r="AH29" s="1996"/>
      <c r="AI29" s="1996"/>
      <c r="AJ29" s="575"/>
    </row>
    <row r="30" spans="1:38" ht="24.95" customHeight="1">
      <c r="A30" s="575"/>
      <c r="B30" s="1990">
        <v>2</v>
      </c>
      <c r="C30" s="970"/>
      <c r="D30" s="1991"/>
      <c r="E30" s="1992"/>
      <c r="F30" s="1992"/>
      <c r="G30" s="1992"/>
      <c r="H30" s="1992"/>
      <c r="I30" s="1992"/>
      <c r="J30" s="1992"/>
      <c r="K30" s="1992"/>
      <c r="L30" s="1992"/>
      <c r="M30" s="1992"/>
      <c r="N30" s="1993"/>
      <c r="O30" s="1994"/>
      <c r="P30" s="1994"/>
      <c r="Q30" s="969" t="str">
        <f t="shared" ref="Q30:Q38" si="4" xml:space="preserve">
IF(COUNTA(D30:P30)=0,"○",
IF(COUNTA(D30:P30)=1,"×",
IF(COUNTA(D30:P30)=2,"◎")))</f>
        <v>○</v>
      </c>
      <c r="R30" s="970"/>
      <c r="S30" s="1995" t="str">
        <f t="shared" ref="S30:S38" si="5" xml:space="preserve">
IF(COUNTA(D30:P30)=0,"未入力の状態です。（全ての欄を埋める必要はありません。）",
IF(COUNTA(D30:P30)=1,"【要修正】入力が不十分です。",
IF(COUNTA(D30:P30)=2,"適切に入力がされました。")))</f>
        <v>未入力の状態です。（全ての欄を埋める必要はありません。）</v>
      </c>
      <c r="T30" s="1996"/>
      <c r="U30" s="1996"/>
      <c r="V30" s="1996"/>
      <c r="W30" s="1996"/>
      <c r="X30" s="1996"/>
      <c r="Y30" s="1996"/>
      <c r="Z30" s="1996"/>
      <c r="AA30" s="1996"/>
      <c r="AB30" s="1996"/>
      <c r="AC30" s="1996"/>
      <c r="AD30" s="1996"/>
      <c r="AE30" s="1996"/>
      <c r="AF30" s="1996"/>
      <c r="AG30" s="1996"/>
      <c r="AH30" s="1996"/>
      <c r="AI30" s="1996"/>
      <c r="AJ30" s="575"/>
    </row>
    <row r="31" spans="1:38" ht="24.95" customHeight="1">
      <c r="A31" s="575"/>
      <c r="B31" s="1990">
        <v>3</v>
      </c>
      <c r="C31" s="970"/>
      <c r="D31" s="1991"/>
      <c r="E31" s="1992"/>
      <c r="F31" s="1992"/>
      <c r="G31" s="1992"/>
      <c r="H31" s="1992"/>
      <c r="I31" s="1992"/>
      <c r="J31" s="1992"/>
      <c r="K31" s="1992"/>
      <c r="L31" s="1992"/>
      <c r="M31" s="1992"/>
      <c r="N31" s="1993"/>
      <c r="O31" s="1994"/>
      <c r="P31" s="1994"/>
      <c r="Q31" s="969" t="str">
        <f t="shared" si="4"/>
        <v>○</v>
      </c>
      <c r="R31" s="970"/>
      <c r="S31" s="1995" t="str">
        <f t="shared" si="5"/>
        <v>未入力の状態です。（全ての欄を埋める必要はありません。）</v>
      </c>
      <c r="T31" s="1996"/>
      <c r="U31" s="1996"/>
      <c r="V31" s="1996"/>
      <c r="W31" s="1996"/>
      <c r="X31" s="1996"/>
      <c r="Y31" s="1996"/>
      <c r="Z31" s="1996"/>
      <c r="AA31" s="1996"/>
      <c r="AB31" s="1996"/>
      <c r="AC31" s="1996"/>
      <c r="AD31" s="1996"/>
      <c r="AE31" s="1996"/>
      <c r="AF31" s="1996"/>
      <c r="AG31" s="1996"/>
      <c r="AH31" s="1996"/>
      <c r="AI31" s="1996"/>
      <c r="AJ31" s="575"/>
    </row>
    <row r="32" spans="1:38" ht="24.95" customHeight="1">
      <c r="A32" s="575"/>
      <c r="B32" s="1990">
        <v>4</v>
      </c>
      <c r="C32" s="970"/>
      <c r="D32" s="1991"/>
      <c r="E32" s="1992"/>
      <c r="F32" s="1992"/>
      <c r="G32" s="1992"/>
      <c r="H32" s="1992"/>
      <c r="I32" s="1992"/>
      <c r="J32" s="1992"/>
      <c r="K32" s="1992"/>
      <c r="L32" s="1992"/>
      <c r="M32" s="1992"/>
      <c r="N32" s="1993"/>
      <c r="O32" s="1994"/>
      <c r="P32" s="1994"/>
      <c r="Q32" s="969" t="str">
        <f t="shared" si="4"/>
        <v>○</v>
      </c>
      <c r="R32" s="970"/>
      <c r="S32" s="1995" t="str">
        <f t="shared" si="5"/>
        <v>未入力の状態です。（全ての欄を埋める必要はありません。）</v>
      </c>
      <c r="T32" s="1996"/>
      <c r="U32" s="1996"/>
      <c r="V32" s="1996"/>
      <c r="W32" s="1996"/>
      <c r="X32" s="1996"/>
      <c r="Y32" s="1996"/>
      <c r="Z32" s="1996"/>
      <c r="AA32" s="1996"/>
      <c r="AB32" s="1996"/>
      <c r="AC32" s="1996"/>
      <c r="AD32" s="1996"/>
      <c r="AE32" s="1996"/>
      <c r="AF32" s="1996"/>
      <c r="AG32" s="1996"/>
      <c r="AH32" s="1996"/>
      <c r="AI32" s="1996"/>
      <c r="AJ32" s="575"/>
    </row>
    <row r="33" spans="1:38" ht="24.95" customHeight="1">
      <c r="A33" s="575"/>
      <c r="B33" s="1990">
        <v>5</v>
      </c>
      <c r="C33" s="970"/>
      <c r="D33" s="1991"/>
      <c r="E33" s="1992"/>
      <c r="F33" s="1992"/>
      <c r="G33" s="1992"/>
      <c r="H33" s="1992"/>
      <c r="I33" s="1992"/>
      <c r="J33" s="1992"/>
      <c r="K33" s="1992"/>
      <c r="L33" s="1992"/>
      <c r="M33" s="1992"/>
      <c r="N33" s="1993"/>
      <c r="O33" s="1994"/>
      <c r="P33" s="1994"/>
      <c r="Q33" s="969" t="str">
        <f t="shared" si="4"/>
        <v>○</v>
      </c>
      <c r="R33" s="970"/>
      <c r="S33" s="1995" t="str">
        <f t="shared" si="5"/>
        <v>未入力の状態です。（全ての欄を埋める必要はありません。）</v>
      </c>
      <c r="T33" s="1996"/>
      <c r="U33" s="1996"/>
      <c r="V33" s="1996"/>
      <c r="W33" s="1996"/>
      <c r="X33" s="1996"/>
      <c r="Y33" s="1996"/>
      <c r="Z33" s="1996"/>
      <c r="AA33" s="1996"/>
      <c r="AB33" s="1996"/>
      <c r="AC33" s="1996"/>
      <c r="AD33" s="1996"/>
      <c r="AE33" s="1996"/>
      <c r="AF33" s="1996"/>
      <c r="AG33" s="1996"/>
      <c r="AH33" s="1996"/>
      <c r="AI33" s="1996"/>
      <c r="AJ33" s="575"/>
    </row>
    <row r="34" spans="1:38" ht="24.95" customHeight="1">
      <c r="A34" s="575"/>
      <c r="B34" s="1990">
        <v>6</v>
      </c>
      <c r="C34" s="970"/>
      <c r="D34" s="1991"/>
      <c r="E34" s="1992"/>
      <c r="F34" s="1992"/>
      <c r="G34" s="1992"/>
      <c r="H34" s="1992"/>
      <c r="I34" s="1992"/>
      <c r="J34" s="1992"/>
      <c r="K34" s="1992"/>
      <c r="L34" s="1992"/>
      <c r="M34" s="1992"/>
      <c r="N34" s="1993"/>
      <c r="O34" s="1994"/>
      <c r="P34" s="1994"/>
      <c r="Q34" s="969" t="str">
        <f t="shared" si="4"/>
        <v>○</v>
      </c>
      <c r="R34" s="970"/>
      <c r="S34" s="1995" t="str">
        <f t="shared" si="5"/>
        <v>未入力の状態です。（全ての欄を埋める必要はありません。）</v>
      </c>
      <c r="T34" s="1996"/>
      <c r="U34" s="1996"/>
      <c r="V34" s="1996"/>
      <c r="W34" s="1996"/>
      <c r="X34" s="1996"/>
      <c r="Y34" s="1996"/>
      <c r="Z34" s="1996"/>
      <c r="AA34" s="1996"/>
      <c r="AB34" s="1996"/>
      <c r="AC34" s="1996"/>
      <c r="AD34" s="1996"/>
      <c r="AE34" s="1996"/>
      <c r="AF34" s="1996"/>
      <c r="AG34" s="1996"/>
      <c r="AH34" s="1996"/>
      <c r="AI34" s="1996"/>
      <c r="AJ34" s="575"/>
    </row>
    <row r="35" spans="1:38" ht="24.95" customHeight="1">
      <c r="B35" s="1990">
        <v>7</v>
      </c>
      <c r="C35" s="970"/>
      <c r="D35" s="1991"/>
      <c r="E35" s="1992"/>
      <c r="F35" s="1992"/>
      <c r="G35" s="1992"/>
      <c r="H35" s="1992"/>
      <c r="I35" s="1992"/>
      <c r="J35" s="1992"/>
      <c r="K35" s="1992"/>
      <c r="L35" s="1992"/>
      <c r="M35" s="1992"/>
      <c r="N35" s="1993"/>
      <c r="O35" s="1994"/>
      <c r="P35" s="1994"/>
      <c r="Q35" s="969" t="str">
        <f t="shared" si="4"/>
        <v>○</v>
      </c>
      <c r="R35" s="970"/>
      <c r="S35" s="1995" t="str">
        <f t="shared" si="5"/>
        <v>未入力の状態です。（全ての欄を埋める必要はありません。）</v>
      </c>
      <c r="T35" s="1996"/>
      <c r="U35" s="1996"/>
      <c r="V35" s="1996"/>
      <c r="W35" s="1996"/>
      <c r="X35" s="1996"/>
      <c r="Y35" s="1996"/>
      <c r="Z35" s="1996"/>
      <c r="AA35" s="1996"/>
      <c r="AB35" s="1996"/>
      <c r="AC35" s="1996"/>
      <c r="AD35" s="1996"/>
      <c r="AE35" s="1996"/>
      <c r="AF35" s="1996"/>
      <c r="AG35" s="1996"/>
      <c r="AH35" s="1996"/>
      <c r="AI35" s="1996"/>
    </row>
    <row r="36" spans="1:38" ht="24.95" customHeight="1">
      <c r="B36" s="1990">
        <v>8</v>
      </c>
      <c r="C36" s="970"/>
      <c r="D36" s="1991"/>
      <c r="E36" s="1992"/>
      <c r="F36" s="1992"/>
      <c r="G36" s="1992"/>
      <c r="H36" s="1992"/>
      <c r="I36" s="1992"/>
      <c r="J36" s="1992"/>
      <c r="K36" s="1992"/>
      <c r="L36" s="1992"/>
      <c r="M36" s="1992"/>
      <c r="N36" s="1993"/>
      <c r="O36" s="1994"/>
      <c r="P36" s="1994"/>
      <c r="Q36" s="969" t="str">
        <f t="shared" si="4"/>
        <v>○</v>
      </c>
      <c r="R36" s="970"/>
      <c r="S36" s="1995" t="str">
        <f t="shared" si="5"/>
        <v>未入力の状態です。（全ての欄を埋める必要はありません。）</v>
      </c>
      <c r="T36" s="1996"/>
      <c r="U36" s="1996"/>
      <c r="V36" s="1996"/>
      <c r="W36" s="1996"/>
      <c r="X36" s="1996"/>
      <c r="Y36" s="1996"/>
      <c r="Z36" s="1996"/>
      <c r="AA36" s="1996"/>
      <c r="AB36" s="1996"/>
      <c r="AC36" s="1996"/>
      <c r="AD36" s="1996"/>
      <c r="AE36" s="1996"/>
      <c r="AF36" s="1996"/>
      <c r="AG36" s="1996"/>
      <c r="AH36" s="1996"/>
      <c r="AI36" s="1996"/>
    </row>
    <row r="37" spans="1:38" ht="24.95" customHeight="1">
      <c r="B37" s="1990">
        <v>9</v>
      </c>
      <c r="C37" s="970"/>
      <c r="D37" s="1991"/>
      <c r="E37" s="1992"/>
      <c r="F37" s="1992"/>
      <c r="G37" s="1992"/>
      <c r="H37" s="1992"/>
      <c r="I37" s="1992"/>
      <c r="J37" s="1992"/>
      <c r="K37" s="1992"/>
      <c r="L37" s="1992"/>
      <c r="M37" s="1992"/>
      <c r="N37" s="1993"/>
      <c r="O37" s="1994"/>
      <c r="P37" s="1994"/>
      <c r="Q37" s="969" t="str">
        <f t="shared" si="4"/>
        <v>○</v>
      </c>
      <c r="R37" s="970"/>
      <c r="S37" s="1995" t="str">
        <f t="shared" si="5"/>
        <v>未入力の状態です。（全ての欄を埋める必要はありません。）</v>
      </c>
      <c r="T37" s="1996"/>
      <c r="U37" s="1996"/>
      <c r="V37" s="1996"/>
      <c r="W37" s="1996"/>
      <c r="X37" s="1996"/>
      <c r="Y37" s="1996"/>
      <c r="Z37" s="1996"/>
      <c r="AA37" s="1996"/>
      <c r="AB37" s="1996"/>
      <c r="AC37" s="1996"/>
      <c r="AD37" s="1996"/>
      <c r="AE37" s="1996"/>
      <c r="AF37" s="1996"/>
      <c r="AG37" s="1996"/>
      <c r="AH37" s="1996"/>
      <c r="AI37" s="1996"/>
    </row>
    <row r="38" spans="1:38" ht="24.95" customHeight="1">
      <c r="B38" s="1990">
        <v>10</v>
      </c>
      <c r="C38" s="970"/>
      <c r="D38" s="1991"/>
      <c r="E38" s="1992"/>
      <c r="F38" s="1992"/>
      <c r="G38" s="1992"/>
      <c r="H38" s="1992"/>
      <c r="I38" s="1992"/>
      <c r="J38" s="1992"/>
      <c r="K38" s="1992"/>
      <c r="L38" s="1992"/>
      <c r="M38" s="1992"/>
      <c r="N38" s="1993"/>
      <c r="O38" s="1994"/>
      <c r="P38" s="1994"/>
      <c r="Q38" s="969" t="str">
        <f t="shared" si="4"/>
        <v>○</v>
      </c>
      <c r="R38" s="970"/>
      <c r="S38" s="1995" t="str">
        <f t="shared" si="5"/>
        <v>未入力の状態です。（全ての欄を埋める必要はありません。）</v>
      </c>
      <c r="T38" s="1996"/>
      <c r="U38" s="1996"/>
      <c r="V38" s="1996"/>
      <c r="W38" s="1996"/>
      <c r="X38" s="1996"/>
      <c r="Y38" s="1996"/>
      <c r="Z38" s="1996"/>
      <c r="AA38" s="1996"/>
      <c r="AB38" s="1996"/>
      <c r="AC38" s="1996"/>
      <c r="AD38" s="1996"/>
      <c r="AE38" s="1996"/>
      <c r="AF38" s="1996"/>
      <c r="AG38" s="1996"/>
      <c r="AH38" s="1996"/>
      <c r="AI38" s="1996"/>
    </row>
    <row r="39" spans="1:38" ht="24.95" customHeight="1"/>
    <row r="40" spans="1:38" ht="24.95" customHeight="1">
      <c r="B40" s="2001" t="str">
        <f>"上記の "&amp;SUM(N29:P38)&amp;"箇所 を消毒する際の１回あたり所要時間"</f>
        <v>上記の 0箇所 を消毒する際の１回あたり所要時間</v>
      </c>
      <c r="C40" s="962"/>
      <c r="D40" s="962"/>
      <c r="E40" s="962"/>
      <c r="F40" s="962"/>
      <c r="G40" s="962"/>
      <c r="H40" s="962"/>
      <c r="I40" s="962"/>
      <c r="J40" s="962"/>
      <c r="K40" s="962"/>
      <c r="L40" s="962"/>
      <c r="M40" s="962"/>
      <c r="N40" s="962"/>
      <c r="O40" s="962"/>
      <c r="P40" s="575"/>
      <c r="Q40" s="969" t="s">
        <v>415</v>
      </c>
      <c r="R40" s="970"/>
      <c r="S40" s="1990" t="s">
        <v>417</v>
      </c>
      <c r="T40" s="970"/>
      <c r="U40" s="970"/>
      <c r="V40" s="970"/>
      <c r="W40" s="970"/>
      <c r="X40" s="970"/>
      <c r="Y40" s="970"/>
      <c r="Z40" s="970"/>
      <c r="AA40" s="970"/>
      <c r="AB40" s="970"/>
      <c r="AC40" s="970"/>
      <c r="AD40" s="970"/>
      <c r="AE40" s="970"/>
      <c r="AF40" s="970"/>
      <c r="AG40" s="970"/>
      <c r="AH40" s="970"/>
      <c r="AI40" s="970"/>
    </row>
    <row r="41" spans="1:38" ht="24.95" customHeight="1">
      <c r="B41" s="2002" t="s">
        <v>1370</v>
      </c>
      <c r="C41" s="1746"/>
      <c r="D41" s="2003"/>
      <c r="E41" s="2004"/>
      <c r="F41" s="2004"/>
      <c r="G41" s="2004"/>
      <c r="H41" s="2005" t="s">
        <v>1371</v>
      </c>
      <c r="I41" s="1746"/>
      <c r="J41" s="1746"/>
      <c r="K41" s="1746"/>
      <c r="L41" s="1746"/>
      <c r="M41" s="1746"/>
      <c r="N41" s="1746"/>
      <c r="O41" s="1746"/>
      <c r="P41" s="1746"/>
      <c r="Q41" s="2007" t="str">
        <f xml:space="preserve">
IF(COUNTA(D41)=0,"×",
IF(COUNTA(D41)=1,"◎"))</f>
        <v>×</v>
      </c>
      <c r="R41" s="2008"/>
      <c r="S41" s="2009" t="str">
        <f xml:space="preserve">
IF(COUNTA(D41)=0,"【要修正】未入力の状態です。",
IF(COUNTA(D41)=1,"適切に入力がされました。"))</f>
        <v>【要修正】未入力の状態です。</v>
      </c>
      <c r="T41" s="2010"/>
      <c r="U41" s="2010"/>
      <c r="V41" s="2010"/>
      <c r="W41" s="2010"/>
      <c r="X41" s="2010"/>
      <c r="Y41" s="2010"/>
      <c r="Z41" s="2010"/>
      <c r="AA41" s="2010"/>
      <c r="AB41" s="2010"/>
      <c r="AC41" s="2010"/>
      <c r="AD41" s="2010"/>
      <c r="AE41" s="2010"/>
      <c r="AF41" s="2010"/>
      <c r="AG41" s="2010"/>
      <c r="AH41" s="2010"/>
      <c r="AI41" s="2010"/>
    </row>
    <row r="42" spans="1:38" ht="24.95" customHeight="1">
      <c r="B42" s="1746"/>
      <c r="C42" s="1746"/>
      <c r="D42" s="2004"/>
      <c r="E42" s="2004"/>
      <c r="F42" s="2004"/>
      <c r="G42" s="2004"/>
      <c r="H42" s="2006"/>
      <c r="I42" s="1746"/>
      <c r="J42" s="1746"/>
      <c r="K42" s="1746"/>
      <c r="L42" s="1746"/>
      <c r="M42" s="1746"/>
      <c r="N42" s="1746"/>
      <c r="O42" s="1746"/>
      <c r="P42" s="1746"/>
      <c r="Q42" s="1692"/>
      <c r="R42" s="1692"/>
      <c r="S42" s="1692"/>
      <c r="T42" s="1692"/>
      <c r="U42" s="1692"/>
      <c r="V42" s="1692"/>
      <c r="W42" s="1692"/>
      <c r="X42" s="1692"/>
      <c r="Y42" s="1692"/>
      <c r="Z42" s="1692"/>
      <c r="AA42" s="1692"/>
      <c r="AB42" s="1692"/>
      <c r="AC42" s="1692"/>
      <c r="AD42" s="1692"/>
      <c r="AE42" s="1692"/>
      <c r="AF42" s="1692"/>
      <c r="AG42" s="1692"/>
      <c r="AH42" s="1692"/>
      <c r="AI42" s="1692"/>
    </row>
    <row r="44" spans="1:38" ht="30" customHeight="1">
      <c r="A44" s="1964" t="s">
        <v>1372</v>
      </c>
      <c r="B44" s="1965"/>
      <c r="C44" s="1965"/>
      <c r="D44" s="1965"/>
      <c r="E44" s="1965"/>
      <c r="F44" s="1965"/>
      <c r="G44" s="1965"/>
      <c r="H44" s="1965"/>
      <c r="I44" s="1965"/>
      <c r="J44" s="1965"/>
      <c r="K44" s="1965"/>
      <c r="L44" s="1965"/>
      <c r="M44" s="1965"/>
      <c r="N44" s="1965"/>
      <c r="O44" s="1965"/>
      <c r="P44" s="1965"/>
      <c r="Q44" s="1965"/>
      <c r="R44" s="1965"/>
      <c r="S44" s="1965"/>
      <c r="T44" s="1965"/>
      <c r="U44" s="1965"/>
      <c r="V44" s="1965"/>
      <c r="W44" s="1965"/>
      <c r="X44" s="1965"/>
      <c r="Y44" s="1965"/>
      <c r="Z44" s="1965"/>
      <c r="AA44" s="1965"/>
      <c r="AB44" s="1965"/>
      <c r="AC44" s="1965"/>
      <c r="AD44" s="1965"/>
      <c r="AE44" s="1965"/>
      <c r="AF44" s="1965"/>
      <c r="AG44" s="1965"/>
      <c r="AH44" s="1965"/>
      <c r="AI44" s="1965"/>
      <c r="AJ44" s="1965"/>
    </row>
    <row r="45" spans="1:38">
      <c r="AK45" s="572">
        <v>1</v>
      </c>
      <c r="AL45" s="572" t="str">
        <f>AK7</f>
        <v>×</v>
      </c>
    </row>
    <row r="46" spans="1:38" ht="18.75">
      <c r="B46" s="1997" t="s">
        <v>1345</v>
      </c>
      <c r="C46" s="1998"/>
      <c r="D46" s="1998"/>
      <c r="E46" s="1998"/>
      <c r="H46" s="1997" t="s">
        <v>1373</v>
      </c>
      <c r="I46" s="1998"/>
      <c r="J46" s="1998"/>
      <c r="K46" s="1998"/>
      <c r="N46" s="1997"/>
      <c r="O46" s="1998"/>
      <c r="P46" s="1998"/>
      <c r="Q46" s="1998"/>
      <c r="T46" s="1997" t="s">
        <v>1374</v>
      </c>
      <c r="U46" s="1998"/>
      <c r="V46" s="1998"/>
      <c r="W46" s="1998"/>
      <c r="X46" s="1998"/>
      <c r="AA46" s="1999" t="s">
        <v>1375</v>
      </c>
      <c r="AB46" s="2000"/>
      <c r="AC46" s="2000"/>
      <c r="AD46" s="2000"/>
      <c r="AE46" s="2000"/>
      <c r="AK46" s="572">
        <v>2</v>
      </c>
      <c r="AL46" s="572" t="str">
        <f>AK27</f>
        <v>×</v>
      </c>
    </row>
    <row r="47" spans="1:38" ht="18" customHeight="1">
      <c r="B47" s="2018">
        <f>IF(AL45="◎",X11,0)</f>
        <v>0</v>
      </c>
      <c r="C47" s="959"/>
      <c r="D47" s="959"/>
      <c r="E47" s="960"/>
      <c r="F47" s="2017" t="s">
        <v>1376</v>
      </c>
      <c r="G47" s="1746"/>
      <c r="H47" s="2026">
        <f>IF(AL46="◎",D41,0)</f>
        <v>0</v>
      </c>
      <c r="I47" s="2027"/>
      <c r="J47" s="2027"/>
      <c r="K47" s="2028"/>
      <c r="L47" s="2017" t="s">
        <v>1377</v>
      </c>
      <c r="M47" s="1746"/>
      <c r="N47" s="2026">
        <v>60</v>
      </c>
      <c r="O47" s="2027"/>
      <c r="P47" s="2027"/>
      <c r="Q47" s="2028"/>
      <c r="R47" s="2017" t="s">
        <v>1376</v>
      </c>
      <c r="S47" s="1746"/>
      <c r="T47" s="2011"/>
      <c r="U47" s="2012"/>
      <c r="V47" s="2012"/>
      <c r="W47" s="2012"/>
      <c r="X47" s="2013"/>
      <c r="Y47" s="2017" t="s">
        <v>1378</v>
      </c>
      <c r="Z47" s="1746"/>
      <c r="AA47" s="2018">
        <f>IF(COUNTIF(AL45:AL46,"◎")=2,ROUNDDOWN(B47*H47/N47*T47,0),0)</f>
        <v>0</v>
      </c>
      <c r="AB47" s="2019"/>
      <c r="AC47" s="2019"/>
      <c r="AD47" s="2019"/>
      <c r="AE47" s="2020"/>
      <c r="AK47" s="577" t="s">
        <v>1379</v>
      </c>
      <c r="AL47" s="572" t="str">
        <f>IF(はじめに入力してください!P26="総合判定"&amp;CHAR(10)&amp;"【○】","◎","×")</f>
        <v>×</v>
      </c>
    </row>
    <row r="48" spans="1:38" ht="18" customHeight="1">
      <c r="B48" s="2024"/>
      <c r="C48" s="2025"/>
      <c r="D48" s="2025"/>
      <c r="E48" s="1911"/>
      <c r="F48" s="1746"/>
      <c r="G48" s="1746"/>
      <c r="H48" s="2029"/>
      <c r="I48" s="2030"/>
      <c r="J48" s="2030"/>
      <c r="K48" s="2031"/>
      <c r="L48" s="1746"/>
      <c r="M48" s="1746"/>
      <c r="N48" s="2029"/>
      <c r="O48" s="2030"/>
      <c r="P48" s="2030"/>
      <c r="Q48" s="2031"/>
      <c r="R48" s="1746"/>
      <c r="S48" s="1746"/>
      <c r="T48" s="2014"/>
      <c r="U48" s="2015"/>
      <c r="V48" s="2015"/>
      <c r="W48" s="2015"/>
      <c r="X48" s="2016"/>
      <c r="Y48" s="1746"/>
      <c r="Z48" s="1746"/>
      <c r="AA48" s="2021"/>
      <c r="AB48" s="2022"/>
      <c r="AC48" s="2022"/>
      <c r="AD48" s="2022"/>
      <c r="AE48" s="2023"/>
    </row>
    <row r="50" spans="1:35" ht="18.75">
      <c r="T50" s="1999" t="str">
        <f>"《参考》延べ入院患者数："&amp;IF(AL47="◎",TEXT(消毒経費!C6,"#,###人"),"基礎情報シートが入力不十分")</f>
        <v>《参考》延べ入院患者数：基礎情報シートが入力不十分</v>
      </c>
      <c r="U50" s="2000"/>
      <c r="V50" s="2000"/>
      <c r="W50" s="2000"/>
      <c r="X50" s="2000"/>
      <c r="Y50" s="2000"/>
      <c r="Z50" s="2000"/>
      <c r="AA50" s="2000"/>
      <c r="AB50" s="2000"/>
      <c r="AC50" s="2000"/>
      <c r="AD50" s="2000"/>
      <c r="AE50" s="2000"/>
      <c r="AF50" s="2000"/>
      <c r="AG50" s="2000"/>
      <c r="AH50" s="2000"/>
      <c r="AI50" s="2000"/>
    </row>
    <row r="56" spans="1:35">
      <c r="A56" s="572" t="s">
        <v>1354</v>
      </c>
    </row>
    <row r="57" spans="1:35">
      <c r="A57" s="572" t="s">
        <v>1328</v>
      </c>
    </row>
  </sheetData>
  <sheetProtection algorithmName="SHA-512" hashValue="3FhcqWh5slQwzBGj38To4FyEW8S6HkTgWDBQQMONakC4d04bSwCdUnh3ZdiL/O1zFIKqp5ODH8X1TpkzhPKbZA==" saltValue="wUaGmKPwXxnWNonF8bTJUw==" spinCount="100000" sheet="1" objects="1" scenarios="1"/>
  <mergeCells count="217">
    <mergeCell ref="T47:X48"/>
    <mergeCell ref="Y47:Z48"/>
    <mergeCell ref="AA47:AE48"/>
    <mergeCell ref="T50:AI50"/>
    <mergeCell ref="B47:E48"/>
    <mergeCell ref="F47:G48"/>
    <mergeCell ref="H47:K48"/>
    <mergeCell ref="L47:M48"/>
    <mergeCell ref="N47:Q48"/>
    <mergeCell ref="R47:S48"/>
    <mergeCell ref="A44:AJ44"/>
    <mergeCell ref="B46:E46"/>
    <mergeCell ref="H46:K46"/>
    <mergeCell ref="N46:Q46"/>
    <mergeCell ref="T46:X46"/>
    <mergeCell ref="AA46:AE46"/>
    <mergeCell ref="B40:O40"/>
    <mergeCell ref="Q40:R40"/>
    <mergeCell ref="S40:AI40"/>
    <mergeCell ref="B41:C42"/>
    <mergeCell ref="D41:G42"/>
    <mergeCell ref="H41:P42"/>
    <mergeCell ref="Q41:R42"/>
    <mergeCell ref="S41:AI42"/>
    <mergeCell ref="B37:C37"/>
    <mergeCell ref="D37:M37"/>
    <mergeCell ref="N37:P37"/>
    <mergeCell ref="Q37:R37"/>
    <mergeCell ref="S37:AI37"/>
    <mergeCell ref="B38:C38"/>
    <mergeCell ref="D38:M38"/>
    <mergeCell ref="N38:P38"/>
    <mergeCell ref="Q38:R38"/>
    <mergeCell ref="S38:AI38"/>
    <mergeCell ref="B35:C35"/>
    <mergeCell ref="D35:M35"/>
    <mergeCell ref="N35:P35"/>
    <mergeCell ref="Q35:R35"/>
    <mergeCell ref="S35:AI35"/>
    <mergeCell ref="B36:C36"/>
    <mergeCell ref="D36:M36"/>
    <mergeCell ref="N36:P36"/>
    <mergeCell ref="Q36:R36"/>
    <mergeCell ref="S36:AI36"/>
    <mergeCell ref="B33:C33"/>
    <mergeCell ref="D33:M33"/>
    <mergeCell ref="N33:P33"/>
    <mergeCell ref="Q33:R33"/>
    <mergeCell ref="S33:AI33"/>
    <mergeCell ref="B34:C34"/>
    <mergeCell ref="D34:M34"/>
    <mergeCell ref="N34:P34"/>
    <mergeCell ref="Q34:R34"/>
    <mergeCell ref="S34:AI34"/>
    <mergeCell ref="B31:C31"/>
    <mergeCell ref="D31:M31"/>
    <mergeCell ref="N31:P31"/>
    <mergeCell ref="Q31:R31"/>
    <mergeCell ref="S31:AI31"/>
    <mergeCell ref="B32:C32"/>
    <mergeCell ref="D32:M32"/>
    <mergeCell ref="N32:P32"/>
    <mergeCell ref="Q32:R32"/>
    <mergeCell ref="S32:AI32"/>
    <mergeCell ref="B29:C29"/>
    <mergeCell ref="D29:M29"/>
    <mergeCell ref="N29:P29"/>
    <mergeCell ref="Q29:R29"/>
    <mergeCell ref="S29:AI29"/>
    <mergeCell ref="B30:C30"/>
    <mergeCell ref="D30:M30"/>
    <mergeCell ref="N30:P30"/>
    <mergeCell ref="Q30:R30"/>
    <mergeCell ref="S30:AI30"/>
    <mergeCell ref="A27:AJ27"/>
    <mergeCell ref="B28:C28"/>
    <mergeCell ref="D28:M28"/>
    <mergeCell ref="N28:P28"/>
    <mergeCell ref="Q28:R28"/>
    <mergeCell ref="S28:AI28"/>
    <mergeCell ref="AB24:AC24"/>
    <mergeCell ref="AD24:AI24"/>
    <mergeCell ref="B25:D25"/>
    <mergeCell ref="E25:G25"/>
    <mergeCell ref="H25:K25"/>
    <mergeCell ref="L25:O25"/>
    <mergeCell ref="P25:S25"/>
    <mergeCell ref="T25:W25"/>
    <mergeCell ref="AB25:AC25"/>
    <mergeCell ref="AD25:AI25"/>
    <mergeCell ref="B24:D24"/>
    <mergeCell ref="E24:G24"/>
    <mergeCell ref="H24:K24"/>
    <mergeCell ref="L24:O24"/>
    <mergeCell ref="P24:S24"/>
    <mergeCell ref="T24:W24"/>
    <mergeCell ref="AB22:AC22"/>
    <mergeCell ref="AD22:AI22"/>
    <mergeCell ref="B23:D23"/>
    <mergeCell ref="E23:G23"/>
    <mergeCell ref="H23:K23"/>
    <mergeCell ref="L23:O23"/>
    <mergeCell ref="P23:S23"/>
    <mergeCell ref="T23:W23"/>
    <mergeCell ref="AB23:AC23"/>
    <mergeCell ref="AD23:AI23"/>
    <mergeCell ref="B22:D22"/>
    <mergeCell ref="E22:G22"/>
    <mergeCell ref="H22:K22"/>
    <mergeCell ref="L22:O22"/>
    <mergeCell ref="P22:S22"/>
    <mergeCell ref="T22:W22"/>
    <mergeCell ref="AB20:AC20"/>
    <mergeCell ref="AD20:AI20"/>
    <mergeCell ref="B21:D21"/>
    <mergeCell ref="E21:G21"/>
    <mergeCell ref="H21:K21"/>
    <mergeCell ref="L21:O21"/>
    <mergeCell ref="P21:S21"/>
    <mergeCell ref="T21:W21"/>
    <mergeCell ref="AB21:AC21"/>
    <mergeCell ref="AD21:AI21"/>
    <mergeCell ref="B20:D20"/>
    <mergeCell ref="E20:G20"/>
    <mergeCell ref="H20:K20"/>
    <mergeCell ref="L20:O20"/>
    <mergeCell ref="P20:S20"/>
    <mergeCell ref="T20:W20"/>
    <mergeCell ref="AB18:AC18"/>
    <mergeCell ref="AD18:AI18"/>
    <mergeCell ref="B19:D19"/>
    <mergeCell ref="E19:G19"/>
    <mergeCell ref="H19:K19"/>
    <mergeCell ref="L19:O19"/>
    <mergeCell ref="P19:S19"/>
    <mergeCell ref="T19:W19"/>
    <mergeCell ref="AB19:AC19"/>
    <mergeCell ref="AD19:AI19"/>
    <mergeCell ref="B18:D18"/>
    <mergeCell ref="E18:G18"/>
    <mergeCell ref="H18:K18"/>
    <mergeCell ref="L18:O18"/>
    <mergeCell ref="P18:S18"/>
    <mergeCell ref="T18:W18"/>
    <mergeCell ref="AB16:AC16"/>
    <mergeCell ref="AD16:AI16"/>
    <mergeCell ref="B17:D17"/>
    <mergeCell ref="E17:G17"/>
    <mergeCell ref="H17:K17"/>
    <mergeCell ref="L17:O17"/>
    <mergeCell ref="P17:S17"/>
    <mergeCell ref="T17:W17"/>
    <mergeCell ref="AB17:AC17"/>
    <mergeCell ref="AD17:AI17"/>
    <mergeCell ref="B16:D16"/>
    <mergeCell ref="E16:G16"/>
    <mergeCell ref="H16:K16"/>
    <mergeCell ref="L16:O16"/>
    <mergeCell ref="P16:S16"/>
    <mergeCell ref="T16:W16"/>
    <mergeCell ref="AB14:AC14"/>
    <mergeCell ref="AD14:AI14"/>
    <mergeCell ref="B15:D15"/>
    <mergeCell ref="E15:G15"/>
    <mergeCell ref="H15:K15"/>
    <mergeCell ref="L15:O15"/>
    <mergeCell ref="P15:S15"/>
    <mergeCell ref="T15:W15"/>
    <mergeCell ref="AB15:AC15"/>
    <mergeCell ref="AD15:AI15"/>
    <mergeCell ref="B14:D14"/>
    <mergeCell ref="E14:G14"/>
    <mergeCell ref="H14:K14"/>
    <mergeCell ref="L14:O14"/>
    <mergeCell ref="P14:S14"/>
    <mergeCell ref="T14:W14"/>
    <mergeCell ref="AD12:AI12"/>
    <mergeCell ref="B13:D13"/>
    <mergeCell ref="E13:G13"/>
    <mergeCell ref="H13:K13"/>
    <mergeCell ref="L13:O13"/>
    <mergeCell ref="P13:S13"/>
    <mergeCell ref="T13:W13"/>
    <mergeCell ref="AB13:AC13"/>
    <mergeCell ref="AD13:AI13"/>
    <mergeCell ref="X11:AA25"/>
    <mergeCell ref="AB11:AC11"/>
    <mergeCell ref="AD11:AI11"/>
    <mergeCell ref="B12:D12"/>
    <mergeCell ref="E12:G12"/>
    <mergeCell ref="H12:K12"/>
    <mergeCell ref="L12:O12"/>
    <mergeCell ref="P12:S12"/>
    <mergeCell ref="T12:W12"/>
    <mergeCell ref="AB12:AC12"/>
    <mergeCell ref="B11:D11"/>
    <mergeCell ref="E11:G11"/>
    <mergeCell ref="H11:K11"/>
    <mergeCell ref="L11:O11"/>
    <mergeCell ref="P11:S11"/>
    <mergeCell ref="T11:W11"/>
    <mergeCell ref="H9:S9"/>
    <mergeCell ref="T9:W9"/>
    <mergeCell ref="H10:K10"/>
    <mergeCell ref="L10:O10"/>
    <mergeCell ref="P10:S10"/>
    <mergeCell ref="T10:W10"/>
    <mergeCell ref="A2:AJ2"/>
    <mergeCell ref="A3:AJ4"/>
    <mergeCell ref="B5:AI6"/>
    <mergeCell ref="A7:AJ7"/>
    <mergeCell ref="B8:D10"/>
    <mergeCell ref="E8:G10"/>
    <mergeCell ref="H8:W8"/>
    <mergeCell ref="X8:AA10"/>
    <mergeCell ref="AB8:AC10"/>
    <mergeCell ref="AD8:AI10"/>
  </mergeCells>
  <phoneticPr fontId="9"/>
  <conditionalFormatting sqref="S29:AI38 S41:AI42">
    <cfRule type="containsText" dxfId="95" priority="4" operator="containsText" text="要修正">
      <formula>NOT(ISERROR(SEARCH("要修正",S29)))</formula>
    </cfRule>
  </conditionalFormatting>
  <conditionalFormatting sqref="AD11:AI25">
    <cfRule type="containsText" dxfId="94" priority="3" operator="containsText" text="要修正">
      <formula>NOT(ISERROR(SEARCH("要修正",AD11)))</formula>
    </cfRule>
  </conditionalFormatting>
  <conditionalFormatting sqref="A7:AJ7 A27:AJ27 S29:AI38 S41:AI42 A44:AJ44">
    <cfRule type="containsText" dxfId="93" priority="2" operator="containsText" text="要修正">
      <formula>NOT(ISERROR(SEARCH("要修正",A7)))</formula>
    </cfRule>
  </conditionalFormatting>
  <conditionalFormatting sqref="Q29:R38 Q41:R42 AB11:AC25">
    <cfRule type="containsText" dxfId="92" priority="1" operator="containsText" text="×">
      <formula>NOT(ISERROR(SEARCH("×",Q11)))</formula>
    </cfRule>
  </conditionalFormatting>
  <dataValidations count="1">
    <dataValidation type="list" allowBlank="1" showInputMessage="1" showErrorMessage="1" sqref="E11:G25" xr:uid="{C0217689-363C-4090-BFFF-B49351E2FE30}">
      <formula1>$A$56:$A$57</formula1>
    </dataValidation>
  </dataValidations>
  <pageMargins left="0.7" right="0.7" top="0.75" bottom="0.75" header="0.3" footer="0.3"/>
  <pageSetup paperSize="9" scale="61" orientation="portrait" r:id="rId1"/>
  <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99F92C-F838-4B18-ABFD-FCA306EB7BDF}">
  <sheetPr>
    <tabColor rgb="FFFFC000"/>
    <pageSetUpPr fitToPage="1"/>
  </sheetPr>
  <dimension ref="B1:BK74"/>
  <sheetViews>
    <sheetView showGridLines="0" view="pageBreakPreview" zoomScale="40" zoomScaleNormal="100" zoomScaleSheetLayoutView="40" workbookViewId="0">
      <selection activeCell="B59" activeCellId="12" sqref="J13:AK14 D17:E17 G17:H17 J17:K17 B21:AA25 D39:E39 G39:H39 J39:K39 B43:V46 D55:E55 G55:H55 J55:K55 B59:V62"/>
    </sheetView>
  </sheetViews>
  <sheetFormatPr defaultColWidth="8.625" defaultRowHeight="24"/>
  <cols>
    <col min="1" max="1" width="5.625" style="746" customWidth="1"/>
    <col min="2" max="37" width="3.625" style="746" customWidth="1"/>
    <col min="38" max="38" width="5.625" style="746" customWidth="1"/>
    <col min="39" max="57" width="10.625" style="746" customWidth="1"/>
    <col min="58" max="59" width="8.625" style="746"/>
    <col min="60" max="60" width="100.625" style="743" customWidth="1"/>
    <col min="61" max="16384" width="8.625" style="746"/>
  </cols>
  <sheetData>
    <row r="1" spans="2:63" s="742" customFormat="1" ht="20.100000000000001" customHeight="1">
      <c r="AB1" s="2123" t="str">
        <f xml:space="preserve">
IF(表紙!$X$2="事前協議","（10月１日～３月31日分）",
IF(表紙!$X$2="交付申請（２次）","（10月１日～３月31日分）",
IF(表紙!$X$2="変更申請","（10月１日～３月31日分）",
IF(表紙!$X$2="実績報告（１次）","（５月８日～10月31日分）",
IF(表紙!$X$2="実績報告（２次）","（10月１日～３月31日分）",
IF(表紙!$X$2="交付申請兼実績報告","（10月１日～３月31日分）"))))))</f>
        <v>（10月１日～３月31日分）</v>
      </c>
      <c r="AC1" s="2124"/>
      <c r="AD1" s="2124"/>
      <c r="AE1" s="2124"/>
      <c r="AF1" s="2124"/>
      <c r="AG1" s="2124"/>
      <c r="AH1" s="2124"/>
      <c r="AI1" s="2124"/>
      <c r="AJ1" s="2124"/>
      <c r="AK1" s="2124"/>
      <c r="AL1" s="746"/>
      <c r="AM1" s="746"/>
      <c r="AN1" s="746"/>
      <c r="AO1" s="746"/>
      <c r="BH1" s="542"/>
    </row>
    <row r="2" spans="2:63">
      <c r="B2" s="2125" t="s">
        <v>1145</v>
      </c>
      <c r="C2" s="2126"/>
      <c r="D2" s="2126"/>
      <c r="E2" s="2126"/>
      <c r="F2" s="2126"/>
      <c r="G2" s="2126"/>
      <c r="H2" s="2126"/>
      <c r="I2" s="2126"/>
      <c r="J2" s="2126"/>
      <c r="K2" s="2126"/>
      <c r="L2" s="2126"/>
      <c r="M2" s="2126"/>
      <c r="N2" s="2126"/>
      <c r="O2" s="2126"/>
      <c r="P2" s="2126"/>
      <c r="Q2" s="2126"/>
      <c r="R2" s="2126"/>
      <c r="S2" s="2126"/>
      <c r="T2" s="543"/>
      <c r="U2" s="543"/>
      <c r="V2" s="543"/>
      <c r="W2" s="2117" t="s">
        <v>1146</v>
      </c>
      <c r="X2" s="1528"/>
      <c r="Y2" s="1528"/>
      <c r="Z2" s="1528"/>
      <c r="AA2" s="1528"/>
      <c r="AB2" s="1528"/>
      <c r="AC2" s="1528"/>
      <c r="AD2" s="1528"/>
      <c r="AE2" s="2070" t="s">
        <v>1147</v>
      </c>
      <c r="AF2" s="2071"/>
      <c r="AG2" s="2120">
        <f>AG31</f>
        <v>0</v>
      </c>
      <c r="AH2" s="1528"/>
      <c r="AI2" s="1528"/>
      <c r="AJ2" s="1528"/>
      <c r="AK2" s="1528"/>
      <c r="BF2" s="741" t="s">
        <v>489</v>
      </c>
      <c r="BG2" s="741" t="s">
        <v>100</v>
      </c>
      <c r="BH2" s="739" t="s">
        <v>61</v>
      </c>
      <c r="BI2" s="621" t="s">
        <v>1400</v>
      </c>
      <c r="BJ2" s="621" t="s">
        <v>1401</v>
      </c>
      <c r="BK2" s="621" t="s">
        <v>1402</v>
      </c>
    </row>
    <row r="3" spans="2:63">
      <c r="B3" s="2126"/>
      <c r="C3" s="2126"/>
      <c r="D3" s="2126"/>
      <c r="E3" s="2126"/>
      <c r="F3" s="2126"/>
      <c r="G3" s="2126"/>
      <c r="H3" s="2126"/>
      <c r="I3" s="2126"/>
      <c r="J3" s="2126"/>
      <c r="K3" s="2126"/>
      <c r="L3" s="2126"/>
      <c r="M3" s="2126"/>
      <c r="N3" s="2126"/>
      <c r="O3" s="2126"/>
      <c r="P3" s="2126"/>
      <c r="Q3" s="2126"/>
      <c r="R3" s="2126"/>
      <c r="S3" s="2126"/>
      <c r="W3" s="2117" t="s">
        <v>1132</v>
      </c>
      <c r="X3" s="1528"/>
      <c r="Y3" s="1528"/>
      <c r="Z3" s="1528"/>
      <c r="AA3" s="1528"/>
      <c r="AB3" s="1528"/>
      <c r="AC3" s="1528"/>
      <c r="AD3" s="1528"/>
      <c r="AE3" s="2118">
        <f>P47</f>
        <v>0</v>
      </c>
      <c r="AF3" s="2119"/>
      <c r="AG3" s="2120">
        <f>AG48</f>
        <v>0</v>
      </c>
      <c r="AH3" s="1528"/>
      <c r="AI3" s="1528"/>
      <c r="AJ3" s="1528"/>
      <c r="AK3" s="1528"/>
      <c r="BF3" s="2114" t="str">
        <f xml:space="preserve">
IF(COUNTIF(BG3:BG5,"○")=3,"○",
IF(COUNTIF(BG3:BG5,"×")&gt;=1,"×",
IF(AND(COUNTIF(BG3:BG5,"◎")&gt;=1,COUNTIF(BG3:BG5,"×")=0),"◎",
)))</f>
        <v>○</v>
      </c>
      <c r="BG3" s="741" t="str">
        <f xml:space="preserve">
IF(COUNTIF(BI3:BK3,"○")=3,"○",
IF(COUNTIF(BI3:BK3,"◎")=3,"◎",
"×"
))</f>
        <v>○</v>
      </c>
      <c r="BH3" s="544" t="str">
        <f>"空気清浄機："&amp;
IF(COUNTIF(BI3:BK3,"○")=3,"申請しない場合は入力不要です。",
IF(COUNTIF(BI3:BK3,"◎")=3,"適切に入力がされました。",
"【要修正】（１）、（２）または（３）に入力が不十分な箇所があります。"
))</f>
        <v>空気清浄機：申請しない場合は入力不要です。</v>
      </c>
      <c r="BI3" s="741" t="str">
        <f>BG15</f>
        <v>○</v>
      </c>
      <c r="BJ3" s="741" t="str">
        <f>BG17</f>
        <v>○</v>
      </c>
      <c r="BK3" s="741" t="str">
        <f>BG26</f>
        <v>○</v>
      </c>
    </row>
    <row r="4" spans="2:63">
      <c r="W4" s="2117" t="s">
        <v>532</v>
      </c>
      <c r="X4" s="1528"/>
      <c r="Y4" s="1528"/>
      <c r="Z4" s="1528"/>
      <c r="AA4" s="1528"/>
      <c r="AB4" s="1528"/>
      <c r="AC4" s="1528"/>
      <c r="AD4" s="1528"/>
      <c r="AE4" s="2118">
        <f>P63</f>
        <v>0</v>
      </c>
      <c r="AF4" s="2119"/>
      <c r="AG4" s="2120">
        <f>AG63</f>
        <v>0</v>
      </c>
      <c r="AH4" s="1528"/>
      <c r="AI4" s="1528"/>
      <c r="AJ4" s="1528"/>
      <c r="AK4" s="1528"/>
      <c r="BF4" s="2115"/>
      <c r="BG4" s="741" t="str">
        <f xml:space="preserve">
IF(COUNTIF(BI4:BJ4,"○")=2,"○",
IF(COUNTIF(BI4:BJ4,"◎")=2,"◎",
"×"
))</f>
        <v>○</v>
      </c>
      <c r="BH4" s="544" t="str">
        <f>"パーテーション："&amp;
IF(COUNTIF(BI4:BJ4,"○")=2,"申請しない場合は入力不要です。",
IF(COUNTIF(BI4:BJ4,"◎")=2,"適切に入力がされました。",
"【要修正】（１）または（２）に入力不十分な箇所があります。"
))</f>
        <v>パーテーション：申請しない場合は入力不要です。</v>
      </c>
      <c r="BI4" s="741" t="str">
        <f>BG39</f>
        <v>○</v>
      </c>
      <c r="BJ4" s="741" t="str">
        <f>BG47</f>
        <v>○</v>
      </c>
      <c r="BK4" s="741" t="s">
        <v>1404</v>
      </c>
    </row>
    <row r="5" spans="2:63" ht="24.95" customHeight="1">
      <c r="B5" s="2121" t="s">
        <v>1148</v>
      </c>
      <c r="C5" s="2122"/>
      <c r="D5" s="2122"/>
      <c r="E5" s="2122"/>
      <c r="F5" s="2122"/>
      <c r="G5" s="2122"/>
      <c r="H5" s="2122"/>
      <c r="I5" s="2122"/>
      <c r="J5" s="2122"/>
      <c r="K5" s="2122"/>
      <c r="L5" s="2122"/>
      <c r="M5" s="2122"/>
      <c r="N5" s="2122"/>
      <c r="O5" s="2122"/>
      <c r="P5" s="2122"/>
      <c r="Q5" s="2122"/>
      <c r="R5" s="2122"/>
      <c r="S5" s="2122"/>
      <c r="T5" s="2122"/>
      <c r="U5" s="2122"/>
      <c r="V5" s="2122"/>
      <c r="W5" s="2122"/>
      <c r="X5" s="2122"/>
      <c r="Y5" s="2122"/>
      <c r="Z5" s="2122"/>
      <c r="AA5" s="2122"/>
      <c r="AB5" s="2122"/>
      <c r="AC5" s="2122"/>
      <c r="AD5" s="2122"/>
      <c r="AE5" s="2122"/>
      <c r="AF5" s="2122"/>
      <c r="AG5" s="2122"/>
      <c r="AH5" s="2122"/>
      <c r="AI5" s="2122"/>
      <c r="AJ5" s="2122"/>
      <c r="AK5" s="2122"/>
      <c r="BF5" s="2116"/>
      <c r="BG5" s="741" t="str">
        <f xml:space="preserve">
IF(COUNTIF(BI5:BJ5,"○")=2,"○",
IF(COUNTIF(BI5:BJ5,"◎")=2,"◎",
"×"
))</f>
        <v>○</v>
      </c>
      <c r="BH5" s="544" t="str">
        <f>"簡易ベッド："&amp;
IF(COUNTIF(BI5:BJ5,"○")=2,"申請しない場合は入力不要です。",
IF(COUNTIF(BI5:BJ5,"◎")=2,"適切に入力がされました。",
"【要修正】（１）または（２）に入力不十分な箇所があります。"
))</f>
        <v>簡易ベッド：申請しない場合は入力不要です。</v>
      </c>
      <c r="BI5" s="741" t="str">
        <f>BG55</f>
        <v>○</v>
      </c>
      <c r="BJ5" s="741" t="str">
        <f>BG47</f>
        <v>○</v>
      </c>
      <c r="BK5" s="741" t="s">
        <v>1404</v>
      </c>
    </row>
    <row r="6" spans="2:63">
      <c r="B6" s="545" t="s">
        <v>1149</v>
      </c>
      <c r="C6" s="545"/>
      <c r="D6" s="545"/>
      <c r="E6" s="545"/>
      <c r="F6" s="545"/>
      <c r="G6" s="545"/>
      <c r="H6" s="545"/>
      <c r="I6" s="545"/>
      <c r="J6" s="545"/>
      <c r="K6" s="545"/>
      <c r="L6" s="545"/>
      <c r="M6" s="545"/>
      <c r="N6" s="545"/>
      <c r="O6" s="545"/>
      <c r="P6" s="545"/>
      <c r="Q6" s="545"/>
      <c r="R6" s="545"/>
      <c r="S6" s="545"/>
      <c r="T6" s="545"/>
      <c r="U6" s="545"/>
      <c r="V6" s="545"/>
      <c r="W6" s="545"/>
      <c r="X6" s="545"/>
      <c r="Y6" s="545"/>
      <c r="Z6" s="545"/>
      <c r="AA6" s="545"/>
      <c r="AB6" s="545"/>
      <c r="AC6" s="545"/>
      <c r="AD6" s="545"/>
      <c r="AE6" s="545"/>
      <c r="AF6" s="545"/>
      <c r="AG6" s="545"/>
      <c r="AH6" s="545"/>
      <c r="AI6" s="545"/>
      <c r="AJ6" s="545"/>
      <c r="AK6" s="545"/>
    </row>
    <row r="7" spans="2:63">
      <c r="B7" s="746" t="s">
        <v>1150</v>
      </c>
    </row>
    <row r="8" spans="2:63">
      <c r="B8" s="546" t="s">
        <v>1052</v>
      </c>
      <c r="C8" s="2087" t="s">
        <v>1151</v>
      </c>
      <c r="D8" s="2088"/>
      <c r="E8" s="2088"/>
      <c r="F8" s="2088"/>
      <c r="G8" s="2088"/>
      <c r="H8" s="2088"/>
      <c r="I8" s="2088"/>
      <c r="J8" s="2088"/>
      <c r="K8" s="2088"/>
      <c r="L8" s="2088"/>
      <c r="M8" s="2088"/>
      <c r="N8" s="2088"/>
      <c r="O8" s="2088"/>
      <c r="P8" s="2088"/>
      <c r="Q8" s="2088"/>
      <c r="R8" s="2088"/>
      <c r="S8" s="2088"/>
      <c r="T8" s="2088"/>
      <c r="U8" s="2088"/>
      <c r="V8" s="2088"/>
      <c r="W8" s="2088"/>
      <c r="X8" s="2088"/>
      <c r="Y8" s="2088"/>
      <c r="Z8" s="2088"/>
      <c r="AA8" s="2088"/>
      <c r="AB8" s="2088"/>
      <c r="AC8" s="2088"/>
      <c r="AD8" s="2088"/>
      <c r="AE8" s="2088"/>
      <c r="AF8" s="2088"/>
      <c r="AG8" s="2088"/>
      <c r="AH8" s="2088"/>
      <c r="AI8" s="2088"/>
      <c r="AJ8" s="2088"/>
      <c r="AK8" s="2089"/>
    </row>
    <row r="9" spans="2:63">
      <c r="B9" s="547" t="s">
        <v>1053</v>
      </c>
      <c r="C9" s="2108" t="s">
        <v>1289</v>
      </c>
      <c r="D9" s="2109"/>
      <c r="E9" s="2109"/>
      <c r="F9" s="2109"/>
      <c r="G9" s="2109"/>
      <c r="H9" s="2109"/>
      <c r="I9" s="2109"/>
      <c r="J9" s="2109"/>
      <c r="K9" s="2109"/>
      <c r="L9" s="2109"/>
      <c r="M9" s="2109"/>
      <c r="N9" s="2109"/>
      <c r="O9" s="2109"/>
      <c r="P9" s="2109"/>
      <c r="Q9" s="2109"/>
      <c r="R9" s="2109"/>
      <c r="S9" s="2109"/>
      <c r="T9" s="2109"/>
      <c r="U9" s="2109"/>
      <c r="V9" s="2109"/>
      <c r="W9" s="2109"/>
      <c r="X9" s="2109"/>
      <c r="Y9" s="2109"/>
      <c r="Z9" s="2109"/>
      <c r="AA9" s="2109"/>
      <c r="AB9" s="2109"/>
      <c r="AC9" s="2109"/>
      <c r="AD9" s="2109"/>
      <c r="AE9" s="2109"/>
      <c r="AF9" s="2109"/>
      <c r="AG9" s="2109"/>
      <c r="AH9" s="2109"/>
      <c r="AI9" s="2109"/>
      <c r="AJ9" s="2109"/>
      <c r="AK9" s="2110"/>
    </row>
    <row r="10" spans="2:63">
      <c r="B10" s="547" t="s">
        <v>1054</v>
      </c>
      <c r="C10" s="2108" t="s">
        <v>1290</v>
      </c>
      <c r="D10" s="2109"/>
      <c r="E10" s="2109"/>
      <c r="F10" s="2109"/>
      <c r="G10" s="2109"/>
      <c r="H10" s="2109"/>
      <c r="I10" s="2109"/>
      <c r="J10" s="2109"/>
      <c r="K10" s="2109"/>
      <c r="L10" s="2109"/>
      <c r="M10" s="2109"/>
      <c r="N10" s="2109"/>
      <c r="O10" s="2109"/>
      <c r="P10" s="2109"/>
      <c r="Q10" s="2109"/>
      <c r="R10" s="2109"/>
      <c r="S10" s="2109"/>
      <c r="T10" s="2109"/>
      <c r="U10" s="2109"/>
      <c r="V10" s="2109"/>
      <c r="W10" s="2109"/>
      <c r="X10" s="2109"/>
      <c r="Y10" s="2109"/>
      <c r="Z10" s="2109"/>
      <c r="AA10" s="2109"/>
      <c r="AB10" s="2109"/>
      <c r="AC10" s="2109"/>
      <c r="AD10" s="2109"/>
      <c r="AE10" s="2109"/>
      <c r="AF10" s="2109"/>
      <c r="AG10" s="2109"/>
      <c r="AH10" s="2109"/>
      <c r="AI10" s="2109"/>
      <c r="AJ10" s="2109"/>
      <c r="AK10" s="2110"/>
    </row>
    <row r="11" spans="2:63">
      <c r="B11" s="548" t="s">
        <v>1152</v>
      </c>
      <c r="C11" s="2111" t="s">
        <v>1291</v>
      </c>
      <c r="D11" s="2112"/>
      <c r="E11" s="2112"/>
      <c r="F11" s="2112"/>
      <c r="G11" s="2112"/>
      <c r="H11" s="2112"/>
      <c r="I11" s="2112"/>
      <c r="J11" s="2112"/>
      <c r="K11" s="2112"/>
      <c r="L11" s="2112"/>
      <c r="M11" s="2112"/>
      <c r="N11" s="2112"/>
      <c r="O11" s="2112"/>
      <c r="P11" s="2112"/>
      <c r="Q11" s="2112"/>
      <c r="R11" s="2112"/>
      <c r="S11" s="2112"/>
      <c r="T11" s="2112"/>
      <c r="U11" s="2112"/>
      <c r="V11" s="2112"/>
      <c r="W11" s="2112"/>
      <c r="X11" s="2112"/>
      <c r="Y11" s="2112"/>
      <c r="Z11" s="2112"/>
      <c r="AA11" s="2112"/>
      <c r="AB11" s="2112"/>
      <c r="AC11" s="2112"/>
      <c r="AD11" s="2112"/>
      <c r="AE11" s="2112"/>
      <c r="AF11" s="2112"/>
      <c r="AG11" s="2112"/>
      <c r="AH11" s="2112"/>
      <c r="AI11" s="2112"/>
      <c r="AJ11" s="2112"/>
      <c r="AK11" s="2113"/>
    </row>
    <row r="12" spans="2:63">
      <c r="B12" s="746" t="s">
        <v>1153</v>
      </c>
      <c r="BG12" s="741" t="s">
        <v>100</v>
      </c>
      <c r="BH12" s="739" t="s">
        <v>61</v>
      </c>
    </row>
    <row r="13" spans="2:63">
      <c r="B13" s="2070" t="s">
        <v>1154</v>
      </c>
      <c r="C13" s="1528"/>
      <c r="D13" s="1528"/>
      <c r="E13" s="1528"/>
      <c r="F13" s="1528"/>
      <c r="G13" s="1528"/>
      <c r="H13" s="1528"/>
      <c r="I13" s="1528"/>
      <c r="J13" s="2106"/>
      <c r="K13" s="2107"/>
      <c r="L13" s="2107"/>
      <c r="M13" s="2107"/>
      <c r="N13" s="2107"/>
      <c r="O13" s="2107"/>
      <c r="P13" s="2107"/>
      <c r="Q13" s="2107"/>
      <c r="R13" s="2107"/>
      <c r="S13" s="2107"/>
      <c r="T13" s="2107"/>
      <c r="U13" s="2107"/>
      <c r="V13" s="2107"/>
      <c r="W13" s="2107"/>
      <c r="X13" s="2107"/>
      <c r="Y13" s="2107"/>
      <c r="Z13" s="2107"/>
      <c r="AA13" s="2107"/>
      <c r="AB13" s="2107"/>
      <c r="AC13" s="2107"/>
      <c r="AD13" s="2107"/>
      <c r="AE13" s="2107"/>
      <c r="AF13" s="2107"/>
      <c r="AG13" s="2107"/>
      <c r="AH13" s="2107"/>
      <c r="AI13" s="2107"/>
      <c r="AJ13" s="2107"/>
      <c r="AK13" s="2107"/>
      <c r="BG13" s="741" t="str">
        <f>IF(COUNTA(J13)=1,"◎","○")</f>
        <v>○</v>
      </c>
      <c r="BH13" s="544" t="str">
        <f>IF(COUNTA(J13)=1,"適切に入力がされました","申請しない場合は入力不要です。")</f>
        <v>申請しない場合は入力不要です。</v>
      </c>
    </row>
    <row r="14" spans="2:63" ht="24.75" thickBot="1">
      <c r="B14" s="2070" t="s">
        <v>1155</v>
      </c>
      <c r="C14" s="1528"/>
      <c r="D14" s="1528"/>
      <c r="E14" s="1528"/>
      <c r="F14" s="1528"/>
      <c r="G14" s="1528"/>
      <c r="H14" s="1528"/>
      <c r="I14" s="1528"/>
      <c r="J14" s="2106"/>
      <c r="K14" s="2107"/>
      <c r="L14" s="2107"/>
      <c r="M14" s="2107"/>
      <c r="N14" s="2107"/>
      <c r="O14" s="2107"/>
      <c r="P14" s="2107"/>
      <c r="Q14" s="2107"/>
      <c r="R14" s="2107"/>
      <c r="S14" s="2107"/>
      <c r="T14" s="2107"/>
      <c r="U14" s="2107"/>
      <c r="V14" s="2107"/>
      <c r="W14" s="2107"/>
      <c r="X14" s="2107"/>
      <c r="Y14" s="2107"/>
      <c r="Z14" s="2107"/>
      <c r="AA14" s="2107"/>
      <c r="AB14" s="2107"/>
      <c r="AC14" s="2107"/>
      <c r="AD14" s="2107"/>
      <c r="AE14" s="2107"/>
      <c r="AF14" s="2107"/>
      <c r="AG14" s="2107"/>
      <c r="AH14" s="2107"/>
      <c r="AI14" s="2107"/>
      <c r="AJ14" s="2107"/>
      <c r="AK14" s="2107"/>
      <c r="BG14" s="741" t="str">
        <f>IF(COUNTA(J14)=1,"◎","○")</f>
        <v>○</v>
      </c>
      <c r="BH14" s="544" t="str">
        <f>IF(COUNTA(J14)=1,"適切に入力がされました","申請しない場合は入力不要です。")</f>
        <v>申請しない場合は入力不要です。</v>
      </c>
    </row>
    <row r="15" spans="2:63" ht="24.75" thickTop="1">
      <c r="B15" s="611"/>
      <c r="C15" s="342"/>
      <c r="D15" s="342"/>
      <c r="E15" s="342"/>
      <c r="F15" s="342"/>
      <c r="G15" s="342"/>
      <c r="H15" s="342"/>
      <c r="I15" s="342"/>
      <c r="J15" s="342"/>
      <c r="K15" s="342"/>
      <c r="L15" s="342"/>
      <c r="M15" s="342"/>
      <c r="N15" s="342"/>
      <c r="O15" s="342"/>
      <c r="P15" s="342"/>
      <c r="Q15" s="342"/>
      <c r="R15" s="342"/>
      <c r="S15" s="342"/>
      <c r="T15" s="342"/>
      <c r="U15" s="342"/>
      <c r="V15" s="342"/>
      <c r="W15" s="342"/>
      <c r="X15" s="342"/>
      <c r="Y15" s="342"/>
      <c r="Z15" s="342"/>
      <c r="AA15" s="342"/>
      <c r="AB15" s="342"/>
      <c r="AC15" s="342"/>
      <c r="AD15" s="342"/>
      <c r="AE15" s="342"/>
      <c r="AF15" s="342"/>
      <c r="AG15" s="342"/>
      <c r="AH15" s="342"/>
      <c r="AI15" s="342"/>
      <c r="AJ15" s="342"/>
      <c r="AK15" s="342"/>
      <c r="BG15" s="550" t="str">
        <f xml:space="preserve">
IF(COUNTIF(BG13:BG14,"◎")=2,"◎",
IF(COUNTIF(BG13:BG14,"◎")=1,"×",
IF(COUNTIF(BG13:BG14,"◎")=0,"○",)))</f>
        <v>○</v>
      </c>
      <c r="BH15" s="551" t="str">
        <f xml:space="preserve">
IF(COUNTIF(BG13:BG14,"◎")=2,"適切に入力がされました。",
IF(COUNTIF(BG13:BG14,"◎")=1,"【要修正】未入力の箇所があります。",
IF(COUNTIF(BG13:BG14,"◎")=0,"申請しない場合は入力不要です。",)))</f>
        <v>申請しない場合は入力不要です。</v>
      </c>
    </row>
    <row r="16" spans="2:63">
      <c r="B16" s="617" t="str">
        <f xml:space="preserve">
IF(表紙!$X$2="事前協議","（２）納品予定日",
IF(表紙!$X$2="交付申請（２次）","（２）納品予定日",
IF(表紙!$X$2="変更申請","（２）納品予定日",
IF(表紙!$X$2="実績報告（１次）","（２）最終納品日",
IF(表紙!$X$2="実績報告（２次）","（２）最終納品日",
IF(表紙!$X$2="交付申請兼実績報告","（２）最終納品日"))))))</f>
        <v>（２）納品予定日</v>
      </c>
      <c r="C16" s="342"/>
      <c r="D16" s="342"/>
      <c r="E16" s="342"/>
      <c r="F16" s="342"/>
      <c r="G16" s="342"/>
      <c r="H16" s="342"/>
      <c r="I16" s="342"/>
      <c r="J16" s="342"/>
      <c r="K16" s="342"/>
      <c r="L16" s="342"/>
      <c r="M16" s="342"/>
      <c r="N16" s="342"/>
      <c r="O16" s="342"/>
      <c r="P16" s="342"/>
      <c r="Q16" s="342"/>
      <c r="R16" s="342"/>
      <c r="S16" s="342"/>
      <c r="T16" s="342"/>
      <c r="U16" s="342"/>
      <c r="V16" s="342"/>
      <c r="W16" s="342"/>
      <c r="X16" s="342"/>
      <c r="Y16" s="342"/>
      <c r="Z16" s="342"/>
      <c r="AA16" s="342"/>
      <c r="AB16" s="342"/>
      <c r="AC16" s="342"/>
      <c r="AD16" s="342"/>
      <c r="AE16" s="342"/>
      <c r="AF16" s="342"/>
      <c r="AG16" s="342"/>
      <c r="AH16" s="342"/>
      <c r="AI16" s="342"/>
      <c r="AJ16" s="342"/>
      <c r="AK16" s="342"/>
      <c r="BG16" s="747"/>
      <c r="BH16" s="618"/>
    </row>
    <row r="17" spans="2:61">
      <c r="B17" s="2070" t="s">
        <v>1395</v>
      </c>
      <c r="C17" s="863"/>
      <c r="D17" s="2127"/>
      <c r="E17" s="2128"/>
      <c r="F17" s="740" t="s">
        <v>1396</v>
      </c>
      <c r="G17" s="2127"/>
      <c r="H17" s="2128"/>
      <c r="I17" s="740" t="s">
        <v>1397</v>
      </c>
      <c r="J17" s="2127"/>
      <c r="K17" s="2128"/>
      <c r="L17" s="740" t="s">
        <v>1398</v>
      </c>
      <c r="M17" s="342"/>
      <c r="N17" s="342"/>
      <c r="O17" s="342"/>
      <c r="P17" s="342"/>
      <c r="Q17" s="342"/>
      <c r="R17" s="342"/>
      <c r="S17" s="342"/>
      <c r="T17" s="342"/>
      <c r="U17" s="342"/>
      <c r="V17" s="342"/>
      <c r="W17" s="342"/>
      <c r="X17" s="342"/>
      <c r="Y17" s="342"/>
      <c r="Z17" s="342"/>
      <c r="AA17" s="342"/>
      <c r="AB17" s="342"/>
      <c r="AC17" s="342"/>
      <c r="AD17" s="342"/>
      <c r="AE17" s="342"/>
      <c r="AF17" s="342"/>
      <c r="AG17" s="342"/>
      <c r="AH17" s="342"/>
      <c r="AI17" s="342"/>
      <c r="AJ17" s="342"/>
      <c r="AK17" s="342"/>
      <c r="BG17" s="741" t="str">
        <f xml:space="preserve">
IF(COUNTA(D17,G17,J17)=0,"○",
IF(AND(COUNTA(D17,G17,J17)&gt;=1,COUNTA(D17,G17,J17)&lt;3),"×",
IF(COUNTA(D17,G17,J17)=3,"◎")))</f>
        <v>○</v>
      </c>
      <c r="BH17" s="544" t="str">
        <f xml:space="preserve">
IF(COUNTA(D17,G17,J17)=0,"申請しない場合は入力不要です。",
IF(AND(COUNTA(D17,G17,J17)&gt;=1,COUNTA(D17,G17,J17)&lt;3),"【要修正】未入力の箇所があります。",
IF(COUNTA(D17,G17,J17)=3,"適切に入力がされました。")))</f>
        <v>申請しない場合は入力不要です。</v>
      </c>
    </row>
    <row r="18" spans="2:61">
      <c r="B18" s="611"/>
      <c r="C18" s="342"/>
      <c r="D18" s="342"/>
      <c r="E18" s="342"/>
      <c r="F18" s="342"/>
      <c r="G18" s="342"/>
      <c r="H18" s="342"/>
      <c r="I18" s="342"/>
      <c r="J18" s="342"/>
      <c r="K18" s="342"/>
      <c r="L18" s="342"/>
      <c r="M18" s="342"/>
      <c r="N18" s="342"/>
      <c r="O18" s="342"/>
      <c r="P18" s="342"/>
      <c r="Q18" s="342"/>
      <c r="R18" s="342"/>
      <c r="S18" s="342"/>
      <c r="T18" s="342"/>
      <c r="U18" s="342"/>
      <c r="V18" s="342"/>
      <c r="W18" s="342"/>
      <c r="X18" s="342"/>
      <c r="Y18" s="342"/>
      <c r="Z18" s="342"/>
      <c r="AA18" s="342"/>
      <c r="AB18" s="342"/>
      <c r="AC18" s="342"/>
      <c r="AD18" s="342"/>
      <c r="AE18" s="342"/>
      <c r="AF18" s="342"/>
      <c r="AG18" s="342"/>
      <c r="AH18" s="342"/>
      <c r="AI18" s="342"/>
      <c r="AJ18" s="342"/>
      <c r="AK18" s="342"/>
      <c r="BH18" s="746"/>
    </row>
    <row r="19" spans="2:61">
      <c r="B19" s="746" t="s">
        <v>1399</v>
      </c>
      <c r="BH19" s="746"/>
    </row>
    <row r="20" spans="2:61">
      <c r="B20" s="2070" t="s">
        <v>463</v>
      </c>
      <c r="C20" s="2071"/>
      <c r="D20" s="2071"/>
      <c r="E20" s="2071"/>
      <c r="F20" s="2071"/>
      <c r="G20" s="2071"/>
      <c r="H20" s="2071"/>
      <c r="I20" s="2071"/>
      <c r="J20" s="2070" t="s">
        <v>54</v>
      </c>
      <c r="K20" s="2071"/>
      <c r="L20" s="2071"/>
      <c r="M20" s="2071"/>
      <c r="N20" s="2071"/>
      <c r="O20" s="2071"/>
      <c r="P20" s="2071"/>
      <c r="Q20" s="2071"/>
      <c r="R20" s="1528"/>
      <c r="S20" s="1528"/>
      <c r="T20" s="1528"/>
      <c r="U20" s="2070" t="s">
        <v>49</v>
      </c>
      <c r="V20" s="2071"/>
      <c r="W20" s="1228" t="s">
        <v>50</v>
      </c>
      <c r="X20" s="2065"/>
      <c r="Y20" s="2065"/>
      <c r="Z20" s="2065"/>
      <c r="AA20" s="2065"/>
      <c r="AB20" s="1228" t="s">
        <v>1157</v>
      </c>
      <c r="AC20" s="2065"/>
      <c r="AD20" s="2065"/>
      <c r="AE20" s="2065"/>
      <c r="AF20" s="2065"/>
      <c r="AG20" s="1228" t="s">
        <v>1158</v>
      </c>
      <c r="AH20" s="2065"/>
      <c r="AI20" s="2065"/>
      <c r="AJ20" s="2065"/>
      <c r="AK20" s="2065"/>
      <c r="BH20" s="746"/>
    </row>
    <row r="21" spans="2:61">
      <c r="B21" s="2104"/>
      <c r="C21" s="2105"/>
      <c r="D21" s="2105"/>
      <c r="E21" s="2105"/>
      <c r="F21" s="2105"/>
      <c r="G21" s="2105"/>
      <c r="H21" s="2105"/>
      <c r="I21" s="2105"/>
      <c r="J21" s="2106"/>
      <c r="K21" s="2107"/>
      <c r="L21" s="2107"/>
      <c r="M21" s="2107"/>
      <c r="N21" s="2107"/>
      <c r="O21" s="2107"/>
      <c r="P21" s="2107"/>
      <c r="Q21" s="2107"/>
      <c r="R21" s="2107"/>
      <c r="S21" s="2107"/>
      <c r="T21" s="2107"/>
      <c r="U21" s="2061"/>
      <c r="V21" s="2062"/>
      <c r="W21" s="2063"/>
      <c r="X21" s="2064"/>
      <c r="Y21" s="2064"/>
      <c r="Z21" s="2064"/>
      <c r="AA21" s="2064"/>
      <c r="AB21" s="2036">
        <f>ROUNDDOWN(W21*1.1,0)</f>
        <v>0</v>
      </c>
      <c r="AC21" s="2037"/>
      <c r="AD21" s="2037"/>
      <c r="AE21" s="2037"/>
      <c r="AF21" s="2037"/>
      <c r="AG21" s="2036">
        <f xml:space="preserve">
IF(COUNTA(B21:AA21)=4,U21*AB21,
IF(AND(COUNTA(B21:AA21)&gt;=1,COUNTA(B21:AA21)&lt;4),0,
IF(COUNTA(B21:AA21)=0,0)))</f>
        <v>0</v>
      </c>
      <c r="AH21" s="2037"/>
      <c r="AI21" s="2037"/>
      <c r="AJ21" s="2037"/>
      <c r="AK21" s="2037"/>
      <c r="BG21" s="741" t="str">
        <f xml:space="preserve">
IF(COUNTA(B21:AA21)=4,"◎",
IF(AND(COUNTA(B21:AA21)&gt;=1,COUNTA(B21:AA21)&lt;4),"×",
IF(COUNTA(B21:AA21)=0,"○")))</f>
        <v>○</v>
      </c>
      <c r="BH21" s="544" t="str">
        <f xml:space="preserve">
IF(COUNTA(B21:AA21)=4,"適切に入力がされました。",
IF(AND(COUNTA(B21:AA21)&gt;=1,COUNTA(B21:AA21)&lt;4),"【要修正】未入力の箇所があります。",
IF(COUNTA(B21:AA21)=0,"申請しない場合は入力不要です。")))</f>
        <v>申請しない場合は入力不要です。</v>
      </c>
    </row>
    <row r="22" spans="2:61">
      <c r="B22" s="2104"/>
      <c r="C22" s="2105"/>
      <c r="D22" s="2105"/>
      <c r="E22" s="2105"/>
      <c r="F22" s="2105"/>
      <c r="G22" s="2105"/>
      <c r="H22" s="2105"/>
      <c r="I22" s="2105"/>
      <c r="J22" s="2106"/>
      <c r="K22" s="2107"/>
      <c r="L22" s="2107"/>
      <c r="M22" s="2107"/>
      <c r="N22" s="2107"/>
      <c r="O22" s="2107"/>
      <c r="P22" s="2107"/>
      <c r="Q22" s="2107"/>
      <c r="R22" s="2107"/>
      <c r="S22" s="2107"/>
      <c r="T22" s="2107"/>
      <c r="U22" s="2061"/>
      <c r="V22" s="2062"/>
      <c r="W22" s="2063"/>
      <c r="X22" s="2064"/>
      <c r="Y22" s="2064"/>
      <c r="Z22" s="2064"/>
      <c r="AA22" s="2064"/>
      <c r="AB22" s="2036">
        <f>ROUNDDOWN(W22*1.1,0)</f>
        <v>0</v>
      </c>
      <c r="AC22" s="2037"/>
      <c r="AD22" s="2037"/>
      <c r="AE22" s="2037"/>
      <c r="AF22" s="2037"/>
      <c r="AG22" s="2036">
        <f xml:space="preserve">
IF(COUNTA(B22:AA22)=4,U22*AB22,
IF(AND(COUNTA(B22:AA22)&gt;=1,COUNTA(B22:AA22)&lt;4),0,
IF(COUNTA(B22:AA22)=0,0)))</f>
        <v>0</v>
      </c>
      <c r="AH22" s="2037"/>
      <c r="AI22" s="2037"/>
      <c r="AJ22" s="2037"/>
      <c r="AK22" s="2037"/>
      <c r="BG22" s="741" t="str">
        <f xml:space="preserve">
IF(COUNTA(B22:AA22)=4,"◎",
IF(AND(COUNTA(B22:AA22)&gt;=1,COUNTA(B22:AA22)&lt;4),"×",
IF(COUNTA(B22:AA22)=0,"○")))</f>
        <v>○</v>
      </c>
      <c r="BH22" s="544" t="str">
        <f xml:space="preserve">
IF(COUNTA(B22:AA22)=4,"適切に入力がされました。",
IF(AND(COUNTA(B22:AA22)&gt;=1,COUNTA(B22:AA22)&lt;4),"【要修正】未入力の箇所があります。",
IF(COUNTA(B22:AA22)=0,"申請しない場合は入力不要です。")))</f>
        <v>申請しない場合は入力不要です。</v>
      </c>
    </row>
    <row r="23" spans="2:61">
      <c r="B23" s="2104"/>
      <c r="C23" s="2105"/>
      <c r="D23" s="2105"/>
      <c r="E23" s="2105"/>
      <c r="F23" s="2105"/>
      <c r="G23" s="2105"/>
      <c r="H23" s="2105"/>
      <c r="I23" s="2105"/>
      <c r="J23" s="2106"/>
      <c r="K23" s="2107"/>
      <c r="L23" s="2107"/>
      <c r="M23" s="2107"/>
      <c r="N23" s="2107"/>
      <c r="O23" s="2107"/>
      <c r="P23" s="2107"/>
      <c r="Q23" s="2107"/>
      <c r="R23" s="2107"/>
      <c r="S23" s="2107"/>
      <c r="T23" s="2107"/>
      <c r="U23" s="2061"/>
      <c r="V23" s="2062"/>
      <c r="W23" s="2063"/>
      <c r="X23" s="2064"/>
      <c r="Y23" s="2064"/>
      <c r="Z23" s="2064"/>
      <c r="AA23" s="2064"/>
      <c r="AB23" s="2036">
        <f>ROUNDDOWN(W23*1.1,0)</f>
        <v>0</v>
      </c>
      <c r="AC23" s="2037"/>
      <c r="AD23" s="2037"/>
      <c r="AE23" s="2037"/>
      <c r="AF23" s="2037"/>
      <c r="AG23" s="2036">
        <f xml:space="preserve">
IF(COUNTA(B23:AA23)=4,U23*AB23,
IF(AND(COUNTA(B23:AA23)&gt;=1,COUNTA(B23:AA23)&lt;4),0,
IF(COUNTA(B23:AA23)=0,0)))</f>
        <v>0</v>
      </c>
      <c r="AH23" s="2037"/>
      <c r="AI23" s="2037"/>
      <c r="AJ23" s="2037"/>
      <c r="AK23" s="2037"/>
      <c r="BG23" s="741" t="str">
        <f xml:space="preserve">
IF(COUNTA(B23:AA23)=4,"◎",
IF(AND(COUNTA(B23:AA23)&gt;=1,COUNTA(B23:AA23)&lt;4),"×",
IF(COUNTA(B23:AA23)=0,"○")))</f>
        <v>○</v>
      </c>
      <c r="BH23" s="544" t="str">
        <f xml:space="preserve">
IF(COUNTA(B23:AA23)=4,"適切に入力がされました。",
IF(AND(COUNTA(B23:AA23)&gt;=1,COUNTA(B23:AA23)&lt;4),"【要修正】未入力の箇所があります。",
IF(COUNTA(B23:AA23)=0,"申請しない場合は入力不要です。")))</f>
        <v>申請しない場合は入力不要です。</v>
      </c>
    </row>
    <row r="24" spans="2:61">
      <c r="B24" s="2104"/>
      <c r="C24" s="2105"/>
      <c r="D24" s="2105"/>
      <c r="E24" s="2105"/>
      <c r="F24" s="2105"/>
      <c r="G24" s="2105"/>
      <c r="H24" s="2105"/>
      <c r="I24" s="2105"/>
      <c r="J24" s="2106"/>
      <c r="K24" s="2107"/>
      <c r="L24" s="2107"/>
      <c r="M24" s="2107"/>
      <c r="N24" s="2107"/>
      <c r="O24" s="2107"/>
      <c r="P24" s="2107"/>
      <c r="Q24" s="2107"/>
      <c r="R24" s="2107"/>
      <c r="S24" s="2107"/>
      <c r="T24" s="2107"/>
      <c r="U24" s="2051"/>
      <c r="V24" s="2052"/>
      <c r="W24" s="2053"/>
      <c r="X24" s="2054"/>
      <c r="Y24" s="2054"/>
      <c r="Z24" s="2054"/>
      <c r="AA24" s="2054"/>
      <c r="AB24" s="2036">
        <f>ROUNDDOWN(W24*1.1,0)</f>
        <v>0</v>
      </c>
      <c r="AC24" s="2037"/>
      <c r="AD24" s="2037"/>
      <c r="AE24" s="2037"/>
      <c r="AF24" s="2037"/>
      <c r="AG24" s="2036">
        <f xml:space="preserve">
IF(COUNTA(B24:AA24)=4,U24*AB24,
IF(AND(COUNTA(B24:AA24)&gt;=1,COUNTA(B24:AA24)&lt;4),0,
IF(COUNTA(B24:AA24)=0,0)))</f>
        <v>0</v>
      </c>
      <c r="AH24" s="2037"/>
      <c r="AI24" s="2037"/>
      <c r="AJ24" s="2037"/>
      <c r="AK24" s="2037"/>
      <c r="BG24" s="741" t="str">
        <f xml:space="preserve">
IF(COUNTA(B24:AA24)=4,"◎",
IF(AND(COUNTA(B24:AA24)&gt;=1,COUNTA(B24:AA24)&lt;4),"×",
IF(COUNTA(B24:AA24)=0,"○")))</f>
        <v>○</v>
      </c>
      <c r="BH24" s="544" t="str">
        <f xml:space="preserve">
IF(COUNTA(B24:AA24)=4,"適切に入力がされました。",
IF(AND(COUNTA(B24:AA24)&gt;=1,COUNTA(B24:AA24)&lt;4),"【要修正】未入力の箇所があります。",
IF(COUNTA(B24:AA24)=0,"申請しない場合は入力不要です。")))</f>
        <v>申請しない場合は入力不要です。</v>
      </c>
    </row>
    <row r="25" spans="2:61" ht="24.75" thickBot="1">
      <c r="B25" s="2129"/>
      <c r="C25" s="2130"/>
      <c r="D25" s="2130"/>
      <c r="E25" s="2130"/>
      <c r="F25" s="2130"/>
      <c r="G25" s="2130"/>
      <c r="H25" s="2130"/>
      <c r="I25" s="2130"/>
      <c r="J25" s="2131"/>
      <c r="K25" s="2132"/>
      <c r="L25" s="2132"/>
      <c r="M25" s="2132"/>
      <c r="N25" s="2132"/>
      <c r="O25" s="2132"/>
      <c r="P25" s="2132"/>
      <c r="Q25" s="2132"/>
      <c r="R25" s="2132"/>
      <c r="S25" s="2132"/>
      <c r="T25" s="2132"/>
      <c r="U25" s="2051"/>
      <c r="V25" s="2052"/>
      <c r="W25" s="2053"/>
      <c r="X25" s="2054"/>
      <c r="Y25" s="2054"/>
      <c r="Z25" s="2054"/>
      <c r="AA25" s="2054"/>
      <c r="AB25" s="2075">
        <f>ROUNDDOWN(W25*1.1,0)</f>
        <v>0</v>
      </c>
      <c r="AC25" s="2076"/>
      <c r="AD25" s="2076"/>
      <c r="AE25" s="2076"/>
      <c r="AF25" s="2076"/>
      <c r="AG25" s="2036">
        <f xml:space="preserve">
IF(COUNTA(B25:AA25)=4,U25*AB25,
IF(AND(COUNTA(B25:AA25)&gt;=1,COUNTA(B25:AA25)&lt;4),0,
IF(COUNTA(B25:AA25)=0,0)))</f>
        <v>0</v>
      </c>
      <c r="AH25" s="2037"/>
      <c r="AI25" s="2037"/>
      <c r="AJ25" s="2037"/>
      <c r="AK25" s="2037"/>
      <c r="BG25" s="745" t="str">
        <f xml:space="preserve">
IF(COUNTA(B25:AA25)=4,"◎",
IF(AND(COUNTA(B25:AA25)&gt;=1,COUNTA(B25:AA25)&lt;4),"×",
IF(COUNTA(B25:AA25)=0,"○")))</f>
        <v>○</v>
      </c>
      <c r="BH25" s="549" t="str">
        <f xml:space="preserve">
IF(COUNTA(B25:AA25)=4,"適切に入力がされました。",
IF(AND(COUNTA(B25:AA25)&gt;=1,COUNTA(B25:AA25)&lt;4),"【要修正】未入力の箇所があります。",
IF(COUNTA(B25:AA25)=0,"申請しない場合は入力不要です。")))</f>
        <v>申請しない場合は入力不要です。</v>
      </c>
    </row>
    <row r="26" spans="2:61" ht="24.75" thickTop="1">
      <c r="B26" s="2038"/>
      <c r="C26" s="2039"/>
      <c r="D26" s="2039"/>
      <c r="E26" s="2039"/>
      <c r="F26" s="2039"/>
      <c r="G26" s="2039"/>
      <c r="H26" s="2039"/>
      <c r="I26" s="2039"/>
      <c r="J26" s="2039"/>
      <c r="K26" s="2039"/>
      <c r="L26" s="2039"/>
      <c r="M26" s="2039"/>
      <c r="N26" s="2039"/>
      <c r="O26" s="2039"/>
      <c r="P26" s="2039"/>
      <c r="Q26" s="2039"/>
      <c r="R26" s="2039"/>
      <c r="S26" s="2039"/>
      <c r="T26" s="2039"/>
      <c r="U26" s="2039"/>
      <c r="V26" s="2039"/>
      <c r="W26" s="2100" t="s">
        <v>1159</v>
      </c>
      <c r="X26" s="2100"/>
      <c r="Y26" s="2100"/>
      <c r="Z26" s="2100"/>
      <c r="AA26" s="2100"/>
      <c r="AB26" s="2100"/>
      <c r="AC26" s="2100"/>
      <c r="AD26" s="2100"/>
      <c r="AE26" s="2100"/>
      <c r="AF26" s="2101"/>
      <c r="AG26" s="2102">
        <f xml:space="preserve">
IF(SUM(COUNTIF(BG13:BG14,"○"),COUNTIF(BG21:BG25,"○"))=7,0,
IF(SUM(COUNTIF(BG13:BG14,"×"),COUNTIF(BG21:BG25,"×"))&gt;=1,0,
IF(AND(SUM(COUNTIF(BG13:BG14,"×"),COUNTIF(BG21:BG25,"×"))=0,SUM(COUNTIF(BG13:BG14,"◎"),COUNTIF(BG21:BG25,"◎"))&gt;=1),SUM(AG21:AK25))))</f>
        <v>0</v>
      </c>
      <c r="AH26" s="2103"/>
      <c r="AI26" s="2103"/>
      <c r="AJ26" s="2103"/>
      <c r="AK26" s="2103"/>
      <c r="BG26" s="550" t="str">
        <f xml:space="preserve">
IF(COUNTIF(BG21:BG25,"○")=5,"○",
IF(COUNTIF(BG21:BG25,"×")&gt;=1,"×",
IF(AND(COUNTIF(BG21:BG25,"×")=0,COUNTIF(BG21:BG25,"◎")&gt;=1),"◎",
)))</f>
        <v>○</v>
      </c>
      <c r="BH26" s="551" t="str">
        <f xml:space="preserve">
IF(COUNTIF(BG21:BG25,"○")=5,"申請しない場合は入力不要です。",
IF(COUNTIF(BG21:BG25,"×")&gt;=1,"【要修正】入力が不十分な箇所があります。",
IF(AND(COUNTIF(BG21:BG25,"×")=0,COUNTIF(BG21:BG25,"◎")&gt;=1),"適切に入力がされました。",
)))</f>
        <v>申請しない場合は入力不要です。</v>
      </c>
    </row>
    <row r="27" spans="2:61">
      <c r="B27" s="2096"/>
      <c r="C27" s="2097"/>
      <c r="D27" s="2097"/>
      <c r="E27" s="2097"/>
      <c r="F27" s="2097"/>
      <c r="G27" s="2097"/>
      <c r="H27" s="2097"/>
      <c r="I27" s="2097"/>
      <c r="J27" s="2097"/>
      <c r="K27" s="2097"/>
      <c r="L27" s="2097"/>
      <c r="M27" s="2097"/>
      <c r="N27" s="2097"/>
      <c r="O27" s="2097"/>
      <c r="P27" s="2097"/>
      <c r="Q27" s="2097"/>
      <c r="R27" s="2097"/>
      <c r="S27" s="2097"/>
      <c r="T27" s="2097"/>
      <c r="U27" s="2097"/>
      <c r="V27" s="2097"/>
      <c r="W27" s="2098" t="s">
        <v>1160</v>
      </c>
      <c r="X27" s="2098"/>
      <c r="Y27" s="2098"/>
      <c r="Z27" s="2098"/>
      <c r="AA27" s="2098"/>
      <c r="AB27" s="2098"/>
      <c r="AC27" s="2098"/>
      <c r="AD27" s="2098"/>
      <c r="AE27" s="2098"/>
      <c r="AF27" s="2099"/>
      <c r="AG27" s="2085">
        <v>905000</v>
      </c>
      <c r="AH27" s="2086"/>
      <c r="AI27" s="2086"/>
      <c r="AJ27" s="2086"/>
      <c r="AK27" s="2086"/>
    </row>
    <row r="28" spans="2:61" ht="22.5" customHeight="1">
      <c r="B28" s="2096" t="s">
        <v>1161</v>
      </c>
      <c r="C28" s="2097"/>
      <c r="D28" s="2097"/>
      <c r="E28" s="2097"/>
      <c r="F28" s="2097"/>
      <c r="G28" s="2097"/>
      <c r="H28" s="2097"/>
      <c r="I28" s="2097"/>
      <c r="J28" s="2097"/>
      <c r="K28" s="2097"/>
      <c r="L28" s="2097"/>
      <c r="M28" s="2097"/>
      <c r="N28" s="2097"/>
      <c r="O28" s="2097"/>
      <c r="P28" s="2097"/>
      <c r="Q28" s="2097"/>
      <c r="R28" s="2097"/>
      <c r="S28" s="2097"/>
      <c r="T28" s="2097"/>
      <c r="U28" s="2097"/>
      <c r="V28" s="2097"/>
      <c r="W28" s="2097"/>
      <c r="X28" s="2097"/>
      <c r="Y28" s="2097"/>
      <c r="Z28" s="2097"/>
      <c r="AA28" s="2097"/>
      <c r="AB28" s="2097"/>
      <c r="AC28" s="2097"/>
      <c r="AD28" s="2097"/>
      <c r="AE28" s="2097"/>
      <c r="AF28" s="2133"/>
      <c r="AG28" s="2092"/>
      <c r="AH28" s="2093"/>
      <c r="AI28" s="2093"/>
      <c r="AJ28" s="2093"/>
      <c r="AK28" s="2093"/>
      <c r="BF28" s="2094" t="s">
        <v>1335</v>
      </c>
      <c r="BG28" s="2095"/>
      <c r="BH28" s="2095"/>
      <c r="BI28" s="1526"/>
    </row>
    <row r="29" spans="2:61">
      <c r="B29" s="2096"/>
      <c r="C29" s="2097"/>
      <c r="D29" s="2097"/>
      <c r="E29" s="2097"/>
      <c r="F29" s="2097"/>
      <c r="G29" s="2097"/>
      <c r="H29" s="2097"/>
      <c r="I29" s="2097"/>
      <c r="J29" s="2097"/>
      <c r="K29" s="2097"/>
      <c r="L29" s="2097"/>
      <c r="M29" s="2097"/>
      <c r="N29" s="2097"/>
      <c r="O29" s="2097"/>
      <c r="P29" s="2097"/>
      <c r="Q29" s="2097"/>
      <c r="R29" s="2097"/>
      <c r="S29" s="2097"/>
      <c r="T29" s="2097"/>
      <c r="U29" s="2097"/>
      <c r="V29" s="2097"/>
      <c r="W29" s="2098" t="s">
        <v>1162</v>
      </c>
      <c r="X29" s="2098"/>
      <c r="Y29" s="2098"/>
      <c r="Z29" s="2098"/>
      <c r="AA29" s="2098"/>
      <c r="AB29" s="2098"/>
      <c r="AC29" s="2098"/>
      <c r="AD29" s="2098"/>
      <c r="AE29" s="2098"/>
      <c r="AF29" s="2099"/>
      <c r="AG29" s="2085">
        <f>AG27-AG28</f>
        <v>905000</v>
      </c>
      <c r="AH29" s="2086"/>
      <c r="AI29" s="2086"/>
      <c r="AJ29" s="2086"/>
      <c r="AK29" s="2086"/>
      <c r="BF29" s="2095"/>
      <c r="BG29" s="2095"/>
      <c r="BH29" s="2095"/>
      <c r="BI29" s="1526"/>
    </row>
    <row r="30" spans="2:61">
      <c r="B30" s="2096"/>
      <c r="C30" s="2097"/>
      <c r="D30" s="2097"/>
      <c r="E30" s="2097"/>
      <c r="F30" s="2097"/>
      <c r="G30" s="2097"/>
      <c r="H30" s="2097"/>
      <c r="I30" s="2097"/>
      <c r="J30" s="2097"/>
      <c r="K30" s="2097"/>
      <c r="L30" s="2097"/>
      <c r="M30" s="2097"/>
      <c r="N30" s="2097"/>
      <c r="O30" s="2097"/>
      <c r="P30" s="2097"/>
      <c r="Q30" s="2097"/>
      <c r="R30" s="2097"/>
      <c r="S30" s="2097"/>
      <c r="T30" s="2097"/>
      <c r="U30" s="2097"/>
      <c r="V30" s="2097"/>
      <c r="W30" s="2098" t="s">
        <v>1163</v>
      </c>
      <c r="X30" s="2098"/>
      <c r="Y30" s="2098"/>
      <c r="Z30" s="2098"/>
      <c r="AA30" s="2098"/>
      <c r="AB30" s="2098"/>
      <c r="AC30" s="2098"/>
      <c r="AD30" s="2098"/>
      <c r="AE30" s="2098"/>
      <c r="AF30" s="2099"/>
      <c r="AG30" s="2085">
        <f>MIN(AG26,AG29)</f>
        <v>0</v>
      </c>
      <c r="AH30" s="2086"/>
      <c r="AI30" s="2086"/>
      <c r="AJ30" s="2086"/>
      <c r="AK30" s="2086"/>
    </row>
    <row r="31" spans="2:61">
      <c r="AB31" s="2032" t="s">
        <v>1323</v>
      </c>
      <c r="AC31" s="2033"/>
      <c r="AD31" s="2033"/>
      <c r="AE31" s="2033"/>
      <c r="AF31" s="2033"/>
      <c r="AG31" s="2034">
        <f>SUM(U21*AB21,U22*AB22,U23*AB23,U24*AB24,U25*AB25)</f>
        <v>0</v>
      </c>
      <c r="AH31" s="2035"/>
      <c r="AI31" s="2035"/>
      <c r="AJ31" s="2035"/>
      <c r="AK31" s="2035"/>
    </row>
    <row r="32" spans="2:61">
      <c r="B32" s="545" t="s">
        <v>1164</v>
      </c>
      <c r="C32" s="545"/>
      <c r="D32" s="545"/>
      <c r="E32" s="545"/>
      <c r="F32" s="545"/>
      <c r="G32" s="545"/>
      <c r="H32" s="545"/>
      <c r="I32" s="545"/>
      <c r="J32" s="545"/>
      <c r="K32" s="545"/>
      <c r="L32" s="545"/>
      <c r="M32" s="545"/>
      <c r="N32" s="545"/>
      <c r="O32" s="545"/>
      <c r="P32" s="545"/>
      <c r="Q32" s="545"/>
      <c r="R32" s="545"/>
      <c r="S32" s="545"/>
      <c r="T32" s="545"/>
      <c r="U32" s="545"/>
      <c r="V32" s="545"/>
      <c r="W32" s="545"/>
      <c r="X32" s="545"/>
      <c r="Y32" s="545"/>
      <c r="Z32" s="545"/>
      <c r="AA32" s="545"/>
      <c r="AB32" s="545"/>
      <c r="AC32" s="545"/>
      <c r="AD32" s="545"/>
      <c r="AE32" s="545"/>
      <c r="AF32" s="545"/>
      <c r="AG32" s="545"/>
      <c r="AH32" s="545"/>
      <c r="AI32" s="545"/>
      <c r="AJ32" s="545"/>
      <c r="AK32" s="545"/>
    </row>
    <row r="33" spans="2:60">
      <c r="B33" s="746" t="s">
        <v>1150</v>
      </c>
    </row>
    <row r="34" spans="2:60">
      <c r="B34" s="546" t="s">
        <v>1052</v>
      </c>
      <c r="C34" s="2087" t="str">
        <f>C8</f>
        <v>HEPAフィルター式であること。（これ以外の規格は補助対象外）</v>
      </c>
      <c r="D34" s="2088"/>
      <c r="E34" s="2088"/>
      <c r="F34" s="2088"/>
      <c r="G34" s="2088"/>
      <c r="H34" s="2088"/>
      <c r="I34" s="2088"/>
      <c r="J34" s="2088"/>
      <c r="K34" s="2088"/>
      <c r="L34" s="2088"/>
      <c r="M34" s="2088"/>
      <c r="N34" s="2088"/>
      <c r="O34" s="2088"/>
      <c r="P34" s="2088"/>
      <c r="Q34" s="2088"/>
      <c r="R34" s="2088"/>
      <c r="S34" s="2088"/>
      <c r="T34" s="2088"/>
      <c r="U34" s="2088"/>
      <c r="V34" s="2088"/>
      <c r="W34" s="2088"/>
      <c r="X34" s="2088"/>
      <c r="Y34" s="2088"/>
      <c r="Z34" s="2088"/>
      <c r="AA34" s="2088"/>
      <c r="AB34" s="2088"/>
      <c r="AC34" s="2088"/>
      <c r="AD34" s="2088"/>
      <c r="AE34" s="2088"/>
      <c r="AF34" s="2088"/>
      <c r="AG34" s="2088"/>
      <c r="AH34" s="2088"/>
      <c r="AI34" s="2088"/>
      <c r="AJ34" s="2088"/>
      <c r="AK34" s="2089"/>
    </row>
    <row r="35" spans="2:60">
      <c r="B35" s="547" t="s">
        <v>1053</v>
      </c>
      <c r="C35" s="2090" t="str">
        <f>C9</f>
        <v>新型コロナウイルス感染症入院患者への入院医療の提供を行うために整備するものであること。</v>
      </c>
      <c r="D35" s="1207"/>
      <c r="E35" s="1207"/>
      <c r="F35" s="1207"/>
      <c r="G35" s="1207"/>
      <c r="H35" s="1207"/>
      <c r="I35" s="1207"/>
      <c r="J35" s="1207"/>
      <c r="K35" s="1207"/>
      <c r="L35" s="1207"/>
      <c r="M35" s="1207"/>
      <c r="N35" s="1207"/>
      <c r="O35" s="1207"/>
      <c r="P35" s="1207"/>
      <c r="Q35" s="1207"/>
      <c r="R35" s="1207"/>
      <c r="S35" s="1207"/>
      <c r="T35" s="1207"/>
      <c r="U35" s="1207"/>
      <c r="V35" s="1207"/>
      <c r="W35" s="1207"/>
      <c r="X35" s="1207"/>
      <c r="Y35" s="1207"/>
      <c r="Z35" s="1207"/>
      <c r="AA35" s="1207"/>
      <c r="AB35" s="1207"/>
      <c r="AC35" s="1207"/>
      <c r="AD35" s="1207"/>
      <c r="AE35" s="1207"/>
      <c r="AF35" s="1207"/>
      <c r="AG35" s="1207"/>
      <c r="AH35" s="1207"/>
      <c r="AI35" s="1207"/>
      <c r="AJ35" s="1207"/>
      <c r="AK35" s="2091"/>
    </row>
    <row r="36" spans="2:60">
      <c r="B36" s="548" t="s">
        <v>1054</v>
      </c>
      <c r="C36" s="552" t="s">
        <v>1165</v>
      </c>
      <c r="D36" s="552"/>
      <c r="E36" s="552"/>
      <c r="F36" s="552"/>
      <c r="G36" s="552"/>
      <c r="H36" s="552"/>
      <c r="I36" s="552"/>
      <c r="J36" s="552"/>
      <c r="K36" s="552"/>
      <c r="L36" s="552"/>
      <c r="M36" s="552"/>
      <c r="N36" s="552"/>
      <c r="O36" s="552"/>
      <c r="P36" s="552"/>
      <c r="Q36" s="552"/>
      <c r="R36" s="552"/>
      <c r="S36" s="552"/>
      <c r="T36" s="552"/>
      <c r="U36" s="552"/>
      <c r="V36" s="552"/>
      <c r="W36" s="552"/>
      <c r="X36" s="552"/>
      <c r="Y36" s="552"/>
      <c r="Z36" s="552"/>
      <c r="AA36" s="552"/>
      <c r="AB36" s="552"/>
      <c r="AC36" s="552"/>
      <c r="AD36" s="552"/>
      <c r="AE36" s="552"/>
      <c r="AF36" s="552"/>
      <c r="AG36" s="552"/>
      <c r="AH36" s="552"/>
      <c r="AI36" s="552"/>
      <c r="AJ36" s="552"/>
      <c r="AK36" s="553"/>
    </row>
    <row r="37" spans="2:60">
      <c r="B37" s="611"/>
      <c r="C37" s="342"/>
      <c r="D37" s="342"/>
      <c r="E37" s="342"/>
      <c r="F37" s="342"/>
      <c r="G37" s="342"/>
      <c r="H37" s="342"/>
      <c r="I37" s="342"/>
      <c r="J37" s="342"/>
      <c r="K37" s="342"/>
      <c r="L37" s="342"/>
      <c r="M37" s="342"/>
      <c r="N37" s="342"/>
      <c r="O37" s="342"/>
      <c r="P37" s="342"/>
      <c r="Q37" s="342"/>
      <c r="R37" s="342"/>
      <c r="S37" s="342"/>
      <c r="T37" s="342"/>
      <c r="U37" s="342"/>
      <c r="V37" s="342"/>
      <c r="W37" s="342"/>
      <c r="X37" s="342"/>
      <c r="Y37" s="342"/>
      <c r="Z37" s="342"/>
      <c r="AA37" s="342"/>
      <c r="AB37" s="342"/>
      <c r="AC37" s="342"/>
      <c r="AD37" s="342"/>
      <c r="AE37" s="342"/>
      <c r="AF37" s="342"/>
      <c r="AG37" s="342"/>
      <c r="AH37" s="342"/>
      <c r="AI37" s="342"/>
      <c r="AJ37" s="342"/>
      <c r="AK37" s="342"/>
      <c r="BG37" s="619"/>
      <c r="BH37" s="620"/>
    </row>
    <row r="38" spans="2:60">
      <c r="B38" s="617" t="str">
        <f xml:space="preserve">
IF(表紙!$X$2="事前協議","（１）納品予定日",
IF(表紙!$X$2="交付申請（２次）","（１）納品予定日",
IF(表紙!$X$2="変更申請","（２）納品予定日",
IF(表紙!$X$2="実績報告（１次）","（１）最終納品日",
IF(表紙!$X$2="実績報告（２次）","（１）最終納品日",
IF(表紙!$X$2="交付申請兼実績報告","（１）最終納品日"))))))</f>
        <v>（１）納品予定日</v>
      </c>
      <c r="C38" s="342"/>
      <c r="D38" s="342"/>
      <c r="E38" s="342"/>
      <c r="F38" s="342"/>
      <c r="G38" s="342"/>
      <c r="H38" s="342"/>
      <c r="I38" s="342"/>
      <c r="J38" s="342"/>
      <c r="K38" s="342"/>
      <c r="L38" s="342"/>
      <c r="M38" s="342"/>
      <c r="N38" s="342"/>
      <c r="O38" s="342"/>
      <c r="P38" s="342"/>
      <c r="Q38" s="342"/>
      <c r="R38" s="342"/>
      <c r="S38" s="342"/>
      <c r="T38" s="342"/>
      <c r="U38" s="342"/>
      <c r="V38" s="342"/>
      <c r="W38" s="342"/>
      <c r="X38" s="342"/>
      <c r="Y38" s="342"/>
      <c r="Z38" s="342"/>
      <c r="AA38" s="342"/>
      <c r="AB38" s="342"/>
      <c r="AC38" s="342"/>
      <c r="AD38" s="342"/>
      <c r="AE38" s="342"/>
      <c r="AF38" s="342"/>
      <c r="AG38" s="342"/>
      <c r="AH38" s="342"/>
      <c r="AI38" s="342"/>
      <c r="AJ38" s="342"/>
      <c r="AK38" s="342"/>
      <c r="BG38" s="741" t="s">
        <v>100</v>
      </c>
      <c r="BH38" s="739" t="s">
        <v>61</v>
      </c>
    </row>
    <row r="39" spans="2:60">
      <c r="B39" s="2070" t="s">
        <v>1395</v>
      </c>
      <c r="C39" s="863"/>
      <c r="D39" s="2127"/>
      <c r="E39" s="2128"/>
      <c r="F39" s="740" t="s">
        <v>1396</v>
      </c>
      <c r="G39" s="2127"/>
      <c r="H39" s="2128"/>
      <c r="I39" s="740" t="s">
        <v>1397</v>
      </c>
      <c r="J39" s="2127"/>
      <c r="K39" s="2128"/>
      <c r="L39" s="740" t="s">
        <v>1398</v>
      </c>
      <c r="M39" s="342"/>
      <c r="N39" s="342"/>
      <c r="O39" s="342"/>
      <c r="P39" s="342"/>
      <c r="Q39" s="342"/>
      <c r="R39" s="342"/>
      <c r="S39" s="342"/>
      <c r="T39" s="342"/>
      <c r="U39" s="342"/>
      <c r="V39" s="342"/>
      <c r="W39" s="342"/>
      <c r="X39" s="342"/>
      <c r="Y39" s="342"/>
      <c r="Z39" s="342"/>
      <c r="AA39" s="342"/>
      <c r="AB39" s="342"/>
      <c r="AC39" s="342"/>
      <c r="AD39" s="342"/>
      <c r="AE39" s="342"/>
      <c r="AF39" s="342"/>
      <c r="AG39" s="342"/>
      <c r="AH39" s="342"/>
      <c r="AI39" s="342"/>
      <c r="AJ39" s="342"/>
      <c r="AK39" s="342"/>
      <c r="BG39" s="741" t="str">
        <f xml:space="preserve">
IF(COUNTA(D39,G39,J39)=0,"○",
IF(AND(COUNTA(D39,G39,J39)&gt;=1,COUNTA(D39,G39,J39)&lt;3),"×",
IF(COUNTA(D39,G39,J39)=3,"◎")))</f>
        <v>○</v>
      </c>
      <c r="BH39" s="544" t="str">
        <f xml:space="preserve">
IF(COUNTA(D39,G39,J39)=0,"申請しない場合は入力不要です。",
IF(AND(COUNTA(D39,G39,J39)&gt;=1,COUNTA(D39,G39,J39)&lt;3),"【要修正】未入力の箇所があります。",
IF(COUNTA(D39,G39,J39)=3,"適切に入力がされました。")))</f>
        <v>申請しない場合は入力不要です。</v>
      </c>
    </row>
    <row r="40" spans="2:60">
      <c r="B40" s="611"/>
      <c r="C40" s="342"/>
      <c r="D40" s="342"/>
      <c r="E40" s="342"/>
      <c r="F40" s="342"/>
      <c r="G40" s="342"/>
      <c r="H40" s="342"/>
      <c r="I40" s="342"/>
      <c r="J40" s="342"/>
      <c r="K40" s="342"/>
      <c r="L40" s="342"/>
      <c r="M40" s="342"/>
      <c r="N40" s="342"/>
      <c r="O40" s="342"/>
      <c r="P40" s="342"/>
      <c r="Q40" s="342"/>
      <c r="R40" s="342"/>
      <c r="S40" s="342"/>
      <c r="T40" s="342"/>
      <c r="U40" s="342"/>
      <c r="V40" s="342"/>
      <c r="W40" s="342"/>
      <c r="X40" s="342"/>
      <c r="Y40" s="342"/>
      <c r="Z40" s="342"/>
      <c r="AA40" s="342"/>
      <c r="AB40" s="342"/>
      <c r="AC40" s="342"/>
      <c r="AD40" s="342"/>
      <c r="AE40" s="342"/>
      <c r="AF40" s="342"/>
      <c r="AG40" s="342"/>
      <c r="AH40" s="342"/>
      <c r="AI40" s="342"/>
      <c r="AJ40" s="342"/>
      <c r="AK40" s="342"/>
      <c r="BH40" s="746"/>
    </row>
    <row r="41" spans="2:60">
      <c r="B41" s="746" t="s">
        <v>1156</v>
      </c>
    </row>
    <row r="42" spans="2:60">
      <c r="B42" s="2066" t="s">
        <v>54</v>
      </c>
      <c r="C42" s="2067"/>
      <c r="D42" s="2067"/>
      <c r="E42" s="2067"/>
      <c r="F42" s="2067"/>
      <c r="G42" s="2067"/>
      <c r="H42" s="2067"/>
      <c r="I42" s="2067"/>
      <c r="J42" s="2066" t="s">
        <v>1154</v>
      </c>
      <c r="K42" s="2068"/>
      <c r="L42" s="2068"/>
      <c r="M42" s="2068"/>
      <c r="N42" s="2068"/>
      <c r="O42" s="2069"/>
      <c r="P42" s="2070" t="s">
        <v>49</v>
      </c>
      <c r="Q42" s="2071"/>
      <c r="R42" s="1228" t="s">
        <v>50</v>
      </c>
      <c r="S42" s="2065"/>
      <c r="T42" s="2065"/>
      <c r="U42" s="2065"/>
      <c r="V42" s="2065"/>
      <c r="W42" s="1228" t="s">
        <v>1157</v>
      </c>
      <c r="X42" s="2065"/>
      <c r="Y42" s="2065"/>
      <c r="Z42" s="2065"/>
      <c r="AA42" s="2065"/>
      <c r="AB42" s="2070" t="s">
        <v>1166</v>
      </c>
      <c r="AC42" s="2071"/>
      <c r="AD42" s="2071"/>
      <c r="AE42" s="2071"/>
      <c r="AF42" s="2071"/>
      <c r="AG42" s="1228" t="s">
        <v>1158</v>
      </c>
      <c r="AH42" s="2065"/>
      <c r="AI42" s="2065"/>
      <c r="AJ42" s="2065"/>
      <c r="AK42" s="2065"/>
    </row>
    <row r="43" spans="2:60">
      <c r="B43" s="2056"/>
      <c r="C43" s="2057"/>
      <c r="D43" s="2057"/>
      <c r="E43" s="2057"/>
      <c r="F43" s="2057"/>
      <c r="G43" s="2057"/>
      <c r="H43" s="2057"/>
      <c r="I43" s="2057"/>
      <c r="J43" s="2058"/>
      <c r="K43" s="2059"/>
      <c r="L43" s="2059"/>
      <c r="M43" s="2059"/>
      <c r="N43" s="2059"/>
      <c r="O43" s="2060"/>
      <c r="P43" s="2061"/>
      <c r="Q43" s="2062"/>
      <c r="R43" s="2063"/>
      <c r="S43" s="2064"/>
      <c r="T43" s="2064"/>
      <c r="U43" s="2064"/>
      <c r="V43" s="2064"/>
      <c r="W43" s="2036">
        <f>ROUNDDOWN(R43*1.1,0)</f>
        <v>0</v>
      </c>
      <c r="X43" s="2037"/>
      <c r="Y43" s="2037"/>
      <c r="Z43" s="2037"/>
      <c r="AA43" s="2037"/>
      <c r="AB43" s="2036">
        <f>MIN(W43,205000)</f>
        <v>0</v>
      </c>
      <c r="AC43" s="2055"/>
      <c r="AD43" s="2055"/>
      <c r="AE43" s="2055"/>
      <c r="AF43" s="2055"/>
      <c r="AG43" s="2036">
        <f xml:space="preserve">
IF(COUNTA(B43:V43)=4,P43*AB43,
IF(AND(COUNTA(B43:V43)&gt;=1,COUNTA(B43:V43)&lt;4),0,
IF(COUNTA(B43:V43)=0,0)))</f>
        <v>0</v>
      </c>
      <c r="AH43" s="2037"/>
      <c r="AI43" s="2037"/>
      <c r="AJ43" s="2037"/>
      <c r="AK43" s="2037"/>
      <c r="BG43" s="741" t="str">
        <f xml:space="preserve">
IF(COUNTA(B43:V43)=4,"◎",
IF(AND(COUNTA(B43:V43)&gt;=1,COUNTA(B43:V43)&lt;4),"×",
IF(COUNTA(B43:V43)=0,"○")))</f>
        <v>○</v>
      </c>
      <c r="BH43" s="544" t="str">
        <f xml:space="preserve">
IF(COUNTA(B43:V43)=4,"適切に入力がされました。",
IF(AND(COUNTA(B43:V43)&gt;=1,COUNTA(B43:V43)&lt;4),"【要修正】未入力の箇所があります。",
IF(COUNTA(B43:V43)=0,"申請しない場合は入力不要です。")))</f>
        <v>申請しない場合は入力不要です。</v>
      </c>
    </row>
    <row r="44" spans="2:60">
      <c r="B44" s="2056"/>
      <c r="C44" s="2057"/>
      <c r="D44" s="2057"/>
      <c r="E44" s="2057"/>
      <c r="F44" s="2057"/>
      <c r="G44" s="2057"/>
      <c r="H44" s="2057"/>
      <c r="I44" s="2057"/>
      <c r="J44" s="2058"/>
      <c r="K44" s="2059"/>
      <c r="L44" s="2059"/>
      <c r="M44" s="2059"/>
      <c r="N44" s="2059"/>
      <c r="O44" s="2060"/>
      <c r="P44" s="2061"/>
      <c r="Q44" s="2062"/>
      <c r="R44" s="2063"/>
      <c r="S44" s="2064"/>
      <c r="T44" s="2064"/>
      <c r="U44" s="2064"/>
      <c r="V44" s="2064"/>
      <c r="W44" s="2036">
        <f>ROUNDDOWN(R44*1.1,0)</f>
        <v>0</v>
      </c>
      <c r="X44" s="2037"/>
      <c r="Y44" s="2037"/>
      <c r="Z44" s="2037"/>
      <c r="AA44" s="2037"/>
      <c r="AB44" s="2082">
        <f>MIN(W44,205000)</f>
        <v>0</v>
      </c>
      <c r="AC44" s="2083"/>
      <c r="AD44" s="2083"/>
      <c r="AE44" s="2083"/>
      <c r="AF44" s="2084"/>
      <c r="AG44" s="2036">
        <f xml:space="preserve">
IF(COUNTA(B44:V44)=4,P44*AB44,
IF(AND(COUNTA(B44:V44)&gt;=1,COUNTA(B44:V44)&lt;4),0,
IF(COUNTA(B44:V44)=0,0)))</f>
        <v>0</v>
      </c>
      <c r="AH44" s="2037"/>
      <c r="AI44" s="2037"/>
      <c r="AJ44" s="2037"/>
      <c r="AK44" s="2037"/>
      <c r="BG44" s="741" t="str">
        <f xml:space="preserve">
IF(COUNTA(B44:V44)=4,"◎",
IF(AND(COUNTA(B44:V44)&gt;=1,COUNTA(B44:V44)&lt;4),"×",
IF(COUNTA(B44:V44)=0,"○")))</f>
        <v>○</v>
      </c>
      <c r="BH44" s="544" t="str">
        <f xml:space="preserve">
IF(COUNTA(B44:V44)=4,"適切に入力がされました。",
IF(AND(COUNTA(B44:V44)&gt;=1,COUNTA(B44:V44)&lt;4),"【要修正】未入力の箇所があります。",
IF(COUNTA(B44:V44)=0,"申請しない場合は入力不要です。")))</f>
        <v>申請しない場合は入力不要です。</v>
      </c>
    </row>
    <row r="45" spans="2:60">
      <c r="B45" s="2056"/>
      <c r="C45" s="2057"/>
      <c r="D45" s="2057"/>
      <c r="E45" s="2057"/>
      <c r="F45" s="2057"/>
      <c r="G45" s="2057"/>
      <c r="H45" s="2057"/>
      <c r="I45" s="2057"/>
      <c r="J45" s="2058"/>
      <c r="K45" s="2059"/>
      <c r="L45" s="2059"/>
      <c r="M45" s="2059"/>
      <c r="N45" s="2059"/>
      <c r="O45" s="2060"/>
      <c r="P45" s="2061"/>
      <c r="Q45" s="2062"/>
      <c r="R45" s="2063"/>
      <c r="S45" s="2064"/>
      <c r="T45" s="2064"/>
      <c r="U45" s="2064"/>
      <c r="V45" s="2064"/>
      <c r="W45" s="2036">
        <f>ROUNDDOWN(R45*1.1,0)</f>
        <v>0</v>
      </c>
      <c r="X45" s="2037"/>
      <c r="Y45" s="2037"/>
      <c r="Z45" s="2037"/>
      <c r="AA45" s="2037"/>
      <c r="AB45" s="2082">
        <f>MIN(W45,205000)</f>
        <v>0</v>
      </c>
      <c r="AC45" s="2083"/>
      <c r="AD45" s="2083"/>
      <c r="AE45" s="2083"/>
      <c r="AF45" s="2084"/>
      <c r="AG45" s="2036">
        <f xml:space="preserve">
IF(COUNTA(B45:V45)=4,P45*AB45,
IF(AND(COUNTA(B45:V45)&gt;=1,COUNTA(B45:V45)&lt;4),0,
IF(COUNTA(B45:V45)=0,0)))</f>
        <v>0</v>
      </c>
      <c r="AH45" s="2037"/>
      <c r="AI45" s="2037"/>
      <c r="AJ45" s="2037"/>
      <c r="AK45" s="2037"/>
      <c r="BG45" s="741" t="str">
        <f xml:space="preserve">
IF(COUNTA(B45:V45)=4,"◎",
IF(AND(COUNTA(B45:V45)&gt;=1,COUNTA(B45:V45)&lt;4),"×",
IF(COUNTA(B45:V45)=0,"○")))</f>
        <v>○</v>
      </c>
      <c r="BH45" s="544" t="str">
        <f xml:space="preserve">
IF(COUNTA(B45:V45)=4,"適切に入力がされました。",
IF(AND(COUNTA(B45:V45)&gt;=1,COUNTA(B45:V45)&lt;4),"【要修正】未入力の箇所があります。",
IF(COUNTA(B45:V45)=0,"申請しない場合は入力不要です。")))</f>
        <v>申請しない場合は入力不要です。</v>
      </c>
    </row>
    <row r="46" spans="2:60" ht="24.75" thickBot="1">
      <c r="B46" s="2046"/>
      <c r="C46" s="2047"/>
      <c r="D46" s="2047"/>
      <c r="E46" s="2047"/>
      <c r="F46" s="2047"/>
      <c r="G46" s="2047"/>
      <c r="H46" s="2047"/>
      <c r="I46" s="2047"/>
      <c r="J46" s="2048"/>
      <c r="K46" s="2049"/>
      <c r="L46" s="2049"/>
      <c r="M46" s="2049"/>
      <c r="N46" s="2049"/>
      <c r="O46" s="2050"/>
      <c r="P46" s="2051"/>
      <c r="Q46" s="2052"/>
      <c r="R46" s="2053"/>
      <c r="S46" s="2054"/>
      <c r="T46" s="2054"/>
      <c r="U46" s="2054"/>
      <c r="V46" s="2054"/>
      <c r="W46" s="2075">
        <f>ROUNDDOWN(R46*1.1,0)</f>
        <v>0</v>
      </c>
      <c r="X46" s="2076"/>
      <c r="Y46" s="2076"/>
      <c r="Z46" s="2076"/>
      <c r="AA46" s="2076"/>
      <c r="AB46" s="2077">
        <f>MIN(W46,205000)</f>
        <v>0</v>
      </c>
      <c r="AC46" s="2078"/>
      <c r="AD46" s="2078"/>
      <c r="AE46" s="2078"/>
      <c r="AF46" s="2079"/>
      <c r="AG46" s="2036">
        <f xml:space="preserve">
IF(COUNTA(B46:V46)=4,P46*AB46,
IF(AND(COUNTA(B46:V46)&gt;=1,COUNTA(B46:V46)&lt;4),0,
IF(COUNTA(B46:V46)=0,0)))</f>
        <v>0</v>
      </c>
      <c r="AH46" s="2037"/>
      <c r="AI46" s="2037"/>
      <c r="AJ46" s="2037"/>
      <c r="AK46" s="2037"/>
      <c r="BG46" s="745" t="str">
        <f xml:space="preserve">
IF(COUNTA(B46:V46)=4,"◎",
IF(AND(COUNTA(B46:V46)&gt;=1,COUNTA(B46:V46)&lt;4),"×",
IF(COUNTA(B46:V46)=0,"○")))</f>
        <v>○</v>
      </c>
      <c r="BH46" s="549" t="str">
        <f xml:space="preserve">
IF(COUNTA(B46:V46)=4,"適切に入力がされました。",
IF(AND(COUNTA(B46:V46)&gt;=1,COUNTA(B46:V46)&lt;4),"【要修正】未入力の箇所があります。",
IF(COUNTA(B46:V46)=0,"申請しない場合は入力不要です。")))</f>
        <v>申請しない場合は入力不要です。</v>
      </c>
    </row>
    <row r="47" spans="2:60" ht="24.75" thickTop="1">
      <c r="B47" s="2038" t="s">
        <v>514</v>
      </c>
      <c r="C47" s="2039"/>
      <c r="D47" s="2039"/>
      <c r="E47" s="2039"/>
      <c r="F47" s="2039"/>
      <c r="G47" s="2039"/>
      <c r="H47" s="2039"/>
      <c r="I47" s="2039"/>
      <c r="J47" s="2039"/>
      <c r="K47" s="2039"/>
      <c r="L47" s="2039"/>
      <c r="M47" s="2039"/>
      <c r="N47" s="2039"/>
      <c r="O47" s="2039"/>
      <c r="P47" s="2040">
        <f>SUM(P43:Q46)</f>
        <v>0</v>
      </c>
      <c r="Q47" s="2041"/>
      <c r="R47" s="750"/>
      <c r="S47" s="748"/>
      <c r="T47" s="748"/>
      <c r="U47" s="748"/>
      <c r="V47" s="748"/>
      <c r="W47" s="2045"/>
      <c r="X47" s="2080"/>
      <c r="Y47" s="2080"/>
      <c r="Z47" s="2080"/>
      <c r="AA47" s="2081"/>
      <c r="AB47" s="748"/>
      <c r="AC47" s="748"/>
      <c r="AD47" s="748"/>
      <c r="AE47" s="748"/>
      <c r="AF47" s="749"/>
      <c r="AG47" s="2045">
        <f xml:space="preserve">
IF(COUNTIF(BG43:BG46,"○")=4,0,
IF(COUNTIF(BG43:BG46,"×")&gt;=1,0,
IF(AND(COUNTIF(BG43:BG46,"×")=0,COUNTIF(BG43:BG46,"◎")&gt;=1),SUM(AG43:AK46))))</f>
        <v>0</v>
      </c>
      <c r="AH47" s="2043"/>
      <c r="AI47" s="2043"/>
      <c r="AJ47" s="2043"/>
      <c r="AK47" s="2044"/>
      <c r="BG47" s="550" t="str">
        <f xml:space="preserve">
IF(COUNTIF(BG43:BG46,"○")=4,"○",
IF(COUNTIF(BG43:BG46,"×")&gt;=1,"×",
IF(AND(COUNTIF(BG43:BG46,"×")=0,COUNTIF(BG43:BG46,"◎")&gt;=1),"◎")))</f>
        <v>○</v>
      </c>
      <c r="BH47" s="551" t="str">
        <f xml:space="preserve">
IF(COUNTIF(BG43:BG46,"○")=4,"申請しない場合は入力不要です。",
IF(COUNTIF(BG43:BG46,"×")&gt;=1,"【要修正】入力不十分の箇所があるため金額が表示できません。",
IF(AND(COUNTIF(BG43:BG46,"×")=0,COUNTIF(BG43:BG46,"◎")&gt;=1),"適切に入力がされました。")))</f>
        <v>申請しない場合は入力不要です。</v>
      </c>
    </row>
    <row r="48" spans="2:60">
      <c r="B48" s="556"/>
      <c r="C48" s="557"/>
      <c r="D48" s="557"/>
      <c r="E48" s="557"/>
      <c r="F48" s="557"/>
      <c r="G48" s="557"/>
      <c r="H48" s="557"/>
      <c r="I48" s="557"/>
      <c r="J48" s="557"/>
      <c r="K48" s="557"/>
      <c r="L48" s="557"/>
      <c r="M48" s="557"/>
      <c r="N48" s="557"/>
      <c r="O48" s="557"/>
      <c r="P48" s="557"/>
      <c r="Q48" s="557"/>
      <c r="R48" s="557"/>
      <c r="S48" s="557"/>
      <c r="T48" s="557"/>
      <c r="U48" s="743"/>
      <c r="V48" s="744"/>
      <c r="W48" s="743"/>
      <c r="X48" s="744"/>
      <c r="Y48" s="744"/>
      <c r="Z48" s="744"/>
      <c r="AA48" s="744"/>
      <c r="AB48" s="2032" t="s">
        <v>1323</v>
      </c>
      <c r="AC48" s="2033"/>
      <c r="AD48" s="2033"/>
      <c r="AE48" s="2033"/>
      <c r="AF48" s="2033"/>
      <c r="AG48" s="2034">
        <f>SUM(P43*W43,P44*W44,P45*W45,P46*W46)</f>
        <v>0</v>
      </c>
      <c r="AH48" s="2035"/>
      <c r="AI48" s="2035"/>
      <c r="AJ48" s="2035"/>
      <c r="AK48" s="2035"/>
    </row>
    <row r="49" spans="2:60">
      <c r="B49" s="545" t="s">
        <v>1167</v>
      </c>
      <c r="C49" s="545"/>
      <c r="D49" s="545"/>
      <c r="E49" s="545"/>
      <c r="F49" s="545"/>
      <c r="G49" s="545"/>
      <c r="H49" s="545"/>
      <c r="I49" s="545"/>
      <c r="J49" s="545"/>
      <c r="K49" s="545"/>
      <c r="L49" s="545"/>
      <c r="M49" s="545"/>
      <c r="N49" s="545"/>
      <c r="O49" s="545"/>
      <c r="P49" s="545"/>
      <c r="Q49" s="545"/>
      <c r="R49" s="545"/>
      <c r="S49" s="545"/>
      <c r="T49" s="545"/>
      <c r="U49" s="545"/>
      <c r="V49" s="545"/>
      <c r="W49" s="545"/>
      <c r="X49" s="545"/>
      <c r="Y49" s="545"/>
      <c r="Z49" s="545"/>
      <c r="AA49" s="545"/>
      <c r="AB49" s="545"/>
      <c r="AC49" s="545"/>
      <c r="AD49" s="545"/>
      <c r="AE49" s="545"/>
      <c r="AF49" s="545"/>
      <c r="AG49" s="545"/>
      <c r="AH49" s="545"/>
      <c r="AI49" s="545"/>
      <c r="AJ49" s="545"/>
      <c r="AK49" s="545"/>
    </row>
    <row r="50" spans="2:60">
      <c r="B50" s="746" t="s">
        <v>1150</v>
      </c>
    </row>
    <row r="51" spans="2:60" ht="48" customHeight="1">
      <c r="B51" s="554" t="s">
        <v>1052</v>
      </c>
      <c r="C51" s="2072" t="s">
        <v>1296</v>
      </c>
      <c r="D51" s="2073"/>
      <c r="E51" s="2073"/>
      <c r="F51" s="2073"/>
      <c r="G51" s="2073"/>
      <c r="H51" s="2073"/>
      <c r="I51" s="2073"/>
      <c r="J51" s="2073"/>
      <c r="K51" s="2073"/>
      <c r="L51" s="2073"/>
      <c r="M51" s="2073"/>
      <c r="N51" s="2073"/>
      <c r="O51" s="2073"/>
      <c r="P51" s="2073"/>
      <c r="Q51" s="2073"/>
      <c r="R51" s="2073"/>
      <c r="S51" s="2073"/>
      <c r="T51" s="2073"/>
      <c r="U51" s="2073"/>
      <c r="V51" s="2073"/>
      <c r="W51" s="2073"/>
      <c r="X51" s="2073"/>
      <c r="Y51" s="2073"/>
      <c r="Z51" s="2073"/>
      <c r="AA51" s="2073"/>
      <c r="AB51" s="2073"/>
      <c r="AC51" s="2073"/>
      <c r="AD51" s="2073"/>
      <c r="AE51" s="2073"/>
      <c r="AF51" s="2073"/>
      <c r="AG51" s="2073"/>
      <c r="AH51" s="2073"/>
      <c r="AI51" s="2073"/>
      <c r="AJ51" s="2073"/>
      <c r="AK51" s="2074"/>
    </row>
    <row r="52" spans="2:60">
      <c r="B52" s="548" t="s">
        <v>1053</v>
      </c>
      <c r="C52" s="552" t="s">
        <v>1168</v>
      </c>
      <c r="D52" s="552"/>
      <c r="E52" s="552"/>
      <c r="F52" s="552"/>
      <c r="G52" s="552"/>
      <c r="H52" s="552"/>
      <c r="I52" s="552"/>
      <c r="J52" s="552"/>
      <c r="K52" s="552"/>
      <c r="L52" s="552"/>
      <c r="M52" s="552"/>
      <c r="N52" s="552"/>
      <c r="O52" s="552"/>
      <c r="P52" s="552"/>
      <c r="Q52" s="552"/>
      <c r="R52" s="552"/>
      <c r="S52" s="552"/>
      <c r="T52" s="552"/>
      <c r="U52" s="552"/>
      <c r="V52" s="552"/>
      <c r="W52" s="552"/>
      <c r="X52" s="552"/>
      <c r="Y52" s="552"/>
      <c r="Z52" s="552"/>
      <c r="AA52" s="552"/>
      <c r="AB52" s="552"/>
      <c r="AC52" s="552"/>
      <c r="AD52" s="552"/>
      <c r="AE52" s="552"/>
      <c r="AF52" s="552"/>
      <c r="AG52" s="552"/>
      <c r="AH52" s="552"/>
      <c r="AI52" s="552"/>
      <c r="AJ52" s="552"/>
      <c r="AK52" s="553"/>
    </row>
    <row r="53" spans="2:60">
      <c r="B53" s="611"/>
      <c r="C53" s="342"/>
      <c r="D53" s="342"/>
      <c r="E53" s="342"/>
      <c r="F53" s="342"/>
      <c r="G53" s="342"/>
      <c r="H53" s="342"/>
      <c r="I53" s="342"/>
      <c r="J53" s="342"/>
      <c r="K53" s="342"/>
      <c r="L53" s="342"/>
      <c r="M53" s="342"/>
      <c r="N53" s="342"/>
      <c r="O53" s="342"/>
      <c r="P53" s="342"/>
      <c r="Q53" s="342"/>
      <c r="R53" s="342"/>
      <c r="S53" s="342"/>
      <c r="T53" s="342"/>
      <c r="U53" s="342"/>
      <c r="V53" s="342"/>
      <c r="W53" s="342"/>
      <c r="X53" s="342"/>
      <c r="Y53" s="342"/>
      <c r="Z53" s="342"/>
      <c r="AA53" s="342"/>
      <c r="AB53" s="342"/>
      <c r="AC53" s="342"/>
      <c r="AD53" s="342"/>
      <c r="AE53" s="342"/>
      <c r="AF53" s="342"/>
      <c r="AG53" s="342"/>
      <c r="AH53" s="342"/>
      <c r="AI53" s="342"/>
      <c r="AJ53" s="342"/>
      <c r="AK53" s="342"/>
      <c r="BG53" s="619"/>
      <c r="BH53" s="620"/>
    </row>
    <row r="54" spans="2:60">
      <c r="B54" s="617" t="str">
        <f xml:space="preserve">
IF(表紙!$X$2="事前協議","（１）納品予定日",
IF(表紙!$X$2="交付申請（２次）","（１）納品予定日",
IF(表紙!$X$2="変更申請","（２）納品予定日",
IF(表紙!$X$2="実績報告（１次）","（１）最終納品日",
IF(表紙!$X$2="実績報告（２次）","（１）最終納品日",
IF(表紙!$X$2="交付申請兼実績報告","（１）最終納品日"))))))</f>
        <v>（１）納品予定日</v>
      </c>
      <c r="C54" s="342"/>
      <c r="D54" s="342"/>
      <c r="E54" s="342"/>
      <c r="F54" s="342"/>
      <c r="G54" s="342"/>
      <c r="H54" s="342"/>
      <c r="I54" s="342"/>
      <c r="J54" s="342"/>
      <c r="K54" s="342"/>
      <c r="L54" s="342"/>
      <c r="M54" s="342"/>
      <c r="N54" s="342"/>
      <c r="O54" s="342"/>
      <c r="P54" s="342"/>
      <c r="Q54" s="342"/>
      <c r="R54" s="342"/>
      <c r="S54" s="342"/>
      <c r="T54" s="342"/>
      <c r="U54" s="342"/>
      <c r="V54" s="342"/>
      <c r="W54" s="342"/>
      <c r="X54" s="342"/>
      <c r="Y54" s="342"/>
      <c r="Z54" s="342"/>
      <c r="AA54" s="342"/>
      <c r="AB54" s="342"/>
      <c r="AC54" s="342"/>
      <c r="AD54" s="342"/>
      <c r="AE54" s="342"/>
      <c r="AF54" s="342"/>
      <c r="AG54" s="342"/>
      <c r="AH54" s="342"/>
      <c r="AI54" s="342"/>
      <c r="AJ54" s="342"/>
      <c r="AK54" s="342"/>
      <c r="BG54" s="741" t="s">
        <v>100</v>
      </c>
      <c r="BH54" s="739" t="s">
        <v>61</v>
      </c>
    </row>
    <row r="55" spans="2:60">
      <c r="B55" s="2070" t="s">
        <v>1395</v>
      </c>
      <c r="C55" s="863"/>
      <c r="D55" s="2127"/>
      <c r="E55" s="2128"/>
      <c r="F55" s="740" t="s">
        <v>1396</v>
      </c>
      <c r="G55" s="2127"/>
      <c r="H55" s="2128"/>
      <c r="I55" s="740" t="s">
        <v>1397</v>
      </c>
      <c r="J55" s="2127"/>
      <c r="K55" s="2128"/>
      <c r="L55" s="740" t="s">
        <v>1398</v>
      </c>
      <c r="M55" s="342"/>
      <c r="N55" s="342"/>
      <c r="O55" s="342"/>
      <c r="P55" s="342"/>
      <c r="Q55" s="342"/>
      <c r="R55" s="342"/>
      <c r="S55" s="342"/>
      <c r="T55" s="342"/>
      <c r="U55" s="342"/>
      <c r="V55" s="342"/>
      <c r="W55" s="342"/>
      <c r="X55" s="342"/>
      <c r="Y55" s="342"/>
      <c r="Z55" s="342"/>
      <c r="AA55" s="342"/>
      <c r="AB55" s="342"/>
      <c r="AC55" s="342"/>
      <c r="AD55" s="342"/>
      <c r="AE55" s="342"/>
      <c r="AF55" s="342"/>
      <c r="AG55" s="342"/>
      <c r="AH55" s="342"/>
      <c r="AI55" s="342"/>
      <c r="AJ55" s="342"/>
      <c r="AK55" s="342"/>
      <c r="BG55" s="741" t="str">
        <f xml:space="preserve">
IF(COUNTA(D55,G55,J55)=0,"○",
IF(AND(COUNTA(D55,G55,J55)&gt;=1,COUNTA(D55,G55,J55)&lt;3),"×",
IF(COUNTA(D55,G55,J55)=3,"◎")))</f>
        <v>○</v>
      </c>
      <c r="BH55" s="544" t="str">
        <f xml:space="preserve">
IF(COUNTA(D55,G55,J55)=0,"申請しない場合は入力不要です。",
IF(AND(COUNTA(D55,G55,J55)&gt;=1,COUNTA(D55,G55,J55)&lt;3),"【要修正】未入力の箇所があります。",
IF(COUNTA(D55,G55,J55)=3,"適切に入力がされました。")))</f>
        <v>申請しない場合は入力不要です。</v>
      </c>
    </row>
    <row r="56" spans="2:60">
      <c r="B56" s="611"/>
      <c r="C56" s="342"/>
      <c r="D56" s="342"/>
      <c r="E56" s="342"/>
      <c r="F56" s="342"/>
      <c r="G56" s="342"/>
      <c r="H56" s="342"/>
      <c r="I56" s="342"/>
      <c r="J56" s="342"/>
      <c r="K56" s="342"/>
      <c r="L56" s="342"/>
      <c r="M56" s="342"/>
      <c r="N56" s="342"/>
      <c r="O56" s="342"/>
      <c r="P56" s="342"/>
      <c r="Q56" s="342"/>
      <c r="R56" s="342"/>
      <c r="S56" s="342"/>
      <c r="T56" s="342"/>
      <c r="U56" s="342"/>
      <c r="V56" s="342"/>
      <c r="W56" s="342"/>
      <c r="X56" s="342"/>
      <c r="Y56" s="342"/>
      <c r="Z56" s="342"/>
      <c r="AA56" s="342"/>
      <c r="AB56" s="342"/>
      <c r="AC56" s="342"/>
      <c r="AD56" s="342"/>
      <c r="AE56" s="342"/>
      <c r="AF56" s="342"/>
      <c r="AG56" s="342"/>
      <c r="AH56" s="342"/>
      <c r="AI56" s="342"/>
      <c r="AJ56" s="342"/>
      <c r="AK56" s="342"/>
      <c r="BH56" s="746"/>
    </row>
    <row r="57" spans="2:60">
      <c r="B57" s="746" t="s">
        <v>1403</v>
      </c>
    </row>
    <row r="58" spans="2:60">
      <c r="B58" s="2066" t="s">
        <v>54</v>
      </c>
      <c r="C58" s="2067"/>
      <c r="D58" s="2067"/>
      <c r="E58" s="2067"/>
      <c r="F58" s="2067"/>
      <c r="G58" s="2067"/>
      <c r="H58" s="2067"/>
      <c r="I58" s="2067"/>
      <c r="J58" s="2066" t="s">
        <v>1154</v>
      </c>
      <c r="K58" s="2068"/>
      <c r="L58" s="2068"/>
      <c r="M58" s="2068"/>
      <c r="N58" s="2068"/>
      <c r="O58" s="2069"/>
      <c r="P58" s="2070" t="s">
        <v>49</v>
      </c>
      <c r="Q58" s="2071"/>
      <c r="R58" s="1228" t="s">
        <v>50</v>
      </c>
      <c r="S58" s="2065"/>
      <c r="T58" s="2065"/>
      <c r="U58" s="2065"/>
      <c r="V58" s="2065"/>
      <c r="W58" s="1228" t="s">
        <v>1157</v>
      </c>
      <c r="X58" s="2065"/>
      <c r="Y58" s="2065"/>
      <c r="Z58" s="2065"/>
      <c r="AA58" s="2065"/>
      <c r="AB58" s="2070" t="s">
        <v>1166</v>
      </c>
      <c r="AC58" s="2071"/>
      <c r="AD58" s="2071"/>
      <c r="AE58" s="2071"/>
      <c r="AF58" s="2071"/>
      <c r="AG58" s="1228" t="s">
        <v>1158</v>
      </c>
      <c r="AH58" s="2065"/>
      <c r="AI58" s="2065"/>
      <c r="AJ58" s="2065"/>
      <c r="AK58" s="2065"/>
    </row>
    <row r="59" spans="2:60">
      <c r="B59" s="2056"/>
      <c r="C59" s="2057"/>
      <c r="D59" s="2057"/>
      <c r="E59" s="2057"/>
      <c r="F59" s="2057"/>
      <c r="G59" s="2057"/>
      <c r="H59" s="2057"/>
      <c r="I59" s="2057"/>
      <c r="J59" s="2058"/>
      <c r="K59" s="2059"/>
      <c r="L59" s="2059"/>
      <c r="M59" s="2059"/>
      <c r="N59" s="2059"/>
      <c r="O59" s="2060"/>
      <c r="P59" s="2061"/>
      <c r="Q59" s="2062"/>
      <c r="R59" s="2063"/>
      <c r="S59" s="2064"/>
      <c r="T59" s="2064"/>
      <c r="U59" s="2064"/>
      <c r="V59" s="2064"/>
      <c r="W59" s="2036">
        <f>ROUNDDOWN(R59*1.1,0)</f>
        <v>0</v>
      </c>
      <c r="X59" s="2037"/>
      <c r="Y59" s="2037"/>
      <c r="Z59" s="2037"/>
      <c r="AA59" s="2037"/>
      <c r="AB59" s="2036">
        <f>MIN(W59,51400)</f>
        <v>0</v>
      </c>
      <c r="AC59" s="2055"/>
      <c r="AD59" s="2055"/>
      <c r="AE59" s="2055"/>
      <c r="AF59" s="2055"/>
      <c r="AG59" s="2036">
        <f xml:space="preserve">
IF(COUNTA(B59:V59)=4,P59*AB59,
IF(AND(COUNTA(B59:V59)&gt;=1,COUNTA(B59:V59)&lt;4),0,
IF(COUNTA(B59:V59)=0,0)))</f>
        <v>0</v>
      </c>
      <c r="AH59" s="2037"/>
      <c r="AI59" s="2037"/>
      <c r="AJ59" s="2037"/>
      <c r="AK59" s="2037"/>
      <c r="BG59" s="741" t="str">
        <f xml:space="preserve">
IF(COUNTA(B59:V59)=4,"◎",
IF(AND(COUNTA(B59:V59)&gt;=1,COUNTA(B59:V59)&lt;4),"×",
IF(COUNTA(B59:V59)=0,"○")))</f>
        <v>○</v>
      </c>
      <c r="BH59" s="544" t="str">
        <f xml:space="preserve">
IF(COUNTA(B59:V59)=4,"適切に入力がされました。",
IF(AND(COUNTA(B59:V59)&gt;=1,COUNTA(B59:V59)&lt;4),"【要修正】未入力の箇所があります。",
IF(COUNTA(B59:V59)=0,"申請しない場合は入力不要です。")))</f>
        <v>申請しない場合は入力不要です。</v>
      </c>
    </row>
    <row r="60" spans="2:60">
      <c r="B60" s="2056"/>
      <c r="C60" s="2057"/>
      <c r="D60" s="2057"/>
      <c r="E60" s="2057"/>
      <c r="F60" s="2057"/>
      <c r="G60" s="2057"/>
      <c r="H60" s="2057"/>
      <c r="I60" s="2057"/>
      <c r="J60" s="2058"/>
      <c r="K60" s="2059"/>
      <c r="L60" s="2059"/>
      <c r="M60" s="2059"/>
      <c r="N60" s="2059"/>
      <c r="O60" s="2060"/>
      <c r="P60" s="2061"/>
      <c r="Q60" s="2062"/>
      <c r="R60" s="2063"/>
      <c r="S60" s="2064"/>
      <c r="T60" s="2064"/>
      <c r="U60" s="2064"/>
      <c r="V60" s="2064"/>
      <c r="W60" s="2036">
        <f>ROUNDDOWN(R60*1.1,0)</f>
        <v>0</v>
      </c>
      <c r="X60" s="2037"/>
      <c r="Y60" s="2037"/>
      <c r="Z60" s="2037"/>
      <c r="AA60" s="2037"/>
      <c r="AB60" s="2036">
        <f>MIN(W60,51400)</f>
        <v>0</v>
      </c>
      <c r="AC60" s="2055"/>
      <c r="AD60" s="2055"/>
      <c r="AE60" s="2055"/>
      <c r="AF60" s="2055"/>
      <c r="AG60" s="2036">
        <f xml:space="preserve">
IF(COUNTA(B60:V60)=4,P60*AB60,
IF(AND(COUNTA(B60:V60)&gt;=1,COUNTA(B60:V60)&lt;4),0,
IF(COUNTA(B60:V60)=0,0)))</f>
        <v>0</v>
      </c>
      <c r="AH60" s="2037"/>
      <c r="AI60" s="2037"/>
      <c r="AJ60" s="2037"/>
      <c r="AK60" s="2037"/>
      <c r="BG60" s="741" t="str">
        <f xml:space="preserve">
IF(COUNTA(B60:V60)=4,"◎",
IF(AND(COUNTA(B60:V60)&gt;=1,COUNTA(B60:V60)&lt;4),"×",
IF(COUNTA(B60:V60)=0,"○")))</f>
        <v>○</v>
      </c>
      <c r="BH60" s="544" t="str">
        <f xml:space="preserve">
IF(COUNTA(B60:V60)=4,"適切に入力がされました。",
IF(AND(COUNTA(B60:V60)&gt;=1,COUNTA(B60:V60)&lt;4),"【要修正】未入力の箇所があります。",
IF(COUNTA(B60:V60)=0,"申請しない場合は入力不要です。")))</f>
        <v>申請しない場合は入力不要です。</v>
      </c>
    </row>
    <row r="61" spans="2:60">
      <c r="B61" s="2056"/>
      <c r="C61" s="2057"/>
      <c r="D61" s="2057"/>
      <c r="E61" s="2057"/>
      <c r="F61" s="2057"/>
      <c r="G61" s="2057"/>
      <c r="H61" s="2057"/>
      <c r="I61" s="2057"/>
      <c r="J61" s="2058"/>
      <c r="K61" s="2059"/>
      <c r="L61" s="2059"/>
      <c r="M61" s="2059"/>
      <c r="N61" s="2059"/>
      <c r="O61" s="2060"/>
      <c r="P61" s="2061"/>
      <c r="Q61" s="2062"/>
      <c r="R61" s="2063"/>
      <c r="S61" s="2064"/>
      <c r="T61" s="2064"/>
      <c r="U61" s="2064"/>
      <c r="V61" s="2064"/>
      <c r="W61" s="2036">
        <f>ROUNDDOWN(R61*1.1,0)</f>
        <v>0</v>
      </c>
      <c r="X61" s="2037"/>
      <c r="Y61" s="2037"/>
      <c r="Z61" s="2037"/>
      <c r="AA61" s="2037"/>
      <c r="AB61" s="2036">
        <f>MIN(W61,51400)</f>
        <v>0</v>
      </c>
      <c r="AC61" s="2055"/>
      <c r="AD61" s="2055"/>
      <c r="AE61" s="2055"/>
      <c r="AF61" s="2055"/>
      <c r="AG61" s="2036">
        <f xml:space="preserve">
IF(COUNTA(B61:V61)=4,P61*AB61,
IF(AND(COUNTA(B61:V61)&gt;=1,COUNTA(B61:V61)&lt;4),0,
IF(COUNTA(B61:V61)=0,0)))</f>
        <v>0</v>
      </c>
      <c r="AH61" s="2037"/>
      <c r="AI61" s="2037"/>
      <c r="AJ61" s="2037"/>
      <c r="AK61" s="2037"/>
      <c r="BG61" s="741" t="str">
        <f xml:space="preserve">
IF(COUNTA(B61:V61)=4,"◎",
IF(AND(COUNTA(B61:V61)&gt;=1,COUNTA(B61:V61)&lt;4),"×",
IF(COUNTA(B61:V61)=0,"○")))</f>
        <v>○</v>
      </c>
      <c r="BH61" s="544" t="str">
        <f xml:space="preserve">
IF(COUNTA(B61:V61)=4,"適切に入力がされました。",
IF(AND(COUNTA(B61:V61)&gt;=1,COUNTA(B61:V61)&lt;4),"【要修正】未入力の箇所があります。",
IF(COUNTA(B61:V61)=0,"申請しない場合は入力不要です。")))</f>
        <v>申請しない場合は入力不要です。</v>
      </c>
    </row>
    <row r="62" spans="2:60" ht="24.75" thickBot="1">
      <c r="B62" s="2046"/>
      <c r="C62" s="2047"/>
      <c r="D62" s="2047"/>
      <c r="E62" s="2047"/>
      <c r="F62" s="2047"/>
      <c r="G62" s="2047"/>
      <c r="H62" s="2047"/>
      <c r="I62" s="2047"/>
      <c r="J62" s="2048"/>
      <c r="K62" s="2049"/>
      <c r="L62" s="2049"/>
      <c r="M62" s="2049"/>
      <c r="N62" s="2049"/>
      <c r="O62" s="2050"/>
      <c r="P62" s="2051"/>
      <c r="Q62" s="2052"/>
      <c r="R62" s="2053"/>
      <c r="S62" s="2054"/>
      <c r="T62" s="2054"/>
      <c r="U62" s="2054"/>
      <c r="V62" s="2054"/>
      <c r="W62" s="2036">
        <f>ROUNDDOWN(R62*1.1,0)</f>
        <v>0</v>
      </c>
      <c r="X62" s="2037"/>
      <c r="Y62" s="2037"/>
      <c r="Z62" s="2037"/>
      <c r="AA62" s="2037"/>
      <c r="AB62" s="2036">
        <f>MIN(W62,51400)</f>
        <v>0</v>
      </c>
      <c r="AC62" s="2055"/>
      <c r="AD62" s="2055"/>
      <c r="AE62" s="2055"/>
      <c r="AF62" s="2055"/>
      <c r="AG62" s="2036">
        <f xml:space="preserve">
IF(COUNTA(B62:V62)=4,P62*AB62,
IF(AND(COUNTA(B62:V62)&gt;=1,COUNTA(B62:V62)&lt;4),0,
IF(COUNTA(B62:V62)=0,0)))</f>
        <v>0</v>
      </c>
      <c r="AH62" s="2037"/>
      <c r="AI62" s="2037"/>
      <c r="AJ62" s="2037"/>
      <c r="AK62" s="2037"/>
      <c r="BG62" s="745" t="str">
        <f xml:space="preserve">
IF(COUNTA(B62:V62)=4,"◎",
IF(AND(COUNTA(B62:V62)&gt;=1,COUNTA(B62:V62)&lt;4),"×",
IF(COUNTA(B62:V62)=0,"○")))</f>
        <v>○</v>
      </c>
      <c r="BH62" s="549" t="str">
        <f xml:space="preserve">
IF(COUNTA(B62:V62)=4,"適切に入力がされました。",
IF(AND(COUNTA(B62:V62)&gt;=1,COUNTA(B62:V62)&lt;4),"【要修正】未入力の箇所があります。",
IF(COUNTA(B62:V62)=0,"申請しない場合は入力不要です。")))</f>
        <v>申請しない場合は入力不要です。</v>
      </c>
    </row>
    <row r="63" spans="2:60" ht="24.75" thickTop="1">
      <c r="B63" s="2038" t="s">
        <v>514</v>
      </c>
      <c r="C63" s="2039"/>
      <c r="D63" s="2039"/>
      <c r="E63" s="2039"/>
      <c r="F63" s="2039"/>
      <c r="G63" s="2039"/>
      <c r="H63" s="2039"/>
      <c r="I63" s="2039"/>
      <c r="J63" s="2039"/>
      <c r="K63" s="2039"/>
      <c r="L63" s="2039"/>
      <c r="M63" s="2039"/>
      <c r="N63" s="2039"/>
      <c r="O63" s="2039"/>
      <c r="P63" s="2040">
        <f>SUM(P59:Q62)</f>
        <v>0</v>
      </c>
      <c r="Q63" s="2041"/>
      <c r="R63" s="2042"/>
      <c r="S63" s="2043"/>
      <c r="T63" s="2043"/>
      <c r="U63" s="2043"/>
      <c r="V63" s="2043"/>
      <c r="W63" s="2043"/>
      <c r="X63" s="2043"/>
      <c r="Y63" s="2043"/>
      <c r="Z63" s="2043"/>
      <c r="AA63" s="2043"/>
      <c r="AB63" s="2043"/>
      <c r="AC63" s="2043"/>
      <c r="AD63" s="2043"/>
      <c r="AE63" s="2043"/>
      <c r="AF63" s="2044"/>
      <c r="AG63" s="2045">
        <f xml:space="preserve">
IF(COUNTIF(BG59:BG62,"○")=4,0,
IF(COUNTIF(BG59:BG62,"×")&gt;=1,0,
IF(AND(COUNTIF(BG59:BG62,"×")=0,COUNTIF(BG59:BG62,"◎")&gt;=1),SUM(AG59:AK62))))</f>
        <v>0</v>
      </c>
      <c r="AH63" s="2043"/>
      <c r="AI63" s="2043"/>
      <c r="AJ63" s="2043"/>
      <c r="AK63" s="2044"/>
      <c r="BG63" s="550" t="str">
        <f xml:space="preserve">
IF(COUNTIF(BG59:BG62,"○")=4,"○",
IF(COUNTIF(BG59:BG62,"×")&gt;=1,"×",
IF(AND(COUNTIF(BG59:BG62,"×")=0,COUNTIF(BG59:BG62,"◎")&gt;=1),"◎")))</f>
        <v>○</v>
      </c>
      <c r="BH63" s="551" t="str">
        <f xml:space="preserve">
IF(COUNTIF(BG59:BG62,"○")=4,"申請しない場合は入力不要です。",
IF(COUNTIF(BG59:BG62,"×")&gt;=1,"【要修正】入力不十分の箇所があるため金額が表示できません。",
IF(AND(COUNTIF(BG59:BG62,"×")=0,COUNTIF(BG59:BG62,"◎")&gt;=1),"適切に入力がされました。")))</f>
        <v>申請しない場合は入力不要です。</v>
      </c>
    </row>
    <row r="64" spans="2:60">
      <c r="AB64" s="2032" t="s">
        <v>1323</v>
      </c>
      <c r="AC64" s="2033"/>
      <c r="AD64" s="2033"/>
      <c r="AE64" s="2033"/>
      <c r="AF64" s="2033"/>
      <c r="AG64" s="2034">
        <f>SUM(P59*W59,P60*W60,P61*W61,P62*W62)</f>
        <v>0</v>
      </c>
      <c r="AH64" s="2035"/>
      <c r="AI64" s="2035"/>
      <c r="AJ64" s="2035"/>
      <c r="AK64" s="2035"/>
      <c r="BG64" s="746" t="s">
        <v>46</v>
      </c>
    </row>
    <row r="65" spans="59:59">
      <c r="BG65" s="746" t="s">
        <v>1292</v>
      </c>
    </row>
    <row r="66" spans="59:59">
      <c r="BG66" s="746" t="s">
        <v>1293</v>
      </c>
    </row>
    <row r="67" spans="59:59">
      <c r="BG67" s="746" t="s">
        <v>1169</v>
      </c>
    </row>
    <row r="68" spans="59:59">
      <c r="BG68" s="746" t="s">
        <v>1170</v>
      </c>
    </row>
    <row r="69" spans="59:59">
      <c r="BG69" s="746" t="s">
        <v>1171</v>
      </c>
    </row>
    <row r="70" spans="59:59">
      <c r="BG70" s="746" t="s">
        <v>1295</v>
      </c>
    </row>
    <row r="71" spans="59:59">
      <c r="BG71" s="746" t="s">
        <v>1294</v>
      </c>
    </row>
    <row r="72" spans="59:59">
      <c r="BG72" s="746" t="s">
        <v>46</v>
      </c>
    </row>
    <row r="73" spans="59:59">
      <c r="BG73" s="746" t="s">
        <v>1292</v>
      </c>
    </row>
    <row r="74" spans="59:59">
      <c r="BG74" s="746" t="s">
        <v>1293</v>
      </c>
    </row>
  </sheetData>
  <sheetProtection algorithmName="SHA-512" hashValue="pKR0TLuznUUW6usLkWxgICpo43Flb2N2d9Q52a/RH2N7OpfAhztzJgQsGdgGHchwc5hZxPLq0cnyd04iodFeDw==" saltValue="0kapS7MzOfkOdTOlf9sr6w==" spinCount="100000" sheet="1" objects="1" scenarios="1"/>
  <mergeCells count="171">
    <mergeCell ref="B17:C17"/>
    <mergeCell ref="J17:K17"/>
    <mergeCell ref="G17:H17"/>
    <mergeCell ref="D17:E17"/>
    <mergeCell ref="B39:C39"/>
    <mergeCell ref="D39:E39"/>
    <mergeCell ref="G39:H39"/>
    <mergeCell ref="J39:K39"/>
    <mergeCell ref="B55:C55"/>
    <mergeCell ref="D55:E55"/>
    <mergeCell ref="G55:H55"/>
    <mergeCell ref="J55:K55"/>
    <mergeCell ref="B21:I21"/>
    <mergeCell ref="J21:T21"/>
    <mergeCell ref="B23:I23"/>
    <mergeCell ref="J23:T23"/>
    <mergeCell ref="B25:I25"/>
    <mergeCell ref="J25:T25"/>
    <mergeCell ref="B28:AF28"/>
    <mergeCell ref="B30:V30"/>
    <mergeCell ref="W30:AF30"/>
    <mergeCell ref="B43:I43"/>
    <mergeCell ref="J43:O43"/>
    <mergeCell ref="P43:Q43"/>
    <mergeCell ref="AB1:AK1"/>
    <mergeCell ref="B2:S3"/>
    <mergeCell ref="W2:AD2"/>
    <mergeCell ref="AE2:AF2"/>
    <mergeCell ref="AG2:AK2"/>
    <mergeCell ref="W3:AD3"/>
    <mergeCell ref="AE3:AF3"/>
    <mergeCell ref="AG3:AK3"/>
    <mergeCell ref="C9:AK9"/>
    <mergeCell ref="C10:AK10"/>
    <mergeCell ref="C11:AK11"/>
    <mergeCell ref="B13:I13"/>
    <mergeCell ref="J13:AK13"/>
    <mergeCell ref="B14:I14"/>
    <mergeCell ref="J14:AK14"/>
    <mergeCell ref="BF3:BF5"/>
    <mergeCell ref="W4:AD4"/>
    <mergeCell ref="AE4:AF4"/>
    <mergeCell ref="AG4:AK4"/>
    <mergeCell ref="B5:AK5"/>
    <mergeCell ref="C8:AK8"/>
    <mergeCell ref="U21:V21"/>
    <mergeCell ref="W21:AA21"/>
    <mergeCell ref="AB21:AF21"/>
    <mergeCell ref="AG21:AK21"/>
    <mergeCell ref="B20:I20"/>
    <mergeCell ref="J20:T20"/>
    <mergeCell ref="U20:V20"/>
    <mergeCell ref="W20:AA20"/>
    <mergeCell ref="AB20:AF20"/>
    <mergeCell ref="AG20:AK20"/>
    <mergeCell ref="U23:V23"/>
    <mergeCell ref="W23:AA23"/>
    <mergeCell ref="AB23:AF23"/>
    <mergeCell ref="AG23:AK23"/>
    <mergeCell ref="B22:I22"/>
    <mergeCell ref="J22:T22"/>
    <mergeCell ref="U22:V22"/>
    <mergeCell ref="W22:AA22"/>
    <mergeCell ref="AB22:AF22"/>
    <mergeCell ref="AG22:AK22"/>
    <mergeCell ref="U25:V25"/>
    <mergeCell ref="W25:AA25"/>
    <mergeCell ref="AB25:AF25"/>
    <mergeCell ref="AG25:AK25"/>
    <mergeCell ref="B24:I24"/>
    <mergeCell ref="J24:T24"/>
    <mergeCell ref="U24:V24"/>
    <mergeCell ref="W24:AA24"/>
    <mergeCell ref="AB24:AF24"/>
    <mergeCell ref="AG24:AK24"/>
    <mergeCell ref="AG28:AK28"/>
    <mergeCell ref="BF28:BI29"/>
    <mergeCell ref="B29:V29"/>
    <mergeCell ref="W29:AF29"/>
    <mergeCell ref="AG29:AK29"/>
    <mergeCell ref="B26:V26"/>
    <mergeCell ref="W26:AF26"/>
    <mergeCell ref="AG26:AK26"/>
    <mergeCell ref="B27:V27"/>
    <mergeCell ref="W27:AF27"/>
    <mergeCell ref="AG27:AK27"/>
    <mergeCell ref="AG30:AK30"/>
    <mergeCell ref="C34:AK34"/>
    <mergeCell ref="C35:AK35"/>
    <mergeCell ref="B42:I42"/>
    <mergeCell ref="J42:O42"/>
    <mergeCell ref="P42:Q42"/>
    <mergeCell ref="R42:V42"/>
    <mergeCell ref="W42:AA42"/>
    <mergeCell ref="AB42:AF42"/>
    <mergeCell ref="AG42:AK42"/>
    <mergeCell ref="R43:V43"/>
    <mergeCell ref="W43:AA43"/>
    <mergeCell ref="AB43:AF43"/>
    <mergeCell ref="AG43:AK43"/>
    <mergeCell ref="AG44:AK44"/>
    <mergeCell ref="B45:I45"/>
    <mergeCell ref="J45:O45"/>
    <mergeCell ref="P45:Q45"/>
    <mergeCell ref="R45:V45"/>
    <mergeCell ref="W45:AA45"/>
    <mergeCell ref="AB45:AF45"/>
    <mergeCell ref="AG45:AK45"/>
    <mergeCell ref="B44:I44"/>
    <mergeCell ref="J44:O44"/>
    <mergeCell ref="P44:Q44"/>
    <mergeCell ref="R44:V44"/>
    <mergeCell ref="W44:AA44"/>
    <mergeCell ref="AB44:AF44"/>
    <mergeCell ref="AG46:AK46"/>
    <mergeCell ref="B47:O47"/>
    <mergeCell ref="P47:Q47"/>
    <mergeCell ref="AG47:AK47"/>
    <mergeCell ref="C51:AK51"/>
    <mergeCell ref="B46:I46"/>
    <mergeCell ref="J46:O46"/>
    <mergeCell ref="P46:Q46"/>
    <mergeCell ref="R46:V46"/>
    <mergeCell ref="W46:AA46"/>
    <mergeCell ref="AB46:AF46"/>
    <mergeCell ref="W47:AA47"/>
    <mergeCell ref="AB48:AF48"/>
    <mergeCell ref="AG48:AK48"/>
    <mergeCell ref="J60:O60"/>
    <mergeCell ref="P60:Q60"/>
    <mergeCell ref="R60:V60"/>
    <mergeCell ref="W60:AA60"/>
    <mergeCell ref="AB60:AF60"/>
    <mergeCell ref="AG58:AK58"/>
    <mergeCell ref="B59:I59"/>
    <mergeCell ref="J59:O59"/>
    <mergeCell ref="P59:Q59"/>
    <mergeCell ref="R59:V59"/>
    <mergeCell ref="W59:AA59"/>
    <mergeCell ref="AB59:AF59"/>
    <mergeCell ref="AG59:AK59"/>
    <mergeCell ref="B58:I58"/>
    <mergeCell ref="J58:O58"/>
    <mergeCell ref="P58:Q58"/>
    <mergeCell ref="R58:V58"/>
    <mergeCell ref="W58:AA58"/>
    <mergeCell ref="AB58:AF58"/>
    <mergeCell ref="AB64:AF64"/>
    <mergeCell ref="AG64:AK64"/>
    <mergeCell ref="AB31:AF31"/>
    <mergeCell ref="AG31:AK31"/>
    <mergeCell ref="AG62:AK62"/>
    <mergeCell ref="B63:O63"/>
    <mergeCell ref="P63:Q63"/>
    <mergeCell ref="R63:AF63"/>
    <mergeCell ref="AG63:AK63"/>
    <mergeCell ref="B62:I62"/>
    <mergeCell ref="J62:O62"/>
    <mergeCell ref="P62:Q62"/>
    <mergeCell ref="R62:V62"/>
    <mergeCell ref="W62:AA62"/>
    <mergeCell ref="AB62:AF62"/>
    <mergeCell ref="AG60:AK60"/>
    <mergeCell ref="B61:I61"/>
    <mergeCell ref="J61:O61"/>
    <mergeCell ref="P61:Q61"/>
    <mergeCell ref="R61:V61"/>
    <mergeCell ref="W61:AA61"/>
    <mergeCell ref="AB61:AF61"/>
    <mergeCell ref="AG61:AK61"/>
    <mergeCell ref="B60:I60"/>
  </mergeCells>
  <phoneticPr fontId="9"/>
  <conditionalFormatting sqref="BG21:BG26 BG43:BG47 BG59:BG63 BG13:BG17 BG3:BG5">
    <cfRule type="containsText" dxfId="91" priority="10" operator="containsText" text="×">
      <formula>NOT(ISERROR(SEARCH("×",BG3)))</formula>
    </cfRule>
  </conditionalFormatting>
  <conditionalFormatting sqref="BH59:BH63 BH43:BH47 BH21:BH26 BH13:BH17 BH3:BH5">
    <cfRule type="containsText" dxfId="90" priority="9" operator="containsText" text="要修正">
      <formula>NOT(ISERROR(SEARCH("要修正",BH3)))</formula>
    </cfRule>
  </conditionalFormatting>
  <conditionalFormatting sqref="BF3:BF5">
    <cfRule type="containsText" dxfId="89" priority="8" operator="containsText" text="×">
      <formula>NOT(ISERROR(SEARCH("×",BF3)))</formula>
    </cfRule>
  </conditionalFormatting>
  <conditionalFormatting sqref="BH15">
    <cfRule type="containsText" dxfId="88" priority="6" operator="containsText" text="要修正">
      <formula>NOT(ISERROR(SEARCH("要修正",BH15)))</formula>
    </cfRule>
  </conditionalFormatting>
  <conditionalFormatting sqref="BG38:BG39">
    <cfRule type="containsText" dxfId="87" priority="5" operator="containsText" text="×">
      <formula>NOT(ISERROR(SEARCH("×",BG38)))</formula>
    </cfRule>
  </conditionalFormatting>
  <conditionalFormatting sqref="BH38:BH39">
    <cfRule type="containsText" dxfId="86" priority="4" operator="containsText" text="要修正">
      <formula>NOT(ISERROR(SEARCH("要修正",BH38)))</formula>
    </cfRule>
  </conditionalFormatting>
  <conditionalFormatting sqref="BG54:BG55">
    <cfRule type="containsText" dxfId="85" priority="2" operator="containsText" text="×">
      <formula>NOT(ISERROR(SEARCH("×",BG54)))</formula>
    </cfRule>
  </conditionalFormatting>
  <conditionalFormatting sqref="BH54:BH55">
    <cfRule type="containsText" dxfId="84" priority="1" operator="containsText" text="要修正">
      <formula>NOT(ISERROR(SEARCH("要修正",BH54)))</formula>
    </cfRule>
  </conditionalFormatting>
  <dataValidations count="9">
    <dataValidation type="decimal" operator="greaterThanOrEqual" allowBlank="1" showInputMessage="1" showErrorMessage="1" errorTitle="金額の値のみ入力" error="数値のみ入力し、「円」は入力しないでください。" sqref="R43:V46 W21:AA25" xr:uid="{DFFFD67A-32C7-428C-B0AE-8C8690886953}">
      <formula1>0</formula1>
    </dataValidation>
    <dataValidation type="whole" operator="greaterThanOrEqual" allowBlank="1" showInputMessage="1" showErrorMessage="1" errorTitle="整数値を入力" error="数値のみを入力し、「台」等の単位入力はしないでください。" sqref="P59:Q62 U21:V25 P43:Q46" xr:uid="{8EBDDFFF-EF75-4617-9F88-CC102B84BA24}">
      <formula1>0</formula1>
    </dataValidation>
    <dataValidation allowBlank="1" showInputMessage="1" showErrorMessage="1" promptTitle="品名の入力" prompt="購入予定である個人防護具の品名を入力してください。（型番のみの入力の場合、購入内容が不明のため修正を依頼させていただきますのでご注意ください。）" sqref="B59:I62 B43:I46 J21:T25" xr:uid="{3C153B17-EA18-46A2-9C27-76B9107B5578}"/>
    <dataValidation type="list" allowBlank="1" showInputMessage="1" showErrorMessage="1" sqref="J14:AK14" xr:uid="{83F0A398-C73B-4880-990C-4787AD591BF1}">
      <formula1>$BG$67:$BG$68</formula1>
    </dataValidation>
    <dataValidation type="list" allowBlank="1" showInputMessage="1" showErrorMessage="1" sqref="J57 J41" xr:uid="{B3F36336-C22A-4808-8672-48CEFADE0498}">
      <formula1>$BG$64:$BG$65</formula1>
    </dataValidation>
    <dataValidation type="list" allowBlank="1" showInputMessage="1" showErrorMessage="1" sqref="J13:AK13" xr:uid="{95B47839-2FEE-4910-BAB7-E681FE4A230B}">
      <formula1>$BG$64:$BG$66</formula1>
    </dataValidation>
    <dataValidation type="list" allowBlank="1" showInputMessage="1" showErrorMessage="1" sqref="J59:O62 J43:O46" xr:uid="{FC596CE0-041E-444B-BF61-87C0D73A2366}">
      <formula1>$BG$72:$BG$74</formula1>
    </dataValidation>
    <dataValidation type="list" allowBlank="1" showInputMessage="1" showErrorMessage="1" sqref="B21:I25" xr:uid="{917B837E-A82A-47A1-A730-5C58747F35F9}">
      <formula1>$BG$69:$BG$71</formula1>
    </dataValidation>
    <dataValidation type="whole" operator="greaterThanOrEqual" allowBlank="1" showInputMessage="1" showErrorMessage="1" sqref="R59:V62" xr:uid="{E4A78048-BDD9-410A-B2BC-E0A31B6D855F}">
      <formula1>0</formula1>
    </dataValidation>
  </dataValidations>
  <pageMargins left="0.7" right="0.7" top="0.75" bottom="0.75" header="0.3" footer="0.3"/>
  <pageSetup paperSize="9" scale="47" orientation="portrait" r:id="rId1"/>
  <colBreaks count="1" manualBreakCount="1">
    <brk id="37" max="1048575" man="1"/>
  </colBreaks>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08D6F2FD-4D08-4DF0-88E4-28C39016DCBF}">
          <x14:formula1>
            <xm:f>テーブル!$I$2:$I$3</xm:f>
          </x14:formula1>
          <xm:sqref>D17:E17 D39:E39 D55:E55</xm:sqref>
        </x14:dataValidation>
        <x14:dataValidation type="list" allowBlank="1" showInputMessage="1" showErrorMessage="1" xr:uid="{27FAA987-1BBD-4D80-8AB3-889620788AC7}">
          <x14:formula1>
            <xm:f>テーブル!$J$2:$J$7</xm:f>
          </x14:formula1>
          <xm:sqref>G17:H17 G39:H39 G55:H55</xm:sqref>
        </x14:dataValidation>
        <x14:dataValidation type="list" allowBlank="1" showInputMessage="1" showErrorMessage="1" xr:uid="{FC218210-D810-48A5-A82E-67D7038830DD}">
          <x14:formula1>
            <xm:f>テーブル!$K$2:$K$32</xm:f>
          </x14:formula1>
          <xm:sqref>J17:K17 J39:K39 J55:K55</xm:sqref>
        </x14:dataValidation>
      </x14:dataValidations>
    </ext>
  </extLs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9">
    <tabColor rgb="FFFFC000"/>
    <pageSetUpPr fitToPage="1"/>
  </sheetPr>
  <dimension ref="A1:AI74"/>
  <sheetViews>
    <sheetView showGridLines="0" view="pageBreakPreview" zoomScale="60" zoomScaleNormal="100" workbookViewId="0">
      <selection activeCell="J30" activeCellId="4" sqref="I3 B15:O15 B22:O22 B30:G43 J30:M43"/>
    </sheetView>
  </sheetViews>
  <sheetFormatPr defaultColWidth="8.625" defaultRowHeight="18"/>
  <cols>
    <col min="1" max="1" width="3.625" style="12" customWidth="1"/>
    <col min="2" max="4" width="8.625" style="19"/>
    <col min="5" max="5" width="30.625" style="19" customWidth="1"/>
    <col min="6" max="6" width="8.625" style="19"/>
    <col min="7" max="10" width="12.625" style="19" customWidth="1"/>
    <col min="11" max="13" width="3.625" style="19" customWidth="1"/>
    <col min="14" max="14" width="12.625" style="19" customWidth="1"/>
    <col min="15" max="15" width="8.625" style="19"/>
    <col min="16" max="16" width="3.625" style="19" customWidth="1"/>
    <col min="17" max="17" width="12.625" style="19" customWidth="1"/>
    <col min="18" max="20" width="3.625" style="19" customWidth="1"/>
    <col min="21" max="26" width="8.625" style="19"/>
    <col min="27" max="27" width="8.625" style="19" customWidth="1"/>
    <col min="28" max="28" width="3.625" style="12" customWidth="1"/>
    <col min="29" max="29" width="8.625" style="19"/>
    <col min="30" max="30" width="40.625" style="19" customWidth="1"/>
    <col min="31" max="31" width="3.625" style="19" customWidth="1"/>
    <col min="32" max="35" width="8.625" style="19"/>
    <col min="36" max="36" width="30.625" style="19" customWidth="1"/>
    <col min="37" max="16384" width="8.625" style="19"/>
  </cols>
  <sheetData>
    <row r="1" spans="1:35" ht="20.100000000000001" customHeight="1">
      <c r="N1" s="1829" t="str">
        <f xml:space="preserve">
IF(表紙!$X$2="事前協議","（10月１日～３月31日分）",
IF(表紙!$X$2="交付申請（２次）","（10月１日～３月31日分）",
IF(表紙!$X$2="変更申請","（10月１日～３月31日分）",
IF(表紙!$X$2="実績報告（１次）","（５月８日～10月31日分）",
IF(表紙!$X$2="実績報告（２次）","（10月１日～３月31日分）",
IF(表紙!$X$2="交付申請兼実績報告","（10月１日～３月31日分）"))))))</f>
        <v>（10月１日～３月31日分）</v>
      </c>
      <c r="O1" s="1364"/>
      <c r="P1" s="1364"/>
    </row>
    <row r="2" spans="1:35" ht="20.100000000000001" customHeight="1">
      <c r="B2" s="1817" t="s">
        <v>427</v>
      </c>
      <c r="C2" s="1818"/>
      <c r="D2" s="1819"/>
      <c r="H2" s="5" t="s">
        <v>538</v>
      </c>
      <c r="I2" s="701" t="s">
        <v>539</v>
      </c>
      <c r="J2" s="5" t="s">
        <v>44</v>
      </c>
      <c r="K2" s="600"/>
      <c r="L2" s="600"/>
      <c r="M2" s="600"/>
      <c r="AC2" s="701" t="s">
        <v>419</v>
      </c>
      <c r="AD2" s="701" t="s">
        <v>417</v>
      </c>
      <c r="AF2" s="701" t="str">
        <f>AC9</f>
        <v>×</v>
      </c>
      <c r="AG2" s="701" t="str">
        <f>AC15</f>
        <v>○</v>
      </c>
      <c r="AH2" s="701" t="str">
        <f>AC22</f>
        <v>○</v>
      </c>
      <c r="AI2" s="701" t="str">
        <f>AC26</f>
        <v>○</v>
      </c>
    </row>
    <row r="3" spans="1:35" ht="20.100000000000001" customHeight="1">
      <c r="B3" s="1820"/>
      <c r="C3" s="1821"/>
      <c r="D3" s="1822"/>
      <c r="H3" s="358">
        <f>SUM(I30:I74)</f>
        <v>0</v>
      </c>
      <c r="I3" s="8"/>
      <c r="J3" s="358">
        <f>IFERROR(ROUNDUP(SUM(N30:N74)*((H3-I3)/H3),0),0)</f>
        <v>0</v>
      </c>
      <c r="K3" s="601"/>
      <c r="L3" s="601"/>
      <c r="M3" s="601"/>
      <c r="AC3" s="863" t="str">
        <f xml:space="preserve">
IF(COUNTIF(AG2:AI2,"○")=3,"○",
IF(COUNTIF(AG2:AI2,"◎")=3,"◎","×"
))</f>
        <v>○</v>
      </c>
      <c r="AD3" s="1812" t="str">
        <f xml:space="preserve">
IF(AC3="○","整備しない場合は入力不要です。",
IF(AC3="×","【要修正】入力が不十分な箇所があります。",
IF(AC3="◎","適切に入力がされました。")))</f>
        <v>整備しない場合は入力不要です。</v>
      </c>
    </row>
    <row r="4" spans="1:35" ht="9.9499999999999993" customHeight="1">
      <c r="AC4" s="863"/>
      <c r="AD4" s="1812"/>
    </row>
    <row r="5" spans="1:35" ht="20.100000000000001" customHeight="1">
      <c r="B5" s="705" t="s">
        <v>55</v>
      </c>
      <c r="C5" s="705"/>
      <c r="D5" s="705"/>
      <c r="E5" s="705"/>
      <c r="F5" s="705"/>
      <c r="G5" s="705"/>
      <c r="H5" s="705"/>
      <c r="I5" s="705"/>
      <c r="J5" s="705"/>
      <c r="K5" s="705"/>
      <c r="L5" s="705"/>
      <c r="M5" s="705"/>
      <c r="N5" s="705"/>
      <c r="O5" s="705"/>
      <c r="AC5" s="908"/>
      <c r="AD5" s="843"/>
    </row>
    <row r="6" spans="1:35" ht="9.9499999999999993" customHeight="1"/>
    <row r="7" spans="1:35" ht="20.100000000000001" customHeight="1">
      <c r="B7" s="1833" t="str">
        <f xml:space="preserve">
IF(OR(表紙!X2="事前協議",表紙!X2="交付申請"),"（１）整備を行う対象の新規で指定を受けた確保病床数あるいは、確保病床を有しない場合は整備を行う病床の数",
IF(表紙!X2="交付申請兼実績報告","（１）整備を行う対象の新規で指定を受けた確保病床数"))</f>
        <v>（１）整備を行う対象の新規で指定を受けた確保病床数あるいは、確保病床を有しない場合は整備を行う病床の数</v>
      </c>
      <c r="C7" s="932"/>
      <c r="D7" s="932"/>
      <c r="E7" s="932"/>
      <c r="F7" s="932"/>
      <c r="G7" s="932"/>
      <c r="H7" s="932"/>
      <c r="I7" s="932"/>
      <c r="J7" s="932"/>
      <c r="K7" s="932"/>
      <c r="L7" s="932"/>
      <c r="M7" s="932"/>
      <c r="N7" s="932"/>
      <c r="O7" s="932"/>
      <c r="AC7" s="1808" t="s">
        <v>415</v>
      </c>
      <c r="AD7" s="1808" t="s">
        <v>417</v>
      </c>
    </row>
    <row r="8" spans="1:35" ht="9.9499999999999993" customHeight="1">
      <c r="AC8" s="1809"/>
      <c r="AD8" s="1809"/>
    </row>
    <row r="9" spans="1:35" ht="35.1" customHeight="1">
      <c r="B9" s="1834" t="s">
        <v>56</v>
      </c>
      <c r="C9" s="1835"/>
      <c r="D9" s="205" t="str">
        <f>IF(はじめに入力してください!K50="","",はじめに入力してください!K50)</f>
        <v/>
      </c>
      <c r="E9" s="359"/>
      <c r="F9" s="360"/>
      <c r="G9" s="360"/>
      <c r="H9" s="360"/>
      <c r="I9" s="360"/>
      <c r="J9" s="361"/>
      <c r="K9" s="361"/>
      <c r="L9" s="361"/>
      <c r="M9" s="361"/>
      <c r="N9" s="361"/>
      <c r="O9" s="361"/>
      <c r="AC9" s="701" t="str">
        <f xml:space="preserve">
IF(D9="","×",
IF(D9=0,"○",
IF(D9&gt;=1,"◎",
)))</f>
        <v>×</v>
      </c>
      <c r="AD9" s="702" t="str">
        <f xml:space="preserve">
IF(D9="","【要修正】「はじめに入力してください」シートに整備を行う病床の数を入力してください。",
IF(D9=0,"申請しない場合は以下入力不要です。",
IF(D9&gt;=1,"適切に入力されました。",
)))</f>
        <v>【要修正】「はじめに入力してください」シートに整備を行う病床の数を入力してください。</v>
      </c>
    </row>
    <row r="10" spans="1:35" ht="20.100000000000001" customHeight="1">
      <c r="B10" s="1830"/>
      <c r="C10" s="1831"/>
      <c r="D10" s="1832"/>
      <c r="E10" s="1832"/>
      <c r="F10" s="1832"/>
      <c r="G10" s="1832"/>
      <c r="H10" s="1832"/>
      <c r="I10" s="1832"/>
      <c r="J10" s="1832"/>
      <c r="K10" s="1832"/>
      <c r="L10" s="1832"/>
      <c r="M10" s="1832"/>
      <c r="N10" s="1832"/>
      <c r="O10" s="1832"/>
    </row>
    <row r="11" spans="1:35" ht="20.100000000000001" hidden="1" customHeight="1"/>
    <row r="12" spans="1:35" ht="20.100000000000001" customHeight="1">
      <c r="B12" s="1833" t="str">
        <f>初度設備!B12</f>
        <v>（２）この度、新たに整備を行う必要が生じた理由（フロア毎の対応から病室毎の対応への移行の計画内容）を詳しく記入してください。</v>
      </c>
      <c r="C12" s="932"/>
      <c r="D12" s="932"/>
      <c r="E12" s="932"/>
      <c r="F12" s="932"/>
      <c r="G12" s="932"/>
      <c r="H12" s="932"/>
      <c r="I12" s="932"/>
      <c r="J12" s="932"/>
      <c r="K12" s="932"/>
      <c r="L12" s="932"/>
      <c r="M12" s="932"/>
      <c r="N12" s="932"/>
      <c r="O12" s="932"/>
    </row>
    <row r="13" spans="1:35" ht="39.950000000000003" customHeight="1">
      <c r="B13" s="1813" t="s">
        <v>540</v>
      </c>
      <c r="C13" s="931"/>
      <c r="D13" s="931"/>
      <c r="E13" s="931"/>
      <c r="F13" s="931"/>
      <c r="G13" s="931"/>
      <c r="H13" s="931"/>
      <c r="I13" s="931"/>
      <c r="J13" s="931"/>
      <c r="K13" s="931"/>
      <c r="L13" s="931"/>
      <c r="M13" s="931"/>
      <c r="N13" s="931"/>
      <c r="O13" s="931"/>
    </row>
    <row r="14" spans="1:35" s="703" customFormat="1" ht="120" customHeight="1">
      <c r="A14" s="13"/>
      <c r="B14" s="1813" t="str">
        <f>VLOOKUP(B2,テーブル!M37:N51,2,FALSE)</f>
        <v>（例）当院は主として特に重篤な呼吸器不全等の症状を呈する患者の受け入れを行っている。
　　　現行株は毒性が過去のものに比較し弱まっているとはいえ、当院に搬送される患者の多くが高齢者及びコロナ感染が重態化を引き起こしかねない
　　　ステージ○以上のがん患者等で占められている。
　　　当院の近傍にはに受入可能な入院医療機関がなく、既存のECMOでは台数が足りず、遠隔地の入院医療機関への搬送の最中に死亡するケースも生じた。
　　　（該当ケースの日付はじめ経緯については別紙のとおり。）
　　　ついてはこれまで生じた受け入れを断らざるを得なかったケース実績を踏まえ、○台を新たに未整備の確保病床に整備することとしたい。</v>
      </c>
      <c r="C14" s="1645"/>
      <c r="D14" s="1645"/>
      <c r="E14" s="1645"/>
      <c r="F14" s="1645"/>
      <c r="G14" s="1645"/>
      <c r="H14" s="1645"/>
      <c r="I14" s="1645"/>
      <c r="J14" s="1645"/>
      <c r="K14" s="1645"/>
      <c r="L14" s="1645"/>
      <c r="M14" s="1645"/>
      <c r="N14" s="1645"/>
      <c r="O14" s="1645"/>
      <c r="AB14" s="13"/>
      <c r="AC14" s="558" t="s">
        <v>415</v>
      </c>
      <c r="AD14" s="558" t="s">
        <v>416</v>
      </c>
    </row>
    <row r="15" spans="1:35" ht="120" customHeight="1">
      <c r="B15" s="1814"/>
      <c r="C15" s="1815"/>
      <c r="D15" s="1815"/>
      <c r="E15" s="1815"/>
      <c r="F15" s="1815"/>
      <c r="G15" s="1815"/>
      <c r="H15" s="1815"/>
      <c r="I15" s="1815"/>
      <c r="J15" s="1815"/>
      <c r="K15" s="1815"/>
      <c r="L15" s="1815"/>
      <c r="M15" s="1815"/>
      <c r="N15" s="1815"/>
      <c r="O15" s="1816"/>
      <c r="AC15" s="701" t="str">
        <f xml:space="preserve">
IF(COUNTA(B15)=0,"○",
IF(COUNTA(B15)=1,"◎"))</f>
        <v>○</v>
      </c>
      <c r="AD15" s="702" t="str">
        <f xml:space="preserve">
IF(COUNTA(B15)=0,"整備しない場合は入力不要です。",
IF(COUNTA(B15)=1,"入力された状態になりました。"))</f>
        <v>整備しない場合は入力不要です。</v>
      </c>
    </row>
    <row r="16" spans="1:35" ht="20.100000000000001" customHeight="1"/>
    <row r="17" spans="1:30" ht="20.100000000000001" customHeight="1">
      <c r="B17" s="705" t="s">
        <v>454</v>
      </c>
      <c r="C17" s="705"/>
      <c r="D17" s="705"/>
      <c r="E17" s="705"/>
      <c r="F17" s="705"/>
      <c r="G17" s="705"/>
      <c r="H17" s="705"/>
      <c r="I17" s="705"/>
      <c r="J17" s="705"/>
      <c r="K17" s="705"/>
      <c r="L17" s="705"/>
      <c r="M17" s="705"/>
      <c r="N17" s="705"/>
      <c r="O17" s="705"/>
    </row>
    <row r="18" spans="1:30" ht="20.100000000000001" customHeight="1">
      <c r="B18" s="1813" t="s">
        <v>482</v>
      </c>
      <c r="C18" s="931"/>
      <c r="D18" s="931"/>
      <c r="E18" s="931"/>
      <c r="F18" s="931"/>
      <c r="G18" s="931"/>
      <c r="H18" s="931"/>
      <c r="I18" s="931"/>
      <c r="J18" s="931"/>
      <c r="K18" s="931"/>
      <c r="L18" s="931"/>
      <c r="M18" s="931"/>
      <c r="N18" s="931"/>
      <c r="O18" s="931"/>
    </row>
    <row r="19" spans="1:30" ht="20.100000000000001" customHeight="1">
      <c r="B19" s="1813"/>
      <c r="C19" s="931"/>
      <c r="D19" s="931"/>
      <c r="E19" s="931"/>
      <c r="F19" s="931"/>
      <c r="G19" s="931"/>
      <c r="H19" s="931"/>
      <c r="I19" s="931"/>
      <c r="J19" s="931"/>
      <c r="K19" s="931"/>
      <c r="L19" s="931"/>
      <c r="M19" s="931"/>
      <c r="N19" s="931"/>
      <c r="O19" s="931"/>
    </row>
    <row r="20" spans="1:30" ht="20.100000000000001" customHeight="1">
      <c r="B20" s="1813"/>
      <c r="C20" s="931"/>
      <c r="D20" s="931"/>
      <c r="E20" s="931"/>
      <c r="F20" s="931"/>
      <c r="G20" s="931"/>
      <c r="H20" s="931"/>
      <c r="I20" s="931"/>
      <c r="J20" s="931"/>
      <c r="K20" s="931"/>
      <c r="L20" s="931"/>
      <c r="M20" s="931"/>
      <c r="N20" s="931"/>
      <c r="O20" s="931"/>
    </row>
    <row r="21" spans="1:30" ht="20.100000000000001" customHeight="1">
      <c r="B21" s="931"/>
      <c r="C21" s="931"/>
      <c r="D21" s="931"/>
      <c r="E21" s="931"/>
      <c r="F21" s="931"/>
      <c r="G21" s="931"/>
      <c r="H21" s="931"/>
      <c r="I21" s="931"/>
      <c r="J21" s="931"/>
      <c r="K21" s="931"/>
      <c r="L21" s="931"/>
      <c r="M21" s="931"/>
      <c r="N21" s="931"/>
      <c r="O21" s="931"/>
    </row>
    <row r="22" spans="1:30" ht="120" customHeight="1">
      <c r="B22" s="1814"/>
      <c r="C22" s="1815"/>
      <c r="D22" s="1815"/>
      <c r="E22" s="1815"/>
      <c r="F22" s="1815"/>
      <c r="G22" s="1815"/>
      <c r="H22" s="1815"/>
      <c r="I22" s="1815"/>
      <c r="J22" s="1815"/>
      <c r="K22" s="1815"/>
      <c r="L22" s="1815"/>
      <c r="M22" s="1815"/>
      <c r="N22" s="1815"/>
      <c r="O22" s="1816"/>
      <c r="AC22" s="701" t="str">
        <f xml:space="preserve">
IF(COUNTA(B22)=0,"○",
IF(COUNTA(B22)=1,"◎"))</f>
        <v>○</v>
      </c>
      <c r="AD22" s="702" t="str">
        <f xml:space="preserve">
IF(COUNTA(B22)=0,"整備しない場合は入力不要です。",
IF(COUNTA(B22)=1,"入力された状態になりました。"))</f>
        <v>整備しない場合は入力不要です。</v>
      </c>
    </row>
    <row r="23" spans="1:30" ht="20.100000000000001" customHeight="1"/>
    <row r="24" spans="1:30" ht="20.100000000000001" customHeight="1">
      <c r="B24" s="705" t="s">
        <v>453</v>
      </c>
      <c r="C24" s="705"/>
      <c r="D24" s="705"/>
      <c r="E24" s="705"/>
      <c r="F24" s="705"/>
      <c r="G24" s="705"/>
      <c r="H24" s="705"/>
      <c r="I24" s="705"/>
      <c r="J24" s="705"/>
      <c r="K24" s="705"/>
      <c r="L24" s="705"/>
      <c r="M24" s="705"/>
      <c r="N24" s="705"/>
      <c r="O24" s="705"/>
      <c r="AC24" s="14"/>
    </row>
    <row r="25" spans="1:30" ht="9.9499999999999993" customHeight="1"/>
    <row r="26" spans="1:30" ht="60" customHeight="1">
      <c r="B26" s="1813" t="s">
        <v>561</v>
      </c>
      <c r="C26" s="932"/>
      <c r="D26" s="932"/>
      <c r="E26" s="932"/>
      <c r="F26" s="932"/>
      <c r="G26" s="932"/>
      <c r="H26" s="932"/>
      <c r="I26" s="932"/>
      <c r="J26" s="932"/>
      <c r="K26" s="932"/>
      <c r="L26" s="932"/>
      <c r="M26" s="932"/>
      <c r="N26" s="932"/>
      <c r="O26" s="932"/>
      <c r="AC26" s="701" t="str">
        <f xml:space="preserve">
IF(COUNTIF(AC30:AC74,"○")=45,"○",
IF(COUNTIF(AC30:AC74,"×")&gt;=1,"×",
IF(AND(COUNTIF(AC30:AC74,"◎")&gt;=1,COUNTIF(AC30:AC74,"×")=0),"◎")))</f>
        <v>○</v>
      </c>
      <c r="AD26" s="702" t="str">
        <f xml:space="preserve">
IF(COUNTIF(AC30:AC74,"○")=45,"整備しない場合は入力不要です。",
IF(COUNTIF(AC30:AC74,"×")&gt;=1,"【要修正】入力が不十分な箇所があります。",
IF(AND(COUNTIF(AC30:AC74,"◎")&gt;=1,COUNTIF(AC30:AC74,"×")=0),"適切に入力がされました。")))</f>
        <v>整備しない場合は入力不要です。</v>
      </c>
    </row>
    <row r="27" spans="1:30" ht="9.9499999999999993" customHeight="1">
      <c r="AC27" s="1807" t="s">
        <v>418</v>
      </c>
      <c r="AD27" s="1810" t="s">
        <v>420</v>
      </c>
    </row>
    <row r="28" spans="1:30" ht="18.75">
      <c r="B28" s="1823" t="s">
        <v>41</v>
      </c>
      <c r="C28" s="1824"/>
      <c r="D28" s="1825"/>
      <c r="E28" s="1823" t="s">
        <v>42</v>
      </c>
      <c r="F28" s="1825"/>
      <c r="G28" s="1823" t="s">
        <v>43</v>
      </c>
      <c r="H28" s="1824"/>
      <c r="I28" s="1824"/>
      <c r="J28" s="1825"/>
      <c r="K28" s="1828" t="str">
        <f xml:space="preserve">
IF(表紙!$X$2="事前協議","納品予定日",
IF(表紙!$X$2="交付申請（２次）","納品予定日",
IF(表紙!$X$2="変更申請","納品予定日",
IF(表紙!$X$2="実績報告（１次）","納品日",
IF(表紙!$X$2="実績報告（２次）","納品日",
IF(表紙!$X$2="交付申請兼実績報告","納品日"))))))</f>
        <v>納品予定日</v>
      </c>
      <c r="L28" s="1369"/>
      <c r="M28" s="1369"/>
      <c r="N28" s="1826" t="s">
        <v>44</v>
      </c>
      <c r="O28" s="1826" t="s">
        <v>45</v>
      </c>
      <c r="Q28" s="1805" t="str">
        <f>K28</f>
        <v>納品予定日</v>
      </c>
      <c r="R28" s="603"/>
      <c r="S28" s="603"/>
      <c r="T28" s="602"/>
      <c r="AC28" s="1084"/>
      <c r="AD28" s="1811"/>
    </row>
    <row r="29" spans="1:30">
      <c r="B29" s="704" t="s">
        <v>46</v>
      </c>
      <c r="C29" s="704" t="s">
        <v>47</v>
      </c>
      <c r="D29" s="704" t="s">
        <v>48</v>
      </c>
      <c r="E29" s="704" t="s">
        <v>54</v>
      </c>
      <c r="F29" s="704" t="s">
        <v>49</v>
      </c>
      <c r="G29" s="704" t="s">
        <v>50</v>
      </c>
      <c r="H29" s="704" t="s">
        <v>51</v>
      </c>
      <c r="I29" s="704" t="s">
        <v>52</v>
      </c>
      <c r="J29" s="704" t="s">
        <v>53</v>
      </c>
      <c r="K29" s="704" t="s">
        <v>1387</v>
      </c>
      <c r="L29" s="704" t="s">
        <v>1388</v>
      </c>
      <c r="M29" s="704" t="s">
        <v>1389</v>
      </c>
      <c r="N29" s="1827"/>
      <c r="O29" s="1827"/>
      <c r="Q29" s="1806"/>
      <c r="R29" s="701" t="s">
        <v>1387</v>
      </c>
      <c r="S29" s="701" t="s">
        <v>1388</v>
      </c>
      <c r="T29" s="701" t="s">
        <v>1389</v>
      </c>
      <c r="AC29" s="701" t="s">
        <v>415</v>
      </c>
      <c r="AD29" s="701" t="s">
        <v>417</v>
      </c>
    </row>
    <row r="30" spans="1:30">
      <c r="A30" s="12">
        <v>1</v>
      </c>
      <c r="B30" s="6"/>
      <c r="C30" s="6"/>
      <c r="D30" s="6"/>
      <c r="E30" s="10"/>
      <c r="F30" s="7"/>
      <c r="G30" s="541"/>
      <c r="H30" s="15">
        <f>ROUNDDOWN(G30*1.1,0)</f>
        <v>0</v>
      </c>
      <c r="I30" s="4">
        <f>F30*H30</f>
        <v>0</v>
      </c>
      <c r="J30" s="9"/>
      <c r="K30" s="609"/>
      <c r="L30" s="609"/>
      <c r="M30" s="609"/>
      <c r="N30" s="4">
        <f>IF(J30="補助対象",I30,IF(J30="補助対象外",0,0))</f>
        <v>0</v>
      </c>
      <c r="O30" s="5" t="str">
        <f>IF(AC30="◎",COUNTIF($AC$30:AC30,"◎"),"")</f>
        <v/>
      </c>
      <c r="Q30" s="610" t="str">
        <f>IF(AND(AC30="◎",J30="補助対象"),DATE(IF(K30=5,2023,IF(K30=6,2024)),L30,M30),"")</f>
        <v/>
      </c>
      <c r="R30" s="701" t="str">
        <f>IF(Q30=MAX($Q$30:$Q$74),K30,"")</f>
        <v/>
      </c>
      <c r="S30" s="701" t="str">
        <f>IF(Q30=MAX($Q$30:$Q$74),L30,"")</f>
        <v/>
      </c>
      <c r="T30" s="701" t="str">
        <f>IF(Q30=MAX($Q$30:$Q$74),M30,"")</f>
        <v/>
      </c>
      <c r="Z30" s="702" t="str">
        <f>IF(B30="個別病床",はじめに入力してください!$K$50,IF(B30="共通使用",はじめに入力してください!$K$52,""))</f>
        <v/>
      </c>
      <c r="AB30" s="12">
        <v>1</v>
      </c>
      <c r="AC30" s="701" t="str">
        <f xml:space="preserve">
IF(SUM(COUNTA(B30:G30),COUNTA(J30:M30))=0,"○",
IF(AND(SUM(COUNTA(B30:G30),COUNTA(J30:M30))&gt;0,SUM(COUNTA(B30:G30),COUNTA(J30:M30))&lt;10),"×",
IF(SUM(COUNTA(B30:G30),COUNTA(J30:M30))=10,"◎")))</f>
        <v>○</v>
      </c>
      <c r="AD30" s="702" t="str">
        <f xml:space="preserve">
IF(SUM(COUNTA(B30:G30),COUNTA(J30))=0,"整備しない場合は入力不要です。",
IF(AND(SUM(COUNTA(B30:G30),COUNTA(J30))&gt;0,SUM(COUNTA(B30:G30),COUNTA(J30))&lt;7),"【要修正】未入力の箇所があります。",
IF(SUM(COUNTA(B30:G30),COUNTA(J30))=7,"適切に入力がされました。")))</f>
        <v>整備しない場合は入力不要です。</v>
      </c>
    </row>
    <row r="31" spans="1:30">
      <c r="A31" s="12">
        <v>2</v>
      </c>
      <c r="B31" s="6"/>
      <c r="C31" s="6"/>
      <c r="D31" s="6"/>
      <c r="E31" s="10"/>
      <c r="F31" s="7"/>
      <c r="G31" s="541"/>
      <c r="H31" s="15">
        <f t="shared" ref="H31:H74" si="0">ROUNDDOWN(G31*1.1,0)</f>
        <v>0</v>
      </c>
      <c r="I31" s="4">
        <f t="shared" ref="I31:I74" si="1">F31*H31</f>
        <v>0</v>
      </c>
      <c r="J31" s="9"/>
      <c r="K31" s="609"/>
      <c r="L31" s="609"/>
      <c r="M31" s="609"/>
      <c r="N31" s="4">
        <f t="shared" ref="N31:N74" si="2">IF(J31="補助対象",I31,IF(J31="補助対象外",0,0))</f>
        <v>0</v>
      </c>
      <c r="O31" s="5" t="str">
        <f>IF(AC31="◎",COUNTIF($AC$30:AC31,"◎"),"")</f>
        <v/>
      </c>
      <c r="Q31" s="610" t="str">
        <f t="shared" ref="Q31:Q74" si="3">IF(AND(AC31="◎",J31="補助対象"),DATE(IF(K31=5,2023,IF(K31=6,2024)),L31,M31),"")</f>
        <v/>
      </c>
      <c r="R31" s="701" t="str">
        <f t="shared" ref="R31:R74" si="4">IF(Q31=MAX($Q$30:$Q$74),K31,"")</f>
        <v/>
      </c>
      <c r="S31" s="701" t="str">
        <f t="shared" ref="S31:S74" si="5">IF(Q31=MAX($Q$30:$Q$74),L31,"")</f>
        <v/>
      </c>
      <c r="T31" s="701" t="str">
        <f t="shared" ref="T31:T74" si="6">IF(Q31=MAX($Q$30:$Q$74),M31,"")</f>
        <v/>
      </c>
      <c r="Z31" s="702" t="str">
        <f>IF(B31="個別病床",はじめに入力してください!$K$50,IF(B31="共通使用",はじめに入力してください!$K$52,""))</f>
        <v/>
      </c>
      <c r="AB31" s="12">
        <v>2</v>
      </c>
      <c r="AC31" s="701" t="str">
        <f t="shared" ref="AC31:AC74" si="7" xml:space="preserve">
IF(SUM(COUNTA(B31:G31),COUNTA(J31:M31))=0,"○",
IF(AND(SUM(COUNTA(B31:G31),COUNTA(J31:M31))&gt;0,SUM(COUNTA(B31:G31),COUNTA(J31:M31))&lt;10),"×",
IF(SUM(COUNTA(B31:G31),COUNTA(J31:M31))=10,"◎")))</f>
        <v>○</v>
      </c>
      <c r="AD31" s="702" t="str">
        <f t="shared" ref="AD31:AD74" si="8" xml:space="preserve">
IF(SUM(COUNTA(B31:G31),COUNTA(J31))=0,"整備しない場合は入力不要です。",
IF(AND(SUM(COUNTA(B31:G31),COUNTA(J31))&gt;0,SUM(COUNTA(B31:G31),COUNTA(J31))&lt;7),"【要修正】未入力の箇所があります。",
IF(SUM(COUNTA(B31:G31),COUNTA(J31))=7,"適切に入力がされました。")))</f>
        <v>整備しない場合は入力不要です。</v>
      </c>
    </row>
    <row r="32" spans="1:30">
      <c r="A32" s="12">
        <v>3</v>
      </c>
      <c r="B32" s="6"/>
      <c r="C32" s="6"/>
      <c r="D32" s="6"/>
      <c r="E32" s="10"/>
      <c r="F32" s="7"/>
      <c r="G32" s="541"/>
      <c r="H32" s="15">
        <f t="shared" si="0"/>
        <v>0</v>
      </c>
      <c r="I32" s="4">
        <f t="shared" si="1"/>
        <v>0</v>
      </c>
      <c r="J32" s="9"/>
      <c r="K32" s="609"/>
      <c r="L32" s="609"/>
      <c r="M32" s="609"/>
      <c r="N32" s="4">
        <f t="shared" si="2"/>
        <v>0</v>
      </c>
      <c r="O32" s="5" t="str">
        <f>IF(AC32="◎",COUNTIF($AC$30:AC32,"◎"),"")</f>
        <v/>
      </c>
      <c r="Q32" s="610" t="str">
        <f t="shared" si="3"/>
        <v/>
      </c>
      <c r="R32" s="701" t="str">
        <f t="shared" si="4"/>
        <v/>
      </c>
      <c r="S32" s="701" t="str">
        <f t="shared" si="5"/>
        <v/>
      </c>
      <c r="T32" s="701" t="str">
        <f t="shared" si="6"/>
        <v/>
      </c>
      <c r="Z32" s="702" t="str">
        <f>IF(B32="個別病床",はじめに入力してください!$K$50,IF(B32="共通使用",はじめに入力してください!$K$52,""))</f>
        <v/>
      </c>
      <c r="AB32" s="12">
        <v>3</v>
      </c>
      <c r="AC32" s="701" t="str">
        <f t="shared" si="7"/>
        <v>○</v>
      </c>
      <c r="AD32" s="702" t="str">
        <f t="shared" si="8"/>
        <v>整備しない場合は入力不要です。</v>
      </c>
    </row>
    <row r="33" spans="1:30">
      <c r="A33" s="12">
        <v>4</v>
      </c>
      <c r="B33" s="6"/>
      <c r="C33" s="6"/>
      <c r="D33" s="6"/>
      <c r="E33" s="10"/>
      <c r="F33" s="7"/>
      <c r="G33" s="541"/>
      <c r="H33" s="15">
        <f t="shared" si="0"/>
        <v>0</v>
      </c>
      <c r="I33" s="4">
        <f t="shared" si="1"/>
        <v>0</v>
      </c>
      <c r="J33" s="9"/>
      <c r="K33" s="609"/>
      <c r="L33" s="609"/>
      <c r="M33" s="609"/>
      <c r="N33" s="4">
        <f t="shared" si="2"/>
        <v>0</v>
      </c>
      <c r="O33" s="5" t="str">
        <f>IF(AC33="◎",COUNTIF($AC$30:AC33,"◎"),"")</f>
        <v/>
      </c>
      <c r="Q33" s="610" t="str">
        <f t="shared" si="3"/>
        <v/>
      </c>
      <c r="R33" s="701" t="str">
        <f t="shared" si="4"/>
        <v/>
      </c>
      <c r="S33" s="701" t="str">
        <f t="shared" si="5"/>
        <v/>
      </c>
      <c r="T33" s="701" t="str">
        <f t="shared" si="6"/>
        <v/>
      </c>
      <c r="Z33" s="702" t="str">
        <f>IF(B33="個別病床",はじめに入力してください!$K$50,IF(B33="共通使用",はじめに入力してください!$K$52,""))</f>
        <v/>
      </c>
      <c r="AB33" s="12">
        <v>4</v>
      </c>
      <c r="AC33" s="701" t="str">
        <f t="shared" si="7"/>
        <v>○</v>
      </c>
      <c r="AD33" s="702" t="str">
        <f t="shared" si="8"/>
        <v>整備しない場合は入力不要です。</v>
      </c>
    </row>
    <row r="34" spans="1:30">
      <c r="A34" s="12">
        <v>5</v>
      </c>
      <c r="B34" s="6"/>
      <c r="C34" s="6"/>
      <c r="D34" s="6"/>
      <c r="E34" s="10"/>
      <c r="F34" s="7"/>
      <c r="G34" s="541"/>
      <c r="H34" s="15">
        <f t="shared" si="0"/>
        <v>0</v>
      </c>
      <c r="I34" s="4">
        <f t="shared" si="1"/>
        <v>0</v>
      </c>
      <c r="J34" s="9"/>
      <c r="K34" s="609"/>
      <c r="L34" s="609"/>
      <c r="M34" s="609"/>
      <c r="N34" s="4">
        <f t="shared" si="2"/>
        <v>0</v>
      </c>
      <c r="O34" s="5" t="str">
        <f>IF(AC34="◎",COUNTIF($AC$30:AC34,"◎"),"")</f>
        <v/>
      </c>
      <c r="Q34" s="610" t="str">
        <f t="shared" si="3"/>
        <v/>
      </c>
      <c r="R34" s="701" t="str">
        <f t="shared" si="4"/>
        <v/>
      </c>
      <c r="S34" s="701" t="str">
        <f t="shared" si="5"/>
        <v/>
      </c>
      <c r="T34" s="701" t="str">
        <f t="shared" si="6"/>
        <v/>
      </c>
      <c r="Z34" s="702" t="str">
        <f>IF(B34="個別病床",はじめに入力してください!$K$50,IF(B34="共通使用",はじめに入力してください!$K$52,""))</f>
        <v/>
      </c>
      <c r="AB34" s="12">
        <v>5</v>
      </c>
      <c r="AC34" s="701" t="str">
        <f t="shared" si="7"/>
        <v>○</v>
      </c>
      <c r="AD34" s="702" t="str">
        <f t="shared" si="8"/>
        <v>整備しない場合は入力不要です。</v>
      </c>
    </row>
    <row r="35" spans="1:30">
      <c r="A35" s="12">
        <v>6</v>
      </c>
      <c r="B35" s="6"/>
      <c r="C35" s="6"/>
      <c r="D35" s="6"/>
      <c r="E35" s="10"/>
      <c r="F35" s="7"/>
      <c r="G35" s="541"/>
      <c r="H35" s="15">
        <f t="shared" si="0"/>
        <v>0</v>
      </c>
      <c r="I35" s="4">
        <f t="shared" si="1"/>
        <v>0</v>
      </c>
      <c r="J35" s="9"/>
      <c r="K35" s="609"/>
      <c r="L35" s="609"/>
      <c r="M35" s="609"/>
      <c r="N35" s="4">
        <f t="shared" si="2"/>
        <v>0</v>
      </c>
      <c r="O35" s="5" t="str">
        <f>IF(AC35="◎",COUNTIF($AC$30:AC35,"◎"),"")</f>
        <v/>
      </c>
      <c r="Q35" s="610" t="str">
        <f t="shared" si="3"/>
        <v/>
      </c>
      <c r="R35" s="701" t="str">
        <f t="shared" si="4"/>
        <v/>
      </c>
      <c r="S35" s="701" t="str">
        <f t="shared" si="5"/>
        <v/>
      </c>
      <c r="T35" s="701" t="str">
        <f t="shared" si="6"/>
        <v/>
      </c>
      <c r="Z35" s="702" t="str">
        <f>IF(B35="個別病床",はじめに入力してください!$K$50,IF(B35="共通使用",はじめに入力してください!$K$52,""))</f>
        <v/>
      </c>
      <c r="AB35" s="12">
        <v>6</v>
      </c>
      <c r="AC35" s="701" t="str">
        <f t="shared" si="7"/>
        <v>○</v>
      </c>
      <c r="AD35" s="702" t="str">
        <f t="shared" si="8"/>
        <v>整備しない場合は入力不要です。</v>
      </c>
    </row>
    <row r="36" spans="1:30">
      <c r="A36" s="12">
        <v>7</v>
      </c>
      <c r="B36" s="6"/>
      <c r="C36" s="6"/>
      <c r="D36" s="6"/>
      <c r="E36" s="10"/>
      <c r="F36" s="7"/>
      <c r="G36" s="541"/>
      <c r="H36" s="15">
        <f t="shared" si="0"/>
        <v>0</v>
      </c>
      <c r="I36" s="4">
        <f t="shared" si="1"/>
        <v>0</v>
      </c>
      <c r="J36" s="9"/>
      <c r="K36" s="609"/>
      <c r="L36" s="609"/>
      <c r="M36" s="609"/>
      <c r="N36" s="4">
        <f t="shared" si="2"/>
        <v>0</v>
      </c>
      <c r="O36" s="5" t="str">
        <f>IF(AC36="◎",COUNTIF($AC$30:AC36,"◎"),"")</f>
        <v/>
      </c>
      <c r="Q36" s="610" t="str">
        <f t="shared" si="3"/>
        <v/>
      </c>
      <c r="R36" s="701" t="str">
        <f t="shared" si="4"/>
        <v/>
      </c>
      <c r="S36" s="701" t="str">
        <f t="shared" si="5"/>
        <v/>
      </c>
      <c r="T36" s="701" t="str">
        <f t="shared" si="6"/>
        <v/>
      </c>
      <c r="Z36" s="702" t="str">
        <f>IF(B36="個別病床",はじめに入力してください!$K$50,IF(B36="共通使用",はじめに入力してください!$K$52,""))</f>
        <v/>
      </c>
      <c r="AB36" s="12">
        <v>7</v>
      </c>
      <c r="AC36" s="701" t="str">
        <f t="shared" si="7"/>
        <v>○</v>
      </c>
      <c r="AD36" s="702" t="str">
        <f t="shared" si="8"/>
        <v>整備しない場合は入力不要です。</v>
      </c>
    </row>
    <row r="37" spans="1:30">
      <c r="A37" s="12">
        <v>8</v>
      </c>
      <c r="B37" s="6"/>
      <c r="C37" s="6"/>
      <c r="D37" s="6"/>
      <c r="E37" s="10"/>
      <c r="F37" s="7"/>
      <c r="G37" s="541"/>
      <c r="H37" s="15">
        <f t="shared" si="0"/>
        <v>0</v>
      </c>
      <c r="I37" s="4">
        <f t="shared" si="1"/>
        <v>0</v>
      </c>
      <c r="J37" s="9"/>
      <c r="K37" s="609"/>
      <c r="L37" s="609"/>
      <c r="M37" s="609"/>
      <c r="N37" s="4">
        <f t="shared" si="2"/>
        <v>0</v>
      </c>
      <c r="O37" s="5" t="str">
        <f>IF(AC37="◎",COUNTIF($AC$30:AC37,"◎"),"")</f>
        <v/>
      </c>
      <c r="Q37" s="610" t="str">
        <f t="shared" si="3"/>
        <v/>
      </c>
      <c r="R37" s="701" t="str">
        <f t="shared" si="4"/>
        <v/>
      </c>
      <c r="S37" s="701" t="str">
        <f t="shared" si="5"/>
        <v/>
      </c>
      <c r="T37" s="701" t="str">
        <f t="shared" si="6"/>
        <v/>
      </c>
      <c r="Z37" s="702" t="str">
        <f>IF(B37="個別病床",はじめに入力してください!$K$50,IF(B37="共通使用",はじめに入力してください!$K$52,""))</f>
        <v/>
      </c>
      <c r="AB37" s="12">
        <v>8</v>
      </c>
      <c r="AC37" s="701" t="str">
        <f t="shared" si="7"/>
        <v>○</v>
      </c>
      <c r="AD37" s="702" t="str">
        <f t="shared" si="8"/>
        <v>整備しない場合は入力不要です。</v>
      </c>
    </row>
    <row r="38" spans="1:30">
      <c r="A38" s="12">
        <v>9</v>
      </c>
      <c r="B38" s="6"/>
      <c r="C38" s="6"/>
      <c r="D38" s="6"/>
      <c r="E38" s="10"/>
      <c r="F38" s="7"/>
      <c r="G38" s="541"/>
      <c r="H38" s="15">
        <f t="shared" si="0"/>
        <v>0</v>
      </c>
      <c r="I38" s="4">
        <f t="shared" si="1"/>
        <v>0</v>
      </c>
      <c r="J38" s="9"/>
      <c r="K38" s="609"/>
      <c r="L38" s="609"/>
      <c r="M38" s="609"/>
      <c r="N38" s="4">
        <f t="shared" si="2"/>
        <v>0</v>
      </c>
      <c r="O38" s="5" t="str">
        <f>IF(AC38="◎",COUNTIF($AC$30:AC38,"◎"),"")</f>
        <v/>
      </c>
      <c r="Q38" s="610" t="str">
        <f t="shared" si="3"/>
        <v/>
      </c>
      <c r="R38" s="701" t="str">
        <f t="shared" si="4"/>
        <v/>
      </c>
      <c r="S38" s="701" t="str">
        <f t="shared" si="5"/>
        <v/>
      </c>
      <c r="T38" s="701" t="str">
        <f t="shared" si="6"/>
        <v/>
      </c>
      <c r="Z38" s="702" t="str">
        <f>IF(B38="個別病床",はじめに入力してください!$K$50,IF(B38="共通使用",はじめに入力してください!$K$52,""))</f>
        <v/>
      </c>
      <c r="AB38" s="12">
        <v>9</v>
      </c>
      <c r="AC38" s="701" t="str">
        <f t="shared" si="7"/>
        <v>○</v>
      </c>
      <c r="AD38" s="702" t="str">
        <f t="shared" si="8"/>
        <v>整備しない場合は入力不要です。</v>
      </c>
    </row>
    <row r="39" spans="1:30">
      <c r="A39" s="12">
        <v>10</v>
      </c>
      <c r="B39" s="6"/>
      <c r="C39" s="6"/>
      <c r="D39" s="6"/>
      <c r="E39" s="10"/>
      <c r="F39" s="7"/>
      <c r="G39" s="541"/>
      <c r="H39" s="15">
        <f t="shared" si="0"/>
        <v>0</v>
      </c>
      <c r="I39" s="4">
        <f t="shared" si="1"/>
        <v>0</v>
      </c>
      <c r="J39" s="9"/>
      <c r="K39" s="609"/>
      <c r="L39" s="609"/>
      <c r="M39" s="609"/>
      <c r="N39" s="4">
        <f t="shared" si="2"/>
        <v>0</v>
      </c>
      <c r="O39" s="5" t="str">
        <f>IF(AC39="◎",COUNTIF($AC$30:AC39,"◎"),"")</f>
        <v/>
      </c>
      <c r="Q39" s="610" t="str">
        <f t="shared" si="3"/>
        <v/>
      </c>
      <c r="R39" s="701" t="str">
        <f t="shared" si="4"/>
        <v/>
      </c>
      <c r="S39" s="701" t="str">
        <f t="shared" si="5"/>
        <v/>
      </c>
      <c r="T39" s="701" t="str">
        <f t="shared" si="6"/>
        <v/>
      </c>
      <c r="Z39" s="702" t="str">
        <f>IF(B39="個別病床",はじめに入力してください!$K$50,IF(B39="共通使用",はじめに入力してください!$K$52,""))</f>
        <v/>
      </c>
      <c r="AB39" s="12">
        <v>10</v>
      </c>
      <c r="AC39" s="701" t="str">
        <f t="shared" si="7"/>
        <v>○</v>
      </c>
      <c r="AD39" s="702" t="str">
        <f t="shared" si="8"/>
        <v>整備しない場合は入力不要です。</v>
      </c>
    </row>
    <row r="40" spans="1:30">
      <c r="A40" s="12">
        <v>11</v>
      </c>
      <c r="B40" s="6"/>
      <c r="C40" s="6"/>
      <c r="D40" s="6"/>
      <c r="E40" s="10"/>
      <c r="F40" s="7"/>
      <c r="G40" s="541"/>
      <c r="H40" s="15">
        <f t="shared" si="0"/>
        <v>0</v>
      </c>
      <c r="I40" s="4">
        <f t="shared" si="1"/>
        <v>0</v>
      </c>
      <c r="J40" s="9"/>
      <c r="K40" s="609"/>
      <c r="L40" s="609"/>
      <c r="M40" s="609"/>
      <c r="N40" s="4">
        <f t="shared" si="2"/>
        <v>0</v>
      </c>
      <c r="O40" s="5" t="str">
        <f>IF(AC40="◎",COUNTIF($AC$30:AC40,"◎"),"")</f>
        <v/>
      </c>
      <c r="Q40" s="610" t="str">
        <f t="shared" si="3"/>
        <v/>
      </c>
      <c r="R40" s="701" t="str">
        <f t="shared" si="4"/>
        <v/>
      </c>
      <c r="S40" s="701" t="str">
        <f t="shared" si="5"/>
        <v/>
      </c>
      <c r="T40" s="701" t="str">
        <f t="shared" si="6"/>
        <v/>
      </c>
      <c r="Z40" s="702" t="str">
        <f>IF(B40="個別病床",はじめに入力してください!$K$50,IF(B40="共通使用",はじめに入力してください!$K$52,""))</f>
        <v/>
      </c>
      <c r="AB40" s="12">
        <v>11</v>
      </c>
      <c r="AC40" s="701" t="str">
        <f t="shared" si="7"/>
        <v>○</v>
      </c>
      <c r="AD40" s="702" t="str">
        <f t="shared" si="8"/>
        <v>整備しない場合は入力不要です。</v>
      </c>
    </row>
    <row r="41" spans="1:30">
      <c r="A41" s="12">
        <v>12</v>
      </c>
      <c r="B41" s="6"/>
      <c r="C41" s="6"/>
      <c r="D41" s="6"/>
      <c r="E41" s="10"/>
      <c r="F41" s="7"/>
      <c r="G41" s="541"/>
      <c r="H41" s="15">
        <f t="shared" si="0"/>
        <v>0</v>
      </c>
      <c r="I41" s="4">
        <f t="shared" si="1"/>
        <v>0</v>
      </c>
      <c r="J41" s="9"/>
      <c r="K41" s="609"/>
      <c r="L41" s="609"/>
      <c r="M41" s="609"/>
      <c r="N41" s="4">
        <f t="shared" si="2"/>
        <v>0</v>
      </c>
      <c r="O41" s="5" t="str">
        <f>IF(AC41="◎",COUNTIF($AC$30:AC41,"◎"),"")</f>
        <v/>
      </c>
      <c r="Q41" s="610" t="str">
        <f t="shared" si="3"/>
        <v/>
      </c>
      <c r="R41" s="701" t="str">
        <f t="shared" si="4"/>
        <v/>
      </c>
      <c r="S41" s="701" t="str">
        <f t="shared" si="5"/>
        <v/>
      </c>
      <c r="T41" s="701" t="str">
        <f t="shared" si="6"/>
        <v/>
      </c>
      <c r="Z41" s="702" t="str">
        <f>IF(B41="個別病床",はじめに入力してください!$K$50,IF(B41="共通使用",はじめに入力してください!$K$52,""))</f>
        <v/>
      </c>
      <c r="AB41" s="12">
        <v>12</v>
      </c>
      <c r="AC41" s="701" t="str">
        <f t="shared" si="7"/>
        <v>○</v>
      </c>
      <c r="AD41" s="702" t="str">
        <f t="shared" si="8"/>
        <v>整備しない場合は入力不要です。</v>
      </c>
    </row>
    <row r="42" spans="1:30">
      <c r="A42" s="12">
        <v>13</v>
      </c>
      <c r="B42" s="6"/>
      <c r="C42" s="6"/>
      <c r="D42" s="6"/>
      <c r="E42" s="10"/>
      <c r="F42" s="7"/>
      <c r="G42" s="541"/>
      <c r="H42" s="15">
        <f t="shared" si="0"/>
        <v>0</v>
      </c>
      <c r="I42" s="4">
        <f t="shared" si="1"/>
        <v>0</v>
      </c>
      <c r="J42" s="9"/>
      <c r="K42" s="609"/>
      <c r="L42" s="609"/>
      <c r="M42" s="609"/>
      <c r="N42" s="4">
        <f t="shared" si="2"/>
        <v>0</v>
      </c>
      <c r="O42" s="5" t="str">
        <f>IF(AC42="◎",COUNTIF($AC$30:AC42,"◎"),"")</f>
        <v/>
      </c>
      <c r="Q42" s="610" t="str">
        <f t="shared" si="3"/>
        <v/>
      </c>
      <c r="R42" s="701" t="str">
        <f t="shared" si="4"/>
        <v/>
      </c>
      <c r="S42" s="701" t="str">
        <f t="shared" si="5"/>
        <v/>
      </c>
      <c r="T42" s="701" t="str">
        <f t="shared" si="6"/>
        <v/>
      </c>
      <c r="Z42" s="702" t="str">
        <f>IF(B42="個別病床",はじめに入力してください!$K$50,IF(B42="共通使用",はじめに入力してください!$K$52,""))</f>
        <v/>
      </c>
      <c r="AB42" s="12">
        <v>13</v>
      </c>
      <c r="AC42" s="701" t="str">
        <f t="shared" si="7"/>
        <v>○</v>
      </c>
      <c r="AD42" s="702" t="str">
        <f t="shared" si="8"/>
        <v>整備しない場合は入力不要です。</v>
      </c>
    </row>
    <row r="43" spans="1:30">
      <c r="A43" s="12">
        <v>14</v>
      </c>
      <c r="B43" s="6"/>
      <c r="C43" s="6"/>
      <c r="D43" s="6"/>
      <c r="E43" s="10"/>
      <c r="F43" s="7"/>
      <c r="G43" s="541"/>
      <c r="H43" s="15">
        <f t="shared" si="0"/>
        <v>0</v>
      </c>
      <c r="I43" s="4">
        <f t="shared" si="1"/>
        <v>0</v>
      </c>
      <c r="J43" s="9"/>
      <c r="K43" s="609"/>
      <c r="L43" s="609"/>
      <c r="M43" s="609"/>
      <c r="N43" s="4">
        <f t="shared" si="2"/>
        <v>0</v>
      </c>
      <c r="O43" s="5" t="str">
        <f>IF(AC43="◎",COUNTIF($AC$30:AC43,"◎"),"")</f>
        <v/>
      </c>
      <c r="Q43" s="610" t="str">
        <f t="shared" si="3"/>
        <v/>
      </c>
      <c r="R43" s="701" t="str">
        <f t="shared" si="4"/>
        <v/>
      </c>
      <c r="S43" s="701" t="str">
        <f t="shared" si="5"/>
        <v/>
      </c>
      <c r="T43" s="701" t="str">
        <f t="shared" si="6"/>
        <v/>
      </c>
      <c r="Z43" s="702" t="str">
        <f>IF(B43="個別病床",はじめに入力してください!$K$50,IF(B43="共通使用",はじめに入力してください!$K$52,""))</f>
        <v/>
      </c>
      <c r="AB43" s="12">
        <v>14</v>
      </c>
      <c r="AC43" s="701" t="str">
        <f t="shared" si="7"/>
        <v>○</v>
      </c>
      <c r="AD43" s="702" t="str">
        <f t="shared" si="8"/>
        <v>整備しない場合は入力不要です。</v>
      </c>
    </row>
    <row r="44" spans="1:30">
      <c r="A44" s="12">
        <v>15</v>
      </c>
      <c r="B44" s="6"/>
      <c r="C44" s="6"/>
      <c r="D44" s="6"/>
      <c r="E44" s="10"/>
      <c r="F44" s="7"/>
      <c r="G44" s="541"/>
      <c r="H44" s="15">
        <f t="shared" si="0"/>
        <v>0</v>
      </c>
      <c r="I44" s="4">
        <f t="shared" si="1"/>
        <v>0</v>
      </c>
      <c r="J44" s="9"/>
      <c r="K44" s="609"/>
      <c r="L44" s="609"/>
      <c r="M44" s="609"/>
      <c r="N44" s="4">
        <f t="shared" si="2"/>
        <v>0</v>
      </c>
      <c r="O44" s="5" t="str">
        <f>IF(AC44="◎",COUNTIF($AC$30:AC44,"◎"),"")</f>
        <v/>
      </c>
      <c r="Q44" s="610" t="str">
        <f t="shared" si="3"/>
        <v/>
      </c>
      <c r="R44" s="701" t="str">
        <f t="shared" si="4"/>
        <v/>
      </c>
      <c r="S44" s="701" t="str">
        <f t="shared" si="5"/>
        <v/>
      </c>
      <c r="T44" s="701" t="str">
        <f t="shared" si="6"/>
        <v/>
      </c>
      <c r="Z44" s="702" t="str">
        <f>IF(B44="個別病床",はじめに入力してください!$K$50,IF(B44="共通使用",はじめに入力してください!$K$52,""))</f>
        <v/>
      </c>
      <c r="AB44" s="12">
        <v>15</v>
      </c>
      <c r="AC44" s="701" t="str">
        <f t="shared" si="7"/>
        <v>○</v>
      </c>
      <c r="AD44" s="702" t="str">
        <f t="shared" si="8"/>
        <v>整備しない場合は入力不要です。</v>
      </c>
    </row>
    <row r="45" spans="1:30">
      <c r="A45" s="12">
        <v>16</v>
      </c>
      <c r="B45" s="6"/>
      <c r="C45" s="6"/>
      <c r="D45" s="6"/>
      <c r="E45" s="10"/>
      <c r="F45" s="7"/>
      <c r="G45" s="541"/>
      <c r="H45" s="15">
        <f t="shared" si="0"/>
        <v>0</v>
      </c>
      <c r="I45" s="4">
        <f t="shared" si="1"/>
        <v>0</v>
      </c>
      <c r="J45" s="9"/>
      <c r="K45" s="609"/>
      <c r="L45" s="609"/>
      <c r="M45" s="609"/>
      <c r="N45" s="4">
        <f t="shared" si="2"/>
        <v>0</v>
      </c>
      <c r="O45" s="5" t="str">
        <f>IF(AC45="◎",COUNTIF($AC$30:AC45,"◎"),"")</f>
        <v/>
      </c>
      <c r="Q45" s="610" t="str">
        <f t="shared" si="3"/>
        <v/>
      </c>
      <c r="R45" s="701" t="str">
        <f t="shared" si="4"/>
        <v/>
      </c>
      <c r="S45" s="701" t="str">
        <f t="shared" si="5"/>
        <v/>
      </c>
      <c r="T45" s="701" t="str">
        <f t="shared" si="6"/>
        <v/>
      </c>
      <c r="Z45" s="702" t="str">
        <f>IF(B45="個別病床",はじめに入力してください!$K$50,IF(B45="共通使用",はじめに入力してください!$K$52,""))</f>
        <v/>
      </c>
      <c r="AB45" s="12">
        <v>16</v>
      </c>
      <c r="AC45" s="701" t="str">
        <f t="shared" si="7"/>
        <v>○</v>
      </c>
      <c r="AD45" s="702" t="str">
        <f t="shared" si="8"/>
        <v>整備しない場合は入力不要です。</v>
      </c>
    </row>
    <row r="46" spans="1:30">
      <c r="A46" s="12">
        <v>17</v>
      </c>
      <c r="B46" s="6"/>
      <c r="C46" s="6"/>
      <c r="D46" s="6"/>
      <c r="E46" s="10"/>
      <c r="F46" s="7"/>
      <c r="G46" s="541"/>
      <c r="H46" s="15">
        <f t="shared" si="0"/>
        <v>0</v>
      </c>
      <c r="I46" s="4">
        <f t="shared" si="1"/>
        <v>0</v>
      </c>
      <c r="J46" s="9"/>
      <c r="K46" s="609"/>
      <c r="L46" s="609"/>
      <c r="M46" s="609"/>
      <c r="N46" s="4">
        <f t="shared" si="2"/>
        <v>0</v>
      </c>
      <c r="O46" s="5" t="str">
        <f>IF(AC46="◎",COUNTIF($AC$30:AC46,"◎"),"")</f>
        <v/>
      </c>
      <c r="Q46" s="610" t="str">
        <f t="shared" si="3"/>
        <v/>
      </c>
      <c r="R46" s="701" t="str">
        <f t="shared" si="4"/>
        <v/>
      </c>
      <c r="S46" s="701" t="str">
        <f t="shared" si="5"/>
        <v/>
      </c>
      <c r="T46" s="701" t="str">
        <f t="shared" si="6"/>
        <v/>
      </c>
      <c r="Z46" s="702" t="str">
        <f>IF(B46="個別病床",はじめに入力してください!$K$50,IF(B46="共通使用",はじめに入力してください!$K$52,""))</f>
        <v/>
      </c>
      <c r="AB46" s="12">
        <v>17</v>
      </c>
      <c r="AC46" s="701" t="str">
        <f t="shared" si="7"/>
        <v>○</v>
      </c>
      <c r="AD46" s="702" t="str">
        <f t="shared" si="8"/>
        <v>整備しない場合は入力不要です。</v>
      </c>
    </row>
    <row r="47" spans="1:30">
      <c r="A47" s="12">
        <v>18</v>
      </c>
      <c r="B47" s="6"/>
      <c r="C47" s="6"/>
      <c r="D47" s="6"/>
      <c r="E47" s="10"/>
      <c r="F47" s="7"/>
      <c r="G47" s="541"/>
      <c r="H47" s="15">
        <f t="shared" si="0"/>
        <v>0</v>
      </c>
      <c r="I47" s="4">
        <f t="shared" si="1"/>
        <v>0</v>
      </c>
      <c r="J47" s="9"/>
      <c r="K47" s="609"/>
      <c r="L47" s="609"/>
      <c r="M47" s="609"/>
      <c r="N47" s="4">
        <f t="shared" si="2"/>
        <v>0</v>
      </c>
      <c r="O47" s="5" t="str">
        <f>IF(AC47="◎",COUNTIF($AC$30:AC47,"◎"),"")</f>
        <v/>
      </c>
      <c r="Q47" s="610" t="str">
        <f t="shared" si="3"/>
        <v/>
      </c>
      <c r="R47" s="701" t="str">
        <f t="shared" si="4"/>
        <v/>
      </c>
      <c r="S47" s="701" t="str">
        <f t="shared" si="5"/>
        <v/>
      </c>
      <c r="T47" s="701" t="str">
        <f t="shared" si="6"/>
        <v/>
      </c>
      <c r="Z47" s="702" t="str">
        <f>IF(B47="個別病床",はじめに入力してください!$K$50,IF(B47="共通使用",はじめに入力してください!$K$52,""))</f>
        <v/>
      </c>
      <c r="AB47" s="12">
        <v>18</v>
      </c>
      <c r="AC47" s="701" t="str">
        <f t="shared" si="7"/>
        <v>○</v>
      </c>
      <c r="AD47" s="702" t="str">
        <f t="shared" si="8"/>
        <v>整備しない場合は入力不要です。</v>
      </c>
    </row>
    <row r="48" spans="1:30">
      <c r="A48" s="12">
        <v>19</v>
      </c>
      <c r="B48" s="6"/>
      <c r="C48" s="6"/>
      <c r="D48" s="6"/>
      <c r="E48" s="10"/>
      <c r="F48" s="7"/>
      <c r="G48" s="541"/>
      <c r="H48" s="15">
        <f t="shared" si="0"/>
        <v>0</v>
      </c>
      <c r="I48" s="4">
        <f t="shared" si="1"/>
        <v>0</v>
      </c>
      <c r="J48" s="9"/>
      <c r="K48" s="609"/>
      <c r="L48" s="609"/>
      <c r="M48" s="609"/>
      <c r="N48" s="4">
        <f t="shared" si="2"/>
        <v>0</v>
      </c>
      <c r="O48" s="5" t="str">
        <f>IF(AC48="◎",COUNTIF($AC$30:AC48,"◎"),"")</f>
        <v/>
      </c>
      <c r="Q48" s="610" t="str">
        <f t="shared" si="3"/>
        <v/>
      </c>
      <c r="R48" s="701" t="str">
        <f t="shared" si="4"/>
        <v/>
      </c>
      <c r="S48" s="701" t="str">
        <f t="shared" si="5"/>
        <v/>
      </c>
      <c r="T48" s="701" t="str">
        <f t="shared" si="6"/>
        <v/>
      </c>
      <c r="Z48" s="702" t="str">
        <f>IF(B48="個別病床",はじめに入力してください!$K$50,IF(B48="共通使用",はじめに入力してください!$K$52,""))</f>
        <v/>
      </c>
      <c r="AB48" s="12">
        <v>19</v>
      </c>
      <c r="AC48" s="701" t="str">
        <f t="shared" si="7"/>
        <v>○</v>
      </c>
      <c r="AD48" s="702" t="str">
        <f t="shared" si="8"/>
        <v>整備しない場合は入力不要です。</v>
      </c>
    </row>
    <row r="49" spans="1:30">
      <c r="A49" s="12">
        <v>20</v>
      </c>
      <c r="B49" s="6"/>
      <c r="C49" s="6"/>
      <c r="D49" s="6"/>
      <c r="E49" s="10"/>
      <c r="F49" s="7"/>
      <c r="G49" s="541"/>
      <c r="H49" s="15">
        <f t="shared" si="0"/>
        <v>0</v>
      </c>
      <c r="I49" s="4">
        <f t="shared" si="1"/>
        <v>0</v>
      </c>
      <c r="J49" s="9"/>
      <c r="K49" s="609"/>
      <c r="L49" s="609"/>
      <c r="M49" s="609"/>
      <c r="N49" s="4">
        <f t="shared" si="2"/>
        <v>0</v>
      </c>
      <c r="O49" s="5" t="str">
        <f>IF(AC49="◎",COUNTIF($AC$30:AC49,"◎"),"")</f>
        <v/>
      </c>
      <c r="Q49" s="610" t="str">
        <f t="shared" si="3"/>
        <v/>
      </c>
      <c r="R49" s="701" t="str">
        <f t="shared" si="4"/>
        <v/>
      </c>
      <c r="S49" s="701" t="str">
        <f t="shared" si="5"/>
        <v/>
      </c>
      <c r="T49" s="701" t="str">
        <f t="shared" si="6"/>
        <v/>
      </c>
      <c r="Z49" s="702" t="str">
        <f>IF(B49="個別病床",はじめに入力してください!$K$50,IF(B49="共通使用",はじめに入力してください!$K$52,""))</f>
        <v/>
      </c>
      <c r="AB49" s="12">
        <v>20</v>
      </c>
      <c r="AC49" s="701" t="str">
        <f t="shared" si="7"/>
        <v>○</v>
      </c>
      <c r="AD49" s="702" t="str">
        <f t="shared" si="8"/>
        <v>整備しない場合は入力不要です。</v>
      </c>
    </row>
    <row r="50" spans="1:30">
      <c r="A50" s="12">
        <v>21</v>
      </c>
      <c r="B50" s="6"/>
      <c r="C50" s="6"/>
      <c r="D50" s="6"/>
      <c r="E50" s="10"/>
      <c r="F50" s="7"/>
      <c r="G50" s="541"/>
      <c r="H50" s="15">
        <f t="shared" si="0"/>
        <v>0</v>
      </c>
      <c r="I50" s="4">
        <f t="shared" si="1"/>
        <v>0</v>
      </c>
      <c r="J50" s="9"/>
      <c r="K50" s="609"/>
      <c r="L50" s="609"/>
      <c r="M50" s="609"/>
      <c r="N50" s="4">
        <f t="shared" si="2"/>
        <v>0</v>
      </c>
      <c r="O50" s="5" t="str">
        <f>IF(AC50="◎",COUNTIF($AC$30:AC50,"◎"),"")</f>
        <v/>
      </c>
      <c r="Q50" s="610" t="str">
        <f t="shared" si="3"/>
        <v/>
      </c>
      <c r="R50" s="701" t="str">
        <f t="shared" si="4"/>
        <v/>
      </c>
      <c r="S50" s="701" t="str">
        <f t="shared" si="5"/>
        <v/>
      </c>
      <c r="T50" s="701" t="str">
        <f t="shared" si="6"/>
        <v/>
      </c>
      <c r="Z50" s="702" t="str">
        <f>IF(B50="個別病床",はじめに入力してください!$K$50,IF(B50="共通使用",はじめに入力してください!$K$52,""))</f>
        <v/>
      </c>
      <c r="AB50" s="12">
        <v>21</v>
      </c>
      <c r="AC50" s="701" t="str">
        <f t="shared" si="7"/>
        <v>○</v>
      </c>
      <c r="AD50" s="702" t="str">
        <f t="shared" si="8"/>
        <v>整備しない場合は入力不要です。</v>
      </c>
    </row>
    <row r="51" spans="1:30">
      <c r="A51" s="12">
        <v>22</v>
      </c>
      <c r="B51" s="6"/>
      <c r="C51" s="6"/>
      <c r="D51" s="6"/>
      <c r="E51" s="10"/>
      <c r="F51" s="7"/>
      <c r="G51" s="541"/>
      <c r="H51" s="15">
        <f t="shared" si="0"/>
        <v>0</v>
      </c>
      <c r="I51" s="4">
        <f t="shared" si="1"/>
        <v>0</v>
      </c>
      <c r="J51" s="9"/>
      <c r="K51" s="609"/>
      <c r="L51" s="609"/>
      <c r="M51" s="609"/>
      <c r="N51" s="4">
        <f t="shared" si="2"/>
        <v>0</v>
      </c>
      <c r="O51" s="5" t="str">
        <f>IF(AC51="◎",COUNTIF($AC$30:AC51,"◎"),"")</f>
        <v/>
      </c>
      <c r="Q51" s="610" t="str">
        <f t="shared" si="3"/>
        <v/>
      </c>
      <c r="R51" s="701" t="str">
        <f t="shared" si="4"/>
        <v/>
      </c>
      <c r="S51" s="701" t="str">
        <f t="shared" si="5"/>
        <v/>
      </c>
      <c r="T51" s="701" t="str">
        <f t="shared" si="6"/>
        <v/>
      </c>
      <c r="Z51" s="702" t="str">
        <f>IF(B51="個別病床",はじめに入力してください!$K$50,IF(B51="共通使用",はじめに入力してください!$K$52,""))</f>
        <v/>
      </c>
      <c r="AB51" s="12">
        <v>22</v>
      </c>
      <c r="AC51" s="701" t="str">
        <f t="shared" si="7"/>
        <v>○</v>
      </c>
      <c r="AD51" s="702" t="str">
        <f t="shared" si="8"/>
        <v>整備しない場合は入力不要です。</v>
      </c>
    </row>
    <row r="52" spans="1:30">
      <c r="A52" s="12">
        <v>23</v>
      </c>
      <c r="B52" s="6"/>
      <c r="C52" s="6"/>
      <c r="D52" s="6"/>
      <c r="E52" s="10"/>
      <c r="F52" s="7"/>
      <c r="G52" s="541"/>
      <c r="H52" s="15">
        <f t="shared" si="0"/>
        <v>0</v>
      </c>
      <c r="I52" s="4">
        <f t="shared" si="1"/>
        <v>0</v>
      </c>
      <c r="J52" s="9"/>
      <c r="K52" s="609"/>
      <c r="L52" s="609"/>
      <c r="M52" s="609"/>
      <c r="N52" s="4">
        <f t="shared" si="2"/>
        <v>0</v>
      </c>
      <c r="O52" s="5" t="str">
        <f>IF(AC52="◎",COUNTIF($AC$30:AC52,"◎"),"")</f>
        <v/>
      </c>
      <c r="Q52" s="610" t="str">
        <f t="shared" si="3"/>
        <v/>
      </c>
      <c r="R52" s="701" t="str">
        <f t="shared" si="4"/>
        <v/>
      </c>
      <c r="S52" s="701" t="str">
        <f t="shared" si="5"/>
        <v/>
      </c>
      <c r="T52" s="701" t="str">
        <f t="shared" si="6"/>
        <v/>
      </c>
      <c r="Z52" s="702" t="str">
        <f>IF(B52="個別病床",はじめに入力してください!$K$50,IF(B52="共通使用",はじめに入力してください!$K$52,""))</f>
        <v/>
      </c>
      <c r="AB52" s="12">
        <v>23</v>
      </c>
      <c r="AC52" s="701" t="str">
        <f t="shared" si="7"/>
        <v>○</v>
      </c>
      <c r="AD52" s="702" t="str">
        <f t="shared" si="8"/>
        <v>整備しない場合は入力不要です。</v>
      </c>
    </row>
    <row r="53" spans="1:30">
      <c r="A53" s="12">
        <v>24</v>
      </c>
      <c r="B53" s="6"/>
      <c r="C53" s="6"/>
      <c r="D53" s="6"/>
      <c r="E53" s="10"/>
      <c r="F53" s="7"/>
      <c r="G53" s="541"/>
      <c r="H53" s="15">
        <f t="shared" si="0"/>
        <v>0</v>
      </c>
      <c r="I53" s="4">
        <f t="shared" si="1"/>
        <v>0</v>
      </c>
      <c r="J53" s="9"/>
      <c r="K53" s="609"/>
      <c r="L53" s="609"/>
      <c r="M53" s="609"/>
      <c r="N53" s="4">
        <f t="shared" si="2"/>
        <v>0</v>
      </c>
      <c r="O53" s="5" t="str">
        <f>IF(AC53="◎",COUNTIF($AC$30:AC53,"◎"),"")</f>
        <v/>
      </c>
      <c r="Q53" s="610" t="str">
        <f t="shared" si="3"/>
        <v/>
      </c>
      <c r="R53" s="701" t="str">
        <f t="shared" si="4"/>
        <v/>
      </c>
      <c r="S53" s="701" t="str">
        <f t="shared" si="5"/>
        <v/>
      </c>
      <c r="T53" s="701" t="str">
        <f t="shared" si="6"/>
        <v/>
      </c>
      <c r="Z53" s="702" t="str">
        <f>IF(B53="個別病床",はじめに入力してください!$K$50,IF(B53="共通使用",はじめに入力してください!$K$52,""))</f>
        <v/>
      </c>
      <c r="AB53" s="12">
        <v>24</v>
      </c>
      <c r="AC53" s="701" t="str">
        <f t="shared" si="7"/>
        <v>○</v>
      </c>
      <c r="AD53" s="702" t="str">
        <f t="shared" si="8"/>
        <v>整備しない場合は入力不要です。</v>
      </c>
    </row>
    <row r="54" spans="1:30">
      <c r="A54" s="12">
        <v>25</v>
      </c>
      <c r="B54" s="6"/>
      <c r="C54" s="6"/>
      <c r="D54" s="6"/>
      <c r="E54" s="10"/>
      <c r="F54" s="7"/>
      <c r="G54" s="541"/>
      <c r="H54" s="15">
        <f t="shared" si="0"/>
        <v>0</v>
      </c>
      <c r="I54" s="4">
        <f t="shared" si="1"/>
        <v>0</v>
      </c>
      <c r="J54" s="9"/>
      <c r="K54" s="609"/>
      <c r="L54" s="609"/>
      <c r="M54" s="609"/>
      <c r="N54" s="4">
        <f t="shared" si="2"/>
        <v>0</v>
      </c>
      <c r="O54" s="5" t="str">
        <f>IF(AC54="◎",COUNTIF($AC$30:AC54,"◎"),"")</f>
        <v/>
      </c>
      <c r="Q54" s="610" t="str">
        <f t="shared" si="3"/>
        <v/>
      </c>
      <c r="R54" s="701" t="str">
        <f t="shared" si="4"/>
        <v/>
      </c>
      <c r="S54" s="701" t="str">
        <f t="shared" si="5"/>
        <v/>
      </c>
      <c r="T54" s="701" t="str">
        <f t="shared" si="6"/>
        <v/>
      </c>
      <c r="Z54" s="702" t="str">
        <f>IF(B54="個別病床",はじめに入力してください!$K$50,IF(B54="共通使用",はじめに入力してください!$K$52,""))</f>
        <v/>
      </c>
      <c r="AB54" s="12">
        <v>25</v>
      </c>
      <c r="AC54" s="701" t="str">
        <f t="shared" si="7"/>
        <v>○</v>
      </c>
      <c r="AD54" s="702" t="str">
        <f t="shared" si="8"/>
        <v>整備しない場合は入力不要です。</v>
      </c>
    </row>
    <row r="55" spans="1:30">
      <c r="A55" s="12">
        <v>26</v>
      </c>
      <c r="B55" s="6"/>
      <c r="C55" s="6"/>
      <c r="D55" s="6"/>
      <c r="E55" s="10"/>
      <c r="F55" s="7"/>
      <c r="G55" s="541"/>
      <c r="H55" s="15">
        <f t="shared" si="0"/>
        <v>0</v>
      </c>
      <c r="I55" s="4">
        <f t="shared" si="1"/>
        <v>0</v>
      </c>
      <c r="J55" s="9"/>
      <c r="K55" s="609"/>
      <c r="L55" s="609"/>
      <c r="M55" s="609"/>
      <c r="N55" s="4">
        <f t="shared" si="2"/>
        <v>0</v>
      </c>
      <c r="O55" s="5" t="str">
        <f>IF(AC55="◎",COUNTIF($AC$30:AC55,"◎"),"")</f>
        <v/>
      </c>
      <c r="Q55" s="610" t="str">
        <f t="shared" si="3"/>
        <v/>
      </c>
      <c r="R55" s="701" t="str">
        <f t="shared" si="4"/>
        <v/>
      </c>
      <c r="S55" s="701" t="str">
        <f t="shared" si="5"/>
        <v/>
      </c>
      <c r="T55" s="701" t="str">
        <f t="shared" si="6"/>
        <v/>
      </c>
      <c r="Z55" s="702" t="str">
        <f>IF(B55="個別病床",はじめに入力してください!$K$50,IF(B55="共通使用",はじめに入力してください!$K$52,""))</f>
        <v/>
      </c>
      <c r="AB55" s="12">
        <v>26</v>
      </c>
      <c r="AC55" s="701" t="str">
        <f t="shared" si="7"/>
        <v>○</v>
      </c>
      <c r="AD55" s="702" t="str">
        <f t="shared" si="8"/>
        <v>整備しない場合は入力不要です。</v>
      </c>
    </row>
    <row r="56" spans="1:30">
      <c r="A56" s="12">
        <v>27</v>
      </c>
      <c r="B56" s="6"/>
      <c r="C56" s="6"/>
      <c r="D56" s="6"/>
      <c r="E56" s="10"/>
      <c r="F56" s="7"/>
      <c r="G56" s="541"/>
      <c r="H56" s="15">
        <f t="shared" si="0"/>
        <v>0</v>
      </c>
      <c r="I56" s="4">
        <f t="shared" si="1"/>
        <v>0</v>
      </c>
      <c r="J56" s="9"/>
      <c r="K56" s="609"/>
      <c r="L56" s="609"/>
      <c r="M56" s="609"/>
      <c r="N56" s="4">
        <f t="shared" si="2"/>
        <v>0</v>
      </c>
      <c r="O56" s="5" t="str">
        <f>IF(AC56="◎",COUNTIF($AC$30:AC56,"◎"),"")</f>
        <v/>
      </c>
      <c r="Q56" s="610" t="str">
        <f t="shared" si="3"/>
        <v/>
      </c>
      <c r="R56" s="701" t="str">
        <f t="shared" si="4"/>
        <v/>
      </c>
      <c r="S56" s="701" t="str">
        <f t="shared" si="5"/>
        <v/>
      </c>
      <c r="T56" s="701" t="str">
        <f t="shared" si="6"/>
        <v/>
      </c>
      <c r="Z56" s="702" t="str">
        <f>IF(B56="個別病床",はじめに入力してください!$K$50,IF(B56="共通使用",はじめに入力してください!$K$52,""))</f>
        <v/>
      </c>
      <c r="AB56" s="12">
        <v>27</v>
      </c>
      <c r="AC56" s="701" t="str">
        <f t="shared" si="7"/>
        <v>○</v>
      </c>
      <c r="AD56" s="702" t="str">
        <f t="shared" si="8"/>
        <v>整備しない場合は入力不要です。</v>
      </c>
    </row>
    <row r="57" spans="1:30">
      <c r="A57" s="12">
        <v>28</v>
      </c>
      <c r="B57" s="6"/>
      <c r="C57" s="6"/>
      <c r="D57" s="6"/>
      <c r="E57" s="10"/>
      <c r="F57" s="7"/>
      <c r="G57" s="541"/>
      <c r="H57" s="15">
        <f t="shared" si="0"/>
        <v>0</v>
      </c>
      <c r="I57" s="4">
        <f t="shared" si="1"/>
        <v>0</v>
      </c>
      <c r="J57" s="9"/>
      <c r="K57" s="609"/>
      <c r="L57" s="609"/>
      <c r="M57" s="609"/>
      <c r="N57" s="4">
        <f t="shared" si="2"/>
        <v>0</v>
      </c>
      <c r="O57" s="5" t="str">
        <f>IF(AC57="◎",COUNTIF($AC$30:AC57,"◎"),"")</f>
        <v/>
      </c>
      <c r="Q57" s="610" t="str">
        <f t="shared" si="3"/>
        <v/>
      </c>
      <c r="R57" s="701" t="str">
        <f t="shared" si="4"/>
        <v/>
      </c>
      <c r="S57" s="701" t="str">
        <f t="shared" si="5"/>
        <v/>
      </c>
      <c r="T57" s="701" t="str">
        <f t="shared" si="6"/>
        <v/>
      </c>
      <c r="Z57" s="702" t="str">
        <f>IF(B57="個別病床",はじめに入力してください!$K$50,IF(B57="共通使用",はじめに入力してください!$K$52,""))</f>
        <v/>
      </c>
      <c r="AB57" s="12">
        <v>28</v>
      </c>
      <c r="AC57" s="701" t="str">
        <f t="shared" si="7"/>
        <v>○</v>
      </c>
      <c r="AD57" s="702" t="str">
        <f t="shared" si="8"/>
        <v>整備しない場合は入力不要です。</v>
      </c>
    </row>
    <row r="58" spans="1:30">
      <c r="A58" s="12">
        <v>29</v>
      </c>
      <c r="B58" s="6"/>
      <c r="C58" s="6"/>
      <c r="D58" s="6"/>
      <c r="E58" s="10"/>
      <c r="F58" s="7"/>
      <c r="G58" s="541"/>
      <c r="H58" s="15">
        <f t="shared" si="0"/>
        <v>0</v>
      </c>
      <c r="I58" s="4">
        <f t="shared" si="1"/>
        <v>0</v>
      </c>
      <c r="J58" s="9"/>
      <c r="K58" s="609"/>
      <c r="L58" s="609"/>
      <c r="M58" s="609"/>
      <c r="N58" s="4">
        <f t="shared" si="2"/>
        <v>0</v>
      </c>
      <c r="O58" s="5" t="str">
        <f>IF(AC58="◎",COUNTIF($AC$30:AC58,"◎"),"")</f>
        <v/>
      </c>
      <c r="Q58" s="610" t="str">
        <f t="shared" si="3"/>
        <v/>
      </c>
      <c r="R58" s="701" t="str">
        <f t="shared" si="4"/>
        <v/>
      </c>
      <c r="S58" s="701" t="str">
        <f t="shared" si="5"/>
        <v/>
      </c>
      <c r="T58" s="701" t="str">
        <f t="shared" si="6"/>
        <v/>
      </c>
      <c r="Z58" s="702" t="str">
        <f>IF(B58="個別病床",はじめに入力してください!$K$50,IF(B58="共通使用",はじめに入力してください!$K$52,""))</f>
        <v/>
      </c>
      <c r="AB58" s="12">
        <v>29</v>
      </c>
      <c r="AC58" s="701" t="str">
        <f t="shared" si="7"/>
        <v>○</v>
      </c>
      <c r="AD58" s="702" t="str">
        <f t="shared" si="8"/>
        <v>整備しない場合は入力不要です。</v>
      </c>
    </row>
    <row r="59" spans="1:30">
      <c r="A59" s="12">
        <v>30</v>
      </c>
      <c r="B59" s="6"/>
      <c r="C59" s="6"/>
      <c r="D59" s="6"/>
      <c r="E59" s="10"/>
      <c r="F59" s="7"/>
      <c r="G59" s="541"/>
      <c r="H59" s="15">
        <f t="shared" si="0"/>
        <v>0</v>
      </c>
      <c r="I59" s="4">
        <f t="shared" si="1"/>
        <v>0</v>
      </c>
      <c r="J59" s="9"/>
      <c r="K59" s="609"/>
      <c r="L59" s="609"/>
      <c r="M59" s="609"/>
      <c r="N59" s="4">
        <f t="shared" si="2"/>
        <v>0</v>
      </c>
      <c r="O59" s="5" t="str">
        <f>IF(AC59="◎",COUNTIF($AC$30:AC59,"◎"),"")</f>
        <v/>
      </c>
      <c r="Q59" s="610" t="str">
        <f t="shared" si="3"/>
        <v/>
      </c>
      <c r="R59" s="701" t="str">
        <f t="shared" si="4"/>
        <v/>
      </c>
      <c r="S59" s="701" t="str">
        <f t="shared" si="5"/>
        <v/>
      </c>
      <c r="T59" s="701" t="str">
        <f t="shared" si="6"/>
        <v/>
      </c>
      <c r="Z59" s="702" t="str">
        <f>IF(B59="個別病床",はじめに入力してください!$K$50,IF(B59="共通使用",はじめに入力してください!$K$52,""))</f>
        <v/>
      </c>
      <c r="AB59" s="12">
        <v>30</v>
      </c>
      <c r="AC59" s="701" t="str">
        <f t="shared" si="7"/>
        <v>○</v>
      </c>
      <c r="AD59" s="702" t="str">
        <f t="shared" si="8"/>
        <v>整備しない場合は入力不要です。</v>
      </c>
    </row>
    <row r="60" spans="1:30">
      <c r="A60" s="12">
        <v>31</v>
      </c>
      <c r="B60" s="6"/>
      <c r="C60" s="6"/>
      <c r="D60" s="6"/>
      <c r="E60" s="10"/>
      <c r="F60" s="7"/>
      <c r="G60" s="541"/>
      <c r="H60" s="15">
        <f t="shared" si="0"/>
        <v>0</v>
      </c>
      <c r="I60" s="4">
        <f t="shared" si="1"/>
        <v>0</v>
      </c>
      <c r="J60" s="9"/>
      <c r="K60" s="609"/>
      <c r="L60" s="609"/>
      <c r="M60" s="609"/>
      <c r="N60" s="4">
        <f t="shared" si="2"/>
        <v>0</v>
      </c>
      <c r="O60" s="5" t="str">
        <f>IF(AC60="◎",COUNTIF($AC$30:AC60,"◎"),"")</f>
        <v/>
      </c>
      <c r="Q60" s="610" t="str">
        <f t="shared" si="3"/>
        <v/>
      </c>
      <c r="R60" s="701" t="str">
        <f t="shared" si="4"/>
        <v/>
      </c>
      <c r="S60" s="701" t="str">
        <f t="shared" si="5"/>
        <v/>
      </c>
      <c r="T60" s="701" t="str">
        <f t="shared" si="6"/>
        <v/>
      </c>
      <c r="Z60" s="702" t="str">
        <f>IF(B60="個別病床",はじめに入力してください!$K$50,IF(B60="共通使用",はじめに入力してください!$K$52,""))</f>
        <v/>
      </c>
      <c r="AB60" s="12">
        <v>31</v>
      </c>
      <c r="AC60" s="701" t="str">
        <f t="shared" si="7"/>
        <v>○</v>
      </c>
      <c r="AD60" s="702" t="str">
        <f t="shared" si="8"/>
        <v>整備しない場合は入力不要です。</v>
      </c>
    </row>
    <row r="61" spans="1:30">
      <c r="A61" s="12">
        <v>32</v>
      </c>
      <c r="B61" s="6"/>
      <c r="C61" s="6"/>
      <c r="D61" s="6"/>
      <c r="E61" s="10"/>
      <c r="F61" s="7"/>
      <c r="G61" s="541"/>
      <c r="H61" s="15">
        <f t="shared" si="0"/>
        <v>0</v>
      </c>
      <c r="I61" s="4">
        <f t="shared" si="1"/>
        <v>0</v>
      </c>
      <c r="J61" s="9"/>
      <c r="K61" s="609"/>
      <c r="L61" s="609"/>
      <c r="M61" s="609"/>
      <c r="N61" s="4">
        <f t="shared" si="2"/>
        <v>0</v>
      </c>
      <c r="O61" s="5" t="str">
        <f>IF(AC61="◎",COUNTIF($AC$30:AC61,"◎"),"")</f>
        <v/>
      </c>
      <c r="Q61" s="610" t="str">
        <f t="shared" si="3"/>
        <v/>
      </c>
      <c r="R61" s="701" t="str">
        <f t="shared" si="4"/>
        <v/>
      </c>
      <c r="S61" s="701" t="str">
        <f t="shared" si="5"/>
        <v/>
      </c>
      <c r="T61" s="701" t="str">
        <f t="shared" si="6"/>
        <v/>
      </c>
      <c r="Z61" s="702" t="str">
        <f>IF(B61="個別病床",はじめに入力してください!$K$50,IF(B61="共通使用",はじめに入力してください!$K$52,""))</f>
        <v/>
      </c>
      <c r="AB61" s="12">
        <v>32</v>
      </c>
      <c r="AC61" s="701" t="str">
        <f t="shared" si="7"/>
        <v>○</v>
      </c>
      <c r="AD61" s="702" t="str">
        <f t="shared" si="8"/>
        <v>整備しない場合は入力不要です。</v>
      </c>
    </row>
    <row r="62" spans="1:30">
      <c r="A62" s="12">
        <v>33</v>
      </c>
      <c r="B62" s="6"/>
      <c r="C62" s="6"/>
      <c r="D62" s="6"/>
      <c r="E62" s="10"/>
      <c r="F62" s="7"/>
      <c r="G62" s="541"/>
      <c r="H62" s="15">
        <f t="shared" si="0"/>
        <v>0</v>
      </c>
      <c r="I62" s="4">
        <f t="shared" si="1"/>
        <v>0</v>
      </c>
      <c r="J62" s="9"/>
      <c r="K62" s="609"/>
      <c r="L62" s="609"/>
      <c r="M62" s="609"/>
      <c r="N62" s="4">
        <f t="shared" si="2"/>
        <v>0</v>
      </c>
      <c r="O62" s="5" t="str">
        <f>IF(AC62="◎",COUNTIF($AC$30:AC62,"◎"),"")</f>
        <v/>
      </c>
      <c r="Q62" s="610" t="str">
        <f t="shared" si="3"/>
        <v/>
      </c>
      <c r="R62" s="701" t="str">
        <f t="shared" si="4"/>
        <v/>
      </c>
      <c r="S62" s="701" t="str">
        <f t="shared" si="5"/>
        <v/>
      </c>
      <c r="T62" s="701" t="str">
        <f t="shared" si="6"/>
        <v/>
      </c>
      <c r="Z62" s="702" t="str">
        <f>IF(B62="個別病床",はじめに入力してください!$K$50,IF(B62="共通使用",はじめに入力してください!$K$52,""))</f>
        <v/>
      </c>
      <c r="AB62" s="12">
        <v>33</v>
      </c>
      <c r="AC62" s="701" t="str">
        <f t="shared" si="7"/>
        <v>○</v>
      </c>
      <c r="AD62" s="702" t="str">
        <f t="shared" si="8"/>
        <v>整備しない場合は入力不要です。</v>
      </c>
    </row>
    <row r="63" spans="1:30">
      <c r="A63" s="12">
        <v>34</v>
      </c>
      <c r="B63" s="6"/>
      <c r="C63" s="6"/>
      <c r="D63" s="6"/>
      <c r="E63" s="10"/>
      <c r="F63" s="7"/>
      <c r="G63" s="541"/>
      <c r="H63" s="15">
        <f t="shared" si="0"/>
        <v>0</v>
      </c>
      <c r="I63" s="4">
        <f t="shared" si="1"/>
        <v>0</v>
      </c>
      <c r="J63" s="9"/>
      <c r="K63" s="609"/>
      <c r="L63" s="609"/>
      <c r="M63" s="609"/>
      <c r="N63" s="4">
        <f t="shared" si="2"/>
        <v>0</v>
      </c>
      <c r="O63" s="5" t="str">
        <f>IF(AC63="◎",COUNTIF($AC$30:AC63,"◎"),"")</f>
        <v/>
      </c>
      <c r="Q63" s="610" t="str">
        <f t="shared" si="3"/>
        <v/>
      </c>
      <c r="R63" s="701" t="str">
        <f t="shared" si="4"/>
        <v/>
      </c>
      <c r="S63" s="701" t="str">
        <f t="shared" si="5"/>
        <v/>
      </c>
      <c r="T63" s="701" t="str">
        <f t="shared" si="6"/>
        <v/>
      </c>
      <c r="Z63" s="702" t="str">
        <f>IF(B63="個別病床",はじめに入力してください!$K$50,IF(B63="共通使用",はじめに入力してください!$K$52,""))</f>
        <v/>
      </c>
      <c r="AB63" s="12">
        <v>34</v>
      </c>
      <c r="AC63" s="701" t="str">
        <f t="shared" si="7"/>
        <v>○</v>
      </c>
      <c r="AD63" s="702" t="str">
        <f t="shared" si="8"/>
        <v>整備しない場合は入力不要です。</v>
      </c>
    </row>
    <row r="64" spans="1:30">
      <c r="A64" s="12">
        <v>35</v>
      </c>
      <c r="B64" s="6"/>
      <c r="C64" s="6"/>
      <c r="D64" s="6"/>
      <c r="E64" s="10"/>
      <c r="F64" s="7"/>
      <c r="G64" s="541"/>
      <c r="H64" s="15">
        <f t="shared" si="0"/>
        <v>0</v>
      </c>
      <c r="I64" s="4">
        <f t="shared" si="1"/>
        <v>0</v>
      </c>
      <c r="J64" s="9"/>
      <c r="K64" s="609"/>
      <c r="L64" s="609"/>
      <c r="M64" s="609"/>
      <c r="N64" s="4">
        <f t="shared" si="2"/>
        <v>0</v>
      </c>
      <c r="O64" s="5" t="str">
        <f>IF(AC64="◎",COUNTIF($AC$30:AC64,"◎"),"")</f>
        <v/>
      </c>
      <c r="Q64" s="610" t="str">
        <f t="shared" si="3"/>
        <v/>
      </c>
      <c r="R64" s="701" t="str">
        <f t="shared" si="4"/>
        <v/>
      </c>
      <c r="S64" s="701" t="str">
        <f t="shared" si="5"/>
        <v/>
      </c>
      <c r="T64" s="701" t="str">
        <f t="shared" si="6"/>
        <v/>
      </c>
      <c r="Z64" s="702" t="str">
        <f>IF(B64="個別病床",はじめに入力してください!$K$50,IF(B64="共通使用",はじめに入力してください!$K$52,""))</f>
        <v/>
      </c>
      <c r="AB64" s="12">
        <v>35</v>
      </c>
      <c r="AC64" s="701" t="str">
        <f t="shared" si="7"/>
        <v>○</v>
      </c>
      <c r="AD64" s="702" t="str">
        <f t="shared" si="8"/>
        <v>整備しない場合は入力不要です。</v>
      </c>
    </row>
    <row r="65" spans="1:30">
      <c r="A65" s="12">
        <v>36</v>
      </c>
      <c r="B65" s="6"/>
      <c r="C65" s="6"/>
      <c r="D65" s="6"/>
      <c r="E65" s="10"/>
      <c r="F65" s="7"/>
      <c r="G65" s="541"/>
      <c r="H65" s="15">
        <f t="shared" si="0"/>
        <v>0</v>
      </c>
      <c r="I65" s="4">
        <f t="shared" si="1"/>
        <v>0</v>
      </c>
      <c r="J65" s="9"/>
      <c r="K65" s="609"/>
      <c r="L65" s="609"/>
      <c r="M65" s="609"/>
      <c r="N65" s="4">
        <f t="shared" si="2"/>
        <v>0</v>
      </c>
      <c r="O65" s="5" t="str">
        <f>IF(AC65="◎",COUNTIF($AC$30:AC65,"◎"),"")</f>
        <v/>
      </c>
      <c r="Q65" s="610" t="str">
        <f t="shared" si="3"/>
        <v/>
      </c>
      <c r="R65" s="701" t="str">
        <f t="shared" si="4"/>
        <v/>
      </c>
      <c r="S65" s="701" t="str">
        <f t="shared" si="5"/>
        <v/>
      </c>
      <c r="T65" s="701" t="str">
        <f t="shared" si="6"/>
        <v/>
      </c>
      <c r="Z65" s="702" t="str">
        <f>IF(B65="個別病床",はじめに入力してください!$K$50,IF(B65="共通使用",はじめに入力してください!$K$52,""))</f>
        <v/>
      </c>
      <c r="AB65" s="12">
        <v>36</v>
      </c>
      <c r="AC65" s="701" t="str">
        <f t="shared" si="7"/>
        <v>○</v>
      </c>
      <c r="AD65" s="702" t="str">
        <f t="shared" si="8"/>
        <v>整備しない場合は入力不要です。</v>
      </c>
    </row>
    <row r="66" spans="1:30">
      <c r="A66" s="12">
        <v>37</v>
      </c>
      <c r="B66" s="6"/>
      <c r="C66" s="6"/>
      <c r="D66" s="6"/>
      <c r="E66" s="10"/>
      <c r="F66" s="7"/>
      <c r="G66" s="541"/>
      <c r="H66" s="15">
        <f t="shared" si="0"/>
        <v>0</v>
      </c>
      <c r="I66" s="4">
        <f t="shared" si="1"/>
        <v>0</v>
      </c>
      <c r="J66" s="9"/>
      <c r="K66" s="609"/>
      <c r="L66" s="609"/>
      <c r="M66" s="609"/>
      <c r="N66" s="4">
        <f t="shared" si="2"/>
        <v>0</v>
      </c>
      <c r="O66" s="5" t="str">
        <f>IF(AC66="◎",COUNTIF($AC$30:AC66,"◎"),"")</f>
        <v/>
      </c>
      <c r="Q66" s="610" t="str">
        <f t="shared" si="3"/>
        <v/>
      </c>
      <c r="R66" s="701" t="str">
        <f t="shared" si="4"/>
        <v/>
      </c>
      <c r="S66" s="701" t="str">
        <f t="shared" si="5"/>
        <v/>
      </c>
      <c r="T66" s="701" t="str">
        <f t="shared" si="6"/>
        <v/>
      </c>
      <c r="Z66" s="702" t="str">
        <f>IF(B66="個別病床",はじめに入力してください!$K$50,IF(B66="共通使用",はじめに入力してください!$K$52,""))</f>
        <v/>
      </c>
      <c r="AB66" s="12">
        <v>37</v>
      </c>
      <c r="AC66" s="701" t="str">
        <f t="shared" si="7"/>
        <v>○</v>
      </c>
      <c r="AD66" s="702" t="str">
        <f t="shared" si="8"/>
        <v>整備しない場合は入力不要です。</v>
      </c>
    </row>
    <row r="67" spans="1:30">
      <c r="A67" s="12">
        <v>38</v>
      </c>
      <c r="B67" s="6"/>
      <c r="C67" s="6"/>
      <c r="D67" s="6"/>
      <c r="E67" s="10"/>
      <c r="F67" s="7"/>
      <c r="G67" s="541"/>
      <c r="H67" s="15">
        <f t="shared" si="0"/>
        <v>0</v>
      </c>
      <c r="I67" s="4">
        <f t="shared" si="1"/>
        <v>0</v>
      </c>
      <c r="J67" s="9"/>
      <c r="K67" s="609"/>
      <c r="L67" s="609"/>
      <c r="M67" s="609"/>
      <c r="N67" s="4">
        <f t="shared" si="2"/>
        <v>0</v>
      </c>
      <c r="O67" s="5" t="str">
        <f>IF(AC67="◎",COUNTIF($AC$30:AC67,"◎"),"")</f>
        <v/>
      </c>
      <c r="Q67" s="610" t="str">
        <f t="shared" si="3"/>
        <v/>
      </c>
      <c r="R67" s="701" t="str">
        <f t="shared" si="4"/>
        <v/>
      </c>
      <c r="S67" s="701" t="str">
        <f t="shared" si="5"/>
        <v/>
      </c>
      <c r="T67" s="701" t="str">
        <f t="shared" si="6"/>
        <v/>
      </c>
      <c r="Z67" s="702" t="str">
        <f>IF(B67="個別病床",はじめに入力してください!$K$50,IF(B67="共通使用",はじめに入力してください!$K$52,""))</f>
        <v/>
      </c>
      <c r="AB67" s="12">
        <v>38</v>
      </c>
      <c r="AC67" s="701" t="str">
        <f t="shared" si="7"/>
        <v>○</v>
      </c>
      <c r="AD67" s="702" t="str">
        <f t="shared" si="8"/>
        <v>整備しない場合は入力不要です。</v>
      </c>
    </row>
    <row r="68" spans="1:30">
      <c r="A68" s="12">
        <v>39</v>
      </c>
      <c r="B68" s="6"/>
      <c r="C68" s="6"/>
      <c r="D68" s="6"/>
      <c r="E68" s="10"/>
      <c r="F68" s="7"/>
      <c r="G68" s="541"/>
      <c r="H68" s="15">
        <f t="shared" si="0"/>
        <v>0</v>
      </c>
      <c r="I68" s="4">
        <f t="shared" si="1"/>
        <v>0</v>
      </c>
      <c r="J68" s="9"/>
      <c r="K68" s="609"/>
      <c r="L68" s="609"/>
      <c r="M68" s="609"/>
      <c r="N68" s="4">
        <f t="shared" si="2"/>
        <v>0</v>
      </c>
      <c r="O68" s="5" t="str">
        <f>IF(AC68="◎",COUNTIF($AC$30:AC68,"◎"),"")</f>
        <v/>
      </c>
      <c r="Q68" s="610" t="str">
        <f t="shared" si="3"/>
        <v/>
      </c>
      <c r="R68" s="701" t="str">
        <f t="shared" si="4"/>
        <v/>
      </c>
      <c r="S68" s="701" t="str">
        <f t="shared" si="5"/>
        <v/>
      </c>
      <c r="T68" s="701" t="str">
        <f t="shared" si="6"/>
        <v/>
      </c>
      <c r="Z68" s="702" t="str">
        <f>IF(B68="個別病床",はじめに入力してください!$K$50,IF(B68="共通使用",はじめに入力してください!$K$52,""))</f>
        <v/>
      </c>
      <c r="AB68" s="12">
        <v>39</v>
      </c>
      <c r="AC68" s="701" t="str">
        <f t="shared" si="7"/>
        <v>○</v>
      </c>
      <c r="AD68" s="702" t="str">
        <f t="shared" si="8"/>
        <v>整備しない場合は入力不要です。</v>
      </c>
    </row>
    <row r="69" spans="1:30">
      <c r="A69" s="12">
        <v>40</v>
      </c>
      <c r="B69" s="6"/>
      <c r="C69" s="6"/>
      <c r="D69" s="6"/>
      <c r="E69" s="10"/>
      <c r="F69" s="7"/>
      <c r="G69" s="541"/>
      <c r="H69" s="15">
        <f t="shared" si="0"/>
        <v>0</v>
      </c>
      <c r="I69" s="4">
        <f t="shared" si="1"/>
        <v>0</v>
      </c>
      <c r="J69" s="9"/>
      <c r="K69" s="609"/>
      <c r="L69" s="609"/>
      <c r="M69" s="609"/>
      <c r="N69" s="4">
        <f t="shared" si="2"/>
        <v>0</v>
      </c>
      <c r="O69" s="5" t="str">
        <f>IF(AC69="◎",COUNTIF($AC$30:AC69,"◎"),"")</f>
        <v/>
      </c>
      <c r="Q69" s="610" t="str">
        <f t="shared" si="3"/>
        <v/>
      </c>
      <c r="R69" s="701" t="str">
        <f t="shared" si="4"/>
        <v/>
      </c>
      <c r="S69" s="701" t="str">
        <f t="shared" si="5"/>
        <v/>
      </c>
      <c r="T69" s="701" t="str">
        <f t="shared" si="6"/>
        <v/>
      </c>
      <c r="Z69" s="702" t="str">
        <f>IF(B69="個別病床",はじめに入力してください!$K$50,IF(B69="共通使用",はじめに入力してください!$K$52,""))</f>
        <v/>
      </c>
      <c r="AB69" s="12">
        <v>40</v>
      </c>
      <c r="AC69" s="701" t="str">
        <f t="shared" si="7"/>
        <v>○</v>
      </c>
      <c r="AD69" s="702" t="str">
        <f t="shared" si="8"/>
        <v>整備しない場合は入力不要です。</v>
      </c>
    </row>
    <row r="70" spans="1:30">
      <c r="A70" s="12">
        <v>41</v>
      </c>
      <c r="B70" s="6"/>
      <c r="C70" s="6"/>
      <c r="D70" s="6"/>
      <c r="E70" s="10"/>
      <c r="F70" s="7"/>
      <c r="G70" s="541"/>
      <c r="H70" s="15">
        <f t="shared" si="0"/>
        <v>0</v>
      </c>
      <c r="I70" s="4">
        <f t="shared" si="1"/>
        <v>0</v>
      </c>
      <c r="J70" s="9"/>
      <c r="K70" s="609"/>
      <c r="L70" s="609"/>
      <c r="M70" s="609"/>
      <c r="N70" s="4">
        <f t="shared" si="2"/>
        <v>0</v>
      </c>
      <c r="O70" s="5" t="str">
        <f>IF(AC70="◎",COUNTIF($AC$30:AC70,"◎"),"")</f>
        <v/>
      </c>
      <c r="Q70" s="610" t="str">
        <f t="shared" si="3"/>
        <v/>
      </c>
      <c r="R70" s="701" t="str">
        <f t="shared" si="4"/>
        <v/>
      </c>
      <c r="S70" s="701" t="str">
        <f t="shared" si="5"/>
        <v/>
      </c>
      <c r="T70" s="701" t="str">
        <f t="shared" si="6"/>
        <v/>
      </c>
      <c r="Z70" s="702" t="str">
        <f>IF(B70="個別病床",はじめに入力してください!$K$50,IF(B70="共通使用",はじめに入力してください!$K$52,""))</f>
        <v/>
      </c>
      <c r="AB70" s="12">
        <v>41</v>
      </c>
      <c r="AC70" s="701" t="str">
        <f t="shared" si="7"/>
        <v>○</v>
      </c>
      <c r="AD70" s="702" t="str">
        <f t="shared" si="8"/>
        <v>整備しない場合は入力不要です。</v>
      </c>
    </row>
    <row r="71" spans="1:30">
      <c r="A71" s="12">
        <v>42</v>
      </c>
      <c r="B71" s="6"/>
      <c r="C71" s="6"/>
      <c r="D71" s="6"/>
      <c r="E71" s="10"/>
      <c r="F71" s="7"/>
      <c r="G71" s="541"/>
      <c r="H71" s="15">
        <f t="shared" si="0"/>
        <v>0</v>
      </c>
      <c r="I71" s="4">
        <f t="shared" si="1"/>
        <v>0</v>
      </c>
      <c r="J71" s="9"/>
      <c r="K71" s="609"/>
      <c r="L71" s="609"/>
      <c r="M71" s="609"/>
      <c r="N71" s="4">
        <f t="shared" si="2"/>
        <v>0</v>
      </c>
      <c r="O71" s="5" t="str">
        <f>IF(AC71="◎",COUNTIF($AC$30:AC71,"◎"),"")</f>
        <v/>
      </c>
      <c r="Q71" s="610" t="str">
        <f t="shared" si="3"/>
        <v/>
      </c>
      <c r="R71" s="701" t="str">
        <f t="shared" si="4"/>
        <v/>
      </c>
      <c r="S71" s="701" t="str">
        <f t="shared" si="5"/>
        <v/>
      </c>
      <c r="T71" s="701" t="str">
        <f t="shared" si="6"/>
        <v/>
      </c>
      <c r="Z71" s="702" t="str">
        <f>IF(B71="個別病床",はじめに入力してください!$K$50,IF(B71="共通使用",はじめに入力してください!$K$52,""))</f>
        <v/>
      </c>
      <c r="AB71" s="12">
        <v>42</v>
      </c>
      <c r="AC71" s="701" t="str">
        <f t="shared" si="7"/>
        <v>○</v>
      </c>
      <c r="AD71" s="702" t="str">
        <f t="shared" si="8"/>
        <v>整備しない場合は入力不要です。</v>
      </c>
    </row>
    <row r="72" spans="1:30">
      <c r="A72" s="12">
        <v>43</v>
      </c>
      <c r="B72" s="6"/>
      <c r="C72" s="6"/>
      <c r="D72" s="6"/>
      <c r="E72" s="10"/>
      <c r="F72" s="7"/>
      <c r="G72" s="541"/>
      <c r="H72" s="15">
        <f t="shared" si="0"/>
        <v>0</v>
      </c>
      <c r="I72" s="4">
        <f t="shared" si="1"/>
        <v>0</v>
      </c>
      <c r="J72" s="9"/>
      <c r="K72" s="609"/>
      <c r="L72" s="609"/>
      <c r="M72" s="609"/>
      <c r="N72" s="4">
        <f t="shared" si="2"/>
        <v>0</v>
      </c>
      <c r="O72" s="5" t="str">
        <f>IF(AC72="◎",COUNTIF($AC$30:AC72,"◎"),"")</f>
        <v/>
      </c>
      <c r="Q72" s="610" t="str">
        <f t="shared" si="3"/>
        <v/>
      </c>
      <c r="R72" s="701" t="str">
        <f t="shared" si="4"/>
        <v/>
      </c>
      <c r="S72" s="701" t="str">
        <f t="shared" si="5"/>
        <v/>
      </c>
      <c r="T72" s="701" t="str">
        <f t="shared" si="6"/>
        <v/>
      </c>
      <c r="Z72" s="702" t="str">
        <f>IF(B72="個別病床",はじめに入力してください!$K$50,IF(B72="共通使用",はじめに入力してください!$K$52,""))</f>
        <v/>
      </c>
      <c r="AB72" s="12">
        <v>43</v>
      </c>
      <c r="AC72" s="701" t="str">
        <f t="shared" si="7"/>
        <v>○</v>
      </c>
      <c r="AD72" s="702" t="str">
        <f t="shared" si="8"/>
        <v>整備しない場合は入力不要です。</v>
      </c>
    </row>
    <row r="73" spans="1:30">
      <c r="A73" s="12">
        <v>44</v>
      </c>
      <c r="B73" s="6"/>
      <c r="C73" s="6"/>
      <c r="D73" s="6"/>
      <c r="E73" s="10"/>
      <c r="F73" s="7"/>
      <c r="G73" s="541"/>
      <c r="H73" s="15">
        <f t="shared" si="0"/>
        <v>0</v>
      </c>
      <c r="I73" s="4">
        <f t="shared" si="1"/>
        <v>0</v>
      </c>
      <c r="J73" s="9"/>
      <c r="K73" s="609"/>
      <c r="L73" s="609"/>
      <c r="M73" s="609"/>
      <c r="N73" s="4">
        <f t="shared" si="2"/>
        <v>0</v>
      </c>
      <c r="O73" s="5" t="str">
        <f>IF(AC73="◎",COUNTIF($AC$30:AC73,"◎"),"")</f>
        <v/>
      </c>
      <c r="Q73" s="610" t="str">
        <f t="shared" si="3"/>
        <v/>
      </c>
      <c r="R73" s="701" t="str">
        <f t="shared" si="4"/>
        <v/>
      </c>
      <c r="S73" s="701" t="str">
        <f t="shared" si="5"/>
        <v/>
      </c>
      <c r="T73" s="701" t="str">
        <f t="shared" si="6"/>
        <v/>
      </c>
      <c r="Z73" s="702" t="str">
        <f>IF(B73="個別病床",はじめに入力してください!$K$50,IF(B73="共通使用",はじめに入力してください!$K$52,""))</f>
        <v/>
      </c>
      <c r="AB73" s="12">
        <v>44</v>
      </c>
      <c r="AC73" s="701" t="str">
        <f t="shared" si="7"/>
        <v>○</v>
      </c>
      <c r="AD73" s="702" t="str">
        <f t="shared" si="8"/>
        <v>整備しない場合は入力不要です。</v>
      </c>
    </row>
    <row r="74" spans="1:30">
      <c r="A74" s="12">
        <v>45</v>
      </c>
      <c r="B74" s="6"/>
      <c r="C74" s="6"/>
      <c r="D74" s="6"/>
      <c r="E74" s="10"/>
      <c r="F74" s="7"/>
      <c r="G74" s="541"/>
      <c r="H74" s="15">
        <f t="shared" si="0"/>
        <v>0</v>
      </c>
      <c r="I74" s="4">
        <f t="shared" si="1"/>
        <v>0</v>
      </c>
      <c r="J74" s="9"/>
      <c r="K74" s="609"/>
      <c r="L74" s="609"/>
      <c r="M74" s="609"/>
      <c r="N74" s="4">
        <f t="shared" si="2"/>
        <v>0</v>
      </c>
      <c r="O74" s="5" t="str">
        <f>IF(AC74="◎",COUNTIF($AC$30:AC74,"◎"),"")</f>
        <v/>
      </c>
      <c r="Q74" s="610" t="str">
        <f t="shared" si="3"/>
        <v/>
      </c>
      <c r="R74" s="701" t="str">
        <f t="shared" si="4"/>
        <v/>
      </c>
      <c r="S74" s="701" t="str">
        <f t="shared" si="5"/>
        <v/>
      </c>
      <c r="T74" s="701" t="str">
        <f t="shared" si="6"/>
        <v/>
      </c>
      <c r="Z74" s="702" t="str">
        <f>IF(B74="個別病床",はじめに入力してください!$K$50,IF(B74="共通使用",はじめに入力してください!$K$52,""))</f>
        <v/>
      </c>
      <c r="AB74" s="12">
        <v>45</v>
      </c>
      <c r="AC74" s="701" t="str">
        <f t="shared" si="7"/>
        <v>○</v>
      </c>
      <c r="AD74" s="702" t="str">
        <f t="shared" si="8"/>
        <v>整備しない場合は入力不要です。</v>
      </c>
    </row>
  </sheetData>
  <sheetProtection algorithmName="SHA-512" hashValue="9NAw4c6JYnnfwBvakCcmsIsmJQTjcE3zHB9JSl742GFWuIsGSe1xvyvhUCaVd4+9yjHwJGw5nNaFbG/SHkHvrw==" saltValue="neDRDVO1hcxfCSx1ZBN0Ew==" spinCount="100000" sheet="1" objects="1" scenarios="1"/>
  <mergeCells count="25">
    <mergeCell ref="N1:P1"/>
    <mergeCell ref="B22:O22"/>
    <mergeCell ref="B2:D3"/>
    <mergeCell ref="AC3:AC5"/>
    <mergeCell ref="AD3:AD5"/>
    <mergeCell ref="AC7:AC8"/>
    <mergeCell ref="AD7:AD8"/>
    <mergeCell ref="B10:O10"/>
    <mergeCell ref="B13:O13"/>
    <mergeCell ref="B14:O14"/>
    <mergeCell ref="B15:O15"/>
    <mergeCell ref="B18:O21"/>
    <mergeCell ref="B7:O7"/>
    <mergeCell ref="B9:C9"/>
    <mergeCell ref="B12:O12"/>
    <mergeCell ref="B26:O26"/>
    <mergeCell ref="AC27:AC28"/>
    <mergeCell ref="AD27:AD28"/>
    <mergeCell ref="B28:D28"/>
    <mergeCell ref="E28:F28"/>
    <mergeCell ref="G28:J28"/>
    <mergeCell ref="N28:N29"/>
    <mergeCell ref="O28:O29"/>
    <mergeCell ref="K28:M28"/>
    <mergeCell ref="Q28:Q29"/>
  </mergeCells>
  <phoneticPr fontId="9"/>
  <conditionalFormatting sqref="AC29 AC1:AC2 AC11:AC21 AC6 AC23:AC27 AC75:AC1048576">
    <cfRule type="containsText" dxfId="83" priority="9" operator="containsText" text="×">
      <formula>NOT(ISERROR(SEARCH("×",AC1)))</formula>
    </cfRule>
  </conditionalFormatting>
  <conditionalFormatting sqref="AD1:AD2 AD11:AD21 AD29:AD1048576 AD6 AD23:AD27">
    <cfRule type="containsText" dxfId="82" priority="8" operator="containsText" text="要修正">
      <formula>NOT(ISERROR(SEARCH("要修正",AD1)))</formula>
    </cfRule>
  </conditionalFormatting>
  <conditionalFormatting sqref="AC22">
    <cfRule type="containsText" dxfId="81" priority="7" operator="containsText" text="×">
      <formula>NOT(ISERROR(SEARCH("×",AC22)))</formula>
    </cfRule>
  </conditionalFormatting>
  <conditionalFormatting sqref="AD22">
    <cfRule type="containsText" dxfId="80" priority="6" operator="containsText" text="要修正">
      <formula>NOT(ISERROR(SEARCH("要修正",AD22)))</formula>
    </cfRule>
  </conditionalFormatting>
  <conditionalFormatting sqref="AC9:AC10 AC7">
    <cfRule type="containsText" dxfId="79" priority="5" operator="containsText" text="×">
      <formula>NOT(ISERROR(SEARCH("×",AC7)))</formula>
    </cfRule>
  </conditionalFormatting>
  <conditionalFormatting sqref="AD9:AD10 AD7">
    <cfRule type="containsText" dxfId="78" priority="4" operator="containsText" text="要修正">
      <formula>NOT(ISERROR(SEARCH("要修正",AD7)))</formula>
    </cfRule>
  </conditionalFormatting>
  <conditionalFormatting sqref="AC3:AC4">
    <cfRule type="containsText" dxfId="77" priority="3" operator="containsText" text="×">
      <formula>NOT(ISERROR(SEARCH("×",AC3)))</formula>
    </cfRule>
  </conditionalFormatting>
  <conditionalFormatting sqref="AD3:AD4">
    <cfRule type="containsText" dxfId="76" priority="2" operator="containsText" text="要修正">
      <formula>NOT(ISERROR(SEARCH("要修正",AD3)))</formula>
    </cfRule>
  </conditionalFormatting>
  <conditionalFormatting sqref="AC30:AC74">
    <cfRule type="containsText" dxfId="75" priority="1" operator="containsText" text="×">
      <formula>NOT(ISERROR(SEARCH("×",AC30)))</formula>
    </cfRule>
  </conditionalFormatting>
  <dataValidations xWindow="956" yWindow="506" count="10">
    <dataValidation allowBlank="1" showInputMessage="1" showErrorMessage="1" promptTitle="割引額がある場合は入力" prompt="割引がない場合は「0円」のままとしてください。" sqref="I3" xr:uid="{00000000-0002-0000-1300-000000000000}"/>
    <dataValidation allowBlank="1" showInputMessage="1" showErrorMessage="1" promptTitle="補助対象金額" prompt="補助対象額×（見積書金額-割引額）/見積書金額_x000a_で算出されます。" sqref="J3:M3" xr:uid="{00000000-0002-0000-1300-000001000000}"/>
    <dataValidation allowBlank="1" showInputMessage="1" showErrorMessage="1" promptTitle="規格及び数量の入力" prompt="補助対象経費を計上する際、いずれも入力してください。" sqref="E30:E74" xr:uid="{B334552B-381A-4527-B4B1-043BEB8F1CE7}"/>
    <dataValidation allowBlank="1" showInputMessage="1" showErrorMessage="1" promptTitle="単価の入力" prompt="税抜額または税込額のいずれかを入力してください。_x000a_入力しない方は「0」は入力せず、空欄としてください。" sqref="H30:H74" xr:uid="{3EC06916-2B59-46F3-BDB3-07CEDBC4ABD2}"/>
    <dataValidation allowBlank="1" showInputMessage="1" showErrorMessage="1" promptTitle="添付書類番号" prompt="種類、規格、数量、単価が全て適切に入力され、右の「判定」が「◎」と表示されると自動で番号が表示されます。" sqref="O30:O74" xr:uid="{AAD052DB-6758-4EA4-8727-FA1D9911FB26}"/>
    <dataValidation allowBlank="1" showInputMessage="1" showErrorMessage="1" promptTitle="金額の表示" prompt="数式が入力されているため、自動計算されます。" sqref="N30:N74 I30:I74" xr:uid="{6F9D2F71-11B4-4CC7-B3E7-FA59DDE519EA}"/>
    <dataValidation type="list" allowBlank="1" showInputMessage="1" showErrorMessage="1" promptTitle="補助対象の該当非該当" prompt="コロナ対応病床の初度設備に係る経費が対象となります。_x000a_共用部分の設備、備品や医療用消耗品等は補助対象外なので「対象外」を選択してください。_x000a_審査において確認、対象外と認めたものについては対象外として補正をお願いする場合があります。" sqref="J30:J74" xr:uid="{1BD57EB3-7444-4445-B1CE-7E1A193D7ED9}">
      <formula1>"補助対象,補助対象外"</formula1>
    </dataValidation>
    <dataValidation type="list" allowBlank="1" showInputMessage="1" showErrorMessage="1" promptTitle="設備、備品、その他の別を選択" prompt="当該行に記載する品目が_x000a_・「設備」（設備本体）_x000a_・備品（本体設備と別の構成をなすもの）_x000a_・その他（上記の該当しないもの）_x000a_の別をプルダウンから選択してください。" sqref="D30:D74" xr:uid="{3038E27C-FE0E-41DB-9002-468B07F4A82E}">
      <formula1>"設備,備品,その他"</formula1>
    </dataValidation>
    <dataValidation type="decimal" operator="greaterThanOrEqual" allowBlank="1" showInputMessage="1" showErrorMessage="1" promptTitle="単価の入力" prompt="税抜額または税込額のいずれかを入力してください。_x000a_入力しない方は「0」は入力せず、空欄としてください。" sqref="G30:G74" xr:uid="{AD317A56-873C-4E78-801D-9E3099474AA3}">
      <formula1>0</formula1>
    </dataValidation>
    <dataValidation type="whole" operator="greaterThanOrEqual" allowBlank="1" showInputMessage="1" showErrorMessage="1" errorTitle="数値のみを入力してください。" error="「個」、「枚」等の単位入力は不要です。" promptTitle="規格及び数量の入力" prompt="補助対象経費を計上する際、いずれも入力してください。" sqref="F30:F74" xr:uid="{6B84574F-BF53-4C2C-AFF1-E698D44ED270}">
      <formula1>0</formula1>
    </dataValidation>
  </dataValidations>
  <pageMargins left="0.7" right="0.7" top="0.75" bottom="0.75" header="0.3" footer="0.3"/>
  <pageSetup paperSize="9" scale="43" orientation="portrait" r:id="rId1"/>
  <drawing r:id="rId2"/>
  <legacyDrawing r:id="rId3"/>
  <extLst>
    <ext xmlns:x14="http://schemas.microsoft.com/office/spreadsheetml/2009/9/main" uri="{CCE6A557-97BC-4b89-ADB6-D9C93CAAB3DF}">
      <x14:dataValidations xmlns:xm="http://schemas.microsoft.com/office/excel/2006/main" xWindow="956" yWindow="506" count="6">
        <x14:dataValidation type="list" allowBlank="1" showInputMessage="1" showErrorMessage="1" promptTitle="配備先の別を選択" prompt="確保病床の共通使用のものか、個別のベッドに配備するものか選択してください。" xr:uid="{29ECD920-91E9-4287-8DA8-C6699D227E5D}">
          <x14:formula1>
            <xm:f>テーブル!$X$48:$X$49</xm:f>
          </x14:formula1>
          <xm:sqref>B30:B74</xm:sqref>
        </x14:dataValidation>
        <x14:dataValidation type="list" allowBlank="1" showInputMessage="1" showErrorMessage="1" promptTitle="「用途先」病床の選択（左の「病床」を選択しないと表示されません。" prompt="ベッドに必ずしも紐付けるものではありませんが、１病床１台で紐付けした場合、整備する病床に番号付けをした場合の番号を選択してください。" xr:uid="{391D1FD0-D05D-4D03-A5C8-131F121E2B75}">
          <x14:formula1>
            <xm:f>OFFSET(テーブル!$X$48, 0, MATCH(B30,テーブル!$Y$47:$Z$47,0), COUNTA(OFFSET(テーブル!$X$48,0,MATCH(B30,テーブル!$Y$47:$Z$47,0),$Z$30,1)),1)</xm:f>
          </x14:formula1>
          <xm:sqref>C30:C74</xm:sqref>
        </x14:dataValidation>
        <x14:dataValidation type="list" allowBlank="1" showInputMessage="1" showErrorMessage="1" xr:uid="{00000000-0002-0000-1300-00000A000000}">
          <x14:formula1>
            <xm:f>テーブル!$M$37:$M$51</xm:f>
          </x14:formula1>
          <xm:sqref>B2:D2</xm:sqref>
        </x14:dataValidation>
        <x14:dataValidation type="list" allowBlank="1" showInputMessage="1" showErrorMessage="1" xr:uid="{92239981-ACE4-48C8-891A-2EA440F56D20}">
          <x14:formula1>
            <xm:f>テーブル!$K$2:$K$32</xm:f>
          </x14:formula1>
          <xm:sqref>M30:M74</xm:sqref>
        </x14:dataValidation>
        <x14:dataValidation type="list" allowBlank="1" showInputMessage="1" showErrorMessage="1" xr:uid="{B5866156-493C-449A-85E4-3A05842DF2FF}">
          <x14:formula1>
            <xm:f>テーブル!$J$2:$J$7</xm:f>
          </x14:formula1>
          <xm:sqref>L30:L74</xm:sqref>
        </x14:dataValidation>
        <x14:dataValidation type="list" allowBlank="1" showInputMessage="1" showErrorMessage="1" xr:uid="{9EF81962-22D7-4FBA-B4AD-B7B1B76DFDEB}">
          <x14:formula1>
            <xm:f>テーブル!$I$2:$I$3</xm:f>
          </x14:formula1>
          <xm:sqref>K30:K74</xm:sqref>
        </x14:dataValidation>
      </x14:dataValidations>
    </ext>
  </extLs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0">
    <tabColor rgb="FFFFC000"/>
    <pageSetUpPr fitToPage="1"/>
  </sheetPr>
  <dimension ref="A1:AI74"/>
  <sheetViews>
    <sheetView showGridLines="0" view="pageBreakPreview" zoomScale="60" zoomScaleNormal="100" workbookViewId="0">
      <selection activeCell="M3" sqref="M3"/>
    </sheetView>
  </sheetViews>
  <sheetFormatPr defaultColWidth="8.625" defaultRowHeight="18"/>
  <cols>
    <col min="1" max="1" width="3.625" style="12" customWidth="1"/>
    <col min="2" max="4" width="8.625" style="19"/>
    <col min="5" max="5" width="30.625" style="19" customWidth="1"/>
    <col min="6" max="6" width="8.625" style="19"/>
    <col min="7" max="10" width="12.625" style="19" customWidth="1"/>
    <col min="11" max="13" width="3.625" style="19" customWidth="1"/>
    <col min="14" max="14" width="12.625" style="19" customWidth="1"/>
    <col min="15" max="15" width="8.625" style="19"/>
    <col min="16" max="16" width="3.625" style="19" customWidth="1"/>
    <col min="17" max="17" width="12.625" style="19" customWidth="1"/>
    <col min="18" max="20" width="3.625" style="19" customWidth="1"/>
    <col min="21" max="26" width="8.625" style="19"/>
    <col min="27" max="27" width="8.625" style="19" customWidth="1"/>
    <col min="28" max="28" width="3.625" style="12" customWidth="1"/>
    <col min="29" max="29" width="8.625" style="19"/>
    <col min="30" max="30" width="40.625" style="19" customWidth="1"/>
    <col min="31" max="31" width="3.625" style="19" customWidth="1"/>
    <col min="32" max="35" width="8.625" style="19"/>
    <col min="36" max="36" width="30.625" style="19" customWidth="1"/>
    <col min="37" max="16384" width="8.625" style="19"/>
  </cols>
  <sheetData>
    <row r="1" spans="1:35" ht="20.100000000000001" customHeight="1">
      <c r="N1" s="1829" t="str">
        <f xml:space="preserve">
IF(表紙!$X$2="事前協議","（10月１日～３月31日分）",
IF(表紙!$X$2="交付申請（２次）","（10月１日～３月31日分）",
IF(表紙!$X$2="変更申請","（10月１日～３月31日分）",
IF(表紙!$X$2="実績報告（１次）","（５月８日～10月31日分）",
IF(表紙!$X$2="実績報告（２次）","（10月１日～３月31日分）",
IF(表紙!$X$2="交付申請兼実績報告","（10月１日～３月31日分）"))))))</f>
        <v>（10月１日～３月31日分）</v>
      </c>
      <c r="O1" s="1364"/>
      <c r="P1" s="1364"/>
    </row>
    <row r="2" spans="1:35" ht="20.100000000000001" customHeight="1">
      <c r="B2" s="1817" t="s">
        <v>428</v>
      </c>
      <c r="C2" s="1818"/>
      <c r="D2" s="1819"/>
      <c r="H2" s="5" t="s">
        <v>538</v>
      </c>
      <c r="I2" s="701" t="s">
        <v>539</v>
      </c>
      <c r="J2" s="5" t="s">
        <v>44</v>
      </c>
      <c r="K2" s="600"/>
      <c r="L2" s="600"/>
      <c r="M2" s="600"/>
      <c r="AC2" s="701" t="s">
        <v>419</v>
      </c>
      <c r="AD2" s="701" t="s">
        <v>417</v>
      </c>
      <c r="AF2" s="701" t="str">
        <f>AC9</f>
        <v>×</v>
      </c>
      <c r="AG2" s="701" t="str">
        <f>AC15</f>
        <v>○</v>
      </c>
      <c r="AH2" s="701" t="str">
        <f>AC22</f>
        <v>○</v>
      </c>
      <c r="AI2" s="701" t="str">
        <f>AC26</f>
        <v>○</v>
      </c>
    </row>
    <row r="3" spans="1:35" ht="20.100000000000001" customHeight="1">
      <c r="B3" s="1820"/>
      <c r="C3" s="1821"/>
      <c r="D3" s="1822"/>
      <c r="H3" s="358">
        <f>SUM(I30:I74)</f>
        <v>0</v>
      </c>
      <c r="I3" s="8"/>
      <c r="J3" s="358">
        <f>IFERROR(ROUNDUP(SUM(N30:N74)*((H3-I3)/H3),0),0)</f>
        <v>0</v>
      </c>
      <c r="K3" s="601"/>
      <c r="L3" s="601"/>
      <c r="M3" s="601"/>
      <c r="AC3" s="863" t="str">
        <f xml:space="preserve">
IF(COUNTIF(AG2:AI2,"○")=3,"○",
IF(COUNTIF(AG2:AI2,"◎")=3,"◎","×"
))</f>
        <v>○</v>
      </c>
      <c r="AD3" s="1812" t="str">
        <f xml:space="preserve">
IF(AC3="○","整備しない場合は入力不要です。",
IF(AC3="×","【要修正】入力が不十分な箇所があります。",
IF(AC3="◎","適切に入力がされました。")))</f>
        <v>整備しない場合は入力不要です。</v>
      </c>
    </row>
    <row r="4" spans="1:35" ht="9.9499999999999993" customHeight="1">
      <c r="AC4" s="863"/>
      <c r="AD4" s="1812"/>
    </row>
    <row r="5" spans="1:35" ht="20.100000000000001" customHeight="1">
      <c r="B5" s="705" t="s">
        <v>55</v>
      </c>
      <c r="C5" s="705"/>
      <c r="D5" s="705"/>
      <c r="E5" s="705"/>
      <c r="F5" s="705"/>
      <c r="G5" s="705"/>
      <c r="H5" s="705"/>
      <c r="I5" s="705"/>
      <c r="J5" s="705"/>
      <c r="K5" s="705"/>
      <c r="L5" s="705"/>
      <c r="M5" s="705"/>
      <c r="N5" s="705"/>
      <c r="O5" s="705"/>
      <c r="AC5" s="908"/>
      <c r="AD5" s="843"/>
    </row>
    <row r="6" spans="1:35" ht="9.9499999999999993" customHeight="1"/>
    <row r="7" spans="1:35" ht="20.100000000000001" customHeight="1">
      <c r="B7" s="1833" t="str">
        <f xml:space="preserve">
IF(OR(表紙!X2="事前協議",表紙!X2="交付申請"),"（１）整備を行う対象の新規で指定を受けた確保病床数あるいは、確保病床を有しない場合は整備を行う病床の数",
IF(表紙!X2="交付申請兼実績報告","（１）整備を行う対象の新規で指定を受けた確保病床数"))</f>
        <v>（１）整備を行う対象の新規で指定を受けた確保病床数あるいは、確保病床を有しない場合は整備を行う病床の数</v>
      </c>
      <c r="C7" s="932"/>
      <c r="D7" s="932"/>
      <c r="E7" s="932"/>
      <c r="F7" s="932"/>
      <c r="G7" s="932"/>
      <c r="H7" s="932"/>
      <c r="I7" s="932"/>
      <c r="J7" s="932"/>
      <c r="K7" s="932"/>
      <c r="L7" s="932"/>
      <c r="M7" s="932"/>
      <c r="N7" s="932"/>
      <c r="O7" s="932"/>
      <c r="AC7" s="1808" t="s">
        <v>415</v>
      </c>
      <c r="AD7" s="1808" t="s">
        <v>417</v>
      </c>
    </row>
    <row r="8" spans="1:35" ht="9.9499999999999993" customHeight="1">
      <c r="AC8" s="1809"/>
      <c r="AD8" s="1809"/>
    </row>
    <row r="9" spans="1:35" ht="35.1" customHeight="1">
      <c r="B9" s="1834" t="s">
        <v>56</v>
      </c>
      <c r="C9" s="1835"/>
      <c r="D9" s="205" t="str">
        <f>IF(はじめに入力してください!K50="","",はじめに入力してください!K50)</f>
        <v/>
      </c>
      <c r="E9" s="359"/>
      <c r="F9" s="360"/>
      <c r="G9" s="360"/>
      <c r="H9" s="360"/>
      <c r="I9" s="360"/>
      <c r="J9" s="361"/>
      <c r="K9" s="361"/>
      <c r="L9" s="361"/>
      <c r="M9" s="361"/>
      <c r="N9" s="361"/>
      <c r="O9" s="361"/>
      <c r="AC9" s="701" t="str">
        <f xml:space="preserve">
IF(D9="","×",
IF(D9=0,"○",
IF(D9&gt;=1,"◎",
)))</f>
        <v>×</v>
      </c>
      <c r="AD9" s="702" t="str">
        <f xml:space="preserve">
IF(D9="","【要修正】「はじめに入力してください」シートに整備を行う病床の数を入力してください。",
IF(D9=0,"申請しない場合は以下入力不要です。",
IF(D9&gt;=1,"適切に入力されました。",
)))</f>
        <v>【要修正】「はじめに入力してください」シートに整備を行う病床の数を入力してください。</v>
      </c>
    </row>
    <row r="10" spans="1:35" ht="20.100000000000001" customHeight="1">
      <c r="B10" s="1830"/>
      <c r="C10" s="1831"/>
      <c r="D10" s="1832"/>
      <c r="E10" s="1832"/>
      <c r="F10" s="1832"/>
      <c r="G10" s="1832"/>
      <c r="H10" s="1832"/>
      <c r="I10" s="1832"/>
      <c r="J10" s="1832"/>
      <c r="K10" s="1832"/>
      <c r="L10" s="1832"/>
      <c r="M10" s="1832"/>
      <c r="N10" s="1832"/>
      <c r="O10" s="1832"/>
    </row>
    <row r="11" spans="1:35" ht="20.100000000000001" hidden="1" customHeight="1"/>
    <row r="12" spans="1:35" ht="20.100000000000001" customHeight="1">
      <c r="B12" s="1833" t="str">
        <f>初度設備!B12</f>
        <v>（２）この度、新たに整備を行う必要が生じた理由（フロア毎の対応から病室毎の対応への移行の計画内容）を詳しく記入してください。</v>
      </c>
      <c r="C12" s="932"/>
      <c r="D12" s="932"/>
      <c r="E12" s="932"/>
      <c r="F12" s="932"/>
      <c r="G12" s="932"/>
      <c r="H12" s="932"/>
      <c r="I12" s="932"/>
      <c r="J12" s="932"/>
      <c r="K12" s="932"/>
      <c r="L12" s="932"/>
      <c r="M12" s="932"/>
      <c r="N12" s="932"/>
      <c r="O12" s="932"/>
    </row>
    <row r="13" spans="1:35" ht="39.950000000000003" customHeight="1">
      <c r="B13" s="1813" t="s">
        <v>540</v>
      </c>
      <c r="C13" s="931"/>
      <c r="D13" s="931"/>
      <c r="E13" s="931"/>
      <c r="F13" s="931"/>
      <c r="G13" s="931"/>
      <c r="H13" s="931"/>
      <c r="I13" s="931"/>
      <c r="J13" s="931"/>
      <c r="K13" s="931"/>
      <c r="L13" s="931"/>
      <c r="M13" s="931"/>
      <c r="N13" s="931"/>
      <c r="O13" s="931"/>
    </row>
    <row r="14" spans="1:35" s="703" customFormat="1" ht="99.95" customHeight="1">
      <c r="A14" s="13"/>
      <c r="B14" s="1813" t="str">
        <f>VLOOKUP(B2,テーブル!M37:N51,2,FALSE)</f>
        <v>（例）本院が所在する医療圏は確保病床自体が少なく、都市部から遠隔地であることから、受入対応が難しい際の隣接圏域への搬送に時間を要する事態が生じた
　　　ケースがある。
　　　感染ピークの度に圏域内の確保病床の逼迫が生じたことから、受入可能数を増やす必要性について圏域内の関係医療機関の間で問題共有されていたところ
　　　である。
　　　このことから、本院として今後人員体制を拡充し、入院要請を断ることがないよう○床分の病床を追加で確保するための整備を行うこととしたい。</v>
      </c>
      <c r="C14" s="1645"/>
      <c r="D14" s="1645"/>
      <c r="E14" s="1645"/>
      <c r="F14" s="1645"/>
      <c r="G14" s="1645"/>
      <c r="H14" s="1645"/>
      <c r="I14" s="1645"/>
      <c r="J14" s="1645"/>
      <c r="K14" s="1645"/>
      <c r="L14" s="1645"/>
      <c r="M14" s="1645"/>
      <c r="N14" s="1645"/>
      <c r="O14" s="1645"/>
      <c r="AB14" s="13"/>
      <c r="AC14" s="558" t="s">
        <v>415</v>
      </c>
      <c r="AD14" s="558" t="s">
        <v>416</v>
      </c>
    </row>
    <row r="15" spans="1:35" ht="120" customHeight="1">
      <c r="B15" s="1814"/>
      <c r="C15" s="1815"/>
      <c r="D15" s="1815"/>
      <c r="E15" s="1815"/>
      <c r="F15" s="1815"/>
      <c r="G15" s="1815"/>
      <c r="H15" s="1815"/>
      <c r="I15" s="1815"/>
      <c r="J15" s="1815"/>
      <c r="K15" s="1815"/>
      <c r="L15" s="1815"/>
      <c r="M15" s="1815"/>
      <c r="N15" s="1815"/>
      <c r="O15" s="1816"/>
      <c r="AC15" s="701" t="str">
        <f xml:space="preserve">
IF(COUNTA(B15)=0,"○",
IF(COUNTA(B15)=1,"◎"))</f>
        <v>○</v>
      </c>
      <c r="AD15" s="702" t="str">
        <f xml:space="preserve">
IF(COUNTA(B15)=0,"整備しない場合は入力不要です。",
IF(COUNTA(B15)=1,"入力された状態になりました。"))</f>
        <v>整備しない場合は入力不要です。</v>
      </c>
    </row>
    <row r="16" spans="1:35" ht="20.100000000000001" customHeight="1"/>
    <row r="17" spans="1:30" ht="20.100000000000001" customHeight="1">
      <c r="B17" s="705" t="s">
        <v>454</v>
      </c>
      <c r="C17" s="705"/>
      <c r="D17" s="705"/>
      <c r="E17" s="705"/>
      <c r="F17" s="705"/>
      <c r="G17" s="705"/>
      <c r="H17" s="705"/>
      <c r="I17" s="705"/>
      <c r="J17" s="705"/>
      <c r="K17" s="705"/>
      <c r="L17" s="705"/>
      <c r="M17" s="705"/>
      <c r="N17" s="705"/>
      <c r="O17" s="705"/>
    </row>
    <row r="18" spans="1:30" ht="20.100000000000001" customHeight="1">
      <c r="B18" s="1813" t="s">
        <v>482</v>
      </c>
      <c r="C18" s="931"/>
      <c r="D18" s="931"/>
      <c r="E18" s="931"/>
      <c r="F18" s="931"/>
      <c r="G18" s="931"/>
      <c r="H18" s="931"/>
      <c r="I18" s="931"/>
      <c r="J18" s="931"/>
      <c r="K18" s="931"/>
      <c r="L18" s="931"/>
      <c r="M18" s="931"/>
      <c r="N18" s="931"/>
      <c r="O18" s="931"/>
    </row>
    <row r="19" spans="1:30" ht="20.100000000000001" customHeight="1">
      <c r="B19" s="1813"/>
      <c r="C19" s="931"/>
      <c r="D19" s="931"/>
      <c r="E19" s="931"/>
      <c r="F19" s="931"/>
      <c r="G19" s="931"/>
      <c r="H19" s="931"/>
      <c r="I19" s="931"/>
      <c r="J19" s="931"/>
      <c r="K19" s="931"/>
      <c r="L19" s="931"/>
      <c r="M19" s="931"/>
      <c r="N19" s="931"/>
      <c r="O19" s="931"/>
    </row>
    <row r="20" spans="1:30" ht="20.100000000000001" customHeight="1">
      <c r="B20" s="1813"/>
      <c r="C20" s="931"/>
      <c r="D20" s="931"/>
      <c r="E20" s="931"/>
      <c r="F20" s="931"/>
      <c r="G20" s="931"/>
      <c r="H20" s="931"/>
      <c r="I20" s="931"/>
      <c r="J20" s="931"/>
      <c r="K20" s="931"/>
      <c r="L20" s="931"/>
      <c r="M20" s="931"/>
      <c r="N20" s="931"/>
      <c r="O20" s="931"/>
    </row>
    <row r="21" spans="1:30" ht="20.100000000000001" customHeight="1">
      <c r="B21" s="931"/>
      <c r="C21" s="931"/>
      <c r="D21" s="931"/>
      <c r="E21" s="931"/>
      <c r="F21" s="931"/>
      <c r="G21" s="931"/>
      <c r="H21" s="931"/>
      <c r="I21" s="931"/>
      <c r="J21" s="931"/>
      <c r="K21" s="931"/>
      <c r="L21" s="931"/>
      <c r="M21" s="931"/>
      <c r="N21" s="931"/>
      <c r="O21" s="931"/>
    </row>
    <row r="22" spans="1:30" ht="120" customHeight="1">
      <c r="B22" s="1814"/>
      <c r="C22" s="1815"/>
      <c r="D22" s="1815"/>
      <c r="E22" s="1815"/>
      <c r="F22" s="1815"/>
      <c r="G22" s="1815"/>
      <c r="H22" s="1815"/>
      <c r="I22" s="1815"/>
      <c r="J22" s="1815"/>
      <c r="K22" s="1815"/>
      <c r="L22" s="1815"/>
      <c r="M22" s="1815"/>
      <c r="N22" s="1815"/>
      <c r="O22" s="1816"/>
      <c r="AC22" s="701" t="str">
        <f xml:space="preserve">
IF(COUNTA(B22)=0,"○",
IF(COUNTA(B22)=1,"◎"))</f>
        <v>○</v>
      </c>
      <c r="AD22" s="702" t="str">
        <f xml:space="preserve">
IF(COUNTA(B22)=0,"整備しない場合は入力不要です。",
IF(COUNTA(B22)=1,"入力された状態になりました。"))</f>
        <v>整備しない場合は入力不要です。</v>
      </c>
    </row>
    <row r="23" spans="1:30" ht="20.100000000000001" customHeight="1"/>
    <row r="24" spans="1:30" ht="20.100000000000001" customHeight="1">
      <c r="B24" s="705" t="s">
        <v>453</v>
      </c>
      <c r="C24" s="705"/>
      <c r="D24" s="705"/>
      <c r="E24" s="705"/>
      <c r="F24" s="705"/>
      <c r="G24" s="705"/>
      <c r="H24" s="705"/>
      <c r="I24" s="705"/>
      <c r="J24" s="705"/>
      <c r="K24" s="705"/>
      <c r="L24" s="705"/>
      <c r="M24" s="705"/>
      <c r="N24" s="705"/>
      <c r="O24" s="705"/>
      <c r="AC24" s="14"/>
    </row>
    <row r="25" spans="1:30" ht="9.9499999999999993" customHeight="1"/>
    <row r="26" spans="1:30" ht="60" customHeight="1">
      <c r="B26" s="1813" t="s">
        <v>561</v>
      </c>
      <c r="C26" s="932"/>
      <c r="D26" s="932"/>
      <c r="E26" s="932"/>
      <c r="F26" s="932"/>
      <c r="G26" s="932"/>
      <c r="H26" s="932"/>
      <c r="I26" s="932"/>
      <c r="J26" s="932"/>
      <c r="K26" s="932"/>
      <c r="L26" s="932"/>
      <c r="M26" s="932"/>
      <c r="N26" s="932"/>
      <c r="O26" s="932"/>
      <c r="AC26" s="701" t="str">
        <f xml:space="preserve">
IF(COUNTIF(AC30:AC74,"○")=45,"○",
IF(COUNTIF(AC30:AC74,"×")&gt;=1,"×",
IF(AND(COUNTIF(AC30:AC74,"◎")&gt;=1,COUNTIF(AC30:AC74,"×")=0),"◎")))</f>
        <v>○</v>
      </c>
      <c r="AD26" s="702" t="str">
        <f xml:space="preserve">
IF(COUNTIF(AC30:AC74,"○")=45,"整備しない場合は入力不要です。",
IF(COUNTIF(AC30:AC74,"×")&gt;=1,"【要修正】入力が不十分な箇所があります。",
IF(AND(COUNTIF(AC30:AC74,"◎")&gt;=1,COUNTIF(AC30:AC74,"×")=0),"適切に入力がされました。")))</f>
        <v>整備しない場合は入力不要です。</v>
      </c>
    </row>
    <row r="27" spans="1:30" ht="9.9499999999999993" customHeight="1">
      <c r="AC27" s="1807" t="s">
        <v>418</v>
      </c>
      <c r="AD27" s="1810" t="s">
        <v>420</v>
      </c>
    </row>
    <row r="28" spans="1:30" ht="18.75">
      <c r="B28" s="1823" t="s">
        <v>41</v>
      </c>
      <c r="C28" s="1824"/>
      <c r="D28" s="1825"/>
      <c r="E28" s="1823" t="s">
        <v>42</v>
      </c>
      <c r="F28" s="1825"/>
      <c r="G28" s="1823" t="s">
        <v>43</v>
      </c>
      <c r="H28" s="1824"/>
      <c r="I28" s="1824"/>
      <c r="J28" s="1825"/>
      <c r="K28" s="1828" t="str">
        <f xml:space="preserve">
IF(表紙!$X$2="事前協議","納品予定日",
IF(表紙!$X$2="交付申請（２次）","納品予定日",
IF(表紙!$X$2="変更申請","納品予定日",
IF(表紙!$X$2="実績報告（１次）","納品日",
IF(表紙!$X$2="実績報告（２次）","納品日",
IF(表紙!$X$2="交付申請兼実績報告","納品日"))))))</f>
        <v>納品予定日</v>
      </c>
      <c r="L28" s="1369"/>
      <c r="M28" s="1369"/>
      <c r="N28" s="1826" t="s">
        <v>44</v>
      </c>
      <c r="O28" s="1826" t="s">
        <v>45</v>
      </c>
      <c r="Q28" s="1805" t="str">
        <f>K28</f>
        <v>納品予定日</v>
      </c>
      <c r="R28" s="603"/>
      <c r="S28" s="603"/>
      <c r="T28" s="602"/>
      <c r="AC28" s="1084"/>
      <c r="AD28" s="1811"/>
    </row>
    <row r="29" spans="1:30">
      <c r="B29" s="704" t="s">
        <v>46</v>
      </c>
      <c r="C29" s="704" t="s">
        <v>47</v>
      </c>
      <c r="D29" s="704" t="s">
        <v>48</v>
      </c>
      <c r="E29" s="704" t="s">
        <v>54</v>
      </c>
      <c r="F29" s="704" t="s">
        <v>49</v>
      </c>
      <c r="G29" s="704" t="s">
        <v>50</v>
      </c>
      <c r="H29" s="704" t="s">
        <v>51</v>
      </c>
      <c r="I29" s="704" t="s">
        <v>52</v>
      </c>
      <c r="J29" s="704" t="s">
        <v>53</v>
      </c>
      <c r="K29" s="704" t="s">
        <v>1387</v>
      </c>
      <c r="L29" s="704" t="s">
        <v>1388</v>
      </c>
      <c r="M29" s="704" t="s">
        <v>1389</v>
      </c>
      <c r="N29" s="1827"/>
      <c r="O29" s="1827"/>
      <c r="Q29" s="1806"/>
      <c r="R29" s="701" t="s">
        <v>1387</v>
      </c>
      <c r="S29" s="701" t="s">
        <v>1388</v>
      </c>
      <c r="T29" s="701" t="s">
        <v>1389</v>
      </c>
      <c r="AC29" s="701" t="s">
        <v>415</v>
      </c>
      <c r="AD29" s="701" t="s">
        <v>417</v>
      </c>
    </row>
    <row r="30" spans="1:30">
      <c r="A30" s="12">
        <v>1</v>
      </c>
      <c r="B30" s="6"/>
      <c r="C30" s="6"/>
      <c r="D30" s="6"/>
      <c r="E30" s="10"/>
      <c r="F30" s="7"/>
      <c r="G30" s="541"/>
      <c r="H30" s="15">
        <f>ROUNDDOWN(G30*1.1,0)</f>
        <v>0</v>
      </c>
      <c r="I30" s="4">
        <f>F30*H30</f>
        <v>0</v>
      </c>
      <c r="J30" s="9"/>
      <c r="K30" s="609"/>
      <c r="L30" s="609"/>
      <c r="M30" s="609"/>
      <c r="N30" s="4">
        <f>IF(J30="補助対象",I30,IF(J30="補助対象外",0,0))</f>
        <v>0</v>
      </c>
      <c r="O30" s="5" t="str">
        <f>IF(AC30="◎",COUNTIF($AC$30:AC30,"◎"),"")</f>
        <v/>
      </c>
      <c r="Q30" s="610" t="str">
        <f>IF(AND(AC30="◎",J30="補助対象"),DATE(IF(K30=5,2023,IF(K30=6,2024)),L30,M30),"")</f>
        <v/>
      </c>
      <c r="R30" s="701" t="str">
        <f>IF(Q30=MAX($Q$30:$Q$74),K30,"")</f>
        <v/>
      </c>
      <c r="S30" s="701" t="str">
        <f>IF(Q30=MAX($Q$30:$Q$74),L30,"")</f>
        <v/>
      </c>
      <c r="T30" s="701" t="str">
        <f>IF(Q30=MAX($Q$30:$Q$74),M30,"")</f>
        <v/>
      </c>
      <c r="Z30" s="702" t="str">
        <f>IF(B30="個別病床",はじめに入力してください!$K$50,IF(B30="共通使用",はじめに入力してください!$K$52,""))</f>
        <v/>
      </c>
      <c r="AB30" s="12">
        <v>1</v>
      </c>
      <c r="AC30" s="701" t="str">
        <f xml:space="preserve">
IF(SUM(COUNTA(B30:G30),COUNTA(J30:M30))=0,"○",
IF(AND(SUM(COUNTA(B30:G30),COUNTA(J30:M30))&gt;0,SUM(COUNTA(B30:G30),COUNTA(J30:M30))&lt;10),"×",
IF(SUM(COUNTA(B30:G30),COUNTA(J30:M30))=10,"◎")))</f>
        <v>○</v>
      </c>
      <c r="AD30" s="702" t="str">
        <f xml:space="preserve">
IF(SUM(COUNTA(B30:G30),COUNTA(J30))=0,"整備しない場合は入力不要です。",
IF(AND(SUM(COUNTA(B30:G30),COUNTA(J30))&gt;0,SUM(COUNTA(B30:G30),COUNTA(J30))&lt;7),"【要修正】未入力の箇所があります。",
IF(SUM(COUNTA(B30:G30),COUNTA(J30))=7,"適切に入力がされました。")))</f>
        <v>整備しない場合は入力不要です。</v>
      </c>
    </row>
    <row r="31" spans="1:30">
      <c r="A31" s="12">
        <v>2</v>
      </c>
      <c r="B31" s="6"/>
      <c r="C31" s="6"/>
      <c r="D31" s="6"/>
      <c r="E31" s="10"/>
      <c r="F31" s="7"/>
      <c r="G31" s="541"/>
      <c r="H31" s="15">
        <f t="shared" ref="H31:H74" si="0">ROUNDDOWN(G31*1.1,0)</f>
        <v>0</v>
      </c>
      <c r="I31" s="4">
        <f t="shared" ref="I31:I74" si="1">F31*H31</f>
        <v>0</v>
      </c>
      <c r="J31" s="9"/>
      <c r="K31" s="609"/>
      <c r="L31" s="609"/>
      <c r="M31" s="609"/>
      <c r="N31" s="4">
        <f t="shared" ref="N31:N74" si="2">IF(J31="補助対象",I31,IF(J31="補助対象外",0,0))</f>
        <v>0</v>
      </c>
      <c r="O31" s="5" t="str">
        <f>IF(AC31="◎",COUNTIF($AC$30:AC31,"◎"),"")</f>
        <v/>
      </c>
      <c r="Q31" s="610" t="str">
        <f t="shared" ref="Q31:Q74" si="3">IF(AND(AC31="◎",J31="補助対象"),DATE(IF(K31=5,2023,IF(K31=6,2024)),L31,M31),"")</f>
        <v/>
      </c>
      <c r="R31" s="701" t="str">
        <f t="shared" ref="R31:R74" si="4">IF(Q31=MAX($Q$30:$Q$74),K31,"")</f>
        <v/>
      </c>
      <c r="S31" s="701" t="str">
        <f t="shared" ref="S31:S74" si="5">IF(Q31=MAX($Q$30:$Q$74),L31,"")</f>
        <v/>
      </c>
      <c r="T31" s="701" t="str">
        <f t="shared" ref="T31:T74" si="6">IF(Q31=MAX($Q$30:$Q$74),M31,"")</f>
        <v/>
      </c>
      <c r="Z31" s="702" t="str">
        <f>IF(B31="個別病床",はじめに入力してください!$K$50,IF(B31="共通使用",はじめに入力してください!$K$52,""))</f>
        <v/>
      </c>
      <c r="AB31" s="12">
        <v>2</v>
      </c>
      <c r="AC31" s="701" t="str">
        <f t="shared" ref="AC31:AC74" si="7" xml:space="preserve">
IF(SUM(COUNTA(B31:G31),COUNTA(J31:M31))=0,"○",
IF(AND(SUM(COUNTA(B31:G31),COUNTA(J31:M31))&gt;0,SUM(COUNTA(B31:G31),COUNTA(J31:M31))&lt;10),"×",
IF(SUM(COUNTA(B31:G31),COUNTA(J31:M31))=10,"◎")))</f>
        <v>○</v>
      </c>
      <c r="AD31" s="702" t="str">
        <f t="shared" ref="AD31:AD74" si="8" xml:space="preserve">
IF(SUM(COUNTA(B31:G31),COUNTA(J31))=0,"整備しない場合は入力不要です。",
IF(AND(SUM(COUNTA(B31:G31),COUNTA(J31))&gt;0,SUM(COUNTA(B31:G31),COUNTA(J31))&lt;7),"【要修正】未入力の箇所があります。",
IF(SUM(COUNTA(B31:G31),COUNTA(J31))=7,"適切に入力がされました。")))</f>
        <v>整備しない場合は入力不要です。</v>
      </c>
    </row>
    <row r="32" spans="1:30">
      <c r="A32" s="12">
        <v>3</v>
      </c>
      <c r="B32" s="6"/>
      <c r="C32" s="6"/>
      <c r="D32" s="6"/>
      <c r="E32" s="10"/>
      <c r="F32" s="7"/>
      <c r="G32" s="541"/>
      <c r="H32" s="15">
        <f t="shared" si="0"/>
        <v>0</v>
      </c>
      <c r="I32" s="4">
        <f t="shared" si="1"/>
        <v>0</v>
      </c>
      <c r="J32" s="9"/>
      <c r="K32" s="609"/>
      <c r="L32" s="609"/>
      <c r="M32" s="609"/>
      <c r="N32" s="4">
        <f t="shared" si="2"/>
        <v>0</v>
      </c>
      <c r="O32" s="5" t="str">
        <f>IF(AC32="◎",COUNTIF($AC$30:AC32,"◎"),"")</f>
        <v/>
      </c>
      <c r="Q32" s="610" t="str">
        <f t="shared" si="3"/>
        <v/>
      </c>
      <c r="R32" s="701" t="str">
        <f t="shared" si="4"/>
        <v/>
      </c>
      <c r="S32" s="701" t="str">
        <f t="shared" si="5"/>
        <v/>
      </c>
      <c r="T32" s="701" t="str">
        <f t="shared" si="6"/>
        <v/>
      </c>
      <c r="Z32" s="702" t="str">
        <f>IF(B32="個別病床",はじめに入力してください!$K$50,IF(B32="共通使用",はじめに入力してください!$K$52,""))</f>
        <v/>
      </c>
      <c r="AB32" s="12">
        <v>3</v>
      </c>
      <c r="AC32" s="701" t="str">
        <f t="shared" si="7"/>
        <v>○</v>
      </c>
      <c r="AD32" s="702" t="str">
        <f t="shared" si="8"/>
        <v>整備しない場合は入力不要です。</v>
      </c>
    </row>
    <row r="33" spans="1:30">
      <c r="A33" s="12">
        <v>4</v>
      </c>
      <c r="B33" s="6"/>
      <c r="C33" s="6"/>
      <c r="D33" s="6"/>
      <c r="E33" s="10"/>
      <c r="F33" s="7"/>
      <c r="G33" s="541"/>
      <c r="H33" s="15">
        <f t="shared" si="0"/>
        <v>0</v>
      </c>
      <c r="I33" s="4">
        <f t="shared" si="1"/>
        <v>0</v>
      </c>
      <c r="J33" s="9"/>
      <c r="K33" s="609"/>
      <c r="L33" s="609"/>
      <c r="M33" s="609"/>
      <c r="N33" s="4">
        <f t="shared" si="2"/>
        <v>0</v>
      </c>
      <c r="O33" s="5" t="str">
        <f>IF(AC33="◎",COUNTIF($AC$30:AC33,"◎"),"")</f>
        <v/>
      </c>
      <c r="Q33" s="610" t="str">
        <f t="shared" si="3"/>
        <v/>
      </c>
      <c r="R33" s="701" t="str">
        <f t="shared" si="4"/>
        <v/>
      </c>
      <c r="S33" s="701" t="str">
        <f t="shared" si="5"/>
        <v/>
      </c>
      <c r="T33" s="701" t="str">
        <f t="shared" si="6"/>
        <v/>
      </c>
      <c r="Z33" s="702" t="str">
        <f>IF(B33="個別病床",はじめに入力してください!$K$50,IF(B33="共通使用",はじめに入力してください!$K$52,""))</f>
        <v/>
      </c>
      <c r="AB33" s="12">
        <v>4</v>
      </c>
      <c r="AC33" s="701" t="str">
        <f t="shared" si="7"/>
        <v>○</v>
      </c>
      <c r="AD33" s="702" t="str">
        <f t="shared" si="8"/>
        <v>整備しない場合は入力不要です。</v>
      </c>
    </row>
    <row r="34" spans="1:30">
      <c r="A34" s="12">
        <v>5</v>
      </c>
      <c r="B34" s="6"/>
      <c r="C34" s="6"/>
      <c r="D34" s="6"/>
      <c r="E34" s="10"/>
      <c r="F34" s="7"/>
      <c r="G34" s="541"/>
      <c r="H34" s="15">
        <f t="shared" si="0"/>
        <v>0</v>
      </c>
      <c r="I34" s="4">
        <f t="shared" si="1"/>
        <v>0</v>
      </c>
      <c r="J34" s="9"/>
      <c r="K34" s="609"/>
      <c r="L34" s="609"/>
      <c r="M34" s="609"/>
      <c r="N34" s="4">
        <f t="shared" si="2"/>
        <v>0</v>
      </c>
      <c r="O34" s="5" t="str">
        <f>IF(AC34="◎",COUNTIF($AC$30:AC34,"◎"),"")</f>
        <v/>
      </c>
      <c r="Q34" s="610" t="str">
        <f t="shared" si="3"/>
        <v/>
      </c>
      <c r="R34" s="701" t="str">
        <f t="shared" si="4"/>
        <v/>
      </c>
      <c r="S34" s="701" t="str">
        <f t="shared" si="5"/>
        <v/>
      </c>
      <c r="T34" s="701" t="str">
        <f t="shared" si="6"/>
        <v/>
      </c>
      <c r="Z34" s="702" t="str">
        <f>IF(B34="個別病床",はじめに入力してください!$K$50,IF(B34="共通使用",はじめに入力してください!$K$52,""))</f>
        <v/>
      </c>
      <c r="AB34" s="12">
        <v>5</v>
      </c>
      <c r="AC34" s="701" t="str">
        <f t="shared" si="7"/>
        <v>○</v>
      </c>
      <c r="AD34" s="702" t="str">
        <f t="shared" si="8"/>
        <v>整備しない場合は入力不要です。</v>
      </c>
    </row>
    <row r="35" spans="1:30">
      <c r="A35" s="12">
        <v>6</v>
      </c>
      <c r="B35" s="6"/>
      <c r="C35" s="6"/>
      <c r="D35" s="6"/>
      <c r="E35" s="10"/>
      <c r="F35" s="7"/>
      <c r="G35" s="541"/>
      <c r="H35" s="15">
        <f t="shared" si="0"/>
        <v>0</v>
      </c>
      <c r="I35" s="4">
        <f t="shared" si="1"/>
        <v>0</v>
      </c>
      <c r="J35" s="9"/>
      <c r="K35" s="609"/>
      <c r="L35" s="609"/>
      <c r="M35" s="609"/>
      <c r="N35" s="4">
        <f t="shared" si="2"/>
        <v>0</v>
      </c>
      <c r="O35" s="5" t="str">
        <f>IF(AC35="◎",COUNTIF($AC$30:AC35,"◎"),"")</f>
        <v/>
      </c>
      <c r="Q35" s="610" t="str">
        <f t="shared" si="3"/>
        <v/>
      </c>
      <c r="R35" s="701" t="str">
        <f t="shared" si="4"/>
        <v/>
      </c>
      <c r="S35" s="701" t="str">
        <f t="shared" si="5"/>
        <v/>
      </c>
      <c r="T35" s="701" t="str">
        <f t="shared" si="6"/>
        <v/>
      </c>
      <c r="Z35" s="702" t="str">
        <f>IF(B35="個別病床",はじめに入力してください!$K$50,IF(B35="共通使用",はじめに入力してください!$K$52,""))</f>
        <v/>
      </c>
      <c r="AB35" s="12">
        <v>6</v>
      </c>
      <c r="AC35" s="701" t="str">
        <f t="shared" si="7"/>
        <v>○</v>
      </c>
      <c r="AD35" s="702" t="str">
        <f t="shared" si="8"/>
        <v>整備しない場合は入力不要です。</v>
      </c>
    </row>
    <row r="36" spans="1:30">
      <c r="A36" s="12">
        <v>7</v>
      </c>
      <c r="B36" s="6"/>
      <c r="C36" s="6"/>
      <c r="D36" s="6"/>
      <c r="E36" s="10"/>
      <c r="F36" s="7"/>
      <c r="G36" s="541"/>
      <c r="H36" s="15">
        <f t="shared" si="0"/>
        <v>0</v>
      </c>
      <c r="I36" s="4">
        <f t="shared" si="1"/>
        <v>0</v>
      </c>
      <c r="J36" s="9"/>
      <c r="K36" s="609"/>
      <c r="L36" s="609"/>
      <c r="M36" s="609"/>
      <c r="N36" s="4">
        <f t="shared" si="2"/>
        <v>0</v>
      </c>
      <c r="O36" s="5" t="str">
        <f>IF(AC36="◎",COUNTIF($AC$30:AC36,"◎"),"")</f>
        <v/>
      </c>
      <c r="Q36" s="610" t="str">
        <f t="shared" si="3"/>
        <v/>
      </c>
      <c r="R36" s="701" t="str">
        <f t="shared" si="4"/>
        <v/>
      </c>
      <c r="S36" s="701" t="str">
        <f t="shared" si="5"/>
        <v/>
      </c>
      <c r="T36" s="701" t="str">
        <f t="shared" si="6"/>
        <v/>
      </c>
      <c r="Z36" s="702" t="str">
        <f>IF(B36="個別病床",はじめに入力してください!$K$50,IF(B36="共通使用",はじめに入力してください!$K$52,""))</f>
        <v/>
      </c>
      <c r="AB36" s="12">
        <v>7</v>
      </c>
      <c r="AC36" s="701" t="str">
        <f t="shared" si="7"/>
        <v>○</v>
      </c>
      <c r="AD36" s="702" t="str">
        <f t="shared" si="8"/>
        <v>整備しない場合は入力不要です。</v>
      </c>
    </row>
    <row r="37" spans="1:30">
      <c r="A37" s="12">
        <v>8</v>
      </c>
      <c r="B37" s="6"/>
      <c r="C37" s="6"/>
      <c r="D37" s="6"/>
      <c r="E37" s="10"/>
      <c r="F37" s="7"/>
      <c r="G37" s="541"/>
      <c r="H37" s="15">
        <f t="shared" si="0"/>
        <v>0</v>
      </c>
      <c r="I37" s="4">
        <f t="shared" si="1"/>
        <v>0</v>
      </c>
      <c r="J37" s="9"/>
      <c r="K37" s="609"/>
      <c r="L37" s="609"/>
      <c r="M37" s="609"/>
      <c r="N37" s="4">
        <f t="shared" si="2"/>
        <v>0</v>
      </c>
      <c r="O37" s="5" t="str">
        <f>IF(AC37="◎",COUNTIF($AC$30:AC37,"◎"),"")</f>
        <v/>
      </c>
      <c r="Q37" s="610" t="str">
        <f t="shared" si="3"/>
        <v/>
      </c>
      <c r="R37" s="701" t="str">
        <f t="shared" si="4"/>
        <v/>
      </c>
      <c r="S37" s="701" t="str">
        <f t="shared" si="5"/>
        <v/>
      </c>
      <c r="T37" s="701" t="str">
        <f t="shared" si="6"/>
        <v/>
      </c>
      <c r="Z37" s="702" t="str">
        <f>IF(B37="個別病床",はじめに入力してください!$K$50,IF(B37="共通使用",はじめに入力してください!$K$52,""))</f>
        <v/>
      </c>
      <c r="AB37" s="12">
        <v>8</v>
      </c>
      <c r="AC37" s="701" t="str">
        <f t="shared" si="7"/>
        <v>○</v>
      </c>
      <c r="AD37" s="702" t="str">
        <f t="shared" si="8"/>
        <v>整備しない場合は入力不要です。</v>
      </c>
    </row>
    <row r="38" spans="1:30">
      <c r="A38" s="12">
        <v>9</v>
      </c>
      <c r="B38" s="6"/>
      <c r="C38" s="6"/>
      <c r="D38" s="6"/>
      <c r="E38" s="10"/>
      <c r="F38" s="7"/>
      <c r="G38" s="541"/>
      <c r="H38" s="15">
        <f t="shared" si="0"/>
        <v>0</v>
      </c>
      <c r="I38" s="4">
        <f t="shared" si="1"/>
        <v>0</v>
      </c>
      <c r="J38" s="9"/>
      <c r="K38" s="609"/>
      <c r="L38" s="609"/>
      <c r="M38" s="609"/>
      <c r="N38" s="4">
        <f t="shared" si="2"/>
        <v>0</v>
      </c>
      <c r="O38" s="5" t="str">
        <f>IF(AC38="◎",COUNTIF($AC$30:AC38,"◎"),"")</f>
        <v/>
      </c>
      <c r="Q38" s="610" t="str">
        <f t="shared" si="3"/>
        <v/>
      </c>
      <c r="R38" s="701" t="str">
        <f t="shared" si="4"/>
        <v/>
      </c>
      <c r="S38" s="701" t="str">
        <f t="shared" si="5"/>
        <v/>
      </c>
      <c r="T38" s="701" t="str">
        <f t="shared" si="6"/>
        <v/>
      </c>
      <c r="Z38" s="702" t="str">
        <f>IF(B38="個別病床",はじめに入力してください!$K$50,IF(B38="共通使用",はじめに入力してください!$K$52,""))</f>
        <v/>
      </c>
      <c r="AB38" s="12">
        <v>9</v>
      </c>
      <c r="AC38" s="701" t="str">
        <f t="shared" si="7"/>
        <v>○</v>
      </c>
      <c r="AD38" s="702" t="str">
        <f t="shared" si="8"/>
        <v>整備しない場合は入力不要です。</v>
      </c>
    </row>
    <row r="39" spans="1:30">
      <c r="A39" s="12">
        <v>10</v>
      </c>
      <c r="B39" s="6"/>
      <c r="C39" s="6"/>
      <c r="D39" s="6"/>
      <c r="E39" s="10"/>
      <c r="F39" s="7"/>
      <c r="G39" s="541"/>
      <c r="H39" s="15">
        <f t="shared" si="0"/>
        <v>0</v>
      </c>
      <c r="I39" s="4">
        <f t="shared" si="1"/>
        <v>0</v>
      </c>
      <c r="J39" s="9"/>
      <c r="K39" s="609"/>
      <c r="L39" s="609"/>
      <c r="M39" s="609"/>
      <c r="N39" s="4">
        <f t="shared" si="2"/>
        <v>0</v>
      </c>
      <c r="O39" s="5" t="str">
        <f>IF(AC39="◎",COUNTIF($AC$30:AC39,"◎"),"")</f>
        <v/>
      </c>
      <c r="Q39" s="610" t="str">
        <f t="shared" si="3"/>
        <v/>
      </c>
      <c r="R39" s="701" t="str">
        <f t="shared" si="4"/>
        <v/>
      </c>
      <c r="S39" s="701" t="str">
        <f t="shared" si="5"/>
        <v/>
      </c>
      <c r="T39" s="701" t="str">
        <f t="shared" si="6"/>
        <v/>
      </c>
      <c r="Z39" s="702" t="str">
        <f>IF(B39="個別病床",はじめに入力してください!$K$50,IF(B39="共通使用",はじめに入力してください!$K$52,""))</f>
        <v/>
      </c>
      <c r="AB39" s="12">
        <v>10</v>
      </c>
      <c r="AC39" s="701" t="str">
        <f t="shared" si="7"/>
        <v>○</v>
      </c>
      <c r="AD39" s="702" t="str">
        <f t="shared" si="8"/>
        <v>整備しない場合は入力不要です。</v>
      </c>
    </row>
    <row r="40" spans="1:30">
      <c r="A40" s="12">
        <v>11</v>
      </c>
      <c r="B40" s="6"/>
      <c r="C40" s="6"/>
      <c r="D40" s="6"/>
      <c r="E40" s="10"/>
      <c r="F40" s="7"/>
      <c r="G40" s="541"/>
      <c r="H40" s="15">
        <f t="shared" si="0"/>
        <v>0</v>
      </c>
      <c r="I40" s="4">
        <f t="shared" si="1"/>
        <v>0</v>
      </c>
      <c r="J40" s="9"/>
      <c r="K40" s="609"/>
      <c r="L40" s="609"/>
      <c r="M40" s="609"/>
      <c r="N40" s="4">
        <f t="shared" si="2"/>
        <v>0</v>
      </c>
      <c r="O40" s="5" t="str">
        <f>IF(AC40="◎",COUNTIF($AC$30:AC40,"◎"),"")</f>
        <v/>
      </c>
      <c r="Q40" s="610" t="str">
        <f t="shared" si="3"/>
        <v/>
      </c>
      <c r="R40" s="701" t="str">
        <f t="shared" si="4"/>
        <v/>
      </c>
      <c r="S40" s="701" t="str">
        <f t="shared" si="5"/>
        <v/>
      </c>
      <c r="T40" s="701" t="str">
        <f t="shared" si="6"/>
        <v/>
      </c>
      <c r="Z40" s="702" t="str">
        <f>IF(B40="個別病床",はじめに入力してください!$K$50,IF(B40="共通使用",はじめに入力してください!$K$52,""))</f>
        <v/>
      </c>
      <c r="AB40" s="12">
        <v>11</v>
      </c>
      <c r="AC40" s="701" t="str">
        <f t="shared" si="7"/>
        <v>○</v>
      </c>
      <c r="AD40" s="702" t="str">
        <f t="shared" si="8"/>
        <v>整備しない場合は入力不要です。</v>
      </c>
    </row>
    <row r="41" spans="1:30">
      <c r="A41" s="12">
        <v>12</v>
      </c>
      <c r="B41" s="6"/>
      <c r="C41" s="6"/>
      <c r="D41" s="6"/>
      <c r="E41" s="10"/>
      <c r="F41" s="7"/>
      <c r="G41" s="541"/>
      <c r="H41" s="15">
        <f t="shared" si="0"/>
        <v>0</v>
      </c>
      <c r="I41" s="4">
        <f t="shared" si="1"/>
        <v>0</v>
      </c>
      <c r="J41" s="9"/>
      <c r="K41" s="609"/>
      <c r="L41" s="609"/>
      <c r="M41" s="609"/>
      <c r="N41" s="4">
        <f t="shared" si="2"/>
        <v>0</v>
      </c>
      <c r="O41" s="5" t="str">
        <f>IF(AC41="◎",COUNTIF($AC$30:AC41,"◎"),"")</f>
        <v/>
      </c>
      <c r="Q41" s="610" t="str">
        <f t="shared" si="3"/>
        <v/>
      </c>
      <c r="R41" s="701" t="str">
        <f t="shared" si="4"/>
        <v/>
      </c>
      <c r="S41" s="701" t="str">
        <f t="shared" si="5"/>
        <v/>
      </c>
      <c r="T41" s="701" t="str">
        <f t="shared" si="6"/>
        <v/>
      </c>
      <c r="Z41" s="702" t="str">
        <f>IF(B41="個別病床",はじめに入力してください!$K$50,IF(B41="共通使用",はじめに入力してください!$K$52,""))</f>
        <v/>
      </c>
      <c r="AB41" s="12">
        <v>12</v>
      </c>
      <c r="AC41" s="701" t="str">
        <f t="shared" si="7"/>
        <v>○</v>
      </c>
      <c r="AD41" s="702" t="str">
        <f t="shared" si="8"/>
        <v>整備しない場合は入力不要です。</v>
      </c>
    </row>
    <row r="42" spans="1:30">
      <c r="A42" s="12">
        <v>13</v>
      </c>
      <c r="B42" s="6"/>
      <c r="C42" s="6"/>
      <c r="D42" s="6"/>
      <c r="E42" s="10"/>
      <c r="F42" s="7"/>
      <c r="G42" s="541"/>
      <c r="H42" s="15">
        <f t="shared" si="0"/>
        <v>0</v>
      </c>
      <c r="I42" s="4">
        <f t="shared" si="1"/>
        <v>0</v>
      </c>
      <c r="J42" s="9"/>
      <c r="K42" s="609"/>
      <c r="L42" s="609"/>
      <c r="M42" s="609"/>
      <c r="N42" s="4">
        <f t="shared" si="2"/>
        <v>0</v>
      </c>
      <c r="O42" s="5" t="str">
        <f>IF(AC42="◎",COUNTIF($AC$30:AC42,"◎"),"")</f>
        <v/>
      </c>
      <c r="Q42" s="610" t="str">
        <f t="shared" si="3"/>
        <v/>
      </c>
      <c r="R42" s="701" t="str">
        <f t="shared" si="4"/>
        <v/>
      </c>
      <c r="S42" s="701" t="str">
        <f t="shared" si="5"/>
        <v/>
      </c>
      <c r="T42" s="701" t="str">
        <f t="shared" si="6"/>
        <v/>
      </c>
      <c r="Z42" s="702" t="str">
        <f>IF(B42="個別病床",はじめに入力してください!$K$50,IF(B42="共通使用",はじめに入力してください!$K$52,""))</f>
        <v/>
      </c>
      <c r="AB42" s="12">
        <v>13</v>
      </c>
      <c r="AC42" s="701" t="str">
        <f t="shared" si="7"/>
        <v>○</v>
      </c>
      <c r="AD42" s="702" t="str">
        <f t="shared" si="8"/>
        <v>整備しない場合は入力不要です。</v>
      </c>
    </row>
    <row r="43" spans="1:30">
      <c r="A43" s="12">
        <v>14</v>
      </c>
      <c r="B43" s="6"/>
      <c r="C43" s="6"/>
      <c r="D43" s="6"/>
      <c r="E43" s="10"/>
      <c r="F43" s="7"/>
      <c r="G43" s="541"/>
      <c r="H43" s="15">
        <f t="shared" si="0"/>
        <v>0</v>
      </c>
      <c r="I43" s="4">
        <f t="shared" si="1"/>
        <v>0</v>
      </c>
      <c r="J43" s="9"/>
      <c r="K43" s="609"/>
      <c r="L43" s="609"/>
      <c r="M43" s="609"/>
      <c r="N43" s="4">
        <f t="shared" si="2"/>
        <v>0</v>
      </c>
      <c r="O43" s="5" t="str">
        <f>IF(AC43="◎",COUNTIF($AC$30:AC43,"◎"),"")</f>
        <v/>
      </c>
      <c r="Q43" s="610" t="str">
        <f t="shared" si="3"/>
        <v/>
      </c>
      <c r="R43" s="701" t="str">
        <f t="shared" si="4"/>
        <v/>
      </c>
      <c r="S43" s="701" t="str">
        <f t="shared" si="5"/>
        <v/>
      </c>
      <c r="T43" s="701" t="str">
        <f t="shared" si="6"/>
        <v/>
      </c>
      <c r="Z43" s="702" t="str">
        <f>IF(B43="個別病床",はじめに入力してください!$K$50,IF(B43="共通使用",はじめに入力してください!$K$52,""))</f>
        <v/>
      </c>
      <c r="AB43" s="12">
        <v>14</v>
      </c>
      <c r="AC43" s="701" t="str">
        <f t="shared" si="7"/>
        <v>○</v>
      </c>
      <c r="AD43" s="702" t="str">
        <f t="shared" si="8"/>
        <v>整備しない場合は入力不要です。</v>
      </c>
    </row>
    <row r="44" spans="1:30">
      <c r="A44" s="12">
        <v>15</v>
      </c>
      <c r="B44" s="6"/>
      <c r="C44" s="6"/>
      <c r="D44" s="6"/>
      <c r="E44" s="10"/>
      <c r="F44" s="7"/>
      <c r="G44" s="541"/>
      <c r="H44" s="15">
        <f t="shared" si="0"/>
        <v>0</v>
      </c>
      <c r="I44" s="4">
        <f t="shared" si="1"/>
        <v>0</v>
      </c>
      <c r="J44" s="9"/>
      <c r="K44" s="609"/>
      <c r="L44" s="609"/>
      <c r="M44" s="609"/>
      <c r="N44" s="4">
        <f t="shared" si="2"/>
        <v>0</v>
      </c>
      <c r="O44" s="5" t="str">
        <f>IF(AC44="◎",COUNTIF($AC$30:AC44,"◎"),"")</f>
        <v/>
      </c>
      <c r="Q44" s="610" t="str">
        <f t="shared" si="3"/>
        <v/>
      </c>
      <c r="R44" s="701" t="str">
        <f t="shared" si="4"/>
        <v/>
      </c>
      <c r="S44" s="701" t="str">
        <f t="shared" si="5"/>
        <v/>
      </c>
      <c r="T44" s="701" t="str">
        <f t="shared" si="6"/>
        <v/>
      </c>
      <c r="Z44" s="702" t="str">
        <f>IF(B44="個別病床",はじめに入力してください!$K$50,IF(B44="共通使用",はじめに入力してください!$K$52,""))</f>
        <v/>
      </c>
      <c r="AB44" s="12">
        <v>15</v>
      </c>
      <c r="AC44" s="701" t="str">
        <f t="shared" si="7"/>
        <v>○</v>
      </c>
      <c r="AD44" s="702" t="str">
        <f t="shared" si="8"/>
        <v>整備しない場合は入力不要です。</v>
      </c>
    </row>
    <row r="45" spans="1:30">
      <c r="A45" s="12">
        <v>16</v>
      </c>
      <c r="B45" s="6"/>
      <c r="C45" s="6"/>
      <c r="D45" s="6"/>
      <c r="E45" s="10"/>
      <c r="F45" s="7"/>
      <c r="G45" s="541"/>
      <c r="H45" s="15">
        <f t="shared" si="0"/>
        <v>0</v>
      </c>
      <c r="I45" s="4">
        <f t="shared" si="1"/>
        <v>0</v>
      </c>
      <c r="J45" s="9"/>
      <c r="K45" s="609"/>
      <c r="L45" s="609"/>
      <c r="M45" s="609"/>
      <c r="N45" s="4">
        <f t="shared" si="2"/>
        <v>0</v>
      </c>
      <c r="O45" s="5" t="str">
        <f>IF(AC45="◎",COUNTIF($AC$30:AC45,"◎"),"")</f>
        <v/>
      </c>
      <c r="Q45" s="610" t="str">
        <f t="shared" si="3"/>
        <v/>
      </c>
      <c r="R45" s="701" t="str">
        <f t="shared" si="4"/>
        <v/>
      </c>
      <c r="S45" s="701" t="str">
        <f t="shared" si="5"/>
        <v/>
      </c>
      <c r="T45" s="701" t="str">
        <f t="shared" si="6"/>
        <v/>
      </c>
      <c r="Z45" s="702" t="str">
        <f>IF(B45="個別病床",はじめに入力してください!$K$50,IF(B45="共通使用",はじめに入力してください!$K$52,""))</f>
        <v/>
      </c>
      <c r="AB45" s="12">
        <v>16</v>
      </c>
      <c r="AC45" s="701" t="str">
        <f t="shared" si="7"/>
        <v>○</v>
      </c>
      <c r="AD45" s="702" t="str">
        <f t="shared" si="8"/>
        <v>整備しない場合は入力不要です。</v>
      </c>
    </row>
    <row r="46" spans="1:30">
      <c r="A46" s="12">
        <v>17</v>
      </c>
      <c r="B46" s="6"/>
      <c r="C46" s="6"/>
      <c r="D46" s="6"/>
      <c r="E46" s="10"/>
      <c r="F46" s="7"/>
      <c r="G46" s="541"/>
      <c r="H46" s="15">
        <f t="shared" si="0"/>
        <v>0</v>
      </c>
      <c r="I46" s="4">
        <f t="shared" si="1"/>
        <v>0</v>
      </c>
      <c r="J46" s="9"/>
      <c r="K46" s="609"/>
      <c r="L46" s="609"/>
      <c r="M46" s="609"/>
      <c r="N46" s="4">
        <f t="shared" si="2"/>
        <v>0</v>
      </c>
      <c r="O46" s="5" t="str">
        <f>IF(AC46="◎",COUNTIF($AC$30:AC46,"◎"),"")</f>
        <v/>
      </c>
      <c r="Q46" s="610" t="str">
        <f t="shared" si="3"/>
        <v/>
      </c>
      <c r="R46" s="701" t="str">
        <f t="shared" si="4"/>
        <v/>
      </c>
      <c r="S46" s="701" t="str">
        <f t="shared" si="5"/>
        <v/>
      </c>
      <c r="T46" s="701" t="str">
        <f t="shared" si="6"/>
        <v/>
      </c>
      <c r="Z46" s="702" t="str">
        <f>IF(B46="個別病床",はじめに入力してください!$K$50,IF(B46="共通使用",はじめに入力してください!$K$52,""))</f>
        <v/>
      </c>
      <c r="AB46" s="12">
        <v>17</v>
      </c>
      <c r="AC46" s="701" t="str">
        <f t="shared" si="7"/>
        <v>○</v>
      </c>
      <c r="AD46" s="702" t="str">
        <f t="shared" si="8"/>
        <v>整備しない場合は入力不要です。</v>
      </c>
    </row>
    <row r="47" spans="1:30">
      <c r="A47" s="12">
        <v>18</v>
      </c>
      <c r="B47" s="6"/>
      <c r="C47" s="6"/>
      <c r="D47" s="6"/>
      <c r="E47" s="10"/>
      <c r="F47" s="7"/>
      <c r="G47" s="541"/>
      <c r="H47" s="15">
        <f t="shared" si="0"/>
        <v>0</v>
      </c>
      <c r="I47" s="4">
        <f t="shared" si="1"/>
        <v>0</v>
      </c>
      <c r="J47" s="9"/>
      <c r="K47" s="609"/>
      <c r="L47" s="609"/>
      <c r="M47" s="609"/>
      <c r="N47" s="4">
        <f t="shared" si="2"/>
        <v>0</v>
      </c>
      <c r="O47" s="5" t="str">
        <f>IF(AC47="◎",COUNTIF($AC$30:AC47,"◎"),"")</f>
        <v/>
      </c>
      <c r="Q47" s="610" t="str">
        <f t="shared" si="3"/>
        <v/>
      </c>
      <c r="R47" s="701" t="str">
        <f t="shared" si="4"/>
        <v/>
      </c>
      <c r="S47" s="701" t="str">
        <f t="shared" si="5"/>
        <v/>
      </c>
      <c r="T47" s="701" t="str">
        <f t="shared" si="6"/>
        <v/>
      </c>
      <c r="Z47" s="702" t="str">
        <f>IF(B47="個別病床",はじめに入力してください!$K$50,IF(B47="共通使用",はじめに入力してください!$K$52,""))</f>
        <v/>
      </c>
      <c r="AB47" s="12">
        <v>18</v>
      </c>
      <c r="AC47" s="701" t="str">
        <f t="shared" si="7"/>
        <v>○</v>
      </c>
      <c r="AD47" s="702" t="str">
        <f t="shared" si="8"/>
        <v>整備しない場合は入力不要です。</v>
      </c>
    </row>
    <row r="48" spans="1:30">
      <c r="A48" s="12">
        <v>19</v>
      </c>
      <c r="B48" s="6"/>
      <c r="C48" s="6"/>
      <c r="D48" s="6"/>
      <c r="E48" s="10"/>
      <c r="F48" s="7"/>
      <c r="G48" s="541"/>
      <c r="H48" s="15">
        <f t="shared" si="0"/>
        <v>0</v>
      </c>
      <c r="I48" s="4">
        <f t="shared" si="1"/>
        <v>0</v>
      </c>
      <c r="J48" s="9"/>
      <c r="K48" s="609"/>
      <c r="L48" s="609"/>
      <c r="M48" s="609"/>
      <c r="N48" s="4">
        <f t="shared" si="2"/>
        <v>0</v>
      </c>
      <c r="O48" s="5" t="str">
        <f>IF(AC48="◎",COUNTIF($AC$30:AC48,"◎"),"")</f>
        <v/>
      </c>
      <c r="Q48" s="610" t="str">
        <f t="shared" si="3"/>
        <v/>
      </c>
      <c r="R48" s="701" t="str">
        <f t="shared" si="4"/>
        <v/>
      </c>
      <c r="S48" s="701" t="str">
        <f t="shared" si="5"/>
        <v/>
      </c>
      <c r="T48" s="701" t="str">
        <f t="shared" si="6"/>
        <v/>
      </c>
      <c r="Z48" s="702" t="str">
        <f>IF(B48="個別病床",はじめに入力してください!$K$50,IF(B48="共通使用",はじめに入力してください!$K$52,""))</f>
        <v/>
      </c>
      <c r="AB48" s="12">
        <v>19</v>
      </c>
      <c r="AC48" s="701" t="str">
        <f t="shared" si="7"/>
        <v>○</v>
      </c>
      <c r="AD48" s="702" t="str">
        <f t="shared" si="8"/>
        <v>整備しない場合は入力不要です。</v>
      </c>
    </row>
    <row r="49" spans="1:30">
      <c r="A49" s="12">
        <v>20</v>
      </c>
      <c r="B49" s="6"/>
      <c r="C49" s="6"/>
      <c r="D49" s="6"/>
      <c r="E49" s="10"/>
      <c r="F49" s="7"/>
      <c r="G49" s="541"/>
      <c r="H49" s="15">
        <f t="shared" si="0"/>
        <v>0</v>
      </c>
      <c r="I49" s="4">
        <f t="shared" si="1"/>
        <v>0</v>
      </c>
      <c r="J49" s="9"/>
      <c r="K49" s="609"/>
      <c r="L49" s="609"/>
      <c r="M49" s="609"/>
      <c r="N49" s="4">
        <f t="shared" si="2"/>
        <v>0</v>
      </c>
      <c r="O49" s="5" t="str">
        <f>IF(AC49="◎",COUNTIF($AC$30:AC49,"◎"),"")</f>
        <v/>
      </c>
      <c r="Q49" s="610" t="str">
        <f t="shared" si="3"/>
        <v/>
      </c>
      <c r="R49" s="701" t="str">
        <f t="shared" si="4"/>
        <v/>
      </c>
      <c r="S49" s="701" t="str">
        <f t="shared" si="5"/>
        <v/>
      </c>
      <c r="T49" s="701" t="str">
        <f t="shared" si="6"/>
        <v/>
      </c>
      <c r="Z49" s="702" t="str">
        <f>IF(B49="個別病床",はじめに入力してください!$K$50,IF(B49="共通使用",はじめに入力してください!$K$52,""))</f>
        <v/>
      </c>
      <c r="AB49" s="12">
        <v>20</v>
      </c>
      <c r="AC49" s="701" t="str">
        <f t="shared" si="7"/>
        <v>○</v>
      </c>
      <c r="AD49" s="702" t="str">
        <f t="shared" si="8"/>
        <v>整備しない場合は入力不要です。</v>
      </c>
    </row>
    <row r="50" spans="1:30">
      <c r="A50" s="12">
        <v>21</v>
      </c>
      <c r="B50" s="6"/>
      <c r="C50" s="6"/>
      <c r="D50" s="6"/>
      <c r="E50" s="10"/>
      <c r="F50" s="7"/>
      <c r="G50" s="541"/>
      <c r="H50" s="15">
        <f t="shared" si="0"/>
        <v>0</v>
      </c>
      <c r="I50" s="4">
        <f t="shared" si="1"/>
        <v>0</v>
      </c>
      <c r="J50" s="9"/>
      <c r="K50" s="609"/>
      <c r="L50" s="609"/>
      <c r="M50" s="609"/>
      <c r="N50" s="4">
        <f t="shared" si="2"/>
        <v>0</v>
      </c>
      <c r="O50" s="5" t="str">
        <f>IF(AC50="◎",COUNTIF($AC$30:AC50,"◎"),"")</f>
        <v/>
      </c>
      <c r="Q50" s="610" t="str">
        <f t="shared" si="3"/>
        <v/>
      </c>
      <c r="R50" s="701" t="str">
        <f t="shared" si="4"/>
        <v/>
      </c>
      <c r="S50" s="701" t="str">
        <f t="shared" si="5"/>
        <v/>
      </c>
      <c r="T50" s="701" t="str">
        <f t="shared" si="6"/>
        <v/>
      </c>
      <c r="Z50" s="702" t="str">
        <f>IF(B50="個別病床",はじめに入力してください!$K$50,IF(B50="共通使用",はじめに入力してください!$K$52,""))</f>
        <v/>
      </c>
      <c r="AB50" s="12">
        <v>21</v>
      </c>
      <c r="AC50" s="701" t="str">
        <f t="shared" si="7"/>
        <v>○</v>
      </c>
      <c r="AD50" s="702" t="str">
        <f t="shared" si="8"/>
        <v>整備しない場合は入力不要です。</v>
      </c>
    </row>
    <row r="51" spans="1:30">
      <c r="A51" s="12">
        <v>22</v>
      </c>
      <c r="B51" s="6"/>
      <c r="C51" s="6"/>
      <c r="D51" s="6"/>
      <c r="E51" s="10"/>
      <c r="F51" s="7"/>
      <c r="G51" s="541"/>
      <c r="H51" s="15">
        <f t="shared" si="0"/>
        <v>0</v>
      </c>
      <c r="I51" s="4">
        <f t="shared" si="1"/>
        <v>0</v>
      </c>
      <c r="J51" s="9"/>
      <c r="K51" s="609"/>
      <c r="L51" s="609"/>
      <c r="M51" s="609"/>
      <c r="N51" s="4">
        <f t="shared" si="2"/>
        <v>0</v>
      </c>
      <c r="O51" s="5" t="str">
        <f>IF(AC51="◎",COUNTIF($AC$30:AC51,"◎"),"")</f>
        <v/>
      </c>
      <c r="Q51" s="610" t="str">
        <f t="shared" si="3"/>
        <v/>
      </c>
      <c r="R51" s="701" t="str">
        <f t="shared" si="4"/>
        <v/>
      </c>
      <c r="S51" s="701" t="str">
        <f t="shared" si="5"/>
        <v/>
      </c>
      <c r="T51" s="701" t="str">
        <f t="shared" si="6"/>
        <v/>
      </c>
      <c r="Z51" s="702" t="str">
        <f>IF(B51="個別病床",はじめに入力してください!$K$50,IF(B51="共通使用",はじめに入力してください!$K$52,""))</f>
        <v/>
      </c>
      <c r="AB51" s="12">
        <v>22</v>
      </c>
      <c r="AC51" s="701" t="str">
        <f t="shared" si="7"/>
        <v>○</v>
      </c>
      <c r="AD51" s="702" t="str">
        <f t="shared" si="8"/>
        <v>整備しない場合は入力不要です。</v>
      </c>
    </row>
    <row r="52" spans="1:30">
      <c r="A52" s="12">
        <v>23</v>
      </c>
      <c r="B52" s="6"/>
      <c r="C52" s="6"/>
      <c r="D52" s="6"/>
      <c r="E52" s="10"/>
      <c r="F52" s="7"/>
      <c r="G52" s="541"/>
      <c r="H52" s="15">
        <f t="shared" si="0"/>
        <v>0</v>
      </c>
      <c r="I52" s="4">
        <f t="shared" si="1"/>
        <v>0</v>
      </c>
      <c r="J52" s="9"/>
      <c r="K52" s="609"/>
      <c r="L52" s="609"/>
      <c r="M52" s="609"/>
      <c r="N52" s="4">
        <f t="shared" si="2"/>
        <v>0</v>
      </c>
      <c r="O52" s="5" t="str">
        <f>IF(AC52="◎",COUNTIF($AC$30:AC52,"◎"),"")</f>
        <v/>
      </c>
      <c r="Q52" s="610" t="str">
        <f t="shared" si="3"/>
        <v/>
      </c>
      <c r="R52" s="701" t="str">
        <f t="shared" si="4"/>
        <v/>
      </c>
      <c r="S52" s="701" t="str">
        <f t="shared" si="5"/>
        <v/>
      </c>
      <c r="T52" s="701" t="str">
        <f t="shared" si="6"/>
        <v/>
      </c>
      <c r="Z52" s="702" t="str">
        <f>IF(B52="個別病床",はじめに入力してください!$K$50,IF(B52="共通使用",はじめに入力してください!$K$52,""))</f>
        <v/>
      </c>
      <c r="AB52" s="12">
        <v>23</v>
      </c>
      <c r="AC52" s="701" t="str">
        <f t="shared" si="7"/>
        <v>○</v>
      </c>
      <c r="AD52" s="702" t="str">
        <f t="shared" si="8"/>
        <v>整備しない場合は入力不要です。</v>
      </c>
    </row>
    <row r="53" spans="1:30">
      <c r="A53" s="12">
        <v>24</v>
      </c>
      <c r="B53" s="6"/>
      <c r="C53" s="6"/>
      <c r="D53" s="6"/>
      <c r="E53" s="10"/>
      <c r="F53" s="7"/>
      <c r="G53" s="541"/>
      <c r="H53" s="15">
        <f t="shared" si="0"/>
        <v>0</v>
      </c>
      <c r="I53" s="4">
        <f t="shared" si="1"/>
        <v>0</v>
      </c>
      <c r="J53" s="9"/>
      <c r="K53" s="609"/>
      <c r="L53" s="609"/>
      <c r="M53" s="609"/>
      <c r="N53" s="4">
        <f t="shared" si="2"/>
        <v>0</v>
      </c>
      <c r="O53" s="5" t="str">
        <f>IF(AC53="◎",COUNTIF($AC$30:AC53,"◎"),"")</f>
        <v/>
      </c>
      <c r="Q53" s="610" t="str">
        <f t="shared" si="3"/>
        <v/>
      </c>
      <c r="R53" s="701" t="str">
        <f t="shared" si="4"/>
        <v/>
      </c>
      <c r="S53" s="701" t="str">
        <f t="shared" si="5"/>
        <v/>
      </c>
      <c r="T53" s="701" t="str">
        <f t="shared" si="6"/>
        <v/>
      </c>
      <c r="Z53" s="702" t="str">
        <f>IF(B53="個別病床",はじめに入力してください!$K$50,IF(B53="共通使用",はじめに入力してください!$K$52,""))</f>
        <v/>
      </c>
      <c r="AB53" s="12">
        <v>24</v>
      </c>
      <c r="AC53" s="701" t="str">
        <f t="shared" si="7"/>
        <v>○</v>
      </c>
      <c r="AD53" s="702" t="str">
        <f t="shared" si="8"/>
        <v>整備しない場合は入力不要です。</v>
      </c>
    </row>
    <row r="54" spans="1:30">
      <c r="A54" s="12">
        <v>25</v>
      </c>
      <c r="B54" s="6"/>
      <c r="C54" s="6"/>
      <c r="D54" s="6"/>
      <c r="E54" s="10"/>
      <c r="F54" s="7"/>
      <c r="G54" s="541"/>
      <c r="H54" s="15">
        <f t="shared" si="0"/>
        <v>0</v>
      </c>
      <c r="I54" s="4">
        <f t="shared" si="1"/>
        <v>0</v>
      </c>
      <c r="J54" s="9"/>
      <c r="K54" s="609"/>
      <c r="L54" s="609"/>
      <c r="M54" s="609"/>
      <c r="N54" s="4">
        <f t="shared" si="2"/>
        <v>0</v>
      </c>
      <c r="O54" s="5" t="str">
        <f>IF(AC54="◎",COUNTIF($AC$30:AC54,"◎"),"")</f>
        <v/>
      </c>
      <c r="Q54" s="610" t="str">
        <f t="shared" si="3"/>
        <v/>
      </c>
      <c r="R54" s="701" t="str">
        <f t="shared" si="4"/>
        <v/>
      </c>
      <c r="S54" s="701" t="str">
        <f t="shared" si="5"/>
        <v/>
      </c>
      <c r="T54" s="701" t="str">
        <f t="shared" si="6"/>
        <v/>
      </c>
      <c r="Z54" s="702" t="str">
        <f>IF(B54="個別病床",はじめに入力してください!$K$50,IF(B54="共通使用",はじめに入力してください!$K$52,""))</f>
        <v/>
      </c>
      <c r="AB54" s="12">
        <v>25</v>
      </c>
      <c r="AC54" s="701" t="str">
        <f t="shared" si="7"/>
        <v>○</v>
      </c>
      <c r="AD54" s="702" t="str">
        <f t="shared" si="8"/>
        <v>整備しない場合は入力不要です。</v>
      </c>
    </row>
    <row r="55" spans="1:30">
      <c r="A55" s="12">
        <v>26</v>
      </c>
      <c r="B55" s="6"/>
      <c r="C55" s="6"/>
      <c r="D55" s="6"/>
      <c r="E55" s="10"/>
      <c r="F55" s="7"/>
      <c r="G55" s="541"/>
      <c r="H55" s="15">
        <f t="shared" si="0"/>
        <v>0</v>
      </c>
      <c r="I55" s="4">
        <f t="shared" si="1"/>
        <v>0</v>
      </c>
      <c r="J55" s="9"/>
      <c r="K55" s="609"/>
      <c r="L55" s="609"/>
      <c r="M55" s="609"/>
      <c r="N55" s="4">
        <f t="shared" si="2"/>
        <v>0</v>
      </c>
      <c r="O55" s="5" t="str">
        <f>IF(AC55="◎",COUNTIF($AC$30:AC55,"◎"),"")</f>
        <v/>
      </c>
      <c r="Q55" s="610" t="str">
        <f t="shared" si="3"/>
        <v/>
      </c>
      <c r="R55" s="701" t="str">
        <f t="shared" si="4"/>
        <v/>
      </c>
      <c r="S55" s="701" t="str">
        <f t="shared" si="5"/>
        <v/>
      </c>
      <c r="T55" s="701" t="str">
        <f t="shared" si="6"/>
        <v/>
      </c>
      <c r="Z55" s="702" t="str">
        <f>IF(B55="個別病床",はじめに入力してください!$K$50,IF(B55="共通使用",はじめに入力してください!$K$52,""))</f>
        <v/>
      </c>
      <c r="AB55" s="12">
        <v>26</v>
      </c>
      <c r="AC55" s="701" t="str">
        <f t="shared" si="7"/>
        <v>○</v>
      </c>
      <c r="AD55" s="702" t="str">
        <f t="shared" si="8"/>
        <v>整備しない場合は入力不要です。</v>
      </c>
    </row>
    <row r="56" spans="1:30">
      <c r="A56" s="12">
        <v>27</v>
      </c>
      <c r="B56" s="6"/>
      <c r="C56" s="6"/>
      <c r="D56" s="6"/>
      <c r="E56" s="10"/>
      <c r="F56" s="7"/>
      <c r="G56" s="541"/>
      <c r="H56" s="15">
        <f t="shared" si="0"/>
        <v>0</v>
      </c>
      <c r="I56" s="4">
        <f t="shared" si="1"/>
        <v>0</v>
      </c>
      <c r="J56" s="9"/>
      <c r="K56" s="609"/>
      <c r="L56" s="609"/>
      <c r="M56" s="609"/>
      <c r="N56" s="4">
        <f t="shared" si="2"/>
        <v>0</v>
      </c>
      <c r="O56" s="5" t="str">
        <f>IF(AC56="◎",COUNTIF($AC$30:AC56,"◎"),"")</f>
        <v/>
      </c>
      <c r="Q56" s="610" t="str">
        <f t="shared" si="3"/>
        <v/>
      </c>
      <c r="R56" s="701" t="str">
        <f t="shared" si="4"/>
        <v/>
      </c>
      <c r="S56" s="701" t="str">
        <f t="shared" si="5"/>
        <v/>
      </c>
      <c r="T56" s="701" t="str">
        <f t="shared" si="6"/>
        <v/>
      </c>
      <c r="Z56" s="702" t="str">
        <f>IF(B56="個別病床",はじめに入力してください!$K$50,IF(B56="共通使用",はじめに入力してください!$K$52,""))</f>
        <v/>
      </c>
      <c r="AB56" s="12">
        <v>27</v>
      </c>
      <c r="AC56" s="701" t="str">
        <f t="shared" si="7"/>
        <v>○</v>
      </c>
      <c r="AD56" s="702" t="str">
        <f t="shared" si="8"/>
        <v>整備しない場合は入力不要です。</v>
      </c>
    </row>
    <row r="57" spans="1:30">
      <c r="A57" s="12">
        <v>28</v>
      </c>
      <c r="B57" s="6"/>
      <c r="C57" s="6"/>
      <c r="D57" s="6"/>
      <c r="E57" s="10"/>
      <c r="F57" s="7"/>
      <c r="G57" s="541"/>
      <c r="H57" s="15">
        <f t="shared" si="0"/>
        <v>0</v>
      </c>
      <c r="I57" s="4">
        <f t="shared" si="1"/>
        <v>0</v>
      </c>
      <c r="J57" s="9"/>
      <c r="K57" s="609"/>
      <c r="L57" s="609"/>
      <c r="M57" s="609"/>
      <c r="N57" s="4">
        <f t="shared" si="2"/>
        <v>0</v>
      </c>
      <c r="O57" s="5" t="str">
        <f>IF(AC57="◎",COUNTIF($AC$30:AC57,"◎"),"")</f>
        <v/>
      </c>
      <c r="Q57" s="610" t="str">
        <f t="shared" si="3"/>
        <v/>
      </c>
      <c r="R57" s="701" t="str">
        <f t="shared" si="4"/>
        <v/>
      </c>
      <c r="S57" s="701" t="str">
        <f t="shared" si="5"/>
        <v/>
      </c>
      <c r="T57" s="701" t="str">
        <f t="shared" si="6"/>
        <v/>
      </c>
      <c r="Z57" s="702" t="str">
        <f>IF(B57="個別病床",はじめに入力してください!$K$50,IF(B57="共通使用",はじめに入力してください!$K$52,""))</f>
        <v/>
      </c>
      <c r="AB57" s="12">
        <v>28</v>
      </c>
      <c r="AC57" s="701" t="str">
        <f t="shared" si="7"/>
        <v>○</v>
      </c>
      <c r="AD57" s="702" t="str">
        <f t="shared" si="8"/>
        <v>整備しない場合は入力不要です。</v>
      </c>
    </row>
    <row r="58" spans="1:30">
      <c r="A58" s="12">
        <v>29</v>
      </c>
      <c r="B58" s="6"/>
      <c r="C58" s="6"/>
      <c r="D58" s="6"/>
      <c r="E58" s="10"/>
      <c r="F58" s="7"/>
      <c r="G58" s="541"/>
      <c r="H58" s="15">
        <f t="shared" si="0"/>
        <v>0</v>
      </c>
      <c r="I58" s="4">
        <f t="shared" si="1"/>
        <v>0</v>
      </c>
      <c r="J58" s="9"/>
      <c r="K58" s="609"/>
      <c r="L58" s="609"/>
      <c r="M58" s="609"/>
      <c r="N58" s="4">
        <f t="shared" si="2"/>
        <v>0</v>
      </c>
      <c r="O58" s="5" t="str">
        <f>IF(AC58="◎",COUNTIF($AC$30:AC58,"◎"),"")</f>
        <v/>
      </c>
      <c r="Q58" s="610" t="str">
        <f t="shared" si="3"/>
        <v/>
      </c>
      <c r="R58" s="701" t="str">
        <f t="shared" si="4"/>
        <v/>
      </c>
      <c r="S58" s="701" t="str">
        <f t="shared" si="5"/>
        <v/>
      </c>
      <c r="T58" s="701" t="str">
        <f t="shared" si="6"/>
        <v/>
      </c>
      <c r="Z58" s="702" t="str">
        <f>IF(B58="個別病床",はじめに入力してください!$K$50,IF(B58="共通使用",はじめに入力してください!$K$52,""))</f>
        <v/>
      </c>
      <c r="AB58" s="12">
        <v>29</v>
      </c>
      <c r="AC58" s="701" t="str">
        <f t="shared" si="7"/>
        <v>○</v>
      </c>
      <c r="AD58" s="702" t="str">
        <f t="shared" si="8"/>
        <v>整備しない場合は入力不要です。</v>
      </c>
    </row>
    <row r="59" spans="1:30">
      <c r="A59" s="12">
        <v>30</v>
      </c>
      <c r="B59" s="6"/>
      <c r="C59" s="6"/>
      <c r="D59" s="6"/>
      <c r="E59" s="10"/>
      <c r="F59" s="7"/>
      <c r="G59" s="541"/>
      <c r="H59" s="15">
        <f t="shared" si="0"/>
        <v>0</v>
      </c>
      <c r="I59" s="4">
        <f t="shared" si="1"/>
        <v>0</v>
      </c>
      <c r="J59" s="9"/>
      <c r="K59" s="609"/>
      <c r="L59" s="609"/>
      <c r="M59" s="609"/>
      <c r="N59" s="4">
        <f t="shared" si="2"/>
        <v>0</v>
      </c>
      <c r="O59" s="5" t="str">
        <f>IF(AC59="◎",COUNTIF($AC$30:AC59,"◎"),"")</f>
        <v/>
      </c>
      <c r="Q59" s="610" t="str">
        <f t="shared" si="3"/>
        <v/>
      </c>
      <c r="R59" s="701" t="str">
        <f t="shared" si="4"/>
        <v/>
      </c>
      <c r="S59" s="701" t="str">
        <f t="shared" si="5"/>
        <v/>
      </c>
      <c r="T59" s="701" t="str">
        <f t="shared" si="6"/>
        <v/>
      </c>
      <c r="Z59" s="702" t="str">
        <f>IF(B59="個別病床",はじめに入力してください!$K$50,IF(B59="共通使用",はじめに入力してください!$K$52,""))</f>
        <v/>
      </c>
      <c r="AB59" s="12">
        <v>30</v>
      </c>
      <c r="AC59" s="701" t="str">
        <f t="shared" si="7"/>
        <v>○</v>
      </c>
      <c r="AD59" s="702" t="str">
        <f t="shared" si="8"/>
        <v>整備しない場合は入力不要です。</v>
      </c>
    </row>
    <row r="60" spans="1:30">
      <c r="A60" s="12">
        <v>31</v>
      </c>
      <c r="B60" s="6"/>
      <c r="C60" s="6"/>
      <c r="D60" s="6"/>
      <c r="E60" s="10"/>
      <c r="F60" s="7"/>
      <c r="G60" s="541"/>
      <c r="H60" s="15">
        <f t="shared" si="0"/>
        <v>0</v>
      </c>
      <c r="I60" s="4">
        <f t="shared" si="1"/>
        <v>0</v>
      </c>
      <c r="J60" s="9"/>
      <c r="K60" s="609"/>
      <c r="L60" s="609"/>
      <c r="M60" s="609"/>
      <c r="N60" s="4">
        <f t="shared" si="2"/>
        <v>0</v>
      </c>
      <c r="O60" s="5" t="str">
        <f>IF(AC60="◎",COUNTIF($AC$30:AC60,"◎"),"")</f>
        <v/>
      </c>
      <c r="Q60" s="610" t="str">
        <f t="shared" si="3"/>
        <v/>
      </c>
      <c r="R60" s="701" t="str">
        <f t="shared" si="4"/>
        <v/>
      </c>
      <c r="S60" s="701" t="str">
        <f t="shared" si="5"/>
        <v/>
      </c>
      <c r="T60" s="701" t="str">
        <f t="shared" si="6"/>
        <v/>
      </c>
      <c r="Z60" s="702" t="str">
        <f>IF(B60="個別病床",はじめに入力してください!$K$50,IF(B60="共通使用",はじめに入力してください!$K$52,""))</f>
        <v/>
      </c>
      <c r="AB60" s="12">
        <v>31</v>
      </c>
      <c r="AC60" s="701" t="str">
        <f t="shared" si="7"/>
        <v>○</v>
      </c>
      <c r="AD60" s="702" t="str">
        <f t="shared" si="8"/>
        <v>整備しない場合は入力不要です。</v>
      </c>
    </row>
    <row r="61" spans="1:30">
      <c r="A61" s="12">
        <v>32</v>
      </c>
      <c r="B61" s="6"/>
      <c r="C61" s="6"/>
      <c r="D61" s="6"/>
      <c r="E61" s="10"/>
      <c r="F61" s="7"/>
      <c r="G61" s="541"/>
      <c r="H61" s="15">
        <f t="shared" si="0"/>
        <v>0</v>
      </c>
      <c r="I61" s="4">
        <f t="shared" si="1"/>
        <v>0</v>
      </c>
      <c r="J61" s="9"/>
      <c r="K61" s="609"/>
      <c r="L61" s="609"/>
      <c r="M61" s="609"/>
      <c r="N61" s="4">
        <f t="shared" si="2"/>
        <v>0</v>
      </c>
      <c r="O61" s="5" t="str">
        <f>IF(AC61="◎",COUNTIF($AC$30:AC61,"◎"),"")</f>
        <v/>
      </c>
      <c r="Q61" s="610" t="str">
        <f t="shared" si="3"/>
        <v/>
      </c>
      <c r="R61" s="701" t="str">
        <f t="shared" si="4"/>
        <v/>
      </c>
      <c r="S61" s="701" t="str">
        <f t="shared" si="5"/>
        <v/>
      </c>
      <c r="T61" s="701" t="str">
        <f t="shared" si="6"/>
        <v/>
      </c>
      <c r="Z61" s="702" t="str">
        <f>IF(B61="個別病床",はじめに入力してください!$K$50,IF(B61="共通使用",はじめに入力してください!$K$52,""))</f>
        <v/>
      </c>
      <c r="AB61" s="12">
        <v>32</v>
      </c>
      <c r="AC61" s="701" t="str">
        <f t="shared" si="7"/>
        <v>○</v>
      </c>
      <c r="AD61" s="702" t="str">
        <f t="shared" si="8"/>
        <v>整備しない場合は入力不要です。</v>
      </c>
    </row>
    <row r="62" spans="1:30">
      <c r="A62" s="12">
        <v>33</v>
      </c>
      <c r="B62" s="6"/>
      <c r="C62" s="6"/>
      <c r="D62" s="6"/>
      <c r="E62" s="10"/>
      <c r="F62" s="7"/>
      <c r="G62" s="541"/>
      <c r="H62" s="15">
        <f t="shared" si="0"/>
        <v>0</v>
      </c>
      <c r="I62" s="4">
        <f t="shared" si="1"/>
        <v>0</v>
      </c>
      <c r="J62" s="9"/>
      <c r="K62" s="609"/>
      <c r="L62" s="609"/>
      <c r="M62" s="609"/>
      <c r="N62" s="4">
        <f t="shared" si="2"/>
        <v>0</v>
      </c>
      <c r="O62" s="5" t="str">
        <f>IF(AC62="◎",COUNTIF($AC$30:AC62,"◎"),"")</f>
        <v/>
      </c>
      <c r="Q62" s="610" t="str">
        <f t="shared" si="3"/>
        <v/>
      </c>
      <c r="R62" s="701" t="str">
        <f t="shared" si="4"/>
        <v/>
      </c>
      <c r="S62" s="701" t="str">
        <f t="shared" si="5"/>
        <v/>
      </c>
      <c r="T62" s="701" t="str">
        <f t="shared" si="6"/>
        <v/>
      </c>
      <c r="Z62" s="702" t="str">
        <f>IF(B62="個別病床",はじめに入力してください!$K$50,IF(B62="共通使用",はじめに入力してください!$K$52,""))</f>
        <v/>
      </c>
      <c r="AB62" s="12">
        <v>33</v>
      </c>
      <c r="AC62" s="701" t="str">
        <f t="shared" si="7"/>
        <v>○</v>
      </c>
      <c r="AD62" s="702" t="str">
        <f t="shared" si="8"/>
        <v>整備しない場合は入力不要です。</v>
      </c>
    </row>
    <row r="63" spans="1:30">
      <c r="A63" s="12">
        <v>34</v>
      </c>
      <c r="B63" s="6"/>
      <c r="C63" s="6"/>
      <c r="D63" s="6"/>
      <c r="E63" s="10"/>
      <c r="F63" s="7"/>
      <c r="G63" s="541"/>
      <c r="H63" s="15">
        <f t="shared" si="0"/>
        <v>0</v>
      </c>
      <c r="I63" s="4">
        <f t="shared" si="1"/>
        <v>0</v>
      </c>
      <c r="J63" s="9"/>
      <c r="K63" s="609"/>
      <c r="L63" s="609"/>
      <c r="M63" s="609"/>
      <c r="N63" s="4">
        <f t="shared" si="2"/>
        <v>0</v>
      </c>
      <c r="O63" s="5" t="str">
        <f>IF(AC63="◎",COUNTIF($AC$30:AC63,"◎"),"")</f>
        <v/>
      </c>
      <c r="Q63" s="610" t="str">
        <f t="shared" si="3"/>
        <v/>
      </c>
      <c r="R63" s="701" t="str">
        <f t="shared" si="4"/>
        <v/>
      </c>
      <c r="S63" s="701" t="str">
        <f t="shared" si="5"/>
        <v/>
      </c>
      <c r="T63" s="701" t="str">
        <f t="shared" si="6"/>
        <v/>
      </c>
      <c r="Z63" s="702" t="str">
        <f>IF(B63="個別病床",はじめに入力してください!$K$50,IF(B63="共通使用",はじめに入力してください!$K$52,""))</f>
        <v/>
      </c>
      <c r="AB63" s="12">
        <v>34</v>
      </c>
      <c r="AC63" s="701" t="str">
        <f t="shared" si="7"/>
        <v>○</v>
      </c>
      <c r="AD63" s="702" t="str">
        <f t="shared" si="8"/>
        <v>整備しない場合は入力不要です。</v>
      </c>
    </row>
    <row r="64" spans="1:30">
      <c r="A64" s="12">
        <v>35</v>
      </c>
      <c r="B64" s="6"/>
      <c r="C64" s="6"/>
      <c r="D64" s="6"/>
      <c r="E64" s="10"/>
      <c r="F64" s="7"/>
      <c r="G64" s="541"/>
      <c r="H64" s="15">
        <f t="shared" si="0"/>
        <v>0</v>
      </c>
      <c r="I64" s="4">
        <f t="shared" si="1"/>
        <v>0</v>
      </c>
      <c r="J64" s="9"/>
      <c r="K64" s="609"/>
      <c r="L64" s="609"/>
      <c r="M64" s="609"/>
      <c r="N64" s="4">
        <f t="shared" si="2"/>
        <v>0</v>
      </c>
      <c r="O64" s="5" t="str">
        <f>IF(AC64="◎",COUNTIF($AC$30:AC64,"◎"),"")</f>
        <v/>
      </c>
      <c r="Q64" s="610" t="str">
        <f t="shared" si="3"/>
        <v/>
      </c>
      <c r="R64" s="701" t="str">
        <f t="shared" si="4"/>
        <v/>
      </c>
      <c r="S64" s="701" t="str">
        <f t="shared" si="5"/>
        <v/>
      </c>
      <c r="T64" s="701" t="str">
        <f t="shared" si="6"/>
        <v/>
      </c>
      <c r="Z64" s="702" t="str">
        <f>IF(B64="個別病床",はじめに入力してください!$K$50,IF(B64="共通使用",はじめに入力してください!$K$52,""))</f>
        <v/>
      </c>
      <c r="AB64" s="12">
        <v>35</v>
      </c>
      <c r="AC64" s="701" t="str">
        <f t="shared" si="7"/>
        <v>○</v>
      </c>
      <c r="AD64" s="702" t="str">
        <f t="shared" si="8"/>
        <v>整備しない場合は入力不要です。</v>
      </c>
    </row>
    <row r="65" spans="1:30">
      <c r="A65" s="12">
        <v>36</v>
      </c>
      <c r="B65" s="6"/>
      <c r="C65" s="6"/>
      <c r="D65" s="6"/>
      <c r="E65" s="10"/>
      <c r="F65" s="7"/>
      <c r="G65" s="541"/>
      <c r="H65" s="15">
        <f t="shared" si="0"/>
        <v>0</v>
      </c>
      <c r="I65" s="4">
        <f t="shared" si="1"/>
        <v>0</v>
      </c>
      <c r="J65" s="9"/>
      <c r="K65" s="609"/>
      <c r="L65" s="609"/>
      <c r="M65" s="609"/>
      <c r="N65" s="4">
        <f t="shared" si="2"/>
        <v>0</v>
      </c>
      <c r="O65" s="5" t="str">
        <f>IF(AC65="◎",COUNTIF($AC$30:AC65,"◎"),"")</f>
        <v/>
      </c>
      <c r="Q65" s="610" t="str">
        <f t="shared" si="3"/>
        <v/>
      </c>
      <c r="R65" s="701" t="str">
        <f t="shared" si="4"/>
        <v/>
      </c>
      <c r="S65" s="701" t="str">
        <f t="shared" si="5"/>
        <v/>
      </c>
      <c r="T65" s="701" t="str">
        <f t="shared" si="6"/>
        <v/>
      </c>
      <c r="Z65" s="702" t="str">
        <f>IF(B65="個別病床",はじめに入力してください!$K$50,IF(B65="共通使用",はじめに入力してください!$K$52,""))</f>
        <v/>
      </c>
      <c r="AB65" s="12">
        <v>36</v>
      </c>
      <c r="AC65" s="701" t="str">
        <f t="shared" si="7"/>
        <v>○</v>
      </c>
      <c r="AD65" s="702" t="str">
        <f t="shared" si="8"/>
        <v>整備しない場合は入力不要です。</v>
      </c>
    </row>
    <row r="66" spans="1:30">
      <c r="A66" s="12">
        <v>37</v>
      </c>
      <c r="B66" s="6"/>
      <c r="C66" s="6"/>
      <c r="D66" s="6"/>
      <c r="E66" s="10"/>
      <c r="F66" s="7"/>
      <c r="G66" s="541"/>
      <c r="H66" s="15">
        <f t="shared" si="0"/>
        <v>0</v>
      </c>
      <c r="I66" s="4">
        <f t="shared" si="1"/>
        <v>0</v>
      </c>
      <c r="J66" s="9"/>
      <c r="K66" s="609"/>
      <c r="L66" s="609"/>
      <c r="M66" s="609"/>
      <c r="N66" s="4">
        <f t="shared" si="2"/>
        <v>0</v>
      </c>
      <c r="O66" s="5" t="str">
        <f>IF(AC66="◎",COUNTIF($AC$30:AC66,"◎"),"")</f>
        <v/>
      </c>
      <c r="Q66" s="610" t="str">
        <f t="shared" si="3"/>
        <v/>
      </c>
      <c r="R66" s="701" t="str">
        <f t="shared" si="4"/>
        <v/>
      </c>
      <c r="S66" s="701" t="str">
        <f t="shared" si="5"/>
        <v/>
      </c>
      <c r="T66" s="701" t="str">
        <f t="shared" si="6"/>
        <v/>
      </c>
      <c r="Z66" s="702" t="str">
        <f>IF(B66="個別病床",はじめに入力してください!$K$50,IF(B66="共通使用",はじめに入力してください!$K$52,""))</f>
        <v/>
      </c>
      <c r="AB66" s="12">
        <v>37</v>
      </c>
      <c r="AC66" s="701" t="str">
        <f t="shared" si="7"/>
        <v>○</v>
      </c>
      <c r="AD66" s="702" t="str">
        <f t="shared" si="8"/>
        <v>整備しない場合は入力不要です。</v>
      </c>
    </row>
    <row r="67" spans="1:30">
      <c r="A67" s="12">
        <v>38</v>
      </c>
      <c r="B67" s="6"/>
      <c r="C67" s="6"/>
      <c r="D67" s="6"/>
      <c r="E67" s="10"/>
      <c r="F67" s="7"/>
      <c r="G67" s="541"/>
      <c r="H67" s="15">
        <f t="shared" si="0"/>
        <v>0</v>
      </c>
      <c r="I67" s="4">
        <f t="shared" si="1"/>
        <v>0</v>
      </c>
      <c r="J67" s="9"/>
      <c r="K67" s="609"/>
      <c r="L67" s="609"/>
      <c r="M67" s="609"/>
      <c r="N67" s="4">
        <f t="shared" si="2"/>
        <v>0</v>
      </c>
      <c r="O67" s="5" t="str">
        <f>IF(AC67="◎",COUNTIF($AC$30:AC67,"◎"),"")</f>
        <v/>
      </c>
      <c r="Q67" s="610" t="str">
        <f t="shared" si="3"/>
        <v/>
      </c>
      <c r="R67" s="701" t="str">
        <f t="shared" si="4"/>
        <v/>
      </c>
      <c r="S67" s="701" t="str">
        <f t="shared" si="5"/>
        <v/>
      </c>
      <c r="T67" s="701" t="str">
        <f t="shared" si="6"/>
        <v/>
      </c>
      <c r="Z67" s="702" t="str">
        <f>IF(B67="個別病床",はじめに入力してください!$K$50,IF(B67="共通使用",はじめに入力してください!$K$52,""))</f>
        <v/>
      </c>
      <c r="AB67" s="12">
        <v>38</v>
      </c>
      <c r="AC67" s="701" t="str">
        <f t="shared" si="7"/>
        <v>○</v>
      </c>
      <c r="AD67" s="702" t="str">
        <f t="shared" si="8"/>
        <v>整備しない場合は入力不要です。</v>
      </c>
    </row>
    <row r="68" spans="1:30">
      <c r="A68" s="12">
        <v>39</v>
      </c>
      <c r="B68" s="6"/>
      <c r="C68" s="6"/>
      <c r="D68" s="6"/>
      <c r="E68" s="10"/>
      <c r="F68" s="7"/>
      <c r="G68" s="541"/>
      <c r="H68" s="15">
        <f t="shared" si="0"/>
        <v>0</v>
      </c>
      <c r="I68" s="4">
        <f t="shared" si="1"/>
        <v>0</v>
      </c>
      <c r="J68" s="9"/>
      <c r="K68" s="609"/>
      <c r="L68" s="609"/>
      <c r="M68" s="609"/>
      <c r="N68" s="4">
        <f t="shared" si="2"/>
        <v>0</v>
      </c>
      <c r="O68" s="5" t="str">
        <f>IF(AC68="◎",COUNTIF($AC$30:AC68,"◎"),"")</f>
        <v/>
      </c>
      <c r="Q68" s="610" t="str">
        <f t="shared" si="3"/>
        <v/>
      </c>
      <c r="R68" s="701" t="str">
        <f t="shared" si="4"/>
        <v/>
      </c>
      <c r="S68" s="701" t="str">
        <f t="shared" si="5"/>
        <v/>
      </c>
      <c r="T68" s="701" t="str">
        <f t="shared" si="6"/>
        <v/>
      </c>
      <c r="Z68" s="702" t="str">
        <f>IF(B68="個別病床",はじめに入力してください!$K$50,IF(B68="共通使用",はじめに入力してください!$K$52,""))</f>
        <v/>
      </c>
      <c r="AB68" s="12">
        <v>39</v>
      </c>
      <c r="AC68" s="701" t="str">
        <f t="shared" si="7"/>
        <v>○</v>
      </c>
      <c r="AD68" s="702" t="str">
        <f t="shared" si="8"/>
        <v>整備しない場合は入力不要です。</v>
      </c>
    </row>
    <row r="69" spans="1:30">
      <c r="A69" s="12">
        <v>40</v>
      </c>
      <c r="B69" s="6"/>
      <c r="C69" s="6"/>
      <c r="D69" s="6"/>
      <c r="E69" s="10"/>
      <c r="F69" s="7"/>
      <c r="G69" s="541"/>
      <c r="H69" s="15">
        <f t="shared" si="0"/>
        <v>0</v>
      </c>
      <c r="I69" s="4">
        <f t="shared" si="1"/>
        <v>0</v>
      </c>
      <c r="J69" s="9"/>
      <c r="K69" s="609"/>
      <c r="L69" s="609"/>
      <c r="M69" s="609"/>
      <c r="N69" s="4">
        <f t="shared" si="2"/>
        <v>0</v>
      </c>
      <c r="O69" s="5" t="str">
        <f>IF(AC69="◎",COUNTIF($AC$30:AC69,"◎"),"")</f>
        <v/>
      </c>
      <c r="Q69" s="610" t="str">
        <f t="shared" si="3"/>
        <v/>
      </c>
      <c r="R69" s="701" t="str">
        <f t="shared" si="4"/>
        <v/>
      </c>
      <c r="S69" s="701" t="str">
        <f t="shared" si="5"/>
        <v/>
      </c>
      <c r="T69" s="701" t="str">
        <f t="shared" si="6"/>
        <v/>
      </c>
      <c r="Z69" s="702" t="str">
        <f>IF(B69="個別病床",はじめに入力してください!$K$50,IF(B69="共通使用",はじめに入力してください!$K$52,""))</f>
        <v/>
      </c>
      <c r="AB69" s="12">
        <v>40</v>
      </c>
      <c r="AC69" s="701" t="str">
        <f t="shared" si="7"/>
        <v>○</v>
      </c>
      <c r="AD69" s="702" t="str">
        <f t="shared" si="8"/>
        <v>整備しない場合は入力不要です。</v>
      </c>
    </row>
    <row r="70" spans="1:30">
      <c r="A70" s="12">
        <v>41</v>
      </c>
      <c r="B70" s="6"/>
      <c r="C70" s="6"/>
      <c r="D70" s="6"/>
      <c r="E70" s="10"/>
      <c r="F70" s="7"/>
      <c r="G70" s="541"/>
      <c r="H70" s="15">
        <f t="shared" si="0"/>
        <v>0</v>
      </c>
      <c r="I70" s="4">
        <f t="shared" si="1"/>
        <v>0</v>
      </c>
      <c r="J70" s="9"/>
      <c r="K70" s="609"/>
      <c r="L70" s="609"/>
      <c r="M70" s="609"/>
      <c r="N70" s="4">
        <f t="shared" si="2"/>
        <v>0</v>
      </c>
      <c r="O70" s="5" t="str">
        <f>IF(AC70="◎",COUNTIF($AC$30:AC70,"◎"),"")</f>
        <v/>
      </c>
      <c r="Q70" s="610" t="str">
        <f t="shared" si="3"/>
        <v/>
      </c>
      <c r="R70" s="701" t="str">
        <f t="shared" si="4"/>
        <v/>
      </c>
      <c r="S70" s="701" t="str">
        <f t="shared" si="5"/>
        <v/>
      </c>
      <c r="T70" s="701" t="str">
        <f t="shared" si="6"/>
        <v/>
      </c>
      <c r="Z70" s="702" t="str">
        <f>IF(B70="個別病床",はじめに入力してください!$K$50,IF(B70="共通使用",はじめに入力してください!$K$52,""))</f>
        <v/>
      </c>
      <c r="AB70" s="12">
        <v>41</v>
      </c>
      <c r="AC70" s="701" t="str">
        <f t="shared" si="7"/>
        <v>○</v>
      </c>
      <c r="AD70" s="702" t="str">
        <f t="shared" si="8"/>
        <v>整備しない場合は入力不要です。</v>
      </c>
    </row>
    <row r="71" spans="1:30">
      <c r="A71" s="12">
        <v>42</v>
      </c>
      <c r="B71" s="6"/>
      <c r="C71" s="6"/>
      <c r="D71" s="6"/>
      <c r="E71" s="10"/>
      <c r="F71" s="7"/>
      <c r="G71" s="541"/>
      <c r="H71" s="15">
        <f t="shared" si="0"/>
        <v>0</v>
      </c>
      <c r="I71" s="4">
        <f t="shared" si="1"/>
        <v>0</v>
      </c>
      <c r="J71" s="9"/>
      <c r="K71" s="609"/>
      <c r="L71" s="609"/>
      <c r="M71" s="609"/>
      <c r="N71" s="4">
        <f t="shared" si="2"/>
        <v>0</v>
      </c>
      <c r="O71" s="5" t="str">
        <f>IF(AC71="◎",COUNTIF($AC$30:AC71,"◎"),"")</f>
        <v/>
      </c>
      <c r="Q71" s="610" t="str">
        <f t="shared" si="3"/>
        <v/>
      </c>
      <c r="R71" s="701" t="str">
        <f t="shared" si="4"/>
        <v/>
      </c>
      <c r="S71" s="701" t="str">
        <f t="shared" si="5"/>
        <v/>
      </c>
      <c r="T71" s="701" t="str">
        <f t="shared" si="6"/>
        <v/>
      </c>
      <c r="Z71" s="702" t="str">
        <f>IF(B71="個別病床",はじめに入力してください!$K$50,IF(B71="共通使用",はじめに入力してください!$K$52,""))</f>
        <v/>
      </c>
      <c r="AB71" s="12">
        <v>42</v>
      </c>
      <c r="AC71" s="701" t="str">
        <f t="shared" si="7"/>
        <v>○</v>
      </c>
      <c r="AD71" s="702" t="str">
        <f t="shared" si="8"/>
        <v>整備しない場合は入力不要です。</v>
      </c>
    </row>
    <row r="72" spans="1:30">
      <c r="A72" s="12">
        <v>43</v>
      </c>
      <c r="B72" s="6"/>
      <c r="C72" s="6"/>
      <c r="D72" s="6"/>
      <c r="E72" s="10"/>
      <c r="F72" s="7"/>
      <c r="G72" s="541"/>
      <c r="H72" s="15">
        <f t="shared" si="0"/>
        <v>0</v>
      </c>
      <c r="I72" s="4">
        <f t="shared" si="1"/>
        <v>0</v>
      </c>
      <c r="J72" s="9"/>
      <c r="K72" s="609"/>
      <c r="L72" s="609"/>
      <c r="M72" s="609"/>
      <c r="N72" s="4">
        <f t="shared" si="2"/>
        <v>0</v>
      </c>
      <c r="O72" s="5" t="str">
        <f>IF(AC72="◎",COUNTIF($AC$30:AC72,"◎"),"")</f>
        <v/>
      </c>
      <c r="Q72" s="610" t="str">
        <f t="shared" si="3"/>
        <v/>
      </c>
      <c r="R72" s="701" t="str">
        <f t="shared" si="4"/>
        <v/>
      </c>
      <c r="S72" s="701" t="str">
        <f t="shared" si="5"/>
        <v/>
      </c>
      <c r="T72" s="701" t="str">
        <f t="shared" si="6"/>
        <v/>
      </c>
      <c r="Z72" s="702" t="str">
        <f>IF(B72="個別病床",はじめに入力してください!$K$50,IF(B72="共通使用",はじめに入力してください!$K$52,""))</f>
        <v/>
      </c>
      <c r="AB72" s="12">
        <v>43</v>
      </c>
      <c r="AC72" s="701" t="str">
        <f t="shared" si="7"/>
        <v>○</v>
      </c>
      <c r="AD72" s="702" t="str">
        <f t="shared" si="8"/>
        <v>整備しない場合は入力不要です。</v>
      </c>
    </row>
    <row r="73" spans="1:30">
      <c r="A73" s="12">
        <v>44</v>
      </c>
      <c r="B73" s="6"/>
      <c r="C73" s="6"/>
      <c r="D73" s="6"/>
      <c r="E73" s="10"/>
      <c r="F73" s="7"/>
      <c r="G73" s="541"/>
      <c r="H73" s="15">
        <f t="shared" si="0"/>
        <v>0</v>
      </c>
      <c r="I73" s="4">
        <f t="shared" si="1"/>
        <v>0</v>
      </c>
      <c r="J73" s="9"/>
      <c r="K73" s="609"/>
      <c r="L73" s="609"/>
      <c r="M73" s="609"/>
      <c r="N73" s="4">
        <f t="shared" si="2"/>
        <v>0</v>
      </c>
      <c r="O73" s="5" t="str">
        <f>IF(AC73="◎",COUNTIF($AC$30:AC73,"◎"),"")</f>
        <v/>
      </c>
      <c r="Q73" s="610" t="str">
        <f t="shared" si="3"/>
        <v/>
      </c>
      <c r="R73" s="701" t="str">
        <f t="shared" si="4"/>
        <v/>
      </c>
      <c r="S73" s="701" t="str">
        <f t="shared" si="5"/>
        <v/>
      </c>
      <c r="T73" s="701" t="str">
        <f t="shared" si="6"/>
        <v/>
      </c>
      <c r="Z73" s="702" t="str">
        <f>IF(B73="個別病床",はじめに入力してください!$K$50,IF(B73="共通使用",はじめに入力してください!$K$52,""))</f>
        <v/>
      </c>
      <c r="AB73" s="12">
        <v>44</v>
      </c>
      <c r="AC73" s="701" t="str">
        <f t="shared" si="7"/>
        <v>○</v>
      </c>
      <c r="AD73" s="702" t="str">
        <f t="shared" si="8"/>
        <v>整備しない場合は入力不要です。</v>
      </c>
    </row>
    <row r="74" spans="1:30">
      <c r="A74" s="12">
        <v>45</v>
      </c>
      <c r="B74" s="6"/>
      <c r="C74" s="6"/>
      <c r="D74" s="6"/>
      <c r="E74" s="10"/>
      <c r="F74" s="7"/>
      <c r="G74" s="541"/>
      <c r="H74" s="15">
        <f t="shared" si="0"/>
        <v>0</v>
      </c>
      <c r="I74" s="4">
        <f t="shared" si="1"/>
        <v>0</v>
      </c>
      <c r="J74" s="9"/>
      <c r="K74" s="609"/>
      <c r="L74" s="609"/>
      <c r="M74" s="609"/>
      <c r="N74" s="4">
        <f t="shared" si="2"/>
        <v>0</v>
      </c>
      <c r="O74" s="5" t="str">
        <f>IF(AC74="◎",COUNTIF($AC$30:AC74,"◎"),"")</f>
        <v/>
      </c>
      <c r="Q74" s="610" t="str">
        <f t="shared" si="3"/>
        <v/>
      </c>
      <c r="R74" s="701" t="str">
        <f t="shared" si="4"/>
        <v/>
      </c>
      <c r="S74" s="701" t="str">
        <f t="shared" si="5"/>
        <v/>
      </c>
      <c r="T74" s="701" t="str">
        <f t="shared" si="6"/>
        <v/>
      </c>
      <c r="Z74" s="702" t="str">
        <f>IF(B74="個別病床",はじめに入力してください!$K$50,IF(B74="共通使用",はじめに入力してください!$K$52,""))</f>
        <v/>
      </c>
      <c r="AB74" s="12">
        <v>45</v>
      </c>
      <c r="AC74" s="701" t="str">
        <f t="shared" si="7"/>
        <v>○</v>
      </c>
      <c r="AD74" s="702" t="str">
        <f t="shared" si="8"/>
        <v>整備しない場合は入力不要です。</v>
      </c>
    </row>
  </sheetData>
  <sheetProtection algorithmName="SHA-512" hashValue="JOhydweldcDxs0b93nq3k6l6w/ie23RXEFnf3jc7a2eMaKZZgmIOiUIfp+Izv+vhQ1nN3fpCHTvNovsoFg1YbA==" saltValue="Rs69LW6STUNoj3b7TSnDuQ==" spinCount="100000" sheet="1" objects="1" scenarios="1"/>
  <mergeCells count="25">
    <mergeCell ref="N1:P1"/>
    <mergeCell ref="B22:O22"/>
    <mergeCell ref="B2:D3"/>
    <mergeCell ref="AC3:AC5"/>
    <mergeCell ref="AD3:AD5"/>
    <mergeCell ref="AC7:AC8"/>
    <mergeCell ref="AD7:AD8"/>
    <mergeCell ref="B10:O10"/>
    <mergeCell ref="B13:O13"/>
    <mergeCell ref="B14:O14"/>
    <mergeCell ref="B15:O15"/>
    <mergeCell ref="B18:O21"/>
    <mergeCell ref="B7:O7"/>
    <mergeCell ref="B9:C9"/>
    <mergeCell ref="B12:O12"/>
    <mergeCell ref="B26:O26"/>
    <mergeCell ref="AC27:AC28"/>
    <mergeCell ref="AD27:AD28"/>
    <mergeCell ref="B28:D28"/>
    <mergeCell ref="E28:F28"/>
    <mergeCell ref="G28:J28"/>
    <mergeCell ref="N28:N29"/>
    <mergeCell ref="O28:O29"/>
    <mergeCell ref="K28:M28"/>
    <mergeCell ref="Q28:Q29"/>
  </mergeCells>
  <phoneticPr fontId="9"/>
  <conditionalFormatting sqref="AC29 AC1:AC2 AC11:AC21 AC6 AC23:AC27 AC75:AC1048576">
    <cfRule type="containsText" dxfId="74" priority="11" operator="containsText" text="×">
      <formula>NOT(ISERROR(SEARCH("×",AC1)))</formula>
    </cfRule>
  </conditionalFormatting>
  <conditionalFormatting sqref="AD1:AD2 AD11:AD21 AD29 AD6 AD23:AD27 AD75:AD1048576">
    <cfRule type="containsText" dxfId="73" priority="10" operator="containsText" text="要修正">
      <formula>NOT(ISERROR(SEARCH("要修正",AD1)))</formula>
    </cfRule>
  </conditionalFormatting>
  <conditionalFormatting sqref="AC22">
    <cfRule type="containsText" dxfId="72" priority="9" operator="containsText" text="×">
      <formula>NOT(ISERROR(SEARCH("×",AC22)))</formula>
    </cfRule>
  </conditionalFormatting>
  <conditionalFormatting sqref="AD22">
    <cfRule type="containsText" dxfId="71" priority="8" operator="containsText" text="要修正">
      <formula>NOT(ISERROR(SEARCH("要修正",AD22)))</formula>
    </cfRule>
  </conditionalFormatting>
  <conditionalFormatting sqref="AC9:AC10 AC7">
    <cfRule type="containsText" dxfId="70" priority="7" operator="containsText" text="×">
      <formula>NOT(ISERROR(SEARCH("×",AC7)))</formula>
    </cfRule>
  </conditionalFormatting>
  <conditionalFormatting sqref="AD9:AD10 AD7">
    <cfRule type="containsText" dxfId="69" priority="6" operator="containsText" text="要修正">
      <formula>NOT(ISERROR(SEARCH("要修正",AD7)))</formula>
    </cfRule>
  </conditionalFormatting>
  <conditionalFormatting sqref="AC3:AC4">
    <cfRule type="containsText" dxfId="68" priority="5" operator="containsText" text="×">
      <formula>NOT(ISERROR(SEARCH("×",AC3)))</formula>
    </cfRule>
  </conditionalFormatting>
  <conditionalFormatting sqref="AD3:AD4">
    <cfRule type="containsText" dxfId="67" priority="4" operator="containsText" text="要修正">
      <formula>NOT(ISERROR(SEARCH("要修正",AD3)))</formula>
    </cfRule>
  </conditionalFormatting>
  <conditionalFormatting sqref="AD30:AD74">
    <cfRule type="containsText" dxfId="66" priority="2" operator="containsText" text="要修正">
      <formula>NOT(ISERROR(SEARCH("要修正",AD30)))</formula>
    </cfRule>
  </conditionalFormatting>
  <conditionalFormatting sqref="AC30:AC74">
    <cfRule type="containsText" dxfId="65" priority="1" operator="containsText" text="×">
      <formula>NOT(ISERROR(SEARCH("×",AC30)))</formula>
    </cfRule>
  </conditionalFormatting>
  <dataValidations count="10">
    <dataValidation type="list" allowBlank="1" showInputMessage="1" showErrorMessage="1" promptTitle="補助対象の該当非該当" prompt="コロナ対応病床の初度設備に係る経費が対象となります。_x000a_共用部分の設備、備品や医療用消耗品等は補助対象外なので「対象外」を選択してください。_x000a_審査において確認、対象外と認めたものについては対象外として補正をお願いする場合があります。" sqref="J30:J74" xr:uid="{9438F237-B215-49C0-B580-6DF83CA7231B}">
      <formula1>"補助対象,補助対象外"</formula1>
    </dataValidation>
    <dataValidation allowBlank="1" showInputMessage="1" showErrorMessage="1" promptTitle="金額の表示" prompt="数式が入力されているため、自動計算されます。" sqref="N30:N74 I30:I74" xr:uid="{4604AD50-36F1-4AC9-A89B-E2C23E858204}"/>
    <dataValidation allowBlank="1" showInputMessage="1" showErrorMessage="1" promptTitle="添付書類番号" prompt="種類、規格、数量、単価が全て適切に入力され、右の「判定」が「◎」と表示されると自動で番号が表示されます。" sqref="O30:O74" xr:uid="{9DF1A70C-7F2A-4660-9C7D-E43E50F6F511}"/>
    <dataValidation allowBlank="1" showInputMessage="1" showErrorMessage="1" promptTitle="単価の入力" prompt="税抜額または税込額のいずれかを入力してください。_x000a_入力しない方は「0」は入力せず、空欄としてください。" sqref="H30:H74" xr:uid="{BD4B888E-DC22-4F70-A6D0-0A8ECDC373CD}"/>
    <dataValidation allowBlank="1" showInputMessage="1" showErrorMessage="1" promptTitle="規格及び数量の入力" prompt="補助対象経費を計上する際、いずれも入力してください。" sqref="E30:E74" xr:uid="{ABEC66AA-5168-4F7E-ACF6-B22E91B84D2B}"/>
    <dataValidation allowBlank="1" showInputMessage="1" showErrorMessage="1" promptTitle="補助対象金額" prompt="補助対象額×（見積書金額-割引額）/見積書金額_x000a_で算出されます。" sqref="J3:M3" xr:uid="{00000000-0002-0000-1400-000005000000}"/>
    <dataValidation allowBlank="1" showInputMessage="1" showErrorMessage="1" promptTitle="割引額がある場合は入力" prompt="割引がない場合は「0円」のままとしてください。" sqref="I3" xr:uid="{00000000-0002-0000-1400-000006000000}"/>
    <dataValidation type="list" allowBlank="1" showInputMessage="1" showErrorMessage="1" promptTitle="設備、備品、その他の別を選択" prompt="当該行に記載する品目が_x000a_・「設備」（設備本体）_x000a_・備品（本体設備と別の構成をなすもの）_x000a_・その他（上記の該当しないもの）_x000a_の別をプルダウンから選択してください。" sqref="D30:D74" xr:uid="{CA4A1DF4-D8D7-4B65-9852-BCD8B5B72389}">
      <formula1>"設備,備品,その他"</formula1>
    </dataValidation>
    <dataValidation type="decimal" operator="greaterThanOrEqual" allowBlank="1" showInputMessage="1" showErrorMessage="1" promptTitle="単価の入力" prompt="税抜額または税込額のいずれかを入力してください。_x000a_入力しない方は「0」は入力せず、空欄としてください。" sqref="G30:G74" xr:uid="{8E74D0DD-C395-4E07-B6D6-A37E7B08AAB5}">
      <formula1>0</formula1>
    </dataValidation>
    <dataValidation type="whole" operator="greaterThanOrEqual" allowBlank="1" showInputMessage="1" showErrorMessage="1" errorTitle="数値のみを入力してください。" error="「個」、「枚」等の単位入力は不要です。" promptTitle="規格及び数量の入力" prompt="補助対象経費を計上する際、いずれも入力してください。" sqref="F30:F74" xr:uid="{7212437A-9B04-48B8-9639-57FF4F8317BD}">
      <formula1>0</formula1>
    </dataValidation>
  </dataValidations>
  <pageMargins left="0.7" right="0.7" top="0.75" bottom="0.75" header="0.3" footer="0.3"/>
  <pageSetup paperSize="9" scale="43" orientation="portrait" r:id="rId1"/>
  <drawing r:id="rId2"/>
  <legacyDrawing r:id="rId3"/>
  <extLst>
    <ext xmlns:x14="http://schemas.microsoft.com/office/spreadsheetml/2009/9/main" uri="{CCE6A557-97BC-4b89-ADB6-D9C93CAAB3DF}">
      <x14:dataValidations xmlns:xm="http://schemas.microsoft.com/office/excel/2006/main" count="6">
        <x14:dataValidation type="list" allowBlank="1" showInputMessage="1" showErrorMessage="1" promptTitle="配備先の別を選択" prompt="確保病床の共通使用のものか、個別のベッドに配備するものか選択してください。" xr:uid="{BBCECE04-5933-406A-86BE-E93F6BE047AE}">
          <x14:formula1>
            <xm:f>テーブル!$X$48:$X$49</xm:f>
          </x14:formula1>
          <xm:sqref>B30:B74</xm:sqref>
        </x14:dataValidation>
        <x14:dataValidation type="list" allowBlank="1" showInputMessage="1" showErrorMessage="1" promptTitle="「用途先」病床の選択（左の「病床」を選択しないと表示されません。" prompt="ベッドに必ずしも紐付けるものではありませんが、１病床１台で紐付けした場合、整備する病床に番号付けをした場合の番号を選択してください。" xr:uid="{AA0A6E70-8D9E-4CFE-8E1B-2E050266A796}">
          <x14:formula1>
            <xm:f>OFFSET(テーブル!$X$48, 0, MATCH(B30,テーブル!$Y$47:$Z$47,0), COUNTA(OFFSET(テーブル!$X$48,0,MATCH(B30,テーブル!$Y$47:$Z$47,0),$Z$30,1)),1)</xm:f>
          </x14:formula1>
          <xm:sqref>C30:C74</xm:sqref>
        </x14:dataValidation>
        <x14:dataValidation type="list" allowBlank="1" showInputMessage="1" showErrorMessage="1" xr:uid="{00000000-0002-0000-1400-000008000000}">
          <x14:formula1>
            <xm:f>テーブル!$M$37:$M$51</xm:f>
          </x14:formula1>
          <xm:sqref>B2:D2</xm:sqref>
        </x14:dataValidation>
        <x14:dataValidation type="list" allowBlank="1" showInputMessage="1" showErrorMessage="1" xr:uid="{A9B4CEA6-02E7-4F20-B8EB-40D69C3AF43E}">
          <x14:formula1>
            <xm:f>テーブル!$I$2:$I$3</xm:f>
          </x14:formula1>
          <xm:sqref>K30:K74</xm:sqref>
        </x14:dataValidation>
        <x14:dataValidation type="list" allowBlank="1" showInputMessage="1" showErrorMessage="1" xr:uid="{5E799555-1AFE-4847-836D-6CCC15BCA42E}">
          <x14:formula1>
            <xm:f>テーブル!$J$2:$J$7</xm:f>
          </x14:formula1>
          <xm:sqref>L30:L74</xm:sqref>
        </x14:dataValidation>
        <x14:dataValidation type="list" allowBlank="1" showInputMessage="1" showErrorMessage="1" xr:uid="{E6C70193-99BF-46A7-B3D4-FB3574504D98}">
          <x14:formula1>
            <xm:f>テーブル!$K$2:$K$32</xm:f>
          </x14:formula1>
          <xm:sqref>M30:M74</xm:sqref>
        </x14:dataValidation>
      </x14:dataValidations>
    </ext>
  </extLs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1">
    <tabColor rgb="FFFFC000"/>
    <pageSetUpPr fitToPage="1"/>
  </sheetPr>
  <dimension ref="A1:AI74"/>
  <sheetViews>
    <sheetView showGridLines="0" view="pageBreakPreview" zoomScale="60" zoomScaleNormal="100" workbookViewId="0">
      <selection activeCell="N2" sqref="N2"/>
    </sheetView>
  </sheetViews>
  <sheetFormatPr defaultColWidth="8.625" defaultRowHeight="18"/>
  <cols>
    <col min="1" max="1" width="3.625" style="12" customWidth="1"/>
    <col min="2" max="4" width="8.625" style="19"/>
    <col min="5" max="5" width="30.625" style="19" customWidth="1"/>
    <col min="6" max="6" width="8.625" style="19"/>
    <col min="7" max="10" width="12.625" style="19" customWidth="1"/>
    <col min="11" max="13" width="3.625" style="19" customWidth="1"/>
    <col min="14" max="14" width="12.625" style="19" customWidth="1"/>
    <col min="15" max="15" width="8.625" style="19"/>
    <col min="16" max="16" width="3.625" style="19" customWidth="1"/>
    <col min="17" max="17" width="12.625" style="19" customWidth="1"/>
    <col min="18" max="20" width="3.625" style="19" customWidth="1"/>
    <col min="21" max="26" width="8.625" style="19"/>
    <col min="27" max="27" width="8.625" style="19" customWidth="1"/>
    <col min="28" max="28" width="3.625" style="12" customWidth="1"/>
    <col min="29" max="29" width="8.625" style="19"/>
    <col min="30" max="30" width="40.625" style="19" customWidth="1"/>
    <col min="31" max="31" width="3.625" style="19" customWidth="1"/>
    <col min="32" max="35" width="8.625" style="19"/>
    <col min="36" max="36" width="30.625" style="19" customWidth="1"/>
    <col min="37" max="16384" width="8.625" style="19"/>
  </cols>
  <sheetData>
    <row r="1" spans="1:35" ht="20.100000000000001" customHeight="1">
      <c r="N1" s="1829" t="str">
        <f xml:space="preserve">
IF(表紙!$X$2="事前協議","（10月１日～３月31日分）",
IF(表紙!$X$2="交付申請（２次）","（10月１日～３月31日分）",
IF(表紙!$X$2="変更申請","（10月１日～３月31日分）",
IF(表紙!$X$2="実績報告（１次）","（５月８日～10月31日分）",
IF(表紙!$X$2="実績報告（２次）","（10月１日～３月31日分）",
IF(表紙!$X$2="交付申請兼実績報告","（10月１日～３月31日分）"))))))</f>
        <v>（10月１日～３月31日分）</v>
      </c>
      <c r="O1" s="1364"/>
      <c r="P1" s="1364"/>
    </row>
    <row r="2" spans="1:35" ht="20.100000000000001" customHeight="1">
      <c r="B2" s="1817" t="s">
        <v>429</v>
      </c>
      <c r="C2" s="1818"/>
      <c r="D2" s="1819"/>
      <c r="H2" s="5" t="s">
        <v>538</v>
      </c>
      <c r="I2" s="701" t="s">
        <v>539</v>
      </c>
      <c r="J2" s="5" t="s">
        <v>44</v>
      </c>
      <c r="K2" s="600"/>
      <c r="L2" s="600"/>
      <c r="M2" s="600"/>
      <c r="AC2" s="701" t="s">
        <v>419</v>
      </c>
      <c r="AD2" s="701" t="s">
        <v>417</v>
      </c>
      <c r="AF2" s="701" t="str">
        <f>AC9</f>
        <v>×</v>
      </c>
      <c r="AG2" s="701" t="str">
        <f>AC15</f>
        <v>○</v>
      </c>
      <c r="AH2" s="701" t="str">
        <f>AC22</f>
        <v>○</v>
      </c>
      <c r="AI2" s="701" t="str">
        <f>AC26</f>
        <v>○</v>
      </c>
    </row>
    <row r="3" spans="1:35" ht="20.100000000000001" customHeight="1">
      <c r="B3" s="1820"/>
      <c r="C3" s="1821"/>
      <c r="D3" s="1822"/>
      <c r="H3" s="358">
        <f>SUM(I30:I74)</f>
        <v>0</v>
      </c>
      <c r="I3" s="8"/>
      <c r="J3" s="358">
        <f>IFERROR(ROUNDUP(SUM(N30:N74)*((H3-I3)/H3),0),0)</f>
        <v>0</v>
      </c>
      <c r="K3" s="601"/>
      <c r="L3" s="601"/>
      <c r="M3" s="601"/>
      <c r="AC3" s="863" t="str">
        <f xml:space="preserve">
IF(COUNTIF(AG2:AI2,"○")=3,"○",
IF(COUNTIF(AG2:AI2,"◎")=3,"◎","×"
))</f>
        <v>○</v>
      </c>
      <c r="AD3" s="1812" t="str">
        <f xml:space="preserve">
IF(AC3="○","整備しない場合は入力不要です。",
IF(AC3="×","【要修正】入力が不十分な箇所があります。",
IF(AC3="◎","適切に入力がされました。")))</f>
        <v>整備しない場合は入力不要です。</v>
      </c>
    </row>
    <row r="4" spans="1:35" ht="9.9499999999999993" customHeight="1">
      <c r="AC4" s="863"/>
      <c r="AD4" s="1812"/>
    </row>
    <row r="5" spans="1:35" ht="20.100000000000001" customHeight="1">
      <c r="B5" s="705" t="s">
        <v>55</v>
      </c>
      <c r="C5" s="705"/>
      <c r="D5" s="705"/>
      <c r="E5" s="705"/>
      <c r="F5" s="705"/>
      <c r="G5" s="705"/>
      <c r="H5" s="705"/>
      <c r="I5" s="705"/>
      <c r="J5" s="705"/>
      <c r="K5" s="705"/>
      <c r="L5" s="705"/>
      <c r="M5" s="705"/>
      <c r="N5" s="705"/>
      <c r="O5" s="705"/>
      <c r="AC5" s="908"/>
      <c r="AD5" s="843"/>
    </row>
    <row r="6" spans="1:35" ht="9.9499999999999993" customHeight="1"/>
    <row r="7" spans="1:35" ht="20.100000000000001" customHeight="1">
      <c r="B7" s="1833" t="str">
        <f xml:space="preserve">
IF(OR(表紙!X2="事前協議",表紙!X2="交付申請"),"（１）整備を行う対象の新規で指定を受けた確保病床数あるいは、確保病床を有しない場合は整備を行う病床の数",
IF(表紙!X2="交付申請兼実績報告","（１）整備を行う対象の新規で指定を受けた確保病床数"))</f>
        <v>（１）整備を行う対象の新規で指定を受けた確保病床数あるいは、確保病床を有しない場合は整備を行う病床の数</v>
      </c>
      <c r="C7" s="932"/>
      <c r="D7" s="932"/>
      <c r="E7" s="932"/>
      <c r="F7" s="932"/>
      <c r="G7" s="932"/>
      <c r="H7" s="932"/>
      <c r="I7" s="932"/>
      <c r="J7" s="932"/>
      <c r="K7" s="932"/>
      <c r="L7" s="932"/>
      <c r="M7" s="932"/>
      <c r="N7" s="932"/>
      <c r="O7" s="932"/>
      <c r="AC7" s="1808" t="s">
        <v>415</v>
      </c>
      <c r="AD7" s="1808" t="s">
        <v>417</v>
      </c>
    </row>
    <row r="8" spans="1:35" ht="9.9499999999999993" customHeight="1">
      <c r="AC8" s="1809"/>
      <c r="AD8" s="1809"/>
    </row>
    <row r="9" spans="1:35" ht="35.1" customHeight="1">
      <c r="B9" s="1834" t="s">
        <v>56</v>
      </c>
      <c r="C9" s="1835"/>
      <c r="D9" s="205" t="str">
        <f>IF(はじめに入力してください!K50="","",はじめに入力してください!K50)</f>
        <v/>
      </c>
      <c r="E9" s="359"/>
      <c r="F9" s="360"/>
      <c r="G9" s="360"/>
      <c r="H9" s="360"/>
      <c r="I9" s="360"/>
      <c r="J9" s="361"/>
      <c r="K9" s="361"/>
      <c r="L9" s="361"/>
      <c r="M9" s="361"/>
      <c r="N9" s="361"/>
      <c r="O9" s="361"/>
      <c r="AC9" s="701" t="str">
        <f xml:space="preserve">
IF(D9="","×",
IF(D9=0,"○",
IF(D9&gt;=1,"◎",
)))</f>
        <v>×</v>
      </c>
      <c r="AD9" s="702" t="str">
        <f xml:space="preserve">
IF(D9="","【要修正】「はじめに入力してください」シートに整備を行う病床の数を入力してください。",
IF(D9=0,"申請しない場合は以下入力不要です。",
IF(D9&gt;=1,"適切に入力されました。",
)))</f>
        <v>【要修正】「はじめに入力してください」シートに整備を行う病床の数を入力してください。</v>
      </c>
    </row>
    <row r="10" spans="1:35" ht="20.100000000000001" customHeight="1">
      <c r="B10" s="1830"/>
      <c r="C10" s="1831"/>
      <c r="D10" s="1832"/>
      <c r="E10" s="1832"/>
      <c r="F10" s="1832"/>
      <c r="G10" s="1832"/>
      <c r="H10" s="1832"/>
      <c r="I10" s="1832"/>
      <c r="J10" s="1832"/>
      <c r="K10" s="1832"/>
      <c r="L10" s="1832"/>
      <c r="M10" s="1832"/>
      <c r="N10" s="1832"/>
      <c r="O10" s="1832"/>
    </row>
    <row r="11" spans="1:35" ht="20.100000000000001" hidden="1" customHeight="1"/>
    <row r="12" spans="1:35" ht="20.100000000000001" customHeight="1">
      <c r="B12" s="1833" t="str">
        <f>初度設備!B12</f>
        <v>（２）この度、新たに整備を行う必要が生じた理由（フロア毎の対応から病室毎の対応への移行の計画内容）を詳しく記入してください。</v>
      </c>
      <c r="C12" s="932"/>
      <c r="D12" s="932"/>
      <c r="E12" s="932"/>
      <c r="F12" s="932"/>
      <c r="G12" s="932"/>
      <c r="H12" s="932"/>
      <c r="I12" s="932"/>
      <c r="J12" s="932"/>
      <c r="K12" s="932"/>
      <c r="L12" s="932"/>
      <c r="M12" s="932"/>
      <c r="N12" s="932"/>
      <c r="O12" s="932"/>
    </row>
    <row r="13" spans="1:35" ht="39.950000000000003" customHeight="1">
      <c r="B13" s="1813" t="s">
        <v>540</v>
      </c>
      <c r="C13" s="931"/>
      <c r="D13" s="931"/>
      <c r="E13" s="931"/>
      <c r="F13" s="931"/>
      <c r="G13" s="931"/>
      <c r="H13" s="931"/>
      <c r="I13" s="931"/>
      <c r="J13" s="931"/>
      <c r="K13" s="931"/>
      <c r="L13" s="931"/>
      <c r="M13" s="931"/>
      <c r="N13" s="931"/>
      <c r="O13" s="931"/>
    </row>
    <row r="14" spans="1:35" s="703" customFormat="1" ht="80.099999999999994" customHeight="1">
      <c r="A14" s="13"/>
      <c r="B14" s="1813" t="str">
        <f>VLOOKUP(B2,テーブル!M37:N51,2,FALSE)</f>
        <v>（例）当院は確保病床数が○○床と多いこと、入院患者の多くがコロナ罹患以前より移動の際の身体介助あるいは体位変換を必要とする高齢者であり、
　　　入院支援を行う医療スタッフへの負担の状態化が問題となっていた。
　　　上記対応に加えて、飛沫や吐瀉物の消毒作業が大きな負担となっており、これを軽減する上で装置の配備が有効であると判断したことから、
　　　本補助金を活用し消毒用照射装置を新たに○台整備することとしたい。</v>
      </c>
      <c r="C14" s="1645"/>
      <c r="D14" s="1645"/>
      <c r="E14" s="1645"/>
      <c r="F14" s="1645"/>
      <c r="G14" s="1645"/>
      <c r="H14" s="1645"/>
      <c r="I14" s="1645"/>
      <c r="J14" s="1645"/>
      <c r="K14" s="1645"/>
      <c r="L14" s="1645"/>
      <c r="M14" s="1645"/>
      <c r="N14" s="1645"/>
      <c r="O14" s="1645"/>
      <c r="AB14" s="13"/>
      <c r="AC14" s="558" t="s">
        <v>415</v>
      </c>
      <c r="AD14" s="558" t="s">
        <v>416</v>
      </c>
    </row>
    <row r="15" spans="1:35" ht="120" customHeight="1">
      <c r="B15" s="1814"/>
      <c r="C15" s="1815"/>
      <c r="D15" s="1815"/>
      <c r="E15" s="1815"/>
      <c r="F15" s="1815"/>
      <c r="G15" s="1815"/>
      <c r="H15" s="1815"/>
      <c r="I15" s="1815"/>
      <c r="J15" s="1815"/>
      <c r="K15" s="1815"/>
      <c r="L15" s="1815"/>
      <c r="M15" s="1815"/>
      <c r="N15" s="1815"/>
      <c r="O15" s="1816"/>
      <c r="AC15" s="701" t="str">
        <f xml:space="preserve">
IF(COUNTA(B15)=0,"○",
IF(COUNTA(B15)=1,"◎"))</f>
        <v>○</v>
      </c>
      <c r="AD15" s="702" t="str">
        <f xml:space="preserve">
IF(COUNTA(B15)=0,"整備しない場合は入力不要です。",
IF(COUNTA(B15)=1,"入力された状態になりました。"))</f>
        <v>整備しない場合は入力不要です。</v>
      </c>
    </row>
    <row r="16" spans="1:35" ht="20.100000000000001" customHeight="1"/>
    <row r="17" spans="1:30" ht="20.100000000000001" customHeight="1">
      <c r="B17" s="705" t="s">
        <v>454</v>
      </c>
      <c r="C17" s="705"/>
      <c r="D17" s="705"/>
      <c r="E17" s="705"/>
      <c r="F17" s="705"/>
      <c r="G17" s="705"/>
      <c r="H17" s="705"/>
      <c r="I17" s="705"/>
      <c r="J17" s="705"/>
      <c r="K17" s="705"/>
      <c r="L17" s="705"/>
      <c r="M17" s="705"/>
      <c r="N17" s="705"/>
      <c r="O17" s="705"/>
    </row>
    <row r="18" spans="1:30" ht="20.100000000000001" customHeight="1">
      <c r="B18" s="1813" t="s">
        <v>482</v>
      </c>
      <c r="C18" s="931"/>
      <c r="D18" s="931"/>
      <c r="E18" s="931"/>
      <c r="F18" s="931"/>
      <c r="G18" s="931"/>
      <c r="H18" s="931"/>
      <c r="I18" s="931"/>
      <c r="J18" s="931"/>
      <c r="K18" s="931"/>
      <c r="L18" s="931"/>
      <c r="M18" s="931"/>
      <c r="N18" s="931"/>
      <c r="O18" s="931"/>
    </row>
    <row r="19" spans="1:30" ht="20.100000000000001" customHeight="1">
      <c r="B19" s="1813"/>
      <c r="C19" s="931"/>
      <c r="D19" s="931"/>
      <c r="E19" s="931"/>
      <c r="F19" s="931"/>
      <c r="G19" s="931"/>
      <c r="H19" s="931"/>
      <c r="I19" s="931"/>
      <c r="J19" s="931"/>
      <c r="K19" s="931"/>
      <c r="L19" s="931"/>
      <c r="M19" s="931"/>
      <c r="N19" s="931"/>
      <c r="O19" s="931"/>
    </row>
    <row r="20" spans="1:30" ht="20.100000000000001" customHeight="1">
      <c r="B20" s="1813"/>
      <c r="C20" s="931"/>
      <c r="D20" s="931"/>
      <c r="E20" s="931"/>
      <c r="F20" s="931"/>
      <c r="G20" s="931"/>
      <c r="H20" s="931"/>
      <c r="I20" s="931"/>
      <c r="J20" s="931"/>
      <c r="K20" s="931"/>
      <c r="L20" s="931"/>
      <c r="M20" s="931"/>
      <c r="N20" s="931"/>
      <c r="O20" s="931"/>
    </row>
    <row r="21" spans="1:30" ht="20.100000000000001" customHeight="1">
      <c r="B21" s="931"/>
      <c r="C21" s="931"/>
      <c r="D21" s="931"/>
      <c r="E21" s="931"/>
      <c r="F21" s="931"/>
      <c r="G21" s="931"/>
      <c r="H21" s="931"/>
      <c r="I21" s="931"/>
      <c r="J21" s="931"/>
      <c r="K21" s="931"/>
      <c r="L21" s="931"/>
      <c r="M21" s="931"/>
      <c r="N21" s="931"/>
      <c r="O21" s="931"/>
    </row>
    <row r="22" spans="1:30" ht="120" customHeight="1">
      <c r="B22" s="1814"/>
      <c r="C22" s="1815"/>
      <c r="D22" s="1815"/>
      <c r="E22" s="1815"/>
      <c r="F22" s="1815"/>
      <c r="G22" s="1815"/>
      <c r="H22" s="1815"/>
      <c r="I22" s="1815"/>
      <c r="J22" s="1815"/>
      <c r="K22" s="1815"/>
      <c r="L22" s="1815"/>
      <c r="M22" s="1815"/>
      <c r="N22" s="1815"/>
      <c r="O22" s="1816"/>
      <c r="AC22" s="701" t="str">
        <f xml:space="preserve">
IF(COUNTA(B22)=0,"○",
IF(COUNTA(B22)=1,"◎"))</f>
        <v>○</v>
      </c>
      <c r="AD22" s="702" t="str">
        <f xml:space="preserve">
IF(COUNTA(B22)=0,"整備しない場合は入力不要です。",
IF(COUNTA(B22)=1,"入力された状態になりました。"))</f>
        <v>整備しない場合は入力不要です。</v>
      </c>
    </row>
    <row r="23" spans="1:30" ht="20.100000000000001" customHeight="1"/>
    <row r="24" spans="1:30" ht="20.100000000000001" customHeight="1">
      <c r="B24" s="705" t="s">
        <v>453</v>
      </c>
      <c r="C24" s="705"/>
      <c r="D24" s="705"/>
      <c r="E24" s="705"/>
      <c r="F24" s="705"/>
      <c r="G24" s="705"/>
      <c r="H24" s="705"/>
      <c r="I24" s="705"/>
      <c r="J24" s="705"/>
      <c r="K24" s="705"/>
      <c r="L24" s="705"/>
      <c r="M24" s="705"/>
      <c r="N24" s="705"/>
      <c r="O24" s="705"/>
      <c r="AC24" s="14"/>
    </row>
    <row r="25" spans="1:30" ht="9.9499999999999993" customHeight="1"/>
    <row r="26" spans="1:30" ht="60" customHeight="1">
      <c r="B26" s="1813" t="s">
        <v>561</v>
      </c>
      <c r="C26" s="932"/>
      <c r="D26" s="932"/>
      <c r="E26" s="932"/>
      <c r="F26" s="932"/>
      <c r="G26" s="932"/>
      <c r="H26" s="932"/>
      <c r="I26" s="932"/>
      <c r="J26" s="932"/>
      <c r="K26" s="932"/>
      <c r="L26" s="932"/>
      <c r="M26" s="932"/>
      <c r="N26" s="932"/>
      <c r="O26" s="932"/>
      <c r="AC26" s="701" t="str">
        <f xml:space="preserve">
IF(COUNTIF(AC30:AC74,"○")=45,"○",
IF(COUNTIF(AC30:AC74,"×")&gt;=1,"×",
IF(AND(COUNTIF(AC30:AC74,"◎")&gt;=1,COUNTIF(AC30:AC74,"×")=0),"◎")))</f>
        <v>○</v>
      </c>
      <c r="AD26" s="702" t="str">
        <f xml:space="preserve">
IF(COUNTIF(AC30:AC74,"○")=45,"整備しない場合は入力不要です。",
IF(COUNTIF(AC30:AC74,"×")&gt;=1,"【要修正】入力が不十分な箇所があります。",
IF(AND(COUNTIF(AC30:AC74,"◎")&gt;=1,COUNTIF(AC30:AC74,"×")=0),"適切に入力がされました。")))</f>
        <v>整備しない場合は入力不要です。</v>
      </c>
    </row>
    <row r="27" spans="1:30" ht="9.9499999999999993" customHeight="1">
      <c r="AC27" s="1807" t="s">
        <v>418</v>
      </c>
      <c r="AD27" s="1810" t="s">
        <v>420</v>
      </c>
    </row>
    <row r="28" spans="1:30" ht="18.75">
      <c r="B28" s="1823" t="s">
        <v>41</v>
      </c>
      <c r="C28" s="1824"/>
      <c r="D28" s="1825"/>
      <c r="E28" s="1823" t="s">
        <v>42</v>
      </c>
      <c r="F28" s="1825"/>
      <c r="G28" s="1823" t="s">
        <v>43</v>
      </c>
      <c r="H28" s="1824"/>
      <c r="I28" s="1824"/>
      <c r="J28" s="1825"/>
      <c r="K28" s="1828" t="str">
        <f xml:space="preserve">
IF(表紙!$X$2="事前協議","納品予定日",
IF(表紙!$X$2="交付申請（２次）","納品予定日",
IF(表紙!$X$2="変更申請","納品予定日",
IF(表紙!$X$2="実績報告（１次）","納品日",
IF(表紙!$X$2="実績報告（２次）","納品日",
IF(表紙!$X$2="交付申請兼実績報告","納品日"))))))</f>
        <v>納品予定日</v>
      </c>
      <c r="L28" s="1369"/>
      <c r="M28" s="1369"/>
      <c r="N28" s="1826" t="s">
        <v>44</v>
      </c>
      <c r="O28" s="1826" t="s">
        <v>45</v>
      </c>
      <c r="Q28" s="1805" t="str">
        <f>K28</f>
        <v>納品予定日</v>
      </c>
      <c r="R28" s="603"/>
      <c r="S28" s="603"/>
      <c r="T28" s="602"/>
      <c r="AC28" s="1084"/>
      <c r="AD28" s="1811"/>
    </row>
    <row r="29" spans="1:30">
      <c r="B29" s="704" t="s">
        <v>46</v>
      </c>
      <c r="C29" s="704" t="s">
        <v>47</v>
      </c>
      <c r="D29" s="704" t="s">
        <v>48</v>
      </c>
      <c r="E29" s="704" t="s">
        <v>54</v>
      </c>
      <c r="F29" s="704" t="s">
        <v>49</v>
      </c>
      <c r="G29" s="704" t="s">
        <v>50</v>
      </c>
      <c r="H29" s="704" t="s">
        <v>51</v>
      </c>
      <c r="I29" s="704" t="s">
        <v>52</v>
      </c>
      <c r="J29" s="704" t="s">
        <v>53</v>
      </c>
      <c r="K29" s="704" t="s">
        <v>1387</v>
      </c>
      <c r="L29" s="704" t="s">
        <v>1388</v>
      </c>
      <c r="M29" s="704" t="s">
        <v>1389</v>
      </c>
      <c r="N29" s="1827"/>
      <c r="O29" s="1827"/>
      <c r="Q29" s="1806"/>
      <c r="R29" s="701" t="s">
        <v>1387</v>
      </c>
      <c r="S29" s="701" t="s">
        <v>1388</v>
      </c>
      <c r="T29" s="701" t="s">
        <v>1389</v>
      </c>
      <c r="AC29" s="701" t="s">
        <v>415</v>
      </c>
      <c r="AD29" s="701" t="s">
        <v>417</v>
      </c>
    </row>
    <row r="30" spans="1:30">
      <c r="A30" s="12">
        <v>1</v>
      </c>
      <c r="B30" s="6"/>
      <c r="C30" s="6"/>
      <c r="D30" s="6"/>
      <c r="E30" s="10"/>
      <c r="F30" s="7"/>
      <c r="G30" s="541"/>
      <c r="H30" s="15">
        <f>ROUNDDOWN(G30*1.1,0)</f>
        <v>0</v>
      </c>
      <c r="I30" s="4">
        <f>F30*H30</f>
        <v>0</v>
      </c>
      <c r="J30" s="9"/>
      <c r="K30" s="609"/>
      <c r="L30" s="609"/>
      <c r="M30" s="609"/>
      <c r="N30" s="4">
        <f>IF(J30="補助対象",I30,IF(J30="補助対象外",0,0))</f>
        <v>0</v>
      </c>
      <c r="O30" s="5" t="str">
        <f>IF(AC30="◎",COUNTIF($AC$30:AC30,"◎"),"")</f>
        <v/>
      </c>
      <c r="Q30" s="610" t="str">
        <f>IF(AND(AC30="◎",J30="補助対象"),DATE(IF(K30=5,2023,IF(K30=6,2024)),L30,M30),"")</f>
        <v/>
      </c>
      <c r="R30" s="701" t="str">
        <f>IF(Q30=MAX($Q$30:$Q$74),K30,"")</f>
        <v/>
      </c>
      <c r="S30" s="701" t="str">
        <f>IF(Q30=MAX($Q$30:$Q$74),L30,"")</f>
        <v/>
      </c>
      <c r="T30" s="701" t="str">
        <f>IF(Q30=MAX($Q$30:$Q$74),M30,"")</f>
        <v/>
      </c>
      <c r="Z30" s="702" t="str">
        <f>IF(B30="個別病床",はじめに入力してください!$K$50,IF(B30="共通使用",はじめに入力してください!$K$52,""))</f>
        <v/>
      </c>
      <c r="AB30" s="12">
        <v>1</v>
      </c>
      <c r="AC30" s="701" t="str">
        <f xml:space="preserve">
IF(SUM(COUNTA(B30:G30),COUNTA(J30:M30))=0,"○",
IF(AND(SUM(COUNTA(B30:G30),COUNTA(J30:M30))&gt;0,SUM(COUNTA(B30:G30),COUNTA(J30:M30))&lt;10),"×",
IF(SUM(COUNTA(B30:G30),COUNTA(J30:M30))=10,"◎")))</f>
        <v>○</v>
      </c>
      <c r="AD30" s="702" t="str">
        <f xml:space="preserve">
IF(SUM(COUNTA(B30:G30),COUNTA(J30))=0,"整備しない場合は入力不要です。",
IF(AND(SUM(COUNTA(B30:G30),COUNTA(J30))&gt;0,SUM(COUNTA(B30:G30),COUNTA(J30))&lt;7),"【要修正】未入力の箇所があります。",
IF(SUM(COUNTA(B30:G30),COUNTA(J30))=7,"適切に入力がされました。")))</f>
        <v>整備しない場合は入力不要です。</v>
      </c>
    </row>
    <row r="31" spans="1:30">
      <c r="A31" s="12">
        <v>2</v>
      </c>
      <c r="B31" s="6"/>
      <c r="C31" s="6"/>
      <c r="D31" s="6"/>
      <c r="E31" s="10"/>
      <c r="F31" s="7"/>
      <c r="G31" s="541"/>
      <c r="H31" s="15">
        <f t="shared" ref="H31:H74" si="0">ROUNDDOWN(G31*1.1,0)</f>
        <v>0</v>
      </c>
      <c r="I31" s="4">
        <f t="shared" ref="I31:I74" si="1">F31*H31</f>
        <v>0</v>
      </c>
      <c r="J31" s="9"/>
      <c r="K31" s="609"/>
      <c r="L31" s="609"/>
      <c r="M31" s="609"/>
      <c r="N31" s="4">
        <f t="shared" ref="N31:N74" si="2">IF(J31="補助対象",I31,IF(J31="補助対象外",0,0))</f>
        <v>0</v>
      </c>
      <c r="O31" s="5" t="str">
        <f>IF(AC31="◎",COUNTIF($AC$30:AC31,"◎"),"")</f>
        <v/>
      </c>
      <c r="Q31" s="610" t="str">
        <f t="shared" ref="Q31:Q74" si="3">IF(AND(AC31="◎",J31="補助対象"),DATE(IF(K31=5,2023,IF(K31=6,2024)),L31,M31),"")</f>
        <v/>
      </c>
      <c r="R31" s="701" t="str">
        <f t="shared" ref="R31:R74" si="4">IF(Q31=MAX($Q$30:$Q$74),K31,"")</f>
        <v/>
      </c>
      <c r="S31" s="701" t="str">
        <f t="shared" ref="S31:S74" si="5">IF(Q31=MAX($Q$30:$Q$74),L31,"")</f>
        <v/>
      </c>
      <c r="T31" s="701" t="str">
        <f t="shared" ref="T31:T74" si="6">IF(Q31=MAX($Q$30:$Q$74),M31,"")</f>
        <v/>
      </c>
      <c r="Z31" s="702" t="str">
        <f>IF(B31="個別病床",はじめに入力してください!$K$50,IF(B31="共通使用",はじめに入力してください!$K$52,""))</f>
        <v/>
      </c>
      <c r="AB31" s="12">
        <v>2</v>
      </c>
      <c r="AC31" s="701" t="str">
        <f t="shared" ref="AC31:AC74" si="7" xml:space="preserve">
IF(SUM(COUNTA(B31:G31),COUNTA(J31:M31))=0,"○",
IF(AND(SUM(COUNTA(B31:G31),COUNTA(J31:M31))&gt;0,SUM(COUNTA(B31:G31),COUNTA(J31:M31))&lt;10),"×",
IF(SUM(COUNTA(B31:G31),COUNTA(J31:M31))=10,"◎")))</f>
        <v>○</v>
      </c>
      <c r="AD31" s="702" t="str">
        <f t="shared" ref="AD31:AD74" si="8" xml:space="preserve">
IF(SUM(COUNTA(B31:G31),COUNTA(J31))=0,"整備しない場合は入力不要です。",
IF(AND(SUM(COUNTA(B31:G31),COUNTA(J31))&gt;0,SUM(COUNTA(B31:G31),COUNTA(J31))&lt;7),"【要修正】未入力の箇所があります。",
IF(SUM(COUNTA(B31:G31),COUNTA(J31))=7,"適切に入力がされました。")))</f>
        <v>整備しない場合は入力不要です。</v>
      </c>
    </row>
    <row r="32" spans="1:30">
      <c r="A32" s="12">
        <v>3</v>
      </c>
      <c r="B32" s="6"/>
      <c r="C32" s="6"/>
      <c r="D32" s="6"/>
      <c r="E32" s="10"/>
      <c r="F32" s="7"/>
      <c r="G32" s="541"/>
      <c r="H32" s="15">
        <f t="shared" si="0"/>
        <v>0</v>
      </c>
      <c r="I32" s="4">
        <f t="shared" si="1"/>
        <v>0</v>
      </c>
      <c r="J32" s="9"/>
      <c r="K32" s="609"/>
      <c r="L32" s="609"/>
      <c r="M32" s="609"/>
      <c r="N32" s="4">
        <f t="shared" si="2"/>
        <v>0</v>
      </c>
      <c r="O32" s="5" t="str">
        <f>IF(AC32="◎",COUNTIF($AC$30:AC32,"◎"),"")</f>
        <v/>
      </c>
      <c r="Q32" s="610" t="str">
        <f t="shared" si="3"/>
        <v/>
      </c>
      <c r="R32" s="701" t="str">
        <f t="shared" si="4"/>
        <v/>
      </c>
      <c r="S32" s="701" t="str">
        <f t="shared" si="5"/>
        <v/>
      </c>
      <c r="T32" s="701" t="str">
        <f t="shared" si="6"/>
        <v/>
      </c>
      <c r="Z32" s="702" t="str">
        <f>IF(B32="個別病床",はじめに入力してください!$K$50,IF(B32="共通使用",はじめに入力してください!$K$52,""))</f>
        <v/>
      </c>
      <c r="AB32" s="12">
        <v>3</v>
      </c>
      <c r="AC32" s="701" t="str">
        <f t="shared" si="7"/>
        <v>○</v>
      </c>
      <c r="AD32" s="702" t="str">
        <f t="shared" si="8"/>
        <v>整備しない場合は入力不要です。</v>
      </c>
    </row>
    <row r="33" spans="1:30">
      <c r="A33" s="12">
        <v>4</v>
      </c>
      <c r="B33" s="6"/>
      <c r="C33" s="6"/>
      <c r="D33" s="6"/>
      <c r="E33" s="10"/>
      <c r="F33" s="7"/>
      <c r="G33" s="541"/>
      <c r="H33" s="15">
        <f t="shared" si="0"/>
        <v>0</v>
      </c>
      <c r="I33" s="4">
        <f t="shared" si="1"/>
        <v>0</v>
      </c>
      <c r="J33" s="9"/>
      <c r="K33" s="609"/>
      <c r="L33" s="609"/>
      <c r="M33" s="609"/>
      <c r="N33" s="4">
        <f t="shared" si="2"/>
        <v>0</v>
      </c>
      <c r="O33" s="5" t="str">
        <f>IF(AC33="◎",COUNTIF($AC$30:AC33,"◎"),"")</f>
        <v/>
      </c>
      <c r="Q33" s="610" t="str">
        <f t="shared" si="3"/>
        <v/>
      </c>
      <c r="R33" s="701" t="str">
        <f t="shared" si="4"/>
        <v/>
      </c>
      <c r="S33" s="701" t="str">
        <f t="shared" si="5"/>
        <v/>
      </c>
      <c r="T33" s="701" t="str">
        <f t="shared" si="6"/>
        <v/>
      </c>
      <c r="Z33" s="702" t="str">
        <f>IF(B33="個別病床",はじめに入力してください!$K$50,IF(B33="共通使用",はじめに入力してください!$K$52,""))</f>
        <v/>
      </c>
      <c r="AB33" s="12">
        <v>4</v>
      </c>
      <c r="AC33" s="701" t="str">
        <f t="shared" si="7"/>
        <v>○</v>
      </c>
      <c r="AD33" s="702" t="str">
        <f t="shared" si="8"/>
        <v>整備しない場合は入力不要です。</v>
      </c>
    </row>
    <row r="34" spans="1:30">
      <c r="A34" s="12">
        <v>5</v>
      </c>
      <c r="B34" s="6"/>
      <c r="C34" s="6"/>
      <c r="D34" s="6"/>
      <c r="E34" s="10"/>
      <c r="F34" s="7"/>
      <c r="G34" s="541"/>
      <c r="H34" s="15">
        <f t="shared" si="0"/>
        <v>0</v>
      </c>
      <c r="I34" s="4">
        <f t="shared" si="1"/>
        <v>0</v>
      </c>
      <c r="J34" s="9"/>
      <c r="K34" s="609"/>
      <c r="L34" s="609"/>
      <c r="M34" s="609"/>
      <c r="N34" s="4">
        <f t="shared" si="2"/>
        <v>0</v>
      </c>
      <c r="O34" s="5" t="str">
        <f>IF(AC34="◎",COUNTIF($AC$30:AC34,"◎"),"")</f>
        <v/>
      </c>
      <c r="Q34" s="610" t="str">
        <f t="shared" si="3"/>
        <v/>
      </c>
      <c r="R34" s="701" t="str">
        <f t="shared" si="4"/>
        <v/>
      </c>
      <c r="S34" s="701" t="str">
        <f t="shared" si="5"/>
        <v/>
      </c>
      <c r="T34" s="701" t="str">
        <f t="shared" si="6"/>
        <v/>
      </c>
      <c r="Z34" s="702" t="str">
        <f>IF(B34="個別病床",はじめに入力してください!$K$50,IF(B34="共通使用",はじめに入力してください!$K$52,""))</f>
        <v/>
      </c>
      <c r="AB34" s="12">
        <v>5</v>
      </c>
      <c r="AC34" s="701" t="str">
        <f t="shared" si="7"/>
        <v>○</v>
      </c>
      <c r="AD34" s="702" t="str">
        <f t="shared" si="8"/>
        <v>整備しない場合は入力不要です。</v>
      </c>
    </row>
    <row r="35" spans="1:30">
      <c r="A35" s="12">
        <v>6</v>
      </c>
      <c r="B35" s="6"/>
      <c r="C35" s="6"/>
      <c r="D35" s="6"/>
      <c r="E35" s="10"/>
      <c r="F35" s="7"/>
      <c r="G35" s="541"/>
      <c r="H35" s="15">
        <f t="shared" si="0"/>
        <v>0</v>
      </c>
      <c r="I35" s="4">
        <f t="shared" si="1"/>
        <v>0</v>
      </c>
      <c r="J35" s="9"/>
      <c r="K35" s="609"/>
      <c r="L35" s="609"/>
      <c r="M35" s="609"/>
      <c r="N35" s="4">
        <f t="shared" si="2"/>
        <v>0</v>
      </c>
      <c r="O35" s="5" t="str">
        <f>IF(AC35="◎",COUNTIF($AC$30:AC35,"◎"),"")</f>
        <v/>
      </c>
      <c r="Q35" s="610" t="str">
        <f t="shared" si="3"/>
        <v/>
      </c>
      <c r="R35" s="701" t="str">
        <f t="shared" si="4"/>
        <v/>
      </c>
      <c r="S35" s="701" t="str">
        <f t="shared" si="5"/>
        <v/>
      </c>
      <c r="T35" s="701" t="str">
        <f t="shared" si="6"/>
        <v/>
      </c>
      <c r="Z35" s="702" t="str">
        <f>IF(B35="個別病床",はじめに入力してください!$K$50,IF(B35="共通使用",はじめに入力してください!$K$52,""))</f>
        <v/>
      </c>
      <c r="AB35" s="12">
        <v>6</v>
      </c>
      <c r="AC35" s="701" t="str">
        <f t="shared" si="7"/>
        <v>○</v>
      </c>
      <c r="AD35" s="702" t="str">
        <f t="shared" si="8"/>
        <v>整備しない場合は入力不要です。</v>
      </c>
    </row>
    <row r="36" spans="1:30">
      <c r="A36" s="12">
        <v>7</v>
      </c>
      <c r="B36" s="6"/>
      <c r="C36" s="6"/>
      <c r="D36" s="6"/>
      <c r="E36" s="10"/>
      <c r="F36" s="7"/>
      <c r="G36" s="541"/>
      <c r="H36" s="15">
        <f t="shared" si="0"/>
        <v>0</v>
      </c>
      <c r="I36" s="4">
        <f t="shared" si="1"/>
        <v>0</v>
      </c>
      <c r="J36" s="9"/>
      <c r="K36" s="609"/>
      <c r="L36" s="609"/>
      <c r="M36" s="609"/>
      <c r="N36" s="4">
        <f t="shared" si="2"/>
        <v>0</v>
      </c>
      <c r="O36" s="5" t="str">
        <f>IF(AC36="◎",COUNTIF($AC$30:AC36,"◎"),"")</f>
        <v/>
      </c>
      <c r="Q36" s="610" t="str">
        <f t="shared" si="3"/>
        <v/>
      </c>
      <c r="R36" s="701" t="str">
        <f t="shared" si="4"/>
        <v/>
      </c>
      <c r="S36" s="701" t="str">
        <f t="shared" si="5"/>
        <v/>
      </c>
      <c r="T36" s="701" t="str">
        <f t="shared" si="6"/>
        <v/>
      </c>
      <c r="Z36" s="702" t="str">
        <f>IF(B36="個別病床",はじめに入力してください!$K$50,IF(B36="共通使用",はじめに入力してください!$K$52,""))</f>
        <v/>
      </c>
      <c r="AB36" s="12">
        <v>7</v>
      </c>
      <c r="AC36" s="701" t="str">
        <f t="shared" si="7"/>
        <v>○</v>
      </c>
      <c r="AD36" s="702" t="str">
        <f t="shared" si="8"/>
        <v>整備しない場合は入力不要です。</v>
      </c>
    </row>
    <row r="37" spans="1:30">
      <c r="A37" s="12">
        <v>8</v>
      </c>
      <c r="B37" s="6"/>
      <c r="C37" s="6"/>
      <c r="D37" s="6"/>
      <c r="E37" s="10"/>
      <c r="F37" s="7"/>
      <c r="G37" s="541"/>
      <c r="H37" s="15">
        <f t="shared" si="0"/>
        <v>0</v>
      </c>
      <c r="I37" s="4">
        <f t="shared" si="1"/>
        <v>0</v>
      </c>
      <c r="J37" s="9"/>
      <c r="K37" s="609"/>
      <c r="L37" s="609"/>
      <c r="M37" s="609"/>
      <c r="N37" s="4">
        <f t="shared" si="2"/>
        <v>0</v>
      </c>
      <c r="O37" s="5" t="str">
        <f>IF(AC37="◎",COUNTIF($AC$30:AC37,"◎"),"")</f>
        <v/>
      </c>
      <c r="Q37" s="610" t="str">
        <f t="shared" si="3"/>
        <v/>
      </c>
      <c r="R37" s="701" t="str">
        <f t="shared" si="4"/>
        <v/>
      </c>
      <c r="S37" s="701" t="str">
        <f t="shared" si="5"/>
        <v/>
      </c>
      <c r="T37" s="701" t="str">
        <f t="shared" si="6"/>
        <v/>
      </c>
      <c r="Z37" s="702" t="str">
        <f>IF(B37="個別病床",はじめに入力してください!$K$50,IF(B37="共通使用",はじめに入力してください!$K$52,""))</f>
        <v/>
      </c>
      <c r="AB37" s="12">
        <v>8</v>
      </c>
      <c r="AC37" s="701" t="str">
        <f t="shared" si="7"/>
        <v>○</v>
      </c>
      <c r="AD37" s="702" t="str">
        <f t="shared" si="8"/>
        <v>整備しない場合は入力不要です。</v>
      </c>
    </row>
    <row r="38" spans="1:30">
      <c r="A38" s="12">
        <v>9</v>
      </c>
      <c r="B38" s="6"/>
      <c r="C38" s="6"/>
      <c r="D38" s="6"/>
      <c r="E38" s="10"/>
      <c r="F38" s="7"/>
      <c r="G38" s="541"/>
      <c r="H38" s="15">
        <f t="shared" si="0"/>
        <v>0</v>
      </c>
      <c r="I38" s="4">
        <f t="shared" si="1"/>
        <v>0</v>
      </c>
      <c r="J38" s="9"/>
      <c r="K38" s="609"/>
      <c r="L38" s="609"/>
      <c r="M38" s="609"/>
      <c r="N38" s="4">
        <f t="shared" si="2"/>
        <v>0</v>
      </c>
      <c r="O38" s="5" t="str">
        <f>IF(AC38="◎",COUNTIF($AC$30:AC38,"◎"),"")</f>
        <v/>
      </c>
      <c r="Q38" s="610" t="str">
        <f t="shared" si="3"/>
        <v/>
      </c>
      <c r="R38" s="701" t="str">
        <f t="shared" si="4"/>
        <v/>
      </c>
      <c r="S38" s="701" t="str">
        <f t="shared" si="5"/>
        <v/>
      </c>
      <c r="T38" s="701" t="str">
        <f t="shared" si="6"/>
        <v/>
      </c>
      <c r="Z38" s="702" t="str">
        <f>IF(B38="個別病床",はじめに入力してください!$K$50,IF(B38="共通使用",はじめに入力してください!$K$52,""))</f>
        <v/>
      </c>
      <c r="AB38" s="12">
        <v>9</v>
      </c>
      <c r="AC38" s="701" t="str">
        <f t="shared" si="7"/>
        <v>○</v>
      </c>
      <c r="AD38" s="702" t="str">
        <f t="shared" si="8"/>
        <v>整備しない場合は入力不要です。</v>
      </c>
    </row>
    <row r="39" spans="1:30">
      <c r="A39" s="12">
        <v>10</v>
      </c>
      <c r="B39" s="6"/>
      <c r="C39" s="6"/>
      <c r="D39" s="6"/>
      <c r="E39" s="10"/>
      <c r="F39" s="7"/>
      <c r="G39" s="541"/>
      <c r="H39" s="15">
        <f t="shared" si="0"/>
        <v>0</v>
      </c>
      <c r="I39" s="4">
        <f t="shared" si="1"/>
        <v>0</v>
      </c>
      <c r="J39" s="9"/>
      <c r="K39" s="609"/>
      <c r="L39" s="609"/>
      <c r="M39" s="609"/>
      <c r="N39" s="4">
        <f t="shared" si="2"/>
        <v>0</v>
      </c>
      <c r="O39" s="5" t="str">
        <f>IF(AC39="◎",COUNTIF($AC$30:AC39,"◎"),"")</f>
        <v/>
      </c>
      <c r="Q39" s="610" t="str">
        <f t="shared" si="3"/>
        <v/>
      </c>
      <c r="R39" s="701" t="str">
        <f t="shared" si="4"/>
        <v/>
      </c>
      <c r="S39" s="701" t="str">
        <f t="shared" si="5"/>
        <v/>
      </c>
      <c r="T39" s="701" t="str">
        <f t="shared" si="6"/>
        <v/>
      </c>
      <c r="Z39" s="702" t="str">
        <f>IF(B39="個別病床",はじめに入力してください!$K$50,IF(B39="共通使用",はじめに入力してください!$K$52,""))</f>
        <v/>
      </c>
      <c r="AB39" s="12">
        <v>10</v>
      </c>
      <c r="AC39" s="701" t="str">
        <f t="shared" si="7"/>
        <v>○</v>
      </c>
      <c r="AD39" s="702" t="str">
        <f t="shared" si="8"/>
        <v>整備しない場合は入力不要です。</v>
      </c>
    </row>
    <row r="40" spans="1:30">
      <c r="A40" s="12">
        <v>11</v>
      </c>
      <c r="B40" s="6"/>
      <c r="C40" s="6"/>
      <c r="D40" s="6"/>
      <c r="E40" s="10"/>
      <c r="F40" s="7"/>
      <c r="G40" s="541"/>
      <c r="H40" s="15">
        <f t="shared" si="0"/>
        <v>0</v>
      </c>
      <c r="I40" s="4">
        <f t="shared" si="1"/>
        <v>0</v>
      </c>
      <c r="J40" s="9"/>
      <c r="K40" s="609"/>
      <c r="L40" s="609"/>
      <c r="M40" s="609"/>
      <c r="N40" s="4">
        <f t="shared" si="2"/>
        <v>0</v>
      </c>
      <c r="O40" s="5" t="str">
        <f>IF(AC40="◎",COUNTIF($AC$30:AC40,"◎"),"")</f>
        <v/>
      </c>
      <c r="Q40" s="610" t="str">
        <f t="shared" si="3"/>
        <v/>
      </c>
      <c r="R40" s="701" t="str">
        <f t="shared" si="4"/>
        <v/>
      </c>
      <c r="S40" s="701" t="str">
        <f t="shared" si="5"/>
        <v/>
      </c>
      <c r="T40" s="701" t="str">
        <f t="shared" si="6"/>
        <v/>
      </c>
      <c r="Z40" s="702" t="str">
        <f>IF(B40="個別病床",はじめに入力してください!$K$50,IF(B40="共通使用",はじめに入力してください!$K$52,""))</f>
        <v/>
      </c>
      <c r="AB40" s="12">
        <v>11</v>
      </c>
      <c r="AC40" s="701" t="str">
        <f t="shared" si="7"/>
        <v>○</v>
      </c>
      <c r="AD40" s="702" t="str">
        <f t="shared" si="8"/>
        <v>整備しない場合は入力不要です。</v>
      </c>
    </row>
    <row r="41" spans="1:30">
      <c r="A41" s="12">
        <v>12</v>
      </c>
      <c r="B41" s="6"/>
      <c r="C41" s="6"/>
      <c r="D41" s="6"/>
      <c r="E41" s="10"/>
      <c r="F41" s="7"/>
      <c r="G41" s="541"/>
      <c r="H41" s="15">
        <f t="shared" si="0"/>
        <v>0</v>
      </c>
      <c r="I41" s="4">
        <f t="shared" si="1"/>
        <v>0</v>
      </c>
      <c r="J41" s="9"/>
      <c r="K41" s="609"/>
      <c r="L41" s="609"/>
      <c r="M41" s="609"/>
      <c r="N41" s="4">
        <f t="shared" si="2"/>
        <v>0</v>
      </c>
      <c r="O41" s="5" t="str">
        <f>IF(AC41="◎",COUNTIF($AC$30:AC41,"◎"),"")</f>
        <v/>
      </c>
      <c r="Q41" s="610" t="str">
        <f t="shared" si="3"/>
        <v/>
      </c>
      <c r="R41" s="701" t="str">
        <f t="shared" si="4"/>
        <v/>
      </c>
      <c r="S41" s="701" t="str">
        <f t="shared" si="5"/>
        <v/>
      </c>
      <c r="T41" s="701" t="str">
        <f t="shared" si="6"/>
        <v/>
      </c>
      <c r="Z41" s="702" t="str">
        <f>IF(B41="個別病床",はじめに入力してください!$K$50,IF(B41="共通使用",はじめに入力してください!$K$52,""))</f>
        <v/>
      </c>
      <c r="AB41" s="12">
        <v>12</v>
      </c>
      <c r="AC41" s="701" t="str">
        <f t="shared" si="7"/>
        <v>○</v>
      </c>
      <c r="AD41" s="702" t="str">
        <f t="shared" si="8"/>
        <v>整備しない場合は入力不要です。</v>
      </c>
    </row>
    <row r="42" spans="1:30">
      <c r="A42" s="12">
        <v>13</v>
      </c>
      <c r="B42" s="6"/>
      <c r="C42" s="6"/>
      <c r="D42" s="6"/>
      <c r="E42" s="10"/>
      <c r="F42" s="7"/>
      <c r="G42" s="541"/>
      <c r="H42" s="15">
        <f t="shared" si="0"/>
        <v>0</v>
      </c>
      <c r="I42" s="4">
        <f t="shared" si="1"/>
        <v>0</v>
      </c>
      <c r="J42" s="9"/>
      <c r="K42" s="609"/>
      <c r="L42" s="609"/>
      <c r="M42" s="609"/>
      <c r="N42" s="4">
        <f t="shared" si="2"/>
        <v>0</v>
      </c>
      <c r="O42" s="5" t="str">
        <f>IF(AC42="◎",COUNTIF($AC$30:AC42,"◎"),"")</f>
        <v/>
      </c>
      <c r="Q42" s="610" t="str">
        <f t="shared" si="3"/>
        <v/>
      </c>
      <c r="R42" s="701" t="str">
        <f t="shared" si="4"/>
        <v/>
      </c>
      <c r="S42" s="701" t="str">
        <f t="shared" si="5"/>
        <v/>
      </c>
      <c r="T42" s="701" t="str">
        <f t="shared" si="6"/>
        <v/>
      </c>
      <c r="Z42" s="702" t="str">
        <f>IF(B42="個別病床",はじめに入力してください!$K$50,IF(B42="共通使用",はじめに入力してください!$K$52,""))</f>
        <v/>
      </c>
      <c r="AB42" s="12">
        <v>13</v>
      </c>
      <c r="AC42" s="701" t="str">
        <f t="shared" si="7"/>
        <v>○</v>
      </c>
      <c r="AD42" s="702" t="str">
        <f t="shared" si="8"/>
        <v>整備しない場合は入力不要です。</v>
      </c>
    </row>
    <row r="43" spans="1:30">
      <c r="A43" s="12">
        <v>14</v>
      </c>
      <c r="B43" s="6"/>
      <c r="C43" s="6"/>
      <c r="D43" s="6"/>
      <c r="E43" s="10"/>
      <c r="F43" s="7"/>
      <c r="G43" s="541"/>
      <c r="H43" s="15">
        <f t="shared" si="0"/>
        <v>0</v>
      </c>
      <c r="I43" s="4">
        <f t="shared" si="1"/>
        <v>0</v>
      </c>
      <c r="J43" s="9"/>
      <c r="K43" s="609"/>
      <c r="L43" s="609"/>
      <c r="M43" s="609"/>
      <c r="N43" s="4">
        <f t="shared" si="2"/>
        <v>0</v>
      </c>
      <c r="O43" s="5" t="str">
        <f>IF(AC43="◎",COUNTIF($AC$30:AC43,"◎"),"")</f>
        <v/>
      </c>
      <c r="Q43" s="610" t="str">
        <f t="shared" si="3"/>
        <v/>
      </c>
      <c r="R43" s="701" t="str">
        <f t="shared" si="4"/>
        <v/>
      </c>
      <c r="S43" s="701" t="str">
        <f t="shared" si="5"/>
        <v/>
      </c>
      <c r="T43" s="701" t="str">
        <f t="shared" si="6"/>
        <v/>
      </c>
      <c r="Z43" s="702" t="str">
        <f>IF(B43="個別病床",はじめに入力してください!$K$50,IF(B43="共通使用",はじめに入力してください!$K$52,""))</f>
        <v/>
      </c>
      <c r="AB43" s="12">
        <v>14</v>
      </c>
      <c r="AC43" s="701" t="str">
        <f t="shared" si="7"/>
        <v>○</v>
      </c>
      <c r="AD43" s="702" t="str">
        <f t="shared" si="8"/>
        <v>整備しない場合は入力不要です。</v>
      </c>
    </row>
    <row r="44" spans="1:30">
      <c r="A44" s="12">
        <v>15</v>
      </c>
      <c r="B44" s="6"/>
      <c r="C44" s="6"/>
      <c r="D44" s="6"/>
      <c r="E44" s="10"/>
      <c r="F44" s="7"/>
      <c r="G44" s="541"/>
      <c r="H44" s="15">
        <f t="shared" si="0"/>
        <v>0</v>
      </c>
      <c r="I44" s="4">
        <f t="shared" si="1"/>
        <v>0</v>
      </c>
      <c r="J44" s="9"/>
      <c r="K44" s="609"/>
      <c r="L44" s="609"/>
      <c r="M44" s="609"/>
      <c r="N44" s="4">
        <f t="shared" si="2"/>
        <v>0</v>
      </c>
      <c r="O44" s="5" t="str">
        <f>IF(AC44="◎",COUNTIF($AC$30:AC44,"◎"),"")</f>
        <v/>
      </c>
      <c r="Q44" s="610" t="str">
        <f t="shared" si="3"/>
        <v/>
      </c>
      <c r="R44" s="701" t="str">
        <f t="shared" si="4"/>
        <v/>
      </c>
      <c r="S44" s="701" t="str">
        <f t="shared" si="5"/>
        <v/>
      </c>
      <c r="T44" s="701" t="str">
        <f t="shared" si="6"/>
        <v/>
      </c>
      <c r="Z44" s="702" t="str">
        <f>IF(B44="個別病床",はじめに入力してください!$K$50,IF(B44="共通使用",はじめに入力してください!$K$52,""))</f>
        <v/>
      </c>
      <c r="AB44" s="12">
        <v>15</v>
      </c>
      <c r="AC44" s="701" t="str">
        <f t="shared" si="7"/>
        <v>○</v>
      </c>
      <c r="AD44" s="702" t="str">
        <f t="shared" si="8"/>
        <v>整備しない場合は入力不要です。</v>
      </c>
    </row>
    <row r="45" spans="1:30">
      <c r="A45" s="12">
        <v>16</v>
      </c>
      <c r="B45" s="6"/>
      <c r="C45" s="6"/>
      <c r="D45" s="6"/>
      <c r="E45" s="10"/>
      <c r="F45" s="7"/>
      <c r="G45" s="541"/>
      <c r="H45" s="15">
        <f t="shared" si="0"/>
        <v>0</v>
      </c>
      <c r="I45" s="4">
        <f t="shared" si="1"/>
        <v>0</v>
      </c>
      <c r="J45" s="9"/>
      <c r="K45" s="609"/>
      <c r="L45" s="609"/>
      <c r="M45" s="609"/>
      <c r="N45" s="4">
        <f t="shared" si="2"/>
        <v>0</v>
      </c>
      <c r="O45" s="5" t="str">
        <f>IF(AC45="◎",COUNTIF($AC$30:AC45,"◎"),"")</f>
        <v/>
      </c>
      <c r="Q45" s="610" t="str">
        <f t="shared" si="3"/>
        <v/>
      </c>
      <c r="R45" s="701" t="str">
        <f t="shared" si="4"/>
        <v/>
      </c>
      <c r="S45" s="701" t="str">
        <f t="shared" si="5"/>
        <v/>
      </c>
      <c r="T45" s="701" t="str">
        <f t="shared" si="6"/>
        <v/>
      </c>
      <c r="Z45" s="702" t="str">
        <f>IF(B45="個別病床",はじめに入力してください!$K$50,IF(B45="共通使用",はじめに入力してください!$K$52,""))</f>
        <v/>
      </c>
      <c r="AB45" s="12">
        <v>16</v>
      </c>
      <c r="AC45" s="701" t="str">
        <f t="shared" si="7"/>
        <v>○</v>
      </c>
      <c r="AD45" s="702" t="str">
        <f t="shared" si="8"/>
        <v>整備しない場合は入力不要です。</v>
      </c>
    </row>
    <row r="46" spans="1:30">
      <c r="A46" s="12">
        <v>17</v>
      </c>
      <c r="B46" s="6"/>
      <c r="C46" s="6"/>
      <c r="D46" s="6"/>
      <c r="E46" s="10"/>
      <c r="F46" s="7"/>
      <c r="G46" s="541"/>
      <c r="H46" s="15">
        <f t="shared" si="0"/>
        <v>0</v>
      </c>
      <c r="I46" s="4">
        <f t="shared" si="1"/>
        <v>0</v>
      </c>
      <c r="J46" s="9"/>
      <c r="K46" s="609"/>
      <c r="L46" s="609"/>
      <c r="M46" s="609"/>
      <c r="N46" s="4">
        <f t="shared" si="2"/>
        <v>0</v>
      </c>
      <c r="O46" s="5" t="str">
        <f>IF(AC46="◎",COUNTIF($AC$30:AC46,"◎"),"")</f>
        <v/>
      </c>
      <c r="Q46" s="610" t="str">
        <f t="shared" si="3"/>
        <v/>
      </c>
      <c r="R46" s="701" t="str">
        <f t="shared" si="4"/>
        <v/>
      </c>
      <c r="S46" s="701" t="str">
        <f t="shared" si="5"/>
        <v/>
      </c>
      <c r="T46" s="701" t="str">
        <f t="shared" si="6"/>
        <v/>
      </c>
      <c r="Z46" s="702" t="str">
        <f>IF(B46="個別病床",はじめに入力してください!$K$50,IF(B46="共通使用",はじめに入力してください!$K$52,""))</f>
        <v/>
      </c>
      <c r="AB46" s="12">
        <v>17</v>
      </c>
      <c r="AC46" s="701" t="str">
        <f t="shared" si="7"/>
        <v>○</v>
      </c>
      <c r="AD46" s="702" t="str">
        <f t="shared" si="8"/>
        <v>整備しない場合は入力不要です。</v>
      </c>
    </row>
    <row r="47" spans="1:30">
      <c r="A47" s="12">
        <v>18</v>
      </c>
      <c r="B47" s="6"/>
      <c r="C47" s="6"/>
      <c r="D47" s="6"/>
      <c r="E47" s="10"/>
      <c r="F47" s="7"/>
      <c r="G47" s="541"/>
      <c r="H47" s="15">
        <f t="shared" si="0"/>
        <v>0</v>
      </c>
      <c r="I47" s="4">
        <f t="shared" si="1"/>
        <v>0</v>
      </c>
      <c r="J47" s="9"/>
      <c r="K47" s="609"/>
      <c r="L47" s="609"/>
      <c r="M47" s="609"/>
      <c r="N47" s="4">
        <f t="shared" si="2"/>
        <v>0</v>
      </c>
      <c r="O47" s="5" t="str">
        <f>IF(AC47="◎",COUNTIF($AC$30:AC47,"◎"),"")</f>
        <v/>
      </c>
      <c r="Q47" s="610" t="str">
        <f t="shared" si="3"/>
        <v/>
      </c>
      <c r="R47" s="701" t="str">
        <f t="shared" si="4"/>
        <v/>
      </c>
      <c r="S47" s="701" t="str">
        <f t="shared" si="5"/>
        <v/>
      </c>
      <c r="T47" s="701" t="str">
        <f t="shared" si="6"/>
        <v/>
      </c>
      <c r="Z47" s="702" t="str">
        <f>IF(B47="個別病床",はじめに入力してください!$K$50,IF(B47="共通使用",はじめに入力してください!$K$52,""))</f>
        <v/>
      </c>
      <c r="AB47" s="12">
        <v>18</v>
      </c>
      <c r="AC47" s="701" t="str">
        <f t="shared" si="7"/>
        <v>○</v>
      </c>
      <c r="AD47" s="702" t="str">
        <f t="shared" si="8"/>
        <v>整備しない場合は入力不要です。</v>
      </c>
    </row>
    <row r="48" spans="1:30">
      <c r="A48" s="12">
        <v>19</v>
      </c>
      <c r="B48" s="6"/>
      <c r="C48" s="6"/>
      <c r="D48" s="6"/>
      <c r="E48" s="10"/>
      <c r="F48" s="7"/>
      <c r="G48" s="541"/>
      <c r="H48" s="15">
        <f t="shared" si="0"/>
        <v>0</v>
      </c>
      <c r="I48" s="4">
        <f t="shared" si="1"/>
        <v>0</v>
      </c>
      <c r="J48" s="9"/>
      <c r="K48" s="609"/>
      <c r="L48" s="609"/>
      <c r="M48" s="609"/>
      <c r="N48" s="4">
        <f t="shared" si="2"/>
        <v>0</v>
      </c>
      <c r="O48" s="5" t="str">
        <f>IF(AC48="◎",COUNTIF($AC$30:AC48,"◎"),"")</f>
        <v/>
      </c>
      <c r="Q48" s="610" t="str">
        <f t="shared" si="3"/>
        <v/>
      </c>
      <c r="R48" s="701" t="str">
        <f t="shared" si="4"/>
        <v/>
      </c>
      <c r="S48" s="701" t="str">
        <f t="shared" si="5"/>
        <v/>
      </c>
      <c r="T48" s="701" t="str">
        <f t="shared" si="6"/>
        <v/>
      </c>
      <c r="Z48" s="702" t="str">
        <f>IF(B48="個別病床",はじめに入力してください!$K$50,IF(B48="共通使用",はじめに入力してください!$K$52,""))</f>
        <v/>
      </c>
      <c r="AB48" s="12">
        <v>19</v>
      </c>
      <c r="AC48" s="701" t="str">
        <f t="shared" si="7"/>
        <v>○</v>
      </c>
      <c r="AD48" s="702" t="str">
        <f t="shared" si="8"/>
        <v>整備しない場合は入力不要です。</v>
      </c>
    </row>
    <row r="49" spans="1:30">
      <c r="A49" s="12">
        <v>20</v>
      </c>
      <c r="B49" s="6"/>
      <c r="C49" s="6"/>
      <c r="D49" s="6"/>
      <c r="E49" s="10"/>
      <c r="F49" s="7"/>
      <c r="G49" s="541"/>
      <c r="H49" s="15">
        <f t="shared" si="0"/>
        <v>0</v>
      </c>
      <c r="I49" s="4">
        <f t="shared" si="1"/>
        <v>0</v>
      </c>
      <c r="J49" s="9"/>
      <c r="K49" s="609"/>
      <c r="L49" s="609"/>
      <c r="M49" s="609"/>
      <c r="N49" s="4">
        <f t="shared" si="2"/>
        <v>0</v>
      </c>
      <c r="O49" s="5" t="str">
        <f>IF(AC49="◎",COUNTIF($AC$30:AC49,"◎"),"")</f>
        <v/>
      </c>
      <c r="Q49" s="610" t="str">
        <f t="shared" si="3"/>
        <v/>
      </c>
      <c r="R49" s="701" t="str">
        <f t="shared" si="4"/>
        <v/>
      </c>
      <c r="S49" s="701" t="str">
        <f t="shared" si="5"/>
        <v/>
      </c>
      <c r="T49" s="701" t="str">
        <f t="shared" si="6"/>
        <v/>
      </c>
      <c r="Z49" s="702" t="str">
        <f>IF(B49="個別病床",はじめに入力してください!$K$50,IF(B49="共通使用",はじめに入力してください!$K$52,""))</f>
        <v/>
      </c>
      <c r="AB49" s="12">
        <v>20</v>
      </c>
      <c r="AC49" s="701" t="str">
        <f t="shared" si="7"/>
        <v>○</v>
      </c>
      <c r="AD49" s="702" t="str">
        <f t="shared" si="8"/>
        <v>整備しない場合は入力不要です。</v>
      </c>
    </row>
    <row r="50" spans="1:30">
      <c r="A50" s="12">
        <v>21</v>
      </c>
      <c r="B50" s="6"/>
      <c r="C50" s="6"/>
      <c r="D50" s="6"/>
      <c r="E50" s="10"/>
      <c r="F50" s="7"/>
      <c r="G50" s="541"/>
      <c r="H50" s="15">
        <f t="shared" si="0"/>
        <v>0</v>
      </c>
      <c r="I50" s="4">
        <f t="shared" si="1"/>
        <v>0</v>
      </c>
      <c r="J50" s="9"/>
      <c r="K50" s="609"/>
      <c r="L50" s="609"/>
      <c r="M50" s="609"/>
      <c r="N50" s="4">
        <f t="shared" si="2"/>
        <v>0</v>
      </c>
      <c r="O50" s="5" t="str">
        <f>IF(AC50="◎",COUNTIF($AC$30:AC50,"◎"),"")</f>
        <v/>
      </c>
      <c r="Q50" s="610" t="str">
        <f t="shared" si="3"/>
        <v/>
      </c>
      <c r="R50" s="701" t="str">
        <f t="shared" si="4"/>
        <v/>
      </c>
      <c r="S50" s="701" t="str">
        <f t="shared" si="5"/>
        <v/>
      </c>
      <c r="T50" s="701" t="str">
        <f t="shared" si="6"/>
        <v/>
      </c>
      <c r="Z50" s="702" t="str">
        <f>IF(B50="個別病床",はじめに入力してください!$K$50,IF(B50="共通使用",はじめに入力してください!$K$52,""))</f>
        <v/>
      </c>
      <c r="AB50" s="12">
        <v>21</v>
      </c>
      <c r="AC50" s="701" t="str">
        <f t="shared" si="7"/>
        <v>○</v>
      </c>
      <c r="AD50" s="702" t="str">
        <f t="shared" si="8"/>
        <v>整備しない場合は入力不要です。</v>
      </c>
    </row>
    <row r="51" spans="1:30">
      <c r="A51" s="12">
        <v>22</v>
      </c>
      <c r="B51" s="6"/>
      <c r="C51" s="6"/>
      <c r="D51" s="6"/>
      <c r="E51" s="10"/>
      <c r="F51" s="7"/>
      <c r="G51" s="541"/>
      <c r="H51" s="15">
        <f t="shared" si="0"/>
        <v>0</v>
      </c>
      <c r="I51" s="4">
        <f t="shared" si="1"/>
        <v>0</v>
      </c>
      <c r="J51" s="9"/>
      <c r="K51" s="609"/>
      <c r="L51" s="609"/>
      <c r="M51" s="609"/>
      <c r="N51" s="4">
        <f t="shared" si="2"/>
        <v>0</v>
      </c>
      <c r="O51" s="5" t="str">
        <f>IF(AC51="◎",COUNTIF($AC$30:AC51,"◎"),"")</f>
        <v/>
      </c>
      <c r="Q51" s="610" t="str">
        <f t="shared" si="3"/>
        <v/>
      </c>
      <c r="R51" s="701" t="str">
        <f t="shared" si="4"/>
        <v/>
      </c>
      <c r="S51" s="701" t="str">
        <f t="shared" si="5"/>
        <v/>
      </c>
      <c r="T51" s="701" t="str">
        <f t="shared" si="6"/>
        <v/>
      </c>
      <c r="Z51" s="702" t="str">
        <f>IF(B51="個別病床",はじめに入力してください!$K$50,IF(B51="共通使用",はじめに入力してください!$K$52,""))</f>
        <v/>
      </c>
      <c r="AB51" s="12">
        <v>22</v>
      </c>
      <c r="AC51" s="701" t="str">
        <f t="shared" si="7"/>
        <v>○</v>
      </c>
      <c r="AD51" s="702" t="str">
        <f t="shared" si="8"/>
        <v>整備しない場合は入力不要です。</v>
      </c>
    </row>
    <row r="52" spans="1:30">
      <c r="A52" s="12">
        <v>23</v>
      </c>
      <c r="B52" s="6"/>
      <c r="C52" s="6"/>
      <c r="D52" s="6"/>
      <c r="E52" s="10"/>
      <c r="F52" s="7"/>
      <c r="G52" s="541"/>
      <c r="H52" s="15">
        <f t="shared" si="0"/>
        <v>0</v>
      </c>
      <c r="I52" s="4">
        <f t="shared" si="1"/>
        <v>0</v>
      </c>
      <c r="J52" s="9"/>
      <c r="K52" s="609"/>
      <c r="L52" s="609"/>
      <c r="M52" s="609"/>
      <c r="N52" s="4">
        <f t="shared" si="2"/>
        <v>0</v>
      </c>
      <c r="O52" s="5" t="str">
        <f>IF(AC52="◎",COUNTIF($AC$30:AC52,"◎"),"")</f>
        <v/>
      </c>
      <c r="Q52" s="610" t="str">
        <f t="shared" si="3"/>
        <v/>
      </c>
      <c r="R52" s="701" t="str">
        <f t="shared" si="4"/>
        <v/>
      </c>
      <c r="S52" s="701" t="str">
        <f t="shared" si="5"/>
        <v/>
      </c>
      <c r="T52" s="701" t="str">
        <f t="shared" si="6"/>
        <v/>
      </c>
      <c r="Z52" s="702" t="str">
        <f>IF(B52="個別病床",はじめに入力してください!$K$50,IF(B52="共通使用",はじめに入力してください!$K$52,""))</f>
        <v/>
      </c>
      <c r="AB52" s="12">
        <v>23</v>
      </c>
      <c r="AC52" s="701" t="str">
        <f t="shared" si="7"/>
        <v>○</v>
      </c>
      <c r="AD52" s="702" t="str">
        <f t="shared" si="8"/>
        <v>整備しない場合は入力不要です。</v>
      </c>
    </row>
    <row r="53" spans="1:30">
      <c r="A53" s="12">
        <v>24</v>
      </c>
      <c r="B53" s="6"/>
      <c r="C53" s="6"/>
      <c r="D53" s="6"/>
      <c r="E53" s="10"/>
      <c r="F53" s="7"/>
      <c r="G53" s="541"/>
      <c r="H53" s="15">
        <f t="shared" si="0"/>
        <v>0</v>
      </c>
      <c r="I53" s="4">
        <f t="shared" si="1"/>
        <v>0</v>
      </c>
      <c r="J53" s="9"/>
      <c r="K53" s="609"/>
      <c r="L53" s="609"/>
      <c r="M53" s="609"/>
      <c r="N53" s="4">
        <f t="shared" si="2"/>
        <v>0</v>
      </c>
      <c r="O53" s="5" t="str">
        <f>IF(AC53="◎",COUNTIF($AC$30:AC53,"◎"),"")</f>
        <v/>
      </c>
      <c r="Q53" s="610" t="str">
        <f t="shared" si="3"/>
        <v/>
      </c>
      <c r="R53" s="701" t="str">
        <f t="shared" si="4"/>
        <v/>
      </c>
      <c r="S53" s="701" t="str">
        <f t="shared" si="5"/>
        <v/>
      </c>
      <c r="T53" s="701" t="str">
        <f t="shared" si="6"/>
        <v/>
      </c>
      <c r="Z53" s="702" t="str">
        <f>IF(B53="個別病床",はじめに入力してください!$K$50,IF(B53="共通使用",はじめに入力してください!$K$52,""))</f>
        <v/>
      </c>
      <c r="AB53" s="12">
        <v>24</v>
      </c>
      <c r="AC53" s="701" t="str">
        <f t="shared" si="7"/>
        <v>○</v>
      </c>
      <c r="AD53" s="702" t="str">
        <f t="shared" si="8"/>
        <v>整備しない場合は入力不要です。</v>
      </c>
    </row>
    <row r="54" spans="1:30">
      <c r="A54" s="12">
        <v>25</v>
      </c>
      <c r="B54" s="6"/>
      <c r="C54" s="6"/>
      <c r="D54" s="6"/>
      <c r="E54" s="10"/>
      <c r="F54" s="7"/>
      <c r="G54" s="541"/>
      <c r="H54" s="15">
        <f t="shared" si="0"/>
        <v>0</v>
      </c>
      <c r="I54" s="4">
        <f t="shared" si="1"/>
        <v>0</v>
      </c>
      <c r="J54" s="9"/>
      <c r="K54" s="609"/>
      <c r="L54" s="609"/>
      <c r="M54" s="609"/>
      <c r="N54" s="4">
        <f t="shared" si="2"/>
        <v>0</v>
      </c>
      <c r="O54" s="5" t="str">
        <f>IF(AC54="◎",COUNTIF($AC$30:AC54,"◎"),"")</f>
        <v/>
      </c>
      <c r="Q54" s="610" t="str">
        <f t="shared" si="3"/>
        <v/>
      </c>
      <c r="R54" s="701" t="str">
        <f t="shared" si="4"/>
        <v/>
      </c>
      <c r="S54" s="701" t="str">
        <f t="shared" si="5"/>
        <v/>
      </c>
      <c r="T54" s="701" t="str">
        <f t="shared" si="6"/>
        <v/>
      </c>
      <c r="Z54" s="702" t="str">
        <f>IF(B54="個別病床",はじめに入力してください!$K$50,IF(B54="共通使用",はじめに入力してください!$K$52,""))</f>
        <v/>
      </c>
      <c r="AB54" s="12">
        <v>25</v>
      </c>
      <c r="AC54" s="701" t="str">
        <f t="shared" si="7"/>
        <v>○</v>
      </c>
      <c r="AD54" s="702" t="str">
        <f t="shared" si="8"/>
        <v>整備しない場合は入力不要です。</v>
      </c>
    </row>
    <row r="55" spans="1:30">
      <c r="A55" s="12">
        <v>26</v>
      </c>
      <c r="B55" s="6"/>
      <c r="C55" s="6"/>
      <c r="D55" s="6"/>
      <c r="E55" s="10"/>
      <c r="F55" s="7"/>
      <c r="G55" s="541"/>
      <c r="H55" s="15">
        <f t="shared" si="0"/>
        <v>0</v>
      </c>
      <c r="I55" s="4">
        <f t="shared" si="1"/>
        <v>0</v>
      </c>
      <c r="J55" s="9"/>
      <c r="K55" s="609"/>
      <c r="L55" s="609"/>
      <c r="M55" s="609"/>
      <c r="N55" s="4">
        <f t="shared" si="2"/>
        <v>0</v>
      </c>
      <c r="O55" s="5" t="str">
        <f>IF(AC55="◎",COUNTIF($AC$30:AC55,"◎"),"")</f>
        <v/>
      </c>
      <c r="Q55" s="610" t="str">
        <f t="shared" si="3"/>
        <v/>
      </c>
      <c r="R55" s="701" t="str">
        <f t="shared" si="4"/>
        <v/>
      </c>
      <c r="S55" s="701" t="str">
        <f t="shared" si="5"/>
        <v/>
      </c>
      <c r="T55" s="701" t="str">
        <f t="shared" si="6"/>
        <v/>
      </c>
      <c r="Z55" s="702" t="str">
        <f>IF(B55="個別病床",はじめに入力してください!$K$50,IF(B55="共通使用",はじめに入力してください!$K$52,""))</f>
        <v/>
      </c>
      <c r="AB55" s="12">
        <v>26</v>
      </c>
      <c r="AC55" s="701" t="str">
        <f t="shared" si="7"/>
        <v>○</v>
      </c>
      <c r="AD55" s="702" t="str">
        <f t="shared" si="8"/>
        <v>整備しない場合は入力不要です。</v>
      </c>
    </row>
    <row r="56" spans="1:30">
      <c r="A56" s="12">
        <v>27</v>
      </c>
      <c r="B56" s="6"/>
      <c r="C56" s="6"/>
      <c r="D56" s="6"/>
      <c r="E56" s="10"/>
      <c r="F56" s="7"/>
      <c r="G56" s="541"/>
      <c r="H56" s="15">
        <f t="shared" si="0"/>
        <v>0</v>
      </c>
      <c r="I56" s="4">
        <f t="shared" si="1"/>
        <v>0</v>
      </c>
      <c r="J56" s="9"/>
      <c r="K56" s="609"/>
      <c r="L56" s="609"/>
      <c r="M56" s="609"/>
      <c r="N56" s="4">
        <f t="shared" si="2"/>
        <v>0</v>
      </c>
      <c r="O56" s="5" t="str">
        <f>IF(AC56="◎",COUNTIF($AC$30:AC56,"◎"),"")</f>
        <v/>
      </c>
      <c r="Q56" s="610" t="str">
        <f t="shared" si="3"/>
        <v/>
      </c>
      <c r="R56" s="701" t="str">
        <f t="shared" si="4"/>
        <v/>
      </c>
      <c r="S56" s="701" t="str">
        <f t="shared" si="5"/>
        <v/>
      </c>
      <c r="T56" s="701" t="str">
        <f t="shared" si="6"/>
        <v/>
      </c>
      <c r="Z56" s="702" t="str">
        <f>IF(B56="個別病床",はじめに入力してください!$K$50,IF(B56="共通使用",はじめに入力してください!$K$52,""))</f>
        <v/>
      </c>
      <c r="AB56" s="12">
        <v>27</v>
      </c>
      <c r="AC56" s="701" t="str">
        <f t="shared" si="7"/>
        <v>○</v>
      </c>
      <c r="AD56" s="702" t="str">
        <f t="shared" si="8"/>
        <v>整備しない場合は入力不要です。</v>
      </c>
    </row>
    <row r="57" spans="1:30">
      <c r="A57" s="12">
        <v>28</v>
      </c>
      <c r="B57" s="6"/>
      <c r="C57" s="6"/>
      <c r="D57" s="6"/>
      <c r="E57" s="10"/>
      <c r="F57" s="7"/>
      <c r="G57" s="541"/>
      <c r="H57" s="15">
        <f t="shared" si="0"/>
        <v>0</v>
      </c>
      <c r="I57" s="4">
        <f t="shared" si="1"/>
        <v>0</v>
      </c>
      <c r="J57" s="9"/>
      <c r="K57" s="609"/>
      <c r="L57" s="609"/>
      <c r="M57" s="609"/>
      <c r="N57" s="4">
        <f t="shared" si="2"/>
        <v>0</v>
      </c>
      <c r="O57" s="5" t="str">
        <f>IF(AC57="◎",COUNTIF($AC$30:AC57,"◎"),"")</f>
        <v/>
      </c>
      <c r="Q57" s="610" t="str">
        <f t="shared" si="3"/>
        <v/>
      </c>
      <c r="R57" s="701" t="str">
        <f t="shared" si="4"/>
        <v/>
      </c>
      <c r="S57" s="701" t="str">
        <f t="shared" si="5"/>
        <v/>
      </c>
      <c r="T57" s="701" t="str">
        <f t="shared" si="6"/>
        <v/>
      </c>
      <c r="Z57" s="702" t="str">
        <f>IF(B57="個別病床",はじめに入力してください!$K$50,IF(B57="共通使用",はじめに入力してください!$K$52,""))</f>
        <v/>
      </c>
      <c r="AB57" s="12">
        <v>28</v>
      </c>
      <c r="AC57" s="701" t="str">
        <f t="shared" si="7"/>
        <v>○</v>
      </c>
      <c r="AD57" s="702" t="str">
        <f t="shared" si="8"/>
        <v>整備しない場合は入力不要です。</v>
      </c>
    </row>
    <row r="58" spans="1:30">
      <c r="A58" s="12">
        <v>29</v>
      </c>
      <c r="B58" s="6"/>
      <c r="C58" s="6"/>
      <c r="D58" s="6"/>
      <c r="E58" s="10"/>
      <c r="F58" s="7"/>
      <c r="G58" s="541"/>
      <c r="H58" s="15">
        <f t="shared" si="0"/>
        <v>0</v>
      </c>
      <c r="I58" s="4">
        <f t="shared" si="1"/>
        <v>0</v>
      </c>
      <c r="J58" s="9"/>
      <c r="K58" s="609"/>
      <c r="L58" s="609"/>
      <c r="M58" s="609"/>
      <c r="N58" s="4">
        <f t="shared" si="2"/>
        <v>0</v>
      </c>
      <c r="O58" s="5" t="str">
        <f>IF(AC58="◎",COUNTIF($AC$30:AC58,"◎"),"")</f>
        <v/>
      </c>
      <c r="Q58" s="610" t="str">
        <f t="shared" si="3"/>
        <v/>
      </c>
      <c r="R58" s="701" t="str">
        <f t="shared" si="4"/>
        <v/>
      </c>
      <c r="S58" s="701" t="str">
        <f t="shared" si="5"/>
        <v/>
      </c>
      <c r="T58" s="701" t="str">
        <f t="shared" si="6"/>
        <v/>
      </c>
      <c r="Z58" s="702" t="str">
        <f>IF(B58="個別病床",はじめに入力してください!$K$50,IF(B58="共通使用",はじめに入力してください!$K$52,""))</f>
        <v/>
      </c>
      <c r="AB58" s="12">
        <v>29</v>
      </c>
      <c r="AC58" s="701" t="str">
        <f t="shared" si="7"/>
        <v>○</v>
      </c>
      <c r="AD58" s="702" t="str">
        <f t="shared" si="8"/>
        <v>整備しない場合は入力不要です。</v>
      </c>
    </row>
    <row r="59" spans="1:30">
      <c r="A59" s="12">
        <v>30</v>
      </c>
      <c r="B59" s="6"/>
      <c r="C59" s="6"/>
      <c r="D59" s="6"/>
      <c r="E59" s="10"/>
      <c r="F59" s="7"/>
      <c r="G59" s="541"/>
      <c r="H59" s="15">
        <f t="shared" si="0"/>
        <v>0</v>
      </c>
      <c r="I59" s="4">
        <f t="shared" si="1"/>
        <v>0</v>
      </c>
      <c r="J59" s="9"/>
      <c r="K59" s="609"/>
      <c r="L59" s="609"/>
      <c r="M59" s="609"/>
      <c r="N59" s="4">
        <f t="shared" si="2"/>
        <v>0</v>
      </c>
      <c r="O59" s="5" t="str">
        <f>IF(AC59="◎",COUNTIF($AC$30:AC59,"◎"),"")</f>
        <v/>
      </c>
      <c r="Q59" s="610" t="str">
        <f t="shared" si="3"/>
        <v/>
      </c>
      <c r="R59" s="701" t="str">
        <f t="shared" si="4"/>
        <v/>
      </c>
      <c r="S59" s="701" t="str">
        <f t="shared" si="5"/>
        <v/>
      </c>
      <c r="T59" s="701" t="str">
        <f t="shared" si="6"/>
        <v/>
      </c>
      <c r="Z59" s="702" t="str">
        <f>IF(B59="個別病床",はじめに入力してください!$K$50,IF(B59="共通使用",はじめに入力してください!$K$52,""))</f>
        <v/>
      </c>
      <c r="AB59" s="12">
        <v>30</v>
      </c>
      <c r="AC59" s="701" t="str">
        <f t="shared" si="7"/>
        <v>○</v>
      </c>
      <c r="AD59" s="702" t="str">
        <f t="shared" si="8"/>
        <v>整備しない場合は入力不要です。</v>
      </c>
    </row>
    <row r="60" spans="1:30">
      <c r="A60" s="12">
        <v>31</v>
      </c>
      <c r="B60" s="6"/>
      <c r="C60" s="6"/>
      <c r="D60" s="6"/>
      <c r="E60" s="10"/>
      <c r="F60" s="7"/>
      <c r="G60" s="541"/>
      <c r="H60" s="15">
        <f t="shared" si="0"/>
        <v>0</v>
      </c>
      <c r="I60" s="4">
        <f t="shared" si="1"/>
        <v>0</v>
      </c>
      <c r="J60" s="9"/>
      <c r="K60" s="609"/>
      <c r="L60" s="609"/>
      <c r="M60" s="609"/>
      <c r="N60" s="4">
        <f t="shared" si="2"/>
        <v>0</v>
      </c>
      <c r="O60" s="5" t="str">
        <f>IF(AC60="◎",COUNTIF($AC$30:AC60,"◎"),"")</f>
        <v/>
      </c>
      <c r="Q60" s="610" t="str">
        <f t="shared" si="3"/>
        <v/>
      </c>
      <c r="R60" s="701" t="str">
        <f t="shared" si="4"/>
        <v/>
      </c>
      <c r="S60" s="701" t="str">
        <f t="shared" si="5"/>
        <v/>
      </c>
      <c r="T60" s="701" t="str">
        <f t="shared" si="6"/>
        <v/>
      </c>
      <c r="Z60" s="702" t="str">
        <f>IF(B60="個別病床",はじめに入力してください!$K$50,IF(B60="共通使用",はじめに入力してください!$K$52,""))</f>
        <v/>
      </c>
      <c r="AB60" s="12">
        <v>31</v>
      </c>
      <c r="AC60" s="701" t="str">
        <f t="shared" si="7"/>
        <v>○</v>
      </c>
      <c r="AD60" s="702" t="str">
        <f t="shared" si="8"/>
        <v>整備しない場合は入力不要です。</v>
      </c>
    </row>
    <row r="61" spans="1:30">
      <c r="A61" s="12">
        <v>32</v>
      </c>
      <c r="B61" s="6"/>
      <c r="C61" s="6"/>
      <c r="D61" s="6"/>
      <c r="E61" s="10"/>
      <c r="F61" s="7"/>
      <c r="G61" s="541"/>
      <c r="H61" s="15">
        <f t="shared" si="0"/>
        <v>0</v>
      </c>
      <c r="I61" s="4">
        <f t="shared" si="1"/>
        <v>0</v>
      </c>
      <c r="J61" s="9"/>
      <c r="K61" s="609"/>
      <c r="L61" s="609"/>
      <c r="M61" s="609"/>
      <c r="N61" s="4">
        <f t="shared" si="2"/>
        <v>0</v>
      </c>
      <c r="O61" s="5" t="str">
        <f>IF(AC61="◎",COUNTIF($AC$30:AC61,"◎"),"")</f>
        <v/>
      </c>
      <c r="Q61" s="610" t="str">
        <f t="shared" si="3"/>
        <v/>
      </c>
      <c r="R61" s="701" t="str">
        <f t="shared" si="4"/>
        <v/>
      </c>
      <c r="S61" s="701" t="str">
        <f t="shared" si="5"/>
        <v/>
      </c>
      <c r="T61" s="701" t="str">
        <f t="shared" si="6"/>
        <v/>
      </c>
      <c r="Z61" s="702" t="str">
        <f>IF(B61="個別病床",はじめに入力してください!$K$50,IF(B61="共通使用",はじめに入力してください!$K$52,""))</f>
        <v/>
      </c>
      <c r="AB61" s="12">
        <v>32</v>
      </c>
      <c r="AC61" s="701" t="str">
        <f t="shared" si="7"/>
        <v>○</v>
      </c>
      <c r="AD61" s="702" t="str">
        <f t="shared" si="8"/>
        <v>整備しない場合は入力不要です。</v>
      </c>
    </row>
    <row r="62" spans="1:30">
      <c r="A62" s="12">
        <v>33</v>
      </c>
      <c r="B62" s="6"/>
      <c r="C62" s="6"/>
      <c r="D62" s="6"/>
      <c r="E62" s="10"/>
      <c r="F62" s="7"/>
      <c r="G62" s="541"/>
      <c r="H62" s="15">
        <f t="shared" si="0"/>
        <v>0</v>
      </c>
      <c r="I62" s="4">
        <f t="shared" si="1"/>
        <v>0</v>
      </c>
      <c r="J62" s="9"/>
      <c r="K62" s="609"/>
      <c r="L62" s="609"/>
      <c r="M62" s="609"/>
      <c r="N62" s="4">
        <f t="shared" si="2"/>
        <v>0</v>
      </c>
      <c r="O62" s="5" t="str">
        <f>IF(AC62="◎",COUNTIF($AC$30:AC62,"◎"),"")</f>
        <v/>
      </c>
      <c r="Q62" s="610" t="str">
        <f t="shared" si="3"/>
        <v/>
      </c>
      <c r="R62" s="701" t="str">
        <f t="shared" si="4"/>
        <v/>
      </c>
      <c r="S62" s="701" t="str">
        <f t="shared" si="5"/>
        <v/>
      </c>
      <c r="T62" s="701" t="str">
        <f t="shared" si="6"/>
        <v/>
      </c>
      <c r="Z62" s="702" t="str">
        <f>IF(B62="個別病床",はじめに入力してください!$K$50,IF(B62="共通使用",はじめに入力してください!$K$52,""))</f>
        <v/>
      </c>
      <c r="AB62" s="12">
        <v>33</v>
      </c>
      <c r="AC62" s="701" t="str">
        <f t="shared" si="7"/>
        <v>○</v>
      </c>
      <c r="AD62" s="702" t="str">
        <f t="shared" si="8"/>
        <v>整備しない場合は入力不要です。</v>
      </c>
    </row>
    <row r="63" spans="1:30">
      <c r="A63" s="12">
        <v>34</v>
      </c>
      <c r="B63" s="6"/>
      <c r="C63" s="6"/>
      <c r="D63" s="6"/>
      <c r="E63" s="10"/>
      <c r="F63" s="7"/>
      <c r="G63" s="541"/>
      <c r="H63" s="15">
        <f t="shared" si="0"/>
        <v>0</v>
      </c>
      <c r="I63" s="4">
        <f t="shared" si="1"/>
        <v>0</v>
      </c>
      <c r="J63" s="9"/>
      <c r="K63" s="609"/>
      <c r="L63" s="609"/>
      <c r="M63" s="609"/>
      <c r="N63" s="4">
        <f t="shared" si="2"/>
        <v>0</v>
      </c>
      <c r="O63" s="5" t="str">
        <f>IF(AC63="◎",COUNTIF($AC$30:AC63,"◎"),"")</f>
        <v/>
      </c>
      <c r="Q63" s="610" t="str">
        <f t="shared" si="3"/>
        <v/>
      </c>
      <c r="R63" s="701" t="str">
        <f t="shared" si="4"/>
        <v/>
      </c>
      <c r="S63" s="701" t="str">
        <f t="shared" si="5"/>
        <v/>
      </c>
      <c r="T63" s="701" t="str">
        <f t="shared" si="6"/>
        <v/>
      </c>
      <c r="Z63" s="702" t="str">
        <f>IF(B63="個別病床",はじめに入力してください!$K$50,IF(B63="共通使用",はじめに入力してください!$K$52,""))</f>
        <v/>
      </c>
      <c r="AB63" s="12">
        <v>34</v>
      </c>
      <c r="AC63" s="701" t="str">
        <f t="shared" si="7"/>
        <v>○</v>
      </c>
      <c r="AD63" s="702" t="str">
        <f t="shared" si="8"/>
        <v>整備しない場合は入力不要です。</v>
      </c>
    </row>
    <row r="64" spans="1:30">
      <c r="A64" s="12">
        <v>35</v>
      </c>
      <c r="B64" s="6"/>
      <c r="C64" s="6"/>
      <c r="D64" s="6"/>
      <c r="E64" s="10"/>
      <c r="F64" s="7"/>
      <c r="G64" s="541"/>
      <c r="H64" s="15">
        <f t="shared" si="0"/>
        <v>0</v>
      </c>
      <c r="I64" s="4">
        <f t="shared" si="1"/>
        <v>0</v>
      </c>
      <c r="J64" s="9"/>
      <c r="K64" s="609"/>
      <c r="L64" s="609"/>
      <c r="M64" s="609"/>
      <c r="N64" s="4">
        <f t="shared" si="2"/>
        <v>0</v>
      </c>
      <c r="O64" s="5" t="str">
        <f>IF(AC64="◎",COUNTIF($AC$30:AC64,"◎"),"")</f>
        <v/>
      </c>
      <c r="Q64" s="610" t="str">
        <f t="shared" si="3"/>
        <v/>
      </c>
      <c r="R64" s="701" t="str">
        <f t="shared" si="4"/>
        <v/>
      </c>
      <c r="S64" s="701" t="str">
        <f t="shared" si="5"/>
        <v/>
      </c>
      <c r="T64" s="701" t="str">
        <f t="shared" si="6"/>
        <v/>
      </c>
      <c r="Z64" s="702" t="str">
        <f>IF(B64="個別病床",はじめに入力してください!$K$50,IF(B64="共通使用",はじめに入力してください!$K$52,""))</f>
        <v/>
      </c>
      <c r="AB64" s="12">
        <v>35</v>
      </c>
      <c r="AC64" s="701" t="str">
        <f t="shared" si="7"/>
        <v>○</v>
      </c>
      <c r="AD64" s="702" t="str">
        <f t="shared" si="8"/>
        <v>整備しない場合は入力不要です。</v>
      </c>
    </row>
    <row r="65" spans="1:30">
      <c r="A65" s="12">
        <v>36</v>
      </c>
      <c r="B65" s="6"/>
      <c r="C65" s="6"/>
      <c r="D65" s="6"/>
      <c r="E65" s="10"/>
      <c r="F65" s="7"/>
      <c r="G65" s="541"/>
      <c r="H65" s="15">
        <f t="shared" si="0"/>
        <v>0</v>
      </c>
      <c r="I65" s="4">
        <f t="shared" si="1"/>
        <v>0</v>
      </c>
      <c r="J65" s="9"/>
      <c r="K65" s="609"/>
      <c r="L65" s="609"/>
      <c r="M65" s="609"/>
      <c r="N65" s="4">
        <f t="shared" si="2"/>
        <v>0</v>
      </c>
      <c r="O65" s="5" t="str">
        <f>IF(AC65="◎",COUNTIF($AC$30:AC65,"◎"),"")</f>
        <v/>
      </c>
      <c r="Q65" s="610" t="str">
        <f t="shared" si="3"/>
        <v/>
      </c>
      <c r="R65" s="701" t="str">
        <f t="shared" si="4"/>
        <v/>
      </c>
      <c r="S65" s="701" t="str">
        <f t="shared" si="5"/>
        <v/>
      </c>
      <c r="T65" s="701" t="str">
        <f t="shared" si="6"/>
        <v/>
      </c>
      <c r="Z65" s="702" t="str">
        <f>IF(B65="個別病床",はじめに入力してください!$K$50,IF(B65="共通使用",はじめに入力してください!$K$52,""))</f>
        <v/>
      </c>
      <c r="AB65" s="12">
        <v>36</v>
      </c>
      <c r="AC65" s="701" t="str">
        <f t="shared" si="7"/>
        <v>○</v>
      </c>
      <c r="AD65" s="702" t="str">
        <f t="shared" si="8"/>
        <v>整備しない場合は入力不要です。</v>
      </c>
    </row>
    <row r="66" spans="1:30">
      <c r="A66" s="12">
        <v>37</v>
      </c>
      <c r="B66" s="6"/>
      <c r="C66" s="6"/>
      <c r="D66" s="6"/>
      <c r="E66" s="10"/>
      <c r="F66" s="7"/>
      <c r="G66" s="541"/>
      <c r="H66" s="15">
        <f t="shared" si="0"/>
        <v>0</v>
      </c>
      <c r="I66" s="4">
        <f t="shared" si="1"/>
        <v>0</v>
      </c>
      <c r="J66" s="9"/>
      <c r="K66" s="609"/>
      <c r="L66" s="609"/>
      <c r="M66" s="609"/>
      <c r="N66" s="4">
        <f t="shared" si="2"/>
        <v>0</v>
      </c>
      <c r="O66" s="5" t="str">
        <f>IF(AC66="◎",COUNTIF($AC$30:AC66,"◎"),"")</f>
        <v/>
      </c>
      <c r="Q66" s="610" t="str">
        <f t="shared" si="3"/>
        <v/>
      </c>
      <c r="R66" s="701" t="str">
        <f t="shared" si="4"/>
        <v/>
      </c>
      <c r="S66" s="701" t="str">
        <f t="shared" si="5"/>
        <v/>
      </c>
      <c r="T66" s="701" t="str">
        <f t="shared" si="6"/>
        <v/>
      </c>
      <c r="Z66" s="702" t="str">
        <f>IF(B66="個別病床",はじめに入力してください!$K$50,IF(B66="共通使用",はじめに入力してください!$K$52,""))</f>
        <v/>
      </c>
      <c r="AB66" s="12">
        <v>37</v>
      </c>
      <c r="AC66" s="701" t="str">
        <f t="shared" si="7"/>
        <v>○</v>
      </c>
      <c r="AD66" s="702" t="str">
        <f t="shared" si="8"/>
        <v>整備しない場合は入力不要です。</v>
      </c>
    </row>
    <row r="67" spans="1:30">
      <c r="A67" s="12">
        <v>38</v>
      </c>
      <c r="B67" s="6"/>
      <c r="C67" s="6"/>
      <c r="D67" s="6"/>
      <c r="E67" s="10"/>
      <c r="F67" s="7"/>
      <c r="G67" s="541"/>
      <c r="H67" s="15">
        <f t="shared" si="0"/>
        <v>0</v>
      </c>
      <c r="I67" s="4">
        <f t="shared" si="1"/>
        <v>0</v>
      </c>
      <c r="J67" s="9"/>
      <c r="K67" s="609"/>
      <c r="L67" s="609"/>
      <c r="M67" s="609"/>
      <c r="N67" s="4">
        <f t="shared" si="2"/>
        <v>0</v>
      </c>
      <c r="O67" s="5" t="str">
        <f>IF(AC67="◎",COUNTIF($AC$30:AC67,"◎"),"")</f>
        <v/>
      </c>
      <c r="Q67" s="610" t="str">
        <f t="shared" si="3"/>
        <v/>
      </c>
      <c r="R67" s="701" t="str">
        <f t="shared" si="4"/>
        <v/>
      </c>
      <c r="S67" s="701" t="str">
        <f t="shared" si="5"/>
        <v/>
      </c>
      <c r="T67" s="701" t="str">
        <f t="shared" si="6"/>
        <v/>
      </c>
      <c r="Z67" s="702" t="str">
        <f>IF(B67="個別病床",はじめに入力してください!$K$50,IF(B67="共通使用",はじめに入力してください!$K$52,""))</f>
        <v/>
      </c>
      <c r="AB67" s="12">
        <v>38</v>
      </c>
      <c r="AC67" s="701" t="str">
        <f t="shared" si="7"/>
        <v>○</v>
      </c>
      <c r="AD67" s="702" t="str">
        <f t="shared" si="8"/>
        <v>整備しない場合は入力不要です。</v>
      </c>
    </row>
    <row r="68" spans="1:30">
      <c r="A68" s="12">
        <v>39</v>
      </c>
      <c r="B68" s="6"/>
      <c r="C68" s="6"/>
      <c r="D68" s="6"/>
      <c r="E68" s="10"/>
      <c r="F68" s="7"/>
      <c r="G68" s="541"/>
      <c r="H68" s="15">
        <f t="shared" si="0"/>
        <v>0</v>
      </c>
      <c r="I68" s="4">
        <f t="shared" si="1"/>
        <v>0</v>
      </c>
      <c r="J68" s="9"/>
      <c r="K68" s="609"/>
      <c r="L68" s="609"/>
      <c r="M68" s="609"/>
      <c r="N68" s="4">
        <f t="shared" si="2"/>
        <v>0</v>
      </c>
      <c r="O68" s="5" t="str">
        <f>IF(AC68="◎",COUNTIF($AC$30:AC68,"◎"),"")</f>
        <v/>
      </c>
      <c r="Q68" s="610" t="str">
        <f t="shared" si="3"/>
        <v/>
      </c>
      <c r="R68" s="701" t="str">
        <f t="shared" si="4"/>
        <v/>
      </c>
      <c r="S68" s="701" t="str">
        <f t="shared" si="5"/>
        <v/>
      </c>
      <c r="T68" s="701" t="str">
        <f t="shared" si="6"/>
        <v/>
      </c>
      <c r="Z68" s="702" t="str">
        <f>IF(B68="個別病床",はじめに入力してください!$K$50,IF(B68="共通使用",はじめに入力してください!$K$52,""))</f>
        <v/>
      </c>
      <c r="AB68" s="12">
        <v>39</v>
      </c>
      <c r="AC68" s="701" t="str">
        <f t="shared" si="7"/>
        <v>○</v>
      </c>
      <c r="AD68" s="702" t="str">
        <f t="shared" si="8"/>
        <v>整備しない場合は入力不要です。</v>
      </c>
    </row>
    <row r="69" spans="1:30">
      <c r="A69" s="12">
        <v>40</v>
      </c>
      <c r="B69" s="6"/>
      <c r="C69" s="6"/>
      <c r="D69" s="6"/>
      <c r="E69" s="10"/>
      <c r="F69" s="7"/>
      <c r="G69" s="541"/>
      <c r="H69" s="15">
        <f t="shared" si="0"/>
        <v>0</v>
      </c>
      <c r="I69" s="4">
        <f t="shared" si="1"/>
        <v>0</v>
      </c>
      <c r="J69" s="9"/>
      <c r="K69" s="609"/>
      <c r="L69" s="609"/>
      <c r="M69" s="609"/>
      <c r="N69" s="4">
        <f t="shared" si="2"/>
        <v>0</v>
      </c>
      <c r="O69" s="5" t="str">
        <f>IF(AC69="◎",COUNTIF($AC$30:AC69,"◎"),"")</f>
        <v/>
      </c>
      <c r="Q69" s="610" t="str">
        <f t="shared" si="3"/>
        <v/>
      </c>
      <c r="R69" s="701" t="str">
        <f t="shared" si="4"/>
        <v/>
      </c>
      <c r="S69" s="701" t="str">
        <f t="shared" si="5"/>
        <v/>
      </c>
      <c r="T69" s="701" t="str">
        <f t="shared" si="6"/>
        <v/>
      </c>
      <c r="Z69" s="702" t="str">
        <f>IF(B69="個別病床",はじめに入力してください!$K$50,IF(B69="共通使用",はじめに入力してください!$K$52,""))</f>
        <v/>
      </c>
      <c r="AB69" s="12">
        <v>40</v>
      </c>
      <c r="AC69" s="701" t="str">
        <f t="shared" si="7"/>
        <v>○</v>
      </c>
      <c r="AD69" s="702" t="str">
        <f t="shared" si="8"/>
        <v>整備しない場合は入力不要です。</v>
      </c>
    </row>
    <row r="70" spans="1:30">
      <c r="A70" s="12">
        <v>41</v>
      </c>
      <c r="B70" s="6"/>
      <c r="C70" s="6"/>
      <c r="D70" s="6"/>
      <c r="E70" s="10"/>
      <c r="F70" s="7"/>
      <c r="G70" s="541"/>
      <c r="H70" s="15">
        <f t="shared" si="0"/>
        <v>0</v>
      </c>
      <c r="I70" s="4">
        <f t="shared" si="1"/>
        <v>0</v>
      </c>
      <c r="J70" s="9"/>
      <c r="K70" s="609"/>
      <c r="L70" s="609"/>
      <c r="M70" s="609"/>
      <c r="N70" s="4">
        <f t="shared" si="2"/>
        <v>0</v>
      </c>
      <c r="O70" s="5" t="str">
        <f>IF(AC70="◎",COUNTIF($AC$30:AC70,"◎"),"")</f>
        <v/>
      </c>
      <c r="Q70" s="610" t="str">
        <f t="shared" si="3"/>
        <v/>
      </c>
      <c r="R70" s="701" t="str">
        <f t="shared" si="4"/>
        <v/>
      </c>
      <c r="S70" s="701" t="str">
        <f t="shared" si="5"/>
        <v/>
      </c>
      <c r="T70" s="701" t="str">
        <f t="shared" si="6"/>
        <v/>
      </c>
      <c r="Z70" s="702" t="str">
        <f>IF(B70="個別病床",はじめに入力してください!$K$50,IF(B70="共通使用",はじめに入力してください!$K$52,""))</f>
        <v/>
      </c>
      <c r="AB70" s="12">
        <v>41</v>
      </c>
      <c r="AC70" s="701" t="str">
        <f t="shared" si="7"/>
        <v>○</v>
      </c>
      <c r="AD70" s="702" t="str">
        <f t="shared" si="8"/>
        <v>整備しない場合は入力不要です。</v>
      </c>
    </row>
    <row r="71" spans="1:30">
      <c r="A71" s="12">
        <v>42</v>
      </c>
      <c r="B71" s="6"/>
      <c r="C71" s="6"/>
      <c r="D71" s="6"/>
      <c r="E71" s="10"/>
      <c r="F71" s="7"/>
      <c r="G71" s="541"/>
      <c r="H71" s="15">
        <f t="shared" si="0"/>
        <v>0</v>
      </c>
      <c r="I71" s="4">
        <f t="shared" si="1"/>
        <v>0</v>
      </c>
      <c r="J71" s="9"/>
      <c r="K71" s="609"/>
      <c r="L71" s="609"/>
      <c r="M71" s="609"/>
      <c r="N71" s="4">
        <f t="shared" si="2"/>
        <v>0</v>
      </c>
      <c r="O71" s="5" t="str">
        <f>IF(AC71="◎",COUNTIF($AC$30:AC71,"◎"),"")</f>
        <v/>
      </c>
      <c r="Q71" s="610" t="str">
        <f t="shared" si="3"/>
        <v/>
      </c>
      <c r="R71" s="701" t="str">
        <f t="shared" si="4"/>
        <v/>
      </c>
      <c r="S71" s="701" t="str">
        <f t="shared" si="5"/>
        <v/>
      </c>
      <c r="T71" s="701" t="str">
        <f t="shared" si="6"/>
        <v/>
      </c>
      <c r="Z71" s="702" t="str">
        <f>IF(B71="個別病床",はじめに入力してください!$K$50,IF(B71="共通使用",はじめに入力してください!$K$52,""))</f>
        <v/>
      </c>
      <c r="AB71" s="12">
        <v>42</v>
      </c>
      <c r="AC71" s="701" t="str">
        <f t="shared" si="7"/>
        <v>○</v>
      </c>
      <c r="AD71" s="702" t="str">
        <f t="shared" si="8"/>
        <v>整備しない場合は入力不要です。</v>
      </c>
    </row>
    <row r="72" spans="1:30">
      <c r="A72" s="12">
        <v>43</v>
      </c>
      <c r="B72" s="6"/>
      <c r="C72" s="6"/>
      <c r="D72" s="6"/>
      <c r="E72" s="10"/>
      <c r="F72" s="7"/>
      <c r="G72" s="541"/>
      <c r="H72" s="15">
        <f t="shared" si="0"/>
        <v>0</v>
      </c>
      <c r="I72" s="4">
        <f t="shared" si="1"/>
        <v>0</v>
      </c>
      <c r="J72" s="9"/>
      <c r="K72" s="609"/>
      <c r="L72" s="609"/>
      <c r="M72" s="609"/>
      <c r="N72" s="4">
        <f t="shared" si="2"/>
        <v>0</v>
      </c>
      <c r="O72" s="5" t="str">
        <f>IF(AC72="◎",COUNTIF($AC$30:AC72,"◎"),"")</f>
        <v/>
      </c>
      <c r="Q72" s="610" t="str">
        <f t="shared" si="3"/>
        <v/>
      </c>
      <c r="R72" s="701" t="str">
        <f t="shared" si="4"/>
        <v/>
      </c>
      <c r="S72" s="701" t="str">
        <f t="shared" si="5"/>
        <v/>
      </c>
      <c r="T72" s="701" t="str">
        <f t="shared" si="6"/>
        <v/>
      </c>
      <c r="Z72" s="702" t="str">
        <f>IF(B72="個別病床",はじめに入力してください!$K$50,IF(B72="共通使用",はじめに入力してください!$K$52,""))</f>
        <v/>
      </c>
      <c r="AB72" s="12">
        <v>43</v>
      </c>
      <c r="AC72" s="701" t="str">
        <f t="shared" si="7"/>
        <v>○</v>
      </c>
      <c r="AD72" s="702" t="str">
        <f t="shared" si="8"/>
        <v>整備しない場合は入力不要です。</v>
      </c>
    </row>
    <row r="73" spans="1:30">
      <c r="A73" s="12">
        <v>44</v>
      </c>
      <c r="B73" s="6"/>
      <c r="C73" s="6"/>
      <c r="D73" s="6"/>
      <c r="E73" s="10"/>
      <c r="F73" s="7"/>
      <c r="G73" s="541"/>
      <c r="H73" s="15">
        <f t="shared" si="0"/>
        <v>0</v>
      </c>
      <c r="I73" s="4">
        <f t="shared" si="1"/>
        <v>0</v>
      </c>
      <c r="J73" s="9"/>
      <c r="K73" s="609"/>
      <c r="L73" s="609"/>
      <c r="M73" s="609"/>
      <c r="N73" s="4">
        <f t="shared" si="2"/>
        <v>0</v>
      </c>
      <c r="O73" s="5" t="str">
        <f>IF(AC73="◎",COUNTIF($AC$30:AC73,"◎"),"")</f>
        <v/>
      </c>
      <c r="Q73" s="610" t="str">
        <f t="shared" si="3"/>
        <v/>
      </c>
      <c r="R73" s="701" t="str">
        <f t="shared" si="4"/>
        <v/>
      </c>
      <c r="S73" s="701" t="str">
        <f t="shared" si="5"/>
        <v/>
      </c>
      <c r="T73" s="701" t="str">
        <f t="shared" si="6"/>
        <v/>
      </c>
      <c r="Z73" s="702" t="str">
        <f>IF(B73="個別病床",はじめに入力してください!$K$50,IF(B73="共通使用",はじめに入力してください!$K$52,""))</f>
        <v/>
      </c>
      <c r="AB73" s="12">
        <v>44</v>
      </c>
      <c r="AC73" s="701" t="str">
        <f t="shared" si="7"/>
        <v>○</v>
      </c>
      <c r="AD73" s="702" t="str">
        <f t="shared" si="8"/>
        <v>整備しない場合は入力不要です。</v>
      </c>
    </row>
    <row r="74" spans="1:30">
      <c r="A74" s="12">
        <v>45</v>
      </c>
      <c r="B74" s="6"/>
      <c r="C74" s="6"/>
      <c r="D74" s="6"/>
      <c r="E74" s="10"/>
      <c r="F74" s="7"/>
      <c r="G74" s="541"/>
      <c r="H74" s="15">
        <f t="shared" si="0"/>
        <v>0</v>
      </c>
      <c r="I74" s="4">
        <f t="shared" si="1"/>
        <v>0</v>
      </c>
      <c r="J74" s="9"/>
      <c r="K74" s="609"/>
      <c r="L74" s="609"/>
      <c r="M74" s="609"/>
      <c r="N74" s="4">
        <f t="shared" si="2"/>
        <v>0</v>
      </c>
      <c r="O74" s="5" t="str">
        <f>IF(AC74="◎",COUNTIF($AC$30:AC74,"◎"),"")</f>
        <v/>
      </c>
      <c r="Q74" s="610" t="str">
        <f t="shared" si="3"/>
        <v/>
      </c>
      <c r="R74" s="701" t="str">
        <f t="shared" si="4"/>
        <v/>
      </c>
      <c r="S74" s="701" t="str">
        <f t="shared" si="5"/>
        <v/>
      </c>
      <c r="T74" s="701" t="str">
        <f t="shared" si="6"/>
        <v/>
      </c>
      <c r="Z74" s="702" t="str">
        <f>IF(B74="個別病床",はじめに入力してください!$K$50,IF(B74="共通使用",はじめに入力してください!$K$52,""))</f>
        <v/>
      </c>
      <c r="AB74" s="12">
        <v>45</v>
      </c>
      <c r="AC74" s="701" t="str">
        <f t="shared" si="7"/>
        <v>○</v>
      </c>
      <c r="AD74" s="702" t="str">
        <f t="shared" si="8"/>
        <v>整備しない場合は入力不要です。</v>
      </c>
    </row>
  </sheetData>
  <sheetProtection algorithmName="SHA-512" hashValue="3utVuqvV/gqE8KjXSkcVPODdj1Kt/NGhca/DI18b9juomwvd6w5hIsEp1mdN+T5noiEjbeWAjvJzCIRJ99DeJA==" saltValue="nNHfW3GRvxHKGwq4yxbc+g==" spinCount="100000" sheet="1" objects="1" scenarios="1"/>
  <mergeCells count="25">
    <mergeCell ref="N1:P1"/>
    <mergeCell ref="B22:O22"/>
    <mergeCell ref="B2:D3"/>
    <mergeCell ref="AC3:AC5"/>
    <mergeCell ref="AD3:AD5"/>
    <mergeCell ref="AC7:AC8"/>
    <mergeCell ref="AD7:AD8"/>
    <mergeCell ref="B10:O10"/>
    <mergeCell ref="B13:O13"/>
    <mergeCell ref="B14:O14"/>
    <mergeCell ref="B15:O15"/>
    <mergeCell ref="B18:O21"/>
    <mergeCell ref="B7:O7"/>
    <mergeCell ref="B9:C9"/>
    <mergeCell ref="B12:O12"/>
    <mergeCell ref="B26:O26"/>
    <mergeCell ref="AC27:AC28"/>
    <mergeCell ref="AD27:AD28"/>
    <mergeCell ref="B28:D28"/>
    <mergeCell ref="E28:F28"/>
    <mergeCell ref="G28:J28"/>
    <mergeCell ref="N28:N29"/>
    <mergeCell ref="O28:O29"/>
    <mergeCell ref="K28:M28"/>
    <mergeCell ref="Q28:Q29"/>
  </mergeCells>
  <phoneticPr fontId="9"/>
  <conditionalFormatting sqref="AC1:AC2 AC11:AC21 AC6 AC23:AC27 AC75:AC1048576">
    <cfRule type="containsText" dxfId="64" priority="12" operator="containsText" text="×">
      <formula>NOT(ISERROR(SEARCH("×",AC1)))</formula>
    </cfRule>
  </conditionalFormatting>
  <conditionalFormatting sqref="AD1:AD2 AD11:AD21 AD29 AD6 AD23:AD27 AD75:AD1048576">
    <cfRule type="containsText" dxfId="63" priority="11" operator="containsText" text="要修正">
      <formula>NOT(ISERROR(SEARCH("要修正",AD1)))</formula>
    </cfRule>
  </conditionalFormatting>
  <conditionalFormatting sqref="AC22">
    <cfRule type="containsText" dxfId="62" priority="10" operator="containsText" text="×">
      <formula>NOT(ISERROR(SEARCH("×",AC22)))</formula>
    </cfRule>
  </conditionalFormatting>
  <conditionalFormatting sqref="AD22">
    <cfRule type="containsText" dxfId="61" priority="9" operator="containsText" text="要修正">
      <formula>NOT(ISERROR(SEARCH("要修正",AD22)))</formula>
    </cfRule>
  </conditionalFormatting>
  <conditionalFormatting sqref="AC9:AC10 AC7">
    <cfRule type="containsText" dxfId="60" priority="8" operator="containsText" text="×">
      <formula>NOT(ISERROR(SEARCH("×",AC7)))</formula>
    </cfRule>
  </conditionalFormatting>
  <conditionalFormatting sqref="AD9:AD10 AD7">
    <cfRule type="containsText" dxfId="59" priority="7" operator="containsText" text="要修正">
      <formula>NOT(ISERROR(SEARCH("要修正",AD7)))</formula>
    </cfRule>
  </conditionalFormatting>
  <conditionalFormatting sqref="AC3:AC4">
    <cfRule type="containsText" dxfId="58" priority="6" operator="containsText" text="×">
      <formula>NOT(ISERROR(SEARCH("×",AC3)))</formula>
    </cfRule>
  </conditionalFormatting>
  <conditionalFormatting sqref="AD3:AD4">
    <cfRule type="containsText" dxfId="57" priority="5" operator="containsText" text="要修正">
      <formula>NOT(ISERROR(SEARCH("要修正",AD3)))</formula>
    </cfRule>
  </conditionalFormatting>
  <conditionalFormatting sqref="AC29">
    <cfRule type="containsText" dxfId="56" priority="2" operator="containsText" text="×">
      <formula>NOT(ISERROR(SEARCH("×",AC29)))</formula>
    </cfRule>
  </conditionalFormatting>
  <conditionalFormatting sqref="AD30:AD74">
    <cfRule type="containsText" dxfId="55" priority="3" operator="containsText" text="要修正">
      <formula>NOT(ISERROR(SEARCH("要修正",AD30)))</formula>
    </cfRule>
  </conditionalFormatting>
  <conditionalFormatting sqref="AC30:AC74">
    <cfRule type="containsText" dxfId="54" priority="1" operator="containsText" text="×">
      <formula>NOT(ISERROR(SEARCH("×",AC30)))</formula>
    </cfRule>
  </conditionalFormatting>
  <dataValidations count="10">
    <dataValidation allowBlank="1" showInputMessage="1" showErrorMessage="1" promptTitle="割引額がある場合は入力" prompt="割引がない場合は「0円」のままとしてください。" sqref="I3" xr:uid="{00000000-0002-0000-1500-000000000000}"/>
    <dataValidation allowBlank="1" showInputMessage="1" showErrorMessage="1" promptTitle="補助対象金額" prompt="補助対象額×（見積書金額-割引額）/見積書金額_x000a_で算出されます。" sqref="J3:M3" xr:uid="{00000000-0002-0000-1500-000001000000}"/>
    <dataValidation allowBlank="1" showInputMessage="1" showErrorMessage="1" promptTitle="規格及び数量の入力" prompt="補助対象経費を計上する際、いずれも入力してください。" sqref="E30:E74" xr:uid="{A6C21FE4-D779-4361-80FC-C4D915CD16D0}"/>
    <dataValidation allowBlank="1" showInputMessage="1" showErrorMessage="1" promptTitle="単価の入力" prompt="税抜額または税込額のいずれかを入力してください。_x000a_入力しない方は「0」は入力せず、空欄としてください。" sqref="H30:H74" xr:uid="{CF6D01E0-6EB2-45C1-B600-305822B90FC8}"/>
    <dataValidation allowBlank="1" showInputMessage="1" showErrorMessage="1" promptTitle="添付書類番号" prompt="種類、規格、数量、単価が全て適切に入力され、右の「判定」が「◎」と表示されると自動で番号が表示されます。" sqref="O30:O74" xr:uid="{579D1DFB-6660-45B3-B3E4-D266F7C632E4}"/>
    <dataValidation allowBlank="1" showInputMessage="1" showErrorMessage="1" promptTitle="金額の表示" prompt="数式が入力されているため、自動計算されます。" sqref="N30:N74 I30:I74" xr:uid="{C5A25DC2-1BFE-45C5-8ED6-BB9C8D26B7A4}"/>
    <dataValidation type="list" allowBlank="1" showInputMessage="1" showErrorMessage="1" promptTitle="補助対象の該当非該当" prompt="コロナ対応病床の初度設備に係る経費が対象となります。_x000a_共用部分の設備、備品や医療用消耗品等は補助対象外なので「対象外」を選択してください。_x000a_審査において確認、対象外と認めたものについては対象外として補正をお願いする場合があります。" sqref="J30:J74" xr:uid="{2DFACFEE-C9AA-496D-8C77-72CCB476C0F7}">
      <formula1>"補助対象,補助対象外"</formula1>
    </dataValidation>
    <dataValidation type="list" allowBlank="1" showInputMessage="1" showErrorMessage="1" promptTitle="設備、備品、その他の別を選択" prompt="当該行に記載する品目が_x000a_・「設備」（設備本体）_x000a_・備品（本体設備と別の構成をなすもの）_x000a_・その他（上記の該当しないもの）_x000a_の別をプルダウンから選択してください。" sqref="D30:D74" xr:uid="{BE0D51E9-FF7D-44A2-A5E6-A3938F3AAF89}">
      <formula1>"設備,備品,その他"</formula1>
    </dataValidation>
    <dataValidation type="decimal" operator="greaterThanOrEqual" allowBlank="1" showInputMessage="1" showErrorMessage="1" promptTitle="単価の入力" prompt="税抜額または税込額のいずれかを入力してください。_x000a_入力しない方は「0」は入力せず、空欄としてください。" sqref="G30:G74" xr:uid="{7A980563-38E3-4B4D-AC06-69398CFD56F7}">
      <formula1>0</formula1>
    </dataValidation>
    <dataValidation type="whole" operator="greaterThanOrEqual" allowBlank="1" showInputMessage="1" showErrorMessage="1" errorTitle="数値のみを入力してください。" error="「個」、「枚」等の単位入力は不要です。" promptTitle="規格及び数量の入力" prompt="補助対象経費を計上する際、いずれも入力してください。" sqref="F30:F74" xr:uid="{F57BD037-4DBD-41EC-B49F-3D30FFE14DE5}">
      <formula1>0</formula1>
    </dataValidation>
  </dataValidations>
  <pageMargins left="0.7" right="0.7" top="0.75" bottom="0.75" header="0.3" footer="0.3"/>
  <pageSetup paperSize="9" scale="44" orientation="portrait" r:id="rId1"/>
  <drawing r:id="rId2"/>
  <legacyDrawing r:id="rId3"/>
  <extLst>
    <ext xmlns:x14="http://schemas.microsoft.com/office/spreadsheetml/2009/9/main" uri="{CCE6A557-97BC-4b89-ADB6-D9C93CAAB3DF}">
      <x14:dataValidations xmlns:xm="http://schemas.microsoft.com/office/excel/2006/main" count="6">
        <x14:dataValidation type="list" allowBlank="1" showInputMessage="1" showErrorMessage="1" promptTitle="「用途先」病床の選択（左の「病床」を選択しないと表示されません。" prompt="ベッドに必ずしも紐付けるものではありませんが、１病床１台で紐付けした場合、整備する病床に番号付けをした場合の番号を選択してください。" xr:uid="{27225247-5570-4068-B564-C802873FB932}">
          <x14:formula1>
            <xm:f>OFFSET(テーブル!$X$48, 0, MATCH(B30,テーブル!$Y$47:$Z$47,0), COUNTA(OFFSET(テーブル!$X$48,0,MATCH(B30,テーブル!$Y$47:$Z$47,0),$Z$30,1)),1)</xm:f>
          </x14:formula1>
          <xm:sqref>C30:C74</xm:sqref>
        </x14:dataValidation>
        <x14:dataValidation type="list" allowBlank="1" showInputMessage="1" showErrorMessage="1" promptTitle="配備先の別を選択" prompt="確保病床の共通使用のものか、個別のベッドに配備するものか選択してください。" xr:uid="{29BB1B55-0D62-4255-A761-AF302211E322}">
          <x14:formula1>
            <xm:f>テーブル!$X$48:$X$49</xm:f>
          </x14:formula1>
          <xm:sqref>B30:B74</xm:sqref>
        </x14:dataValidation>
        <x14:dataValidation type="list" allowBlank="1" showInputMessage="1" showErrorMessage="1" xr:uid="{00000000-0002-0000-1500-00000A000000}">
          <x14:formula1>
            <xm:f>テーブル!$M$37:$M$51</xm:f>
          </x14:formula1>
          <xm:sqref>B2:D2</xm:sqref>
        </x14:dataValidation>
        <x14:dataValidation type="list" allowBlank="1" showInputMessage="1" showErrorMessage="1" xr:uid="{D202C00C-AE22-410B-BD27-9BE9031F9C74}">
          <x14:formula1>
            <xm:f>テーブル!$K$2:$K$32</xm:f>
          </x14:formula1>
          <xm:sqref>M30:M74</xm:sqref>
        </x14:dataValidation>
        <x14:dataValidation type="list" allowBlank="1" showInputMessage="1" showErrorMessage="1" xr:uid="{1596860D-E991-4915-A6E2-F34D2DB2F6D5}">
          <x14:formula1>
            <xm:f>テーブル!$J$2:$J$7</xm:f>
          </x14:formula1>
          <xm:sqref>L30:L74</xm:sqref>
        </x14:dataValidation>
        <x14:dataValidation type="list" allowBlank="1" showInputMessage="1" showErrorMessage="1" xr:uid="{F24F0EEE-3830-42D5-A397-6AB0672B4CB9}">
          <x14:formula1>
            <xm:f>テーブル!$I$2:$I$3</xm:f>
          </x14:formula1>
          <xm:sqref>K30:K74</xm:sqref>
        </x14:dataValidation>
      </x14:dataValidations>
    </ext>
  </extLst>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2">
    <tabColor theme="4" tint="0.79998168889431442"/>
    <pageSetUpPr fitToPage="1"/>
  </sheetPr>
  <dimension ref="A1:AF74"/>
  <sheetViews>
    <sheetView showGridLines="0" view="pageBreakPreview" topLeftCell="A15" zoomScale="60" zoomScaleNormal="100" workbookViewId="0">
      <selection activeCell="B26" sqref="B26:L26"/>
    </sheetView>
  </sheetViews>
  <sheetFormatPr defaultColWidth="8.625" defaultRowHeight="18"/>
  <cols>
    <col min="1" max="1" width="3.625" style="12" customWidth="1"/>
    <col min="2" max="4" width="8.625" style="19"/>
    <col min="5" max="5" width="30.625" style="19" customWidth="1"/>
    <col min="6" max="6" width="8.625" style="19"/>
    <col min="7" max="11" width="12.625" style="19" customWidth="1"/>
    <col min="12" max="12" width="8.625" style="19"/>
    <col min="13" max="13" width="3.625" style="19" customWidth="1"/>
    <col min="14" max="23" width="8.625" style="19"/>
    <col min="24" max="24" width="8.625" style="19" customWidth="1"/>
    <col min="25" max="25" width="3.625" style="12" customWidth="1"/>
    <col min="26" max="26" width="8.625" style="19"/>
    <col min="27" max="27" width="40.625" style="19" customWidth="1"/>
    <col min="28" max="28" width="3.625" style="19" customWidth="1"/>
    <col min="29" max="32" width="8.625" style="19"/>
    <col min="33" max="33" width="30.625" style="19" customWidth="1"/>
    <col min="34" max="16384" width="8.625" style="19"/>
  </cols>
  <sheetData>
    <row r="1" spans="1:32" ht="20.100000000000001" customHeight="1">
      <c r="K1" s="1829" t="str">
        <f xml:space="preserve">
IF(表紙!X2="交付申請兼実績報告","（４月１日～５月７日分）",
IF(OR(表紙!X2="事前協議",表紙!X2="交付申請",表紙!X2="変更申請",表紙!X2="実績報告"),"（５月８日～９月30日分）",
))</f>
        <v>（５月８日～９月30日分）</v>
      </c>
      <c r="L1" s="1364"/>
      <c r="M1" s="1364"/>
    </row>
    <row r="2" spans="1:32" ht="20.100000000000001" customHeight="1">
      <c r="B2" s="1817" t="s">
        <v>430</v>
      </c>
      <c r="C2" s="1818"/>
      <c r="D2" s="1819"/>
      <c r="H2" s="5" t="s">
        <v>538</v>
      </c>
      <c r="I2" s="374" t="s">
        <v>539</v>
      </c>
      <c r="J2" s="5" t="s">
        <v>44</v>
      </c>
      <c r="Z2" s="374" t="s">
        <v>419</v>
      </c>
      <c r="AA2" s="374" t="s">
        <v>417</v>
      </c>
      <c r="AC2" s="374" t="str">
        <f>Z9</f>
        <v>×</v>
      </c>
      <c r="AD2" s="374" t="str">
        <f>Z15</f>
        <v>◎</v>
      </c>
      <c r="AE2" s="374" t="str">
        <f>Z22</f>
        <v>◎</v>
      </c>
      <c r="AF2" s="374" t="str">
        <f>Z26</f>
        <v>◎</v>
      </c>
    </row>
    <row r="3" spans="1:32" ht="20.100000000000001" customHeight="1">
      <c r="B3" s="1820"/>
      <c r="C3" s="1821"/>
      <c r="D3" s="1822"/>
      <c r="H3" s="358">
        <f>SUM(I30:I74)</f>
        <v>30800000</v>
      </c>
      <c r="I3" s="8"/>
      <c r="J3" s="358">
        <f>IFERROR(ROUNDUP(SUM(K30:K74)*((H3-I3)/H3),0),0)</f>
        <v>30800000</v>
      </c>
      <c r="Z3" s="863" t="str">
        <f xml:space="preserve">
IF(COUNTIF(AD2:AF2,"○")=3,"○",
IF(COUNTIF(AD2:AF2,"◎")=3,"◎","×"
))</f>
        <v>◎</v>
      </c>
      <c r="AA3" s="1812" t="str">
        <f xml:space="preserve">
IF(Z3="○","整備しない場合は入力不要です。",
IF(Z3="×","【要修正】入力が不十分な箇所があります。",
IF(Z3="◎","適切に入力がされました。")))</f>
        <v>適切に入力がされました。</v>
      </c>
    </row>
    <row r="4" spans="1:32" ht="9.9499999999999993" customHeight="1">
      <c r="Z4" s="863"/>
      <c r="AA4" s="1812"/>
    </row>
    <row r="5" spans="1:32" ht="20.100000000000001" customHeight="1">
      <c r="B5" s="393" t="s">
        <v>55</v>
      </c>
      <c r="C5" s="393"/>
      <c r="D5" s="393"/>
      <c r="E5" s="393"/>
      <c r="F5" s="393"/>
      <c r="G5" s="393"/>
      <c r="H5" s="393"/>
      <c r="I5" s="393"/>
      <c r="J5" s="393"/>
      <c r="K5" s="393"/>
      <c r="L5" s="393"/>
      <c r="Z5" s="908"/>
      <c r="AA5" s="843"/>
    </row>
    <row r="6" spans="1:32" ht="9.9499999999999993" customHeight="1"/>
    <row r="7" spans="1:32" ht="20.100000000000001" customHeight="1">
      <c r="B7" s="1833" t="str">
        <f xml:space="preserve">
IF(OR(表紙!X2="事前協議",表紙!X2="交付申請"),"（１）整備を行う対象の新規で指定を受けた確保病床数あるいは、確保病床を有しない場合は整備を行う病床の数",
IF(表紙!X2="交付申請兼実績報告","（１）整備を行う対象の新規で指定を受けた確保病床数"))</f>
        <v>（１）整備を行う対象の新規で指定を受けた確保病床数あるいは、確保病床を有しない場合は整備を行う病床の数</v>
      </c>
      <c r="C7" s="932"/>
      <c r="D7" s="932"/>
      <c r="E7" s="932"/>
      <c r="F7" s="932"/>
      <c r="G7" s="932"/>
      <c r="H7" s="932"/>
      <c r="I7" s="932"/>
      <c r="J7" s="932"/>
      <c r="K7" s="932"/>
      <c r="L7" s="932"/>
      <c r="Z7" s="1808" t="s">
        <v>415</v>
      </c>
      <c r="AA7" s="1808" t="s">
        <v>417</v>
      </c>
    </row>
    <row r="8" spans="1:32" ht="9.9499999999999993" customHeight="1">
      <c r="Z8" s="1809"/>
      <c r="AA8" s="1809"/>
    </row>
    <row r="9" spans="1:32" ht="35.1" customHeight="1">
      <c r="B9" s="1834" t="s">
        <v>56</v>
      </c>
      <c r="C9" s="1835"/>
      <c r="D9" s="205" t="str">
        <f>IF(はじめに入力してください!K50="","",はじめに入力してください!K50)</f>
        <v/>
      </c>
      <c r="E9" s="359"/>
      <c r="F9" s="360"/>
      <c r="G9" s="360"/>
      <c r="H9" s="360"/>
      <c r="I9" s="360"/>
      <c r="J9" s="361"/>
      <c r="K9" s="361"/>
      <c r="L9" s="361"/>
      <c r="Z9" s="374" t="str">
        <f xml:space="preserve">
IF(D9="","×",
IF(D9=0,"○",
IF(D9&gt;=1,"◎",
)))</f>
        <v>×</v>
      </c>
      <c r="AA9" s="395" t="str">
        <f xml:space="preserve">
IF(D9="","【要修正】「はじめに入力してください」シートに整備を行う病床の数を入力してください。",
IF(D9=0,"申請しない場合は以下入力不要です。",
IF(D9&gt;=1,"適切に入力されました。",
)))</f>
        <v>【要修正】「はじめに入力してください」シートに整備を行う病床の数を入力してください。</v>
      </c>
    </row>
    <row r="10" spans="1:32" ht="20.100000000000001" customHeight="1">
      <c r="B10" s="1830"/>
      <c r="C10" s="1831"/>
      <c r="D10" s="1832"/>
      <c r="E10" s="1832"/>
      <c r="F10" s="1832"/>
      <c r="G10" s="1832"/>
      <c r="H10" s="1832"/>
      <c r="I10" s="1832"/>
      <c r="J10" s="1832"/>
      <c r="K10" s="1832"/>
      <c r="L10" s="1832"/>
    </row>
    <row r="11" spans="1:32" ht="20.100000000000001" hidden="1" customHeight="1"/>
    <row r="12" spans="1:32" ht="20.100000000000001" customHeight="1">
      <c r="B12" s="1833" t="s">
        <v>57</v>
      </c>
      <c r="C12" s="932"/>
      <c r="D12" s="932"/>
      <c r="E12" s="932"/>
      <c r="F12" s="932"/>
      <c r="G12" s="932"/>
      <c r="H12" s="932"/>
      <c r="I12" s="932"/>
      <c r="J12" s="932"/>
      <c r="K12" s="932"/>
      <c r="L12" s="932"/>
    </row>
    <row r="13" spans="1:32" ht="39.950000000000003" customHeight="1">
      <c r="B13" s="1813" t="s">
        <v>540</v>
      </c>
      <c r="C13" s="931"/>
      <c r="D13" s="931"/>
      <c r="E13" s="931"/>
      <c r="F13" s="931"/>
      <c r="G13" s="931"/>
      <c r="H13" s="931"/>
      <c r="I13" s="931"/>
      <c r="J13" s="931"/>
      <c r="K13" s="931"/>
      <c r="L13" s="931"/>
    </row>
    <row r="14" spans="1:32" s="392" customFormat="1" ht="99.95" customHeight="1">
      <c r="A14" s="13"/>
      <c r="B14" s="1813" t="str">
        <f>VLOOKUP(B2,テーブル!M37:N51,2,FALSE)</f>
        <v>（例）当院では人工呼吸器での装着が必要な重症患者の受入を中心に行っており、超音波画像診断装置を用いた肺炎等の状態の確認が必要不可欠となっている。
　　　今年度に入りこれまで、1日あたり平均○人の患者に対して行う必要性があったが、当院が所在する地域における感染拡大が顕著であり受け入れ要請が
　　　既存機器でもってしては対応しきれず受け入れを断らざるを得ない状況が生じている。
　　　（既存の配備状況、受け入れ状況及び機器整備状況については別紙のとおり。）
　　　今後も同様の状況が生じることが見込まれるため、新たに○人への対応が可能となるよう、○台の整備を行いたい。</v>
      </c>
      <c r="C14" s="1645"/>
      <c r="D14" s="1645"/>
      <c r="E14" s="1645"/>
      <c r="F14" s="1645"/>
      <c r="G14" s="1645"/>
      <c r="H14" s="1645"/>
      <c r="I14" s="1645"/>
      <c r="J14" s="1645"/>
      <c r="K14" s="1645"/>
      <c r="L14" s="1645"/>
      <c r="Y14" s="13"/>
      <c r="Z14" s="373" t="s">
        <v>415</v>
      </c>
      <c r="AA14" s="373" t="s">
        <v>416</v>
      </c>
    </row>
    <row r="15" spans="1:32" ht="120" customHeight="1">
      <c r="B15" s="1814" t="s">
        <v>1321</v>
      </c>
      <c r="C15" s="1815"/>
      <c r="D15" s="1815"/>
      <c r="E15" s="1815"/>
      <c r="F15" s="1815"/>
      <c r="G15" s="1815"/>
      <c r="H15" s="1815"/>
      <c r="I15" s="1815"/>
      <c r="J15" s="1815"/>
      <c r="K15" s="1815"/>
      <c r="L15" s="1816"/>
      <c r="Z15" s="374" t="str">
        <f xml:space="preserve">
IF(COUNTA(B15)=0,"○",
IF(COUNTA(B15)=1,"◎"))</f>
        <v>◎</v>
      </c>
      <c r="AA15" s="395" t="str">
        <f xml:space="preserve">
IF(COUNTA(B15)=0,"整備しない場合は入力不要です。",
IF(COUNTA(B15)=1,"入力された状態になりました。"))</f>
        <v>入力された状態になりました。</v>
      </c>
    </row>
    <row r="16" spans="1:32" ht="20.100000000000001" customHeight="1"/>
    <row r="17" spans="1:27" ht="20.100000000000001" customHeight="1">
      <c r="B17" s="393" t="s">
        <v>454</v>
      </c>
      <c r="C17" s="393"/>
      <c r="D17" s="393"/>
      <c r="E17" s="393"/>
      <c r="F17" s="393"/>
      <c r="G17" s="393"/>
      <c r="H17" s="393"/>
      <c r="I17" s="393"/>
      <c r="J17" s="393"/>
      <c r="K17" s="393"/>
      <c r="L17" s="393"/>
    </row>
    <row r="18" spans="1:27" ht="20.100000000000001" customHeight="1">
      <c r="B18" s="1813" t="s">
        <v>482</v>
      </c>
      <c r="C18" s="931"/>
      <c r="D18" s="931"/>
      <c r="E18" s="931"/>
      <c r="F18" s="931"/>
      <c r="G18" s="931"/>
      <c r="H18" s="931"/>
      <c r="I18" s="931"/>
      <c r="J18" s="931"/>
      <c r="K18" s="931"/>
      <c r="L18" s="931"/>
    </row>
    <row r="19" spans="1:27" ht="20.100000000000001" customHeight="1">
      <c r="B19" s="1813"/>
      <c r="C19" s="931"/>
      <c r="D19" s="931"/>
      <c r="E19" s="931"/>
      <c r="F19" s="931"/>
      <c r="G19" s="931"/>
      <c r="H19" s="931"/>
      <c r="I19" s="931"/>
      <c r="J19" s="931"/>
      <c r="K19" s="931"/>
      <c r="L19" s="931"/>
    </row>
    <row r="20" spans="1:27" ht="20.100000000000001" customHeight="1">
      <c r="B20" s="1813"/>
      <c r="C20" s="931"/>
      <c r="D20" s="931"/>
      <c r="E20" s="931"/>
      <c r="F20" s="931"/>
      <c r="G20" s="931"/>
      <c r="H20" s="931"/>
      <c r="I20" s="931"/>
      <c r="J20" s="931"/>
      <c r="K20" s="931"/>
      <c r="L20" s="931"/>
    </row>
    <row r="21" spans="1:27" ht="20.100000000000001" customHeight="1">
      <c r="B21" s="931"/>
      <c r="C21" s="931"/>
      <c r="D21" s="931"/>
      <c r="E21" s="931"/>
      <c r="F21" s="931"/>
      <c r="G21" s="931"/>
      <c r="H21" s="931"/>
      <c r="I21" s="931"/>
      <c r="J21" s="931"/>
      <c r="K21" s="931"/>
      <c r="L21" s="931"/>
    </row>
    <row r="22" spans="1:27" ht="120" customHeight="1">
      <c r="B22" s="1814" t="s">
        <v>1321</v>
      </c>
      <c r="C22" s="1815"/>
      <c r="D22" s="1815"/>
      <c r="E22" s="1815"/>
      <c r="F22" s="1815"/>
      <c r="G22" s="1815"/>
      <c r="H22" s="1815"/>
      <c r="I22" s="1815"/>
      <c r="J22" s="1815"/>
      <c r="K22" s="1815"/>
      <c r="L22" s="1816"/>
      <c r="Z22" s="374" t="str">
        <f xml:space="preserve">
IF(COUNTA(B22)=0,"○",
IF(COUNTA(B22)=1,"◎"))</f>
        <v>◎</v>
      </c>
      <c r="AA22" s="395" t="str">
        <f xml:space="preserve">
IF(COUNTA(B22)=0,"整備しない場合は入力不要です。",
IF(COUNTA(B22)=1,"入力された状態になりました。"))</f>
        <v>入力された状態になりました。</v>
      </c>
    </row>
    <row r="23" spans="1:27" ht="20.100000000000001" customHeight="1"/>
    <row r="24" spans="1:27" ht="20.100000000000001" customHeight="1">
      <c r="B24" s="393" t="s">
        <v>453</v>
      </c>
      <c r="C24" s="393"/>
      <c r="D24" s="393"/>
      <c r="E24" s="393"/>
      <c r="F24" s="393"/>
      <c r="G24" s="393"/>
      <c r="H24" s="393"/>
      <c r="I24" s="393"/>
      <c r="J24" s="393"/>
      <c r="K24" s="393"/>
      <c r="L24" s="393"/>
      <c r="Z24" s="14"/>
    </row>
    <row r="25" spans="1:27" ht="9.9499999999999993" customHeight="1"/>
    <row r="26" spans="1:27" ht="60" customHeight="1">
      <c r="B26" s="1813" t="s">
        <v>561</v>
      </c>
      <c r="C26" s="932"/>
      <c r="D26" s="932"/>
      <c r="E26" s="932"/>
      <c r="F26" s="932"/>
      <c r="G26" s="932"/>
      <c r="H26" s="932"/>
      <c r="I26" s="932"/>
      <c r="J26" s="932"/>
      <c r="K26" s="932"/>
      <c r="L26" s="932"/>
      <c r="Z26" s="374" t="str">
        <f xml:space="preserve">
IF(COUNTIF(Z30:Z74,"○")=45,"○",
IF(COUNTIF(Z30:Z74,"×")&gt;=1,"×",
IF(AND(COUNTIF(Z30:Z74,"◎")&gt;=1,COUNTIF(Z30:Z74,"×")=0),"◎")))</f>
        <v>◎</v>
      </c>
      <c r="AA26" s="395" t="str">
        <f xml:space="preserve">
IF(COUNTIF(Z30:Z74,"○")=45,"整備しない場合は入力不要です。",
IF(COUNTIF(Z30:Z74,"×")&gt;=1,"【要修正】入力が不十分な箇所があります。",
IF(AND(COUNTIF(Z30:Z74,"◎")&gt;=1,COUNTIF(Z30:Z74,"×")=0),"適切に入力がされました。")))</f>
        <v>適切に入力がされました。</v>
      </c>
    </row>
    <row r="27" spans="1:27" ht="9.9499999999999993" customHeight="1">
      <c r="Z27" s="1807" t="s">
        <v>418</v>
      </c>
      <c r="AA27" s="1810" t="s">
        <v>420</v>
      </c>
    </row>
    <row r="28" spans="1:27">
      <c r="B28" s="1823" t="s">
        <v>41</v>
      </c>
      <c r="C28" s="1824"/>
      <c r="D28" s="1825"/>
      <c r="E28" s="1823" t="s">
        <v>42</v>
      </c>
      <c r="F28" s="1825"/>
      <c r="G28" s="1823" t="s">
        <v>43</v>
      </c>
      <c r="H28" s="1824"/>
      <c r="I28" s="1824"/>
      <c r="J28" s="1825"/>
      <c r="K28" s="1826" t="s">
        <v>44</v>
      </c>
      <c r="L28" s="1826" t="s">
        <v>45</v>
      </c>
      <c r="Z28" s="1084"/>
      <c r="AA28" s="1811"/>
    </row>
    <row r="29" spans="1:27">
      <c r="B29" s="3" t="s">
        <v>46</v>
      </c>
      <c r="C29" s="3" t="s">
        <v>47</v>
      </c>
      <c r="D29" s="3" t="s">
        <v>48</v>
      </c>
      <c r="E29" s="3" t="s">
        <v>54</v>
      </c>
      <c r="F29" s="3" t="s">
        <v>49</v>
      </c>
      <c r="G29" s="3" t="s">
        <v>50</v>
      </c>
      <c r="H29" s="3" t="s">
        <v>51</v>
      </c>
      <c r="I29" s="3" t="s">
        <v>52</v>
      </c>
      <c r="J29" s="3" t="s">
        <v>53</v>
      </c>
      <c r="K29" s="1827"/>
      <c r="L29" s="1827"/>
      <c r="Z29" s="374" t="s">
        <v>415</v>
      </c>
      <c r="AA29" s="374" t="s">
        <v>417</v>
      </c>
    </row>
    <row r="30" spans="1:27">
      <c r="A30" s="12">
        <v>1</v>
      </c>
      <c r="B30" s="6"/>
      <c r="C30" s="6"/>
      <c r="D30" s="6"/>
      <c r="E30" s="10"/>
      <c r="F30" s="7"/>
      <c r="G30" s="541"/>
      <c r="H30" s="15">
        <f>ROUNDDOWN(G30*1.1,0)</f>
        <v>0</v>
      </c>
      <c r="I30" s="4">
        <f>F30*H30</f>
        <v>0</v>
      </c>
      <c r="J30" s="9"/>
      <c r="K30" s="4">
        <f>IF(J30="補助対象",I30,IF(J30="補助対象外",0,0))</f>
        <v>0</v>
      </c>
      <c r="L30" s="5" t="str">
        <f>IF(Z30="◎",COUNTIF($Z$30:Z30,"◎"),"")</f>
        <v/>
      </c>
      <c r="W30" s="395" t="str">
        <f>IF(B30="個別病床",はじめに入力してください!$K$50,IF(B30="共通使用",はじめに入力してください!$K$52,""))</f>
        <v/>
      </c>
      <c r="Y30" s="12">
        <v>1</v>
      </c>
      <c r="Z30" s="374" t="str">
        <f xml:space="preserve">
IF(SUM(COUNTA(B30:G30),COUNTA(J30))=0,"○",
IF(AND(SUM(COUNTA(B30:G30),COUNTA(J30))&gt;0,SUM(COUNTA(B30:G30),COUNTA(J30))&lt;7),"×",
IF(SUM(COUNTA(B30:G30),COUNTA(J30))=7,"◎")))</f>
        <v>○</v>
      </c>
      <c r="AA30" s="395" t="str">
        <f xml:space="preserve">
IF(SUM(COUNTA(B30:G30),COUNTA(J30))=0,"整備しない場合は入力不要です。",
IF(AND(SUM(COUNTA(B30:G30),COUNTA(J30))&gt;0,SUM(COUNTA(B30:G30),COUNTA(J30))&lt;7),"【要修正】未入力の箇所があります。",
IF(SUM(COUNTA(B30:G30),COUNTA(J30))=7,"適切に入力がされました。")))</f>
        <v>整備しない場合は入力不要です。</v>
      </c>
    </row>
    <row r="31" spans="1:27">
      <c r="A31" s="12">
        <v>2</v>
      </c>
      <c r="B31" s="6"/>
      <c r="C31" s="6"/>
      <c r="D31" s="6"/>
      <c r="E31" s="10"/>
      <c r="F31" s="7"/>
      <c r="G31" s="541"/>
      <c r="H31" s="15">
        <f t="shared" ref="H31:H74" si="0">ROUNDDOWN(G31*1.1,0)</f>
        <v>0</v>
      </c>
      <c r="I31" s="4">
        <f t="shared" ref="I31:I74" si="1">F31*H31</f>
        <v>0</v>
      </c>
      <c r="J31" s="9"/>
      <c r="K31" s="4">
        <f t="shared" ref="K31:K74" si="2">IF(J31="補助対象",I31,IF(J31="補助対象外",0,0))</f>
        <v>0</v>
      </c>
      <c r="L31" s="5" t="str">
        <f>IF(Z31="◎",COUNTIF($Z$30:Z31,"◎"),"")</f>
        <v/>
      </c>
      <c r="W31" s="395" t="str">
        <f>IF(B31="個別病床",はじめに入力してください!$K$50,IF(B31="共通使用",はじめに入力してください!$K$52,""))</f>
        <v/>
      </c>
      <c r="Y31" s="12">
        <v>2</v>
      </c>
      <c r="Z31" s="374" t="str">
        <f t="shared" ref="Z31:Z74" si="3" xml:space="preserve">
IF(SUM(COUNTA(B31:G31),COUNTA(J31))=0,"○",
IF(AND(SUM(COUNTA(B31:G31),COUNTA(J31))&gt;0,SUM(COUNTA(B31:G31),COUNTA(J31))&lt;7),"×",
IF(SUM(COUNTA(B31:G31),COUNTA(J31))=7,"◎")))</f>
        <v>○</v>
      </c>
      <c r="AA31" s="395" t="str">
        <f t="shared" ref="AA31:AA74" si="4" xml:space="preserve">
IF(SUM(COUNTA(B31:G31),COUNTA(J31))=0,"整備しない場合は入力不要です。",
IF(AND(SUM(COUNTA(B31:G31),COUNTA(J31))&gt;0,SUM(COUNTA(B31:G31),COUNTA(J31))&lt;7),"【要修正】未入力の箇所があります。",
IF(SUM(COUNTA(B31:G31),COUNTA(J31))=7,"適切に入力がされました。")))</f>
        <v>整備しない場合は入力不要です。</v>
      </c>
    </row>
    <row r="32" spans="1:27">
      <c r="A32" s="12">
        <v>3</v>
      </c>
      <c r="B32" s="6"/>
      <c r="C32" s="6"/>
      <c r="D32" s="6"/>
      <c r="E32" s="10"/>
      <c r="F32" s="7"/>
      <c r="G32" s="541"/>
      <c r="H32" s="15">
        <f t="shared" si="0"/>
        <v>0</v>
      </c>
      <c r="I32" s="4">
        <f t="shared" si="1"/>
        <v>0</v>
      </c>
      <c r="J32" s="9"/>
      <c r="K32" s="4">
        <f t="shared" si="2"/>
        <v>0</v>
      </c>
      <c r="L32" s="5" t="str">
        <f>IF(Z32="◎",COUNTIF($Z$30:Z32,"◎"),"")</f>
        <v/>
      </c>
      <c r="W32" s="395" t="str">
        <f>IF(B32="個別病床",はじめに入力してください!$K$50,IF(B32="共通使用",はじめに入力してください!$K$52,""))</f>
        <v/>
      </c>
      <c r="Y32" s="12">
        <v>3</v>
      </c>
      <c r="Z32" s="374" t="str">
        <f t="shared" si="3"/>
        <v>○</v>
      </c>
      <c r="AA32" s="395" t="str">
        <f t="shared" si="4"/>
        <v>整備しない場合は入力不要です。</v>
      </c>
    </row>
    <row r="33" spans="1:27">
      <c r="A33" s="12">
        <v>4</v>
      </c>
      <c r="B33" s="6" t="s">
        <v>691</v>
      </c>
      <c r="C33" s="6" t="s">
        <v>692</v>
      </c>
      <c r="D33" s="6" t="s">
        <v>1315</v>
      </c>
      <c r="E33" s="10" t="s">
        <v>1314</v>
      </c>
      <c r="F33" s="7">
        <v>7</v>
      </c>
      <c r="G33" s="541">
        <v>1000000</v>
      </c>
      <c r="H33" s="15">
        <f t="shared" si="0"/>
        <v>1100000</v>
      </c>
      <c r="I33" s="4">
        <f t="shared" si="1"/>
        <v>7700000</v>
      </c>
      <c r="J33" s="9" t="s">
        <v>1319</v>
      </c>
      <c r="K33" s="4">
        <f t="shared" si="2"/>
        <v>7700000</v>
      </c>
      <c r="L33" s="5">
        <f>IF(Z33="◎",COUNTIF($Z$30:Z33,"◎"),"")</f>
        <v>1</v>
      </c>
      <c r="W33" s="395">
        <f>IF(B33="個別病床",はじめに入力してください!$K$50,IF(B33="共通使用",はじめに入力してください!$K$52,""))</f>
        <v>0</v>
      </c>
      <c r="Y33" s="12">
        <v>4</v>
      </c>
      <c r="Z33" s="374" t="str">
        <f t="shared" si="3"/>
        <v>◎</v>
      </c>
      <c r="AA33" s="395" t="str">
        <f t="shared" si="4"/>
        <v>適切に入力がされました。</v>
      </c>
    </row>
    <row r="34" spans="1:27">
      <c r="A34" s="12">
        <v>5</v>
      </c>
      <c r="B34" s="6" t="s">
        <v>691</v>
      </c>
      <c r="C34" s="6" t="s">
        <v>692</v>
      </c>
      <c r="D34" s="6" t="s">
        <v>1316</v>
      </c>
      <c r="E34" s="10" t="s">
        <v>1317</v>
      </c>
      <c r="F34" s="7">
        <v>7</v>
      </c>
      <c r="G34" s="541">
        <v>1000000</v>
      </c>
      <c r="H34" s="15">
        <f t="shared" si="0"/>
        <v>1100000</v>
      </c>
      <c r="I34" s="4">
        <f t="shared" si="1"/>
        <v>7700000</v>
      </c>
      <c r="J34" s="9" t="s">
        <v>1319</v>
      </c>
      <c r="K34" s="4">
        <f t="shared" si="2"/>
        <v>7700000</v>
      </c>
      <c r="L34" s="5">
        <f>IF(Z34="◎",COUNTIF($Z$30:Z34,"◎"),"")</f>
        <v>2</v>
      </c>
      <c r="W34" s="395">
        <f>IF(B34="個別病床",はじめに入力してください!$K$50,IF(B34="共通使用",はじめに入力してください!$K$52,""))</f>
        <v>0</v>
      </c>
      <c r="Y34" s="12">
        <v>5</v>
      </c>
      <c r="Z34" s="374" t="str">
        <f t="shared" si="3"/>
        <v>◎</v>
      </c>
      <c r="AA34" s="395" t="str">
        <f t="shared" si="4"/>
        <v>適切に入力がされました。</v>
      </c>
    </row>
    <row r="35" spans="1:27">
      <c r="A35" s="12">
        <v>6</v>
      </c>
      <c r="B35" s="6" t="s">
        <v>102</v>
      </c>
      <c r="C35" s="6" t="s">
        <v>842</v>
      </c>
      <c r="D35" s="6" t="s">
        <v>1315</v>
      </c>
      <c r="E35" s="10" t="s">
        <v>1318</v>
      </c>
      <c r="F35" s="7">
        <v>7</v>
      </c>
      <c r="G35" s="541">
        <v>2000000</v>
      </c>
      <c r="H35" s="15">
        <f t="shared" si="0"/>
        <v>2200000</v>
      </c>
      <c r="I35" s="4">
        <f t="shared" si="1"/>
        <v>15400000</v>
      </c>
      <c r="J35" s="9" t="s">
        <v>1319</v>
      </c>
      <c r="K35" s="4">
        <f t="shared" si="2"/>
        <v>15400000</v>
      </c>
      <c r="L35" s="5">
        <f>IF(Z35="◎",COUNTIF($Z$30:Z35,"◎"),"")</f>
        <v>3</v>
      </c>
      <c r="W35" s="395">
        <f>IF(B35="個別病床",はじめに入力してください!$K$50,IF(B35="共通使用",はじめに入力してください!$K$52,""))</f>
        <v>0</v>
      </c>
      <c r="Y35" s="12">
        <v>6</v>
      </c>
      <c r="Z35" s="374" t="str">
        <f t="shared" si="3"/>
        <v>◎</v>
      </c>
      <c r="AA35" s="395" t="str">
        <f t="shared" si="4"/>
        <v>適切に入力がされました。</v>
      </c>
    </row>
    <row r="36" spans="1:27">
      <c r="A36" s="12">
        <v>7</v>
      </c>
      <c r="B36" s="6"/>
      <c r="C36" s="6"/>
      <c r="D36" s="6"/>
      <c r="E36" s="10"/>
      <c r="F36" s="7"/>
      <c r="G36" s="541"/>
      <c r="H36" s="15">
        <f t="shared" si="0"/>
        <v>0</v>
      </c>
      <c r="I36" s="4">
        <f t="shared" si="1"/>
        <v>0</v>
      </c>
      <c r="J36" s="9"/>
      <c r="K36" s="4">
        <f t="shared" si="2"/>
        <v>0</v>
      </c>
      <c r="L36" s="5" t="str">
        <f>IF(Z36="◎",COUNTIF($Z$30:Z36,"◎"),"")</f>
        <v/>
      </c>
      <c r="W36" s="395" t="str">
        <f>IF(B36="個別病床",はじめに入力してください!$K$50,IF(B36="共通使用",はじめに入力してください!$K$52,""))</f>
        <v/>
      </c>
      <c r="Y36" s="12">
        <v>7</v>
      </c>
      <c r="Z36" s="374" t="str">
        <f t="shared" si="3"/>
        <v>○</v>
      </c>
      <c r="AA36" s="395" t="str">
        <f t="shared" si="4"/>
        <v>整備しない場合は入力不要です。</v>
      </c>
    </row>
    <row r="37" spans="1:27">
      <c r="A37" s="12">
        <v>8</v>
      </c>
      <c r="B37" s="6"/>
      <c r="C37" s="6"/>
      <c r="D37" s="6"/>
      <c r="E37" s="10"/>
      <c r="F37" s="7"/>
      <c r="G37" s="541"/>
      <c r="H37" s="15">
        <f t="shared" si="0"/>
        <v>0</v>
      </c>
      <c r="I37" s="4">
        <f t="shared" si="1"/>
        <v>0</v>
      </c>
      <c r="J37" s="9"/>
      <c r="K37" s="4">
        <f t="shared" si="2"/>
        <v>0</v>
      </c>
      <c r="L37" s="5" t="str">
        <f>IF(Z37="◎",COUNTIF($Z$30:Z37,"◎"),"")</f>
        <v/>
      </c>
      <c r="W37" s="395" t="str">
        <f>IF(B37="個別病床",はじめに入力してください!$K$50,IF(B37="共通使用",はじめに入力してください!$K$52,""))</f>
        <v/>
      </c>
      <c r="Y37" s="12">
        <v>8</v>
      </c>
      <c r="Z37" s="374" t="str">
        <f t="shared" si="3"/>
        <v>○</v>
      </c>
      <c r="AA37" s="395" t="str">
        <f t="shared" si="4"/>
        <v>整備しない場合は入力不要です。</v>
      </c>
    </row>
    <row r="38" spans="1:27">
      <c r="A38" s="12">
        <v>9</v>
      </c>
      <c r="B38" s="6"/>
      <c r="C38" s="6"/>
      <c r="D38" s="6"/>
      <c r="E38" s="10"/>
      <c r="F38" s="7"/>
      <c r="G38" s="541"/>
      <c r="H38" s="15">
        <f t="shared" si="0"/>
        <v>0</v>
      </c>
      <c r="I38" s="4">
        <f t="shared" si="1"/>
        <v>0</v>
      </c>
      <c r="J38" s="9"/>
      <c r="K38" s="4">
        <f t="shared" si="2"/>
        <v>0</v>
      </c>
      <c r="L38" s="5" t="str">
        <f>IF(Z38="◎",COUNTIF($Z$30:Z38,"◎"),"")</f>
        <v/>
      </c>
      <c r="W38" s="395" t="str">
        <f>IF(B38="個別病床",はじめに入力してください!$K$50,IF(B38="共通使用",はじめに入力してください!$K$52,""))</f>
        <v/>
      </c>
      <c r="Y38" s="12">
        <v>9</v>
      </c>
      <c r="Z38" s="374" t="str">
        <f t="shared" si="3"/>
        <v>○</v>
      </c>
      <c r="AA38" s="395" t="str">
        <f t="shared" si="4"/>
        <v>整備しない場合は入力不要です。</v>
      </c>
    </row>
    <row r="39" spans="1:27">
      <c r="A39" s="12">
        <v>10</v>
      </c>
      <c r="B39" s="6"/>
      <c r="C39" s="6"/>
      <c r="D39" s="6"/>
      <c r="E39" s="10"/>
      <c r="F39" s="7"/>
      <c r="G39" s="541"/>
      <c r="H39" s="15">
        <f t="shared" si="0"/>
        <v>0</v>
      </c>
      <c r="I39" s="4">
        <f t="shared" si="1"/>
        <v>0</v>
      </c>
      <c r="J39" s="9"/>
      <c r="K39" s="4">
        <f t="shared" si="2"/>
        <v>0</v>
      </c>
      <c r="L39" s="5" t="str">
        <f>IF(Z39="◎",COUNTIF($Z$30:Z39,"◎"),"")</f>
        <v/>
      </c>
      <c r="W39" s="395" t="str">
        <f>IF(B39="個別病床",はじめに入力してください!$K$50,IF(B39="共通使用",はじめに入力してください!$K$52,""))</f>
        <v/>
      </c>
      <c r="Y39" s="12">
        <v>10</v>
      </c>
      <c r="Z39" s="374" t="str">
        <f t="shared" si="3"/>
        <v>○</v>
      </c>
      <c r="AA39" s="395" t="str">
        <f t="shared" si="4"/>
        <v>整備しない場合は入力不要です。</v>
      </c>
    </row>
    <row r="40" spans="1:27">
      <c r="A40" s="12">
        <v>11</v>
      </c>
      <c r="B40" s="6"/>
      <c r="C40" s="6"/>
      <c r="D40" s="6"/>
      <c r="E40" s="10"/>
      <c r="F40" s="7"/>
      <c r="G40" s="541"/>
      <c r="H40" s="15">
        <f t="shared" si="0"/>
        <v>0</v>
      </c>
      <c r="I40" s="4">
        <f t="shared" si="1"/>
        <v>0</v>
      </c>
      <c r="J40" s="9"/>
      <c r="K40" s="4">
        <f t="shared" si="2"/>
        <v>0</v>
      </c>
      <c r="L40" s="5" t="str">
        <f>IF(Z40="◎",COUNTIF($Z$30:Z40,"◎"),"")</f>
        <v/>
      </c>
      <c r="W40" s="395" t="str">
        <f>IF(B40="個別病床",はじめに入力してください!$K$50,IF(B40="共通使用",はじめに入力してください!$K$52,""))</f>
        <v/>
      </c>
      <c r="Y40" s="12">
        <v>11</v>
      </c>
      <c r="Z40" s="374" t="str">
        <f t="shared" si="3"/>
        <v>○</v>
      </c>
      <c r="AA40" s="395" t="str">
        <f t="shared" si="4"/>
        <v>整備しない場合は入力不要です。</v>
      </c>
    </row>
    <row r="41" spans="1:27">
      <c r="A41" s="12">
        <v>12</v>
      </c>
      <c r="B41" s="6"/>
      <c r="C41" s="6"/>
      <c r="D41" s="6"/>
      <c r="E41" s="10"/>
      <c r="F41" s="7"/>
      <c r="G41" s="541"/>
      <c r="H41" s="15">
        <f t="shared" si="0"/>
        <v>0</v>
      </c>
      <c r="I41" s="4">
        <f t="shared" si="1"/>
        <v>0</v>
      </c>
      <c r="J41" s="9"/>
      <c r="K41" s="4">
        <f t="shared" si="2"/>
        <v>0</v>
      </c>
      <c r="L41" s="5" t="str">
        <f>IF(Z41="◎",COUNTIF($Z$30:Z41,"◎"),"")</f>
        <v/>
      </c>
      <c r="W41" s="395" t="str">
        <f>IF(B41="個別病床",はじめに入力してください!$K$50,IF(B41="共通使用",はじめに入力してください!$K$52,""))</f>
        <v/>
      </c>
      <c r="Y41" s="12">
        <v>12</v>
      </c>
      <c r="Z41" s="374" t="str">
        <f t="shared" si="3"/>
        <v>○</v>
      </c>
      <c r="AA41" s="395" t="str">
        <f t="shared" si="4"/>
        <v>整備しない場合は入力不要です。</v>
      </c>
    </row>
    <row r="42" spans="1:27">
      <c r="A42" s="12">
        <v>13</v>
      </c>
      <c r="B42" s="6"/>
      <c r="C42" s="6"/>
      <c r="D42" s="6"/>
      <c r="E42" s="10"/>
      <c r="F42" s="7"/>
      <c r="G42" s="541"/>
      <c r="H42" s="15">
        <f t="shared" si="0"/>
        <v>0</v>
      </c>
      <c r="I42" s="4">
        <f t="shared" si="1"/>
        <v>0</v>
      </c>
      <c r="J42" s="9"/>
      <c r="K42" s="4">
        <f t="shared" si="2"/>
        <v>0</v>
      </c>
      <c r="L42" s="5" t="str">
        <f>IF(Z42="◎",COUNTIF($Z$30:Z42,"◎"),"")</f>
        <v/>
      </c>
      <c r="W42" s="395" t="str">
        <f>IF(B42="個別病床",はじめに入力してください!$K$50,IF(B42="共通使用",はじめに入力してください!$K$52,""))</f>
        <v/>
      </c>
      <c r="Y42" s="12">
        <v>13</v>
      </c>
      <c r="Z42" s="374" t="str">
        <f t="shared" si="3"/>
        <v>○</v>
      </c>
      <c r="AA42" s="395" t="str">
        <f t="shared" si="4"/>
        <v>整備しない場合は入力不要です。</v>
      </c>
    </row>
    <row r="43" spans="1:27">
      <c r="A43" s="12">
        <v>14</v>
      </c>
      <c r="B43" s="6"/>
      <c r="C43" s="6"/>
      <c r="D43" s="6"/>
      <c r="E43" s="10"/>
      <c r="F43" s="7"/>
      <c r="G43" s="541"/>
      <c r="H43" s="15">
        <f t="shared" si="0"/>
        <v>0</v>
      </c>
      <c r="I43" s="4">
        <f t="shared" si="1"/>
        <v>0</v>
      </c>
      <c r="J43" s="9"/>
      <c r="K43" s="4">
        <f t="shared" si="2"/>
        <v>0</v>
      </c>
      <c r="L43" s="5" t="str">
        <f>IF(Z43="◎",COUNTIF($Z$30:Z43,"◎"),"")</f>
        <v/>
      </c>
      <c r="W43" s="395" t="str">
        <f>IF(B43="個別病床",はじめに入力してください!$K$50,IF(B43="共通使用",はじめに入力してください!$K$52,""))</f>
        <v/>
      </c>
      <c r="Y43" s="12">
        <v>14</v>
      </c>
      <c r="Z43" s="374" t="str">
        <f t="shared" si="3"/>
        <v>○</v>
      </c>
      <c r="AA43" s="395" t="str">
        <f t="shared" si="4"/>
        <v>整備しない場合は入力不要です。</v>
      </c>
    </row>
    <row r="44" spans="1:27">
      <c r="A44" s="12">
        <v>15</v>
      </c>
      <c r="B44" s="6"/>
      <c r="C44" s="6"/>
      <c r="D44" s="6"/>
      <c r="E44" s="10"/>
      <c r="F44" s="7"/>
      <c r="G44" s="541"/>
      <c r="H44" s="15">
        <f t="shared" si="0"/>
        <v>0</v>
      </c>
      <c r="I44" s="4">
        <f t="shared" si="1"/>
        <v>0</v>
      </c>
      <c r="J44" s="9"/>
      <c r="K44" s="4">
        <f t="shared" si="2"/>
        <v>0</v>
      </c>
      <c r="L44" s="5" t="str">
        <f>IF(Z44="◎",COUNTIF($Z$30:Z44,"◎"),"")</f>
        <v/>
      </c>
      <c r="W44" s="395" t="str">
        <f>IF(B44="個別病床",はじめに入力してください!$K$50,IF(B44="共通使用",はじめに入力してください!$K$52,""))</f>
        <v/>
      </c>
      <c r="Y44" s="12">
        <v>15</v>
      </c>
      <c r="Z44" s="374" t="str">
        <f t="shared" si="3"/>
        <v>○</v>
      </c>
      <c r="AA44" s="395" t="str">
        <f t="shared" si="4"/>
        <v>整備しない場合は入力不要です。</v>
      </c>
    </row>
    <row r="45" spans="1:27">
      <c r="A45" s="12">
        <v>16</v>
      </c>
      <c r="B45" s="6"/>
      <c r="C45" s="6"/>
      <c r="D45" s="6"/>
      <c r="E45" s="10"/>
      <c r="F45" s="7"/>
      <c r="G45" s="541"/>
      <c r="H45" s="15">
        <f t="shared" si="0"/>
        <v>0</v>
      </c>
      <c r="I45" s="4">
        <f t="shared" si="1"/>
        <v>0</v>
      </c>
      <c r="J45" s="9"/>
      <c r="K45" s="4">
        <f t="shared" si="2"/>
        <v>0</v>
      </c>
      <c r="L45" s="5" t="str">
        <f>IF(Z45="◎",COUNTIF($Z$30:Z45,"◎"),"")</f>
        <v/>
      </c>
      <c r="W45" s="395" t="str">
        <f>IF(B45="個別病床",はじめに入力してください!$K$50,IF(B45="共通使用",はじめに入力してください!$K$52,""))</f>
        <v/>
      </c>
      <c r="Y45" s="12">
        <v>16</v>
      </c>
      <c r="Z45" s="374" t="str">
        <f t="shared" si="3"/>
        <v>○</v>
      </c>
      <c r="AA45" s="395" t="str">
        <f t="shared" si="4"/>
        <v>整備しない場合は入力不要です。</v>
      </c>
    </row>
    <row r="46" spans="1:27">
      <c r="A46" s="12">
        <v>17</v>
      </c>
      <c r="B46" s="6"/>
      <c r="C46" s="6"/>
      <c r="D46" s="6"/>
      <c r="E46" s="10"/>
      <c r="F46" s="7"/>
      <c r="G46" s="541"/>
      <c r="H46" s="15">
        <f t="shared" si="0"/>
        <v>0</v>
      </c>
      <c r="I46" s="4">
        <f t="shared" si="1"/>
        <v>0</v>
      </c>
      <c r="J46" s="9"/>
      <c r="K46" s="4">
        <f t="shared" si="2"/>
        <v>0</v>
      </c>
      <c r="L46" s="5" t="str">
        <f>IF(Z46="◎",COUNTIF($Z$30:Z46,"◎"),"")</f>
        <v/>
      </c>
      <c r="W46" s="395" t="str">
        <f>IF(B46="個別病床",はじめに入力してください!$K$50,IF(B46="共通使用",はじめに入力してください!$K$52,""))</f>
        <v/>
      </c>
      <c r="Y46" s="12">
        <v>17</v>
      </c>
      <c r="Z46" s="374" t="str">
        <f t="shared" si="3"/>
        <v>○</v>
      </c>
      <c r="AA46" s="395" t="str">
        <f t="shared" si="4"/>
        <v>整備しない場合は入力不要です。</v>
      </c>
    </row>
    <row r="47" spans="1:27">
      <c r="A47" s="12">
        <v>18</v>
      </c>
      <c r="B47" s="6"/>
      <c r="C47" s="6"/>
      <c r="D47" s="6"/>
      <c r="E47" s="10"/>
      <c r="F47" s="7"/>
      <c r="G47" s="541"/>
      <c r="H47" s="15">
        <f t="shared" si="0"/>
        <v>0</v>
      </c>
      <c r="I47" s="4">
        <f t="shared" si="1"/>
        <v>0</v>
      </c>
      <c r="J47" s="9"/>
      <c r="K47" s="4">
        <f t="shared" si="2"/>
        <v>0</v>
      </c>
      <c r="L47" s="5" t="str">
        <f>IF(Z47="◎",COUNTIF($Z$30:Z47,"◎"),"")</f>
        <v/>
      </c>
      <c r="W47" s="395" t="str">
        <f>IF(B47="個別病床",はじめに入力してください!$K$50,IF(B47="共通使用",はじめに入力してください!$K$52,""))</f>
        <v/>
      </c>
      <c r="Y47" s="12">
        <v>18</v>
      </c>
      <c r="Z47" s="374" t="str">
        <f t="shared" si="3"/>
        <v>○</v>
      </c>
      <c r="AA47" s="395" t="str">
        <f t="shared" si="4"/>
        <v>整備しない場合は入力不要です。</v>
      </c>
    </row>
    <row r="48" spans="1:27">
      <c r="A48" s="12">
        <v>19</v>
      </c>
      <c r="B48" s="6"/>
      <c r="C48" s="6"/>
      <c r="D48" s="6"/>
      <c r="E48" s="10"/>
      <c r="F48" s="7"/>
      <c r="G48" s="541"/>
      <c r="H48" s="15">
        <f t="shared" si="0"/>
        <v>0</v>
      </c>
      <c r="I48" s="4">
        <f t="shared" si="1"/>
        <v>0</v>
      </c>
      <c r="J48" s="9"/>
      <c r="K48" s="4">
        <f t="shared" si="2"/>
        <v>0</v>
      </c>
      <c r="L48" s="5" t="str">
        <f>IF(Z48="◎",COUNTIF($Z$30:Z48,"◎"),"")</f>
        <v/>
      </c>
      <c r="W48" s="395" t="str">
        <f>IF(B48="個別病床",はじめに入力してください!$K$50,IF(B48="共通使用",はじめに入力してください!$K$52,""))</f>
        <v/>
      </c>
      <c r="Y48" s="12">
        <v>19</v>
      </c>
      <c r="Z48" s="374" t="str">
        <f t="shared" si="3"/>
        <v>○</v>
      </c>
      <c r="AA48" s="395" t="str">
        <f t="shared" si="4"/>
        <v>整備しない場合は入力不要です。</v>
      </c>
    </row>
    <row r="49" spans="1:27">
      <c r="A49" s="12">
        <v>20</v>
      </c>
      <c r="B49" s="6"/>
      <c r="C49" s="6"/>
      <c r="D49" s="6"/>
      <c r="E49" s="10"/>
      <c r="F49" s="7"/>
      <c r="G49" s="541"/>
      <c r="H49" s="15">
        <f t="shared" si="0"/>
        <v>0</v>
      </c>
      <c r="I49" s="4">
        <f t="shared" si="1"/>
        <v>0</v>
      </c>
      <c r="J49" s="9"/>
      <c r="K49" s="4">
        <f t="shared" si="2"/>
        <v>0</v>
      </c>
      <c r="L49" s="5" t="str">
        <f>IF(Z49="◎",COUNTIF($Z$30:Z49,"◎"),"")</f>
        <v/>
      </c>
      <c r="W49" s="395" t="str">
        <f>IF(B49="個別病床",はじめに入力してください!$K$50,IF(B49="共通使用",はじめに入力してください!$K$52,""))</f>
        <v/>
      </c>
      <c r="Y49" s="12">
        <v>20</v>
      </c>
      <c r="Z49" s="374" t="str">
        <f t="shared" si="3"/>
        <v>○</v>
      </c>
      <c r="AA49" s="395" t="str">
        <f t="shared" si="4"/>
        <v>整備しない場合は入力不要です。</v>
      </c>
    </row>
    <row r="50" spans="1:27">
      <c r="A50" s="12">
        <v>21</v>
      </c>
      <c r="B50" s="6"/>
      <c r="C50" s="6"/>
      <c r="D50" s="6"/>
      <c r="E50" s="10"/>
      <c r="F50" s="7"/>
      <c r="G50" s="541"/>
      <c r="H50" s="15">
        <f t="shared" si="0"/>
        <v>0</v>
      </c>
      <c r="I50" s="4">
        <f t="shared" si="1"/>
        <v>0</v>
      </c>
      <c r="J50" s="9"/>
      <c r="K50" s="4">
        <f t="shared" si="2"/>
        <v>0</v>
      </c>
      <c r="L50" s="5" t="str">
        <f>IF(Z50="◎",COUNTIF($Z$30:Z50,"◎"),"")</f>
        <v/>
      </c>
      <c r="W50" s="395" t="str">
        <f>IF(B50="個別病床",はじめに入力してください!$K$50,IF(B50="共通使用",はじめに入力してください!$K$52,""))</f>
        <v/>
      </c>
      <c r="Y50" s="12">
        <v>21</v>
      </c>
      <c r="Z50" s="374" t="str">
        <f t="shared" si="3"/>
        <v>○</v>
      </c>
      <c r="AA50" s="395" t="str">
        <f t="shared" si="4"/>
        <v>整備しない場合は入力不要です。</v>
      </c>
    </row>
    <row r="51" spans="1:27">
      <c r="A51" s="12">
        <v>22</v>
      </c>
      <c r="B51" s="6"/>
      <c r="C51" s="6"/>
      <c r="D51" s="6"/>
      <c r="E51" s="10"/>
      <c r="F51" s="7"/>
      <c r="G51" s="541"/>
      <c r="H51" s="15">
        <f t="shared" si="0"/>
        <v>0</v>
      </c>
      <c r="I51" s="4">
        <f t="shared" si="1"/>
        <v>0</v>
      </c>
      <c r="J51" s="9"/>
      <c r="K51" s="4">
        <f t="shared" si="2"/>
        <v>0</v>
      </c>
      <c r="L51" s="5" t="str">
        <f>IF(Z51="◎",COUNTIF($Z$30:Z51,"◎"),"")</f>
        <v/>
      </c>
      <c r="W51" s="395" t="str">
        <f>IF(B51="個別病床",はじめに入力してください!$K$50,IF(B51="共通使用",はじめに入力してください!$K$52,""))</f>
        <v/>
      </c>
      <c r="Y51" s="12">
        <v>22</v>
      </c>
      <c r="Z51" s="374" t="str">
        <f t="shared" si="3"/>
        <v>○</v>
      </c>
      <c r="AA51" s="395" t="str">
        <f t="shared" si="4"/>
        <v>整備しない場合は入力不要です。</v>
      </c>
    </row>
    <row r="52" spans="1:27">
      <c r="A52" s="12">
        <v>23</v>
      </c>
      <c r="B52" s="6"/>
      <c r="C52" s="6"/>
      <c r="D52" s="6"/>
      <c r="E52" s="10"/>
      <c r="F52" s="7"/>
      <c r="G52" s="541"/>
      <c r="H52" s="15">
        <f t="shared" si="0"/>
        <v>0</v>
      </c>
      <c r="I52" s="4">
        <f t="shared" si="1"/>
        <v>0</v>
      </c>
      <c r="J52" s="9"/>
      <c r="K52" s="4">
        <f t="shared" si="2"/>
        <v>0</v>
      </c>
      <c r="L52" s="5" t="str">
        <f>IF(Z52="◎",COUNTIF($Z$30:Z52,"◎"),"")</f>
        <v/>
      </c>
      <c r="W52" s="395" t="str">
        <f>IF(B52="個別病床",はじめに入力してください!$K$50,IF(B52="共通使用",はじめに入力してください!$K$52,""))</f>
        <v/>
      </c>
      <c r="Y52" s="12">
        <v>23</v>
      </c>
      <c r="Z52" s="374" t="str">
        <f t="shared" si="3"/>
        <v>○</v>
      </c>
      <c r="AA52" s="395" t="str">
        <f t="shared" si="4"/>
        <v>整備しない場合は入力不要です。</v>
      </c>
    </row>
    <row r="53" spans="1:27">
      <c r="A53" s="12">
        <v>24</v>
      </c>
      <c r="B53" s="6"/>
      <c r="C53" s="6"/>
      <c r="D53" s="6"/>
      <c r="E53" s="10"/>
      <c r="F53" s="7"/>
      <c r="G53" s="541"/>
      <c r="H53" s="15">
        <f t="shared" si="0"/>
        <v>0</v>
      </c>
      <c r="I53" s="4">
        <f t="shared" si="1"/>
        <v>0</v>
      </c>
      <c r="J53" s="9"/>
      <c r="K53" s="4">
        <f t="shared" si="2"/>
        <v>0</v>
      </c>
      <c r="L53" s="5" t="str">
        <f>IF(Z53="◎",COUNTIF($Z$30:Z53,"◎"),"")</f>
        <v/>
      </c>
      <c r="W53" s="395" t="str">
        <f>IF(B53="個別病床",はじめに入力してください!$K$50,IF(B53="共通使用",はじめに入力してください!$K$52,""))</f>
        <v/>
      </c>
      <c r="Y53" s="12">
        <v>24</v>
      </c>
      <c r="Z53" s="374" t="str">
        <f t="shared" si="3"/>
        <v>○</v>
      </c>
      <c r="AA53" s="395" t="str">
        <f t="shared" si="4"/>
        <v>整備しない場合は入力不要です。</v>
      </c>
    </row>
    <row r="54" spans="1:27">
      <c r="A54" s="12">
        <v>25</v>
      </c>
      <c r="B54" s="6"/>
      <c r="C54" s="6"/>
      <c r="D54" s="6"/>
      <c r="E54" s="10"/>
      <c r="F54" s="7"/>
      <c r="G54" s="541"/>
      <c r="H54" s="15">
        <f t="shared" si="0"/>
        <v>0</v>
      </c>
      <c r="I54" s="4">
        <f t="shared" si="1"/>
        <v>0</v>
      </c>
      <c r="J54" s="9"/>
      <c r="K54" s="4">
        <f t="shared" si="2"/>
        <v>0</v>
      </c>
      <c r="L54" s="5" t="str">
        <f>IF(Z54="◎",COUNTIF($Z$30:Z54,"◎"),"")</f>
        <v/>
      </c>
      <c r="W54" s="395" t="str">
        <f>IF(B54="個別病床",はじめに入力してください!$K$50,IF(B54="共通使用",はじめに入力してください!$K$52,""))</f>
        <v/>
      </c>
      <c r="Y54" s="12">
        <v>25</v>
      </c>
      <c r="Z54" s="374" t="str">
        <f t="shared" si="3"/>
        <v>○</v>
      </c>
      <c r="AA54" s="395" t="str">
        <f t="shared" si="4"/>
        <v>整備しない場合は入力不要です。</v>
      </c>
    </row>
    <row r="55" spans="1:27">
      <c r="A55" s="12">
        <v>26</v>
      </c>
      <c r="B55" s="6"/>
      <c r="C55" s="6"/>
      <c r="D55" s="6"/>
      <c r="E55" s="10"/>
      <c r="F55" s="7"/>
      <c r="G55" s="541"/>
      <c r="H55" s="15">
        <f t="shared" si="0"/>
        <v>0</v>
      </c>
      <c r="I55" s="4">
        <f t="shared" si="1"/>
        <v>0</v>
      </c>
      <c r="J55" s="9"/>
      <c r="K55" s="4">
        <f t="shared" si="2"/>
        <v>0</v>
      </c>
      <c r="L55" s="5" t="str">
        <f>IF(Z55="◎",COUNTIF($Z$30:Z55,"◎"),"")</f>
        <v/>
      </c>
      <c r="W55" s="395" t="str">
        <f>IF(B55="個別病床",はじめに入力してください!$K$50,IF(B55="共通使用",はじめに入力してください!$K$52,""))</f>
        <v/>
      </c>
      <c r="Y55" s="12">
        <v>26</v>
      </c>
      <c r="Z55" s="374" t="str">
        <f t="shared" si="3"/>
        <v>○</v>
      </c>
      <c r="AA55" s="395" t="str">
        <f t="shared" si="4"/>
        <v>整備しない場合は入力不要です。</v>
      </c>
    </row>
    <row r="56" spans="1:27">
      <c r="A56" s="12">
        <v>27</v>
      </c>
      <c r="B56" s="6"/>
      <c r="C56" s="6"/>
      <c r="D56" s="6"/>
      <c r="E56" s="10"/>
      <c r="F56" s="7"/>
      <c r="G56" s="541"/>
      <c r="H56" s="15">
        <f t="shared" si="0"/>
        <v>0</v>
      </c>
      <c r="I56" s="4">
        <f t="shared" si="1"/>
        <v>0</v>
      </c>
      <c r="J56" s="9"/>
      <c r="K56" s="4">
        <f t="shared" si="2"/>
        <v>0</v>
      </c>
      <c r="L56" s="5" t="str">
        <f>IF(Z56="◎",COUNTIF($Z$30:Z56,"◎"),"")</f>
        <v/>
      </c>
      <c r="W56" s="395" t="str">
        <f>IF(B56="個別病床",はじめに入力してください!$K$50,IF(B56="共通使用",はじめに入力してください!$K$52,""))</f>
        <v/>
      </c>
      <c r="Y56" s="12">
        <v>27</v>
      </c>
      <c r="Z56" s="374" t="str">
        <f t="shared" si="3"/>
        <v>○</v>
      </c>
      <c r="AA56" s="395" t="str">
        <f t="shared" si="4"/>
        <v>整備しない場合は入力不要です。</v>
      </c>
    </row>
    <row r="57" spans="1:27">
      <c r="A57" s="12">
        <v>28</v>
      </c>
      <c r="B57" s="6"/>
      <c r="C57" s="6"/>
      <c r="D57" s="6"/>
      <c r="E57" s="10"/>
      <c r="F57" s="7"/>
      <c r="G57" s="541"/>
      <c r="H57" s="15">
        <f t="shared" si="0"/>
        <v>0</v>
      </c>
      <c r="I57" s="4">
        <f t="shared" si="1"/>
        <v>0</v>
      </c>
      <c r="J57" s="9"/>
      <c r="K57" s="4">
        <f t="shared" si="2"/>
        <v>0</v>
      </c>
      <c r="L57" s="5" t="str">
        <f>IF(Z57="◎",COUNTIF($Z$30:Z57,"◎"),"")</f>
        <v/>
      </c>
      <c r="W57" s="395" t="str">
        <f>IF(B57="個別病床",はじめに入力してください!$K$50,IF(B57="共通使用",はじめに入力してください!$K$52,""))</f>
        <v/>
      </c>
      <c r="Y57" s="12">
        <v>28</v>
      </c>
      <c r="Z57" s="374" t="str">
        <f t="shared" si="3"/>
        <v>○</v>
      </c>
      <c r="AA57" s="395" t="str">
        <f t="shared" si="4"/>
        <v>整備しない場合は入力不要です。</v>
      </c>
    </row>
    <row r="58" spans="1:27">
      <c r="A58" s="12">
        <v>29</v>
      </c>
      <c r="B58" s="6"/>
      <c r="C58" s="6"/>
      <c r="D58" s="6"/>
      <c r="E58" s="10"/>
      <c r="F58" s="7"/>
      <c r="G58" s="541"/>
      <c r="H58" s="15">
        <f t="shared" si="0"/>
        <v>0</v>
      </c>
      <c r="I58" s="4">
        <f t="shared" si="1"/>
        <v>0</v>
      </c>
      <c r="J58" s="9"/>
      <c r="K58" s="4">
        <f t="shared" si="2"/>
        <v>0</v>
      </c>
      <c r="L58" s="5" t="str">
        <f>IF(Z58="◎",COUNTIF($Z$30:Z58,"◎"),"")</f>
        <v/>
      </c>
      <c r="W58" s="395" t="str">
        <f>IF(B58="個別病床",はじめに入力してください!$K$50,IF(B58="共通使用",はじめに入力してください!$K$52,""))</f>
        <v/>
      </c>
      <c r="Y58" s="12">
        <v>29</v>
      </c>
      <c r="Z58" s="374" t="str">
        <f t="shared" si="3"/>
        <v>○</v>
      </c>
      <c r="AA58" s="395" t="str">
        <f t="shared" si="4"/>
        <v>整備しない場合は入力不要です。</v>
      </c>
    </row>
    <row r="59" spans="1:27">
      <c r="A59" s="12">
        <v>30</v>
      </c>
      <c r="B59" s="6"/>
      <c r="C59" s="6"/>
      <c r="D59" s="6"/>
      <c r="E59" s="10"/>
      <c r="F59" s="7"/>
      <c r="G59" s="541"/>
      <c r="H59" s="15">
        <f t="shared" si="0"/>
        <v>0</v>
      </c>
      <c r="I59" s="4">
        <f t="shared" si="1"/>
        <v>0</v>
      </c>
      <c r="J59" s="9"/>
      <c r="K59" s="4">
        <f t="shared" si="2"/>
        <v>0</v>
      </c>
      <c r="L59" s="5" t="str">
        <f>IF(Z59="◎",COUNTIF($Z$30:Z59,"◎"),"")</f>
        <v/>
      </c>
      <c r="W59" s="395" t="str">
        <f>IF(B59="個別病床",はじめに入力してください!$K$50,IF(B59="共通使用",はじめに入力してください!$K$52,""))</f>
        <v/>
      </c>
      <c r="Y59" s="12">
        <v>30</v>
      </c>
      <c r="Z59" s="374" t="str">
        <f t="shared" si="3"/>
        <v>○</v>
      </c>
      <c r="AA59" s="395" t="str">
        <f t="shared" si="4"/>
        <v>整備しない場合は入力不要です。</v>
      </c>
    </row>
    <row r="60" spans="1:27">
      <c r="A60" s="12">
        <v>31</v>
      </c>
      <c r="B60" s="6"/>
      <c r="C60" s="6"/>
      <c r="D60" s="6"/>
      <c r="E60" s="10"/>
      <c r="F60" s="7"/>
      <c r="G60" s="541"/>
      <c r="H60" s="15">
        <f t="shared" si="0"/>
        <v>0</v>
      </c>
      <c r="I60" s="4">
        <f t="shared" si="1"/>
        <v>0</v>
      </c>
      <c r="J60" s="9"/>
      <c r="K60" s="4">
        <f t="shared" si="2"/>
        <v>0</v>
      </c>
      <c r="L60" s="5" t="str">
        <f>IF(Z60="◎",COUNTIF($Z$30:Z60,"◎"),"")</f>
        <v/>
      </c>
      <c r="W60" s="395" t="str">
        <f>IF(B60="個別病床",はじめに入力してください!$K$50,IF(B60="共通使用",はじめに入力してください!$K$52,""))</f>
        <v/>
      </c>
      <c r="Y60" s="12">
        <v>31</v>
      </c>
      <c r="Z60" s="374" t="str">
        <f t="shared" si="3"/>
        <v>○</v>
      </c>
      <c r="AA60" s="395" t="str">
        <f t="shared" si="4"/>
        <v>整備しない場合は入力不要です。</v>
      </c>
    </row>
    <row r="61" spans="1:27">
      <c r="A61" s="12">
        <v>32</v>
      </c>
      <c r="B61" s="6"/>
      <c r="C61" s="6"/>
      <c r="D61" s="6"/>
      <c r="E61" s="10"/>
      <c r="F61" s="7"/>
      <c r="G61" s="541"/>
      <c r="H61" s="15">
        <f t="shared" si="0"/>
        <v>0</v>
      </c>
      <c r="I61" s="4">
        <f t="shared" si="1"/>
        <v>0</v>
      </c>
      <c r="J61" s="9"/>
      <c r="K61" s="4">
        <f t="shared" si="2"/>
        <v>0</v>
      </c>
      <c r="L61" s="5" t="str">
        <f>IF(Z61="◎",COUNTIF($Z$30:Z61,"◎"),"")</f>
        <v/>
      </c>
      <c r="W61" s="395" t="str">
        <f>IF(B61="個別病床",はじめに入力してください!$K$50,IF(B61="共通使用",はじめに入力してください!$K$52,""))</f>
        <v/>
      </c>
      <c r="Y61" s="12">
        <v>32</v>
      </c>
      <c r="Z61" s="374" t="str">
        <f t="shared" si="3"/>
        <v>○</v>
      </c>
      <c r="AA61" s="395" t="str">
        <f t="shared" si="4"/>
        <v>整備しない場合は入力不要です。</v>
      </c>
    </row>
    <row r="62" spans="1:27">
      <c r="A62" s="12">
        <v>33</v>
      </c>
      <c r="B62" s="6"/>
      <c r="C62" s="6"/>
      <c r="D62" s="6"/>
      <c r="E62" s="10"/>
      <c r="F62" s="7"/>
      <c r="G62" s="541"/>
      <c r="H62" s="15">
        <f t="shared" si="0"/>
        <v>0</v>
      </c>
      <c r="I62" s="4">
        <f t="shared" si="1"/>
        <v>0</v>
      </c>
      <c r="J62" s="9"/>
      <c r="K62" s="4">
        <f t="shared" si="2"/>
        <v>0</v>
      </c>
      <c r="L62" s="5" t="str">
        <f>IF(Z62="◎",COUNTIF($Z$30:Z62,"◎"),"")</f>
        <v/>
      </c>
      <c r="W62" s="395" t="str">
        <f>IF(B62="個別病床",はじめに入力してください!$K$50,IF(B62="共通使用",はじめに入力してください!$K$52,""))</f>
        <v/>
      </c>
      <c r="Y62" s="12">
        <v>33</v>
      </c>
      <c r="Z62" s="374" t="str">
        <f t="shared" si="3"/>
        <v>○</v>
      </c>
      <c r="AA62" s="395" t="str">
        <f t="shared" si="4"/>
        <v>整備しない場合は入力不要です。</v>
      </c>
    </row>
    <row r="63" spans="1:27">
      <c r="A63" s="12">
        <v>34</v>
      </c>
      <c r="B63" s="6"/>
      <c r="C63" s="6"/>
      <c r="D63" s="6"/>
      <c r="E63" s="10"/>
      <c r="F63" s="7"/>
      <c r="G63" s="541"/>
      <c r="H63" s="15">
        <f t="shared" si="0"/>
        <v>0</v>
      </c>
      <c r="I63" s="4">
        <f t="shared" si="1"/>
        <v>0</v>
      </c>
      <c r="J63" s="9"/>
      <c r="K63" s="4">
        <f t="shared" si="2"/>
        <v>0</v>
      </c>
      <c r="L63" s="5" t="str">
        <f>IF(Z63="◎",COUNTIF($Z$30:Z63,"◎"),"")</f>
        <v/>
      </c>
      <c r="W63" s="395" t="str">
        <f>IF(B63="個別病床",はじめに入力してください!$K$50,IF(B63="共通使用",はじめに入力してください!$K$52,""))</f>
        <v/>
      </c>
      <c r="Y63" s="12">
        <v>34</v>
      </c>
      <c r="Z63" s="374" t="str">
        <f t="shared" si="3"/>
        <v>○</v>
      </c>
      <c r="AA63" s="395" t="str">
        <f t="shared" si="4"/>
        <v>整備しない場合は入力不要です。</v>
      </c>
    </row>
    <row r="64" spans="1:27">
      <c r="A64" s="12">
        <v>35</v>
      </c>
      <c r="B64" s="6"/>
      <c r="C64" s="6"/>
      <c r="D64" s="6"/>
      <c r="E64" s="10"/>
      <c r="F64" s="7"/>
      <c r="G64" s="541"/>
      <c r="H64" s="15">
        <f t="shared" si="0"/>
        <v>0</v>
      </c>
      <c r="I64" s="4">
        <f t="shared" si="1"/>
        <v>0</v>
      </c>
      <c r="J64" s="9"/>
      <c r="K64" s="4">
        <f t="shared" si="2"/>
        <v>0</v>
      </c>
      <c r="L64" s="5" t="str">
        <f>IF(Z64="◎",COUNTIF($Z$30:Z64,"◎"),"")</f>
        <v/>
      </c>
      <c r="W64" s="395" t="str">
        <f>IF(B64="個別病床",はじめに入力してください!$K$50,IF(B64="共通使用",はじめに入力してください!$K$52,""))</f>
        <v/>
      </c>
      <c r="Y64" s="12">
        <v>35</v>
      </c>
      <c r="Z64" s="374" t="str">
        <f t="shared" si="3"/>
        <v>○</v>
      </c>
      <c r="AA64" s="395" t="str">
        <f t="shared" si="4"/>
        <v>整備しない場合は入力不要です。</v>
      </c>
    </row>
    <row r="65" spans="1:27">
      <c r="A65" s="12">
        <v>36</v>
      </c>
      <c r="B65" s="6"/>
      <c r="C65" s="6"/>
      <c r="D65" s="6"/>
      <c r="E65" s="10"/>
      <c r="F65" s="7"/>
      <c r="G65" s="541"/>
      <c r="H65" s="15">
        <f t="shared" si="0"/>
        <v>0</v>
      </c>
      <c r="I65" s="4">
        <f t="shared" si="1"/>
        <v>0</v>
      </c>
      <c r="J65" s="9"/>
      <c r="K65" s="4">
        <f t="shared" si="2"/>
        <v>0</v>
      </c>
      <c r="L65" s="5" t="str">
        <f>IF(Z65="◎",COUNTIF($Z$30:Z65,"◎"),"")</f>
        <v/>
      </c>
      <c r="W65" s="395" t="str">
        <f>IF(B65="個別病床",はじめに入力してください!$K$50,IF(B65="共通使用",はじめに入力してください!$K$52,""))</f>
        <v/>
      </c>
      <c r="Y65" s="12">
        <v>36</v>
      </c>
      <c r="Z65" s="374" t="str">
        <f t="shared" si="3"/>
        <v>○</v>
      </c>
      <c r="AA65" s="395" t="str">
        <f t="shared" si="4"/>
        <v>整備しない場合は入力不要です。</v>
      </c>
    </row>
    <row r="66" spans="1:27">
      <c r="A66" s="12">
        <v>37</v>
      </c>
      <c r="B66" s="6"/>
      <c r="C66" s="6"/>
      <c r="D66" s="6"/>
      <c r="E66" s="10"/>
      <c r="F66" s="7"/>
      <c r="G66" s="541"/>
      <c r="H66" s="15">
        <f t="shared" si="0"/>
        <v>0</v>
      </c>
      <c r="I66" s="4">
        <f t="shared" si="1"/>
        <v>0</v>
      </c>
      <c r="J66" s="9"/>
      <c r="K66" s="4">
        <f t="shared" si="2"/>
        <v>0</v>
      </c>
      <c r="L66" s="5" t="str">
        <f>IF(Z66="◎",COUNTIF($Z$30:Z66,"◎"),"")</f>
        <v/>
      </c>
      <c r="W66" s="395" t="str">
        <f>IF(B66="個別病床",はじめに入力してください!$K$50,IF(B66="共通使用",はじめに入力してください!$K$52,""))</f>
        <v/>
      </c>
      <c r="Y66" s="12">
        <v>37</v>
      </c>
      <c r="Z66" s="374" t="str">
        <f t="shared" si="3"/>
        <v>○</v>
      </c>
      <c r="AA66" s="395" t="str">
        <f t="shared" si="4"/>
        <v>整備しない場合は入力不要です。</v>
      </c>
    </row>
    <row r="67" spans="1:27">
      <c r="A67" s="12">
        <v>38</v>
      </c>
      <c r="B67" s="6"/>
      <c r="C67" s="6"/>
      <c r="D67" s="6"/>
      <c r="E67" s="10"/>
      <c r="F67" s="7"/>
      <c r="G67" s="541"/>
      <c r="H67" s="15">
        <f t="shared" si="0"/>
        <v>0</v>
      </c>
      <c r="I67" s="4">
        <f t="shared" si="1"/>
        <v>0</v>
      </c>
      <c r="J67" s="9"/>
      <c r="K67" s="4">
        <f t="shared" si="2"/>
        <v>0</v>
      </c>
      <c r="L67" s="5" t="str">
        <f>IF(Z67="◎",COUNTIF($Z$30:Z67,"◎"),"")</f>
        <v/>
      </c>
      <c r="W67" s="395" t="str">
        <f>IF(B67="個別病床",はじめに入力してください!$K$50,IF(B67="共通使用",はじめに入力してください!$K$52,""))</f>
        <v/>
      </c>
      <c r="Y67" s="12">
        <v>38</v>
      </c>
      <c r="Z67" s="374" t="str">
        <f t="shared" si="3"/>
        <v>○</v>
      </c>
      <c r="AA67" s="395" t="str">
        <f t="shared" si="4"/>
        <v>整備しない場合は入力不要です。</v>
      </c>
    </row>
    <row r="68" spans="1:27">
      <c r="A68" s="12">
        <v>39</v>
      </c>
      <c r="B68" s="6"/>
      <c r="C68" s="6"/>
      <c r="D68" s="6"/>
      <c r="E68" s="10"/>
      <c r="F68" s="7"/>
      <c r="G68" s="541"/>
      <c r="H68" s="15">
        <f t="shared" si="0"/>
        <v>0</v>
      </c>
      <c r="I68" s="4">
        <f t="shared" si="1"/>
        <v>0</v>
      </c>
      <c r="J68" s="9"/>
      <c r="K68" s="4">
        <f t="shared" si="2"/>
        <v>0</v>
      </c>
      <c r="L68" s="5" t="str">
        <f>IF(Z68="◎",COUNTIF($Z$30:Z68,"◎"),"")</f>
        <v/>
      </c>
      <c r="W68" s="395" t="str">
        <f>IF(B68="個別病床",はじめに入力してください!$K$50,IF(B68="共通使用",はじめに入力してください!$K$52,""))</f>
        <v/>
      </c>
      <c r="Y68" s="12">
        <v>39</v>
      </c>
      <c r="Z68" s="374" t="str">
        <f t="shared" si="3"/>
        <v>○</v>
      </c>
      <c r="AA68" s="395" t="str">
        <f t="shared" si="4"/>
        <v>整備しない場合は入力不要です。</v>
      </c>
    </row>
    <row r="69" spans="1:27">
      <c r="A69" s="12">
        <v>40</v>
      </c>
      <c r="B69" s="6"/>
      <c r="C69" s="6"/>
      <c r="D69" s="6"/>
      <c r="E69" s="10"/>
      <c r="F69" s="7"/>
      <c r="G69" s="541"/>
      <c r="H69" s="15">
        <f t="shared" si="0"/>
        <v>0</v>
      </c>
      <c r="I69" s="4">
        <f t="shared" si="1"/>
        <v>0</v>
      </c>
      <c r="J69" s="9"/>
      <c r="K69" s="4">
        <f t="shared" si="2"/>
        <v>0</v>
      </c>
      <c r="L69" s="5" t="str">
        <f>IF(Z69="◎",COUNTIF($Z$30:Z69,"◎"),"")</f>
        <v/>
      </c>
      <c r="W69" s="395" t="str">
        <f>IF(B69="個別病床",はじめに入力してください!$K$50,IF(B69="共通使用",はじめに入力してください!$K$52,""))</f>
        <v/>
      </c>
      <c r="Y69" s="12">
        <v>40</v>
      </c>
      <c r="Z69" s="374" t="str">
        <f t="shared" si="3"/>
        <v>○</v>
      </c>
      <c r="AA69" s="395" t="str">
        <f t="shared" si="4"/>
        <v>整備しない場合は入力不要です。</v>
      </c>
    </row>
    <row r="70" spans="1:27">
      <c r="A70" s="12">
        <v>41</v>
      </c>
      <c r="B70" s="6"/>
      <c r="C70" s="6"/>
      <c r="D70" s="6"/>
      <c r="E70" s="10"/>
      <c r="F70" s="7"/>
      <c r="G70" s="541"/>
      <c r="H70" s="15">
        <f t="shared" si="0"/>
        <v>0</v>
      </c>
      <c r="I70" s="4">
        <f t="shared" si="1"/>
        <v>0</v>
      </c>
      <c r="J70" s="9"/>
      <c r="K70" s="4">
        <f t="shared" si="2"/>
        <v>0</v>
      </c>
      <c r="L70" s="5" t="str">
        <f>IF(Z70="◎",COUNTIF($Z$30:Z70,"◎"),"")</f>
        <v/>
      </c>
      <c r="W70" s="395" t="str">
        <f>IF(B70="個別病床",はじめに入力してください!$K$50,IF(B70="共通使用",はじめに入力してください!$K$52,""))</f>
        <v/>
      </c>
      <c r="Y70" s="12">
        <v>41</v>
      </c>
      <c r="Z70" s="374" t="str">
        <f t="shared" si="3"/>
        <v>○</v>
      </c>
      <c r="AA70" s="395" t="str">
        <f t="shared" si="4"/>
        <v>整備しない場合は入力不要です。</v>
      </c>
    </row>
    <row r="71" spans="1:27">
      <c r="A71" s="12">
        <v>42</v>
      </c>
      <c r="B71" s="6"/>
      <c r="C71" s="6"/>
      <c r="D71" s="6"/>
      <c r="E71" s="10"/>
      <c r="F71" s="7"/>
      <c r="G71" s="541"/>
      <c r="H71" s="15">
        <f t="shared" si="0"/>
        <v>0</v>
      </c>
      <c r="I71" s="4">
        <f t="shared" si="1"/>
        <v>0</v>
      </c>
      <c r="J71" s="9"/>
      <c r="K71" s="4">
        <f t="shared" si="2"/>
        <v>0</v>
      </c>
      <c r="L71" s="5" t="str">
        <f>IF(Z71="◎",COUNTIF($Z$30:Z71,"◎"),"")</f>
        <v/>
      </c>
      <c r="W71" s="395" t="str">
        <f>IF(B71="個別病床",はじめに入力してください!$K$50,IF(B71="共通使用",はじめに入力してください!$K$52,""))</f>
        <v/>
      </c>
      <c r="Y71" s="12">
        <v>42</v>
      </c>
      <c r="Z71" s="374" t="str">
        <f t="shared" si="3"/>
        <v>○</v>
      </c>
      <c r="AA71" s="395" t="str">
        <f t="shared" si="4"/>
        <v>整備しない場合は入力不要です。</v>
      </c>
    </row>
    <row r="72" spans="1:27">
      <c r="A72" s="12">
        <v>43</v>
      </c>
      <c r="B72" s="6"/>
      <c r="C72" s="6"/>
      <c r="D72" s="6"/>
      <c r="E72" s="10"/>
      <c r="F72" s="7"/>
      <c r="G72" s="541"/>
      <c r="H72" s="15">
        <f t="shared" si="0"/>
        <v>0</v>
      </c>
      <c r="I72" s="4">
        <f t="shared" si="1"/>
        <v>0</v>
      </c>
      <c r="J72" s="9"/>
      <c r="K72" s="4">
        <f t="shared" si="2"/>
        <v>0</v>
      </c>
      <c r="L72" s="5" t="str">
        <f>IF(Z72="◎",COUNTIF($Z$30:Z72,"◎"),"")</f>
        <v/>
      </c>
      <c r="W72" s="395" t="str">
        <f>IF(B72="個別病床",はじめに入力してください!$K$50,IF(B72="共通使用",はじめに入力してください!$K$52,""))</f>
        <v/>
      </c>
      <c r="Y72" s="12">
        <v>43</v>
      </c>
      <c r="Z72" s="374" t="str">
        <f t="shared" si="3"/>
        <v>○</v>
      </c>
      <c r="AA72" s="395" t="str">
        <f t="shared" si="4"/>
        <v>整備しない場合は入力不要です。</v>
      </c>
    </row>
    <row r="73" spans="1:27">
      <c r="A73" s="12">
        <v>44</v>
      </c>
      <c r="B73" s="6"/>
      <c r="C73" s="6"/>
      <c r="D73" s="6"/>
      <c r="E73" s="10"/>
      <c r="F73" s="7"/>
      <c r="G73" s="541"/>
      <c r="H73" s="15">
        <f t="shared" si="0"/>
        <v>0</v>
      </c>
      <c r="I73" s="4">
        <f t="shared" si="1"/>
        <v>0</v>
      </c>
      <c r="J73" s="9"/>
      <c r="K73" s="4">
        <f t="shared" si="2"/>
        <v>0</v>
      </c>
      <c r="L73" s="5" t="str">
        <f>IF(Z73="◎",COUNTIF($Z$30:Z73,"◎"),"")</f>
        <v/>
      </c>
      <c r="W73" s="395" t="str">
        <f>IF(B73="個別病床",はじめに入力してください!$K$50,IF(B73="共通使用",はじめに入力してください!$K$52,""))</f>
        <v/>
      </c>
      <c r="Y73" s="12">
        <v>44</v>
      </c>
      <c r="Z73" s="374" t="str">
        <f t="shared" si="3"/>
        <v>○</v>
      </c>
      <c r="AA73" s="395" t="str">
        <f t="shared" si="4"/>
        <v>整備しない場合は入力不要です。</v>
      </c>
    </row>
    <row r="74" spans="1:27">
      <c r="A74" s="12">
        <v>45</v>
      </c>
      <c r="B74" s="6"/>
      <c r="C74" s="6"/>
      <c r="D74" s="6"/>
      <c r="E74" s="10"/>
      <c r="F74" s="7"/>
      <c r="G74" s="541"/>
      <c r="H74" s="15">
        <f t="shared" si="0"/>
        <v>0</v>
      </c>
      <c r="I74" s="4">
        <f t="shared" si="1"/>
        <v>0</v>
      </c>
      <c r="J74" s="9"/>
      <c r="K74" s="4">
        <f t="shared" si="2"/>
        <v>0</v>
      </c>
      <c r="L74" s="5" t="str">
        <f>IF(Z74="◎",COUNTIF($Z$30:Z74,"◎"),"")</f>
        <v/>
      </c>
      <c r="W74" s="395" t="str">
        <f>IF(B74="個別病床",はじめに入力してください!$K$50,IF(B74="共通使用",はじめに入力してください!$K$52,""))</f>
        <v/>
      </c>
      <c r="Y74" s="12">
        <v>45</v>
      </c>
      <c r="Z74" s="374" t="str">
        <f t="shared" si="3"/>
        <v>○</v>
      </c>
      <c r="AA74" s="395" t="str">
        <f t="shared" si="4"/>
        <v>整備しない場合は入力不要です。</v>
      </c>
    </row>
  </sheetData>
  <mergeCells count="23">
    <mergeCell ref="K1:M1"/>
    <mergeCell ref="B22:L22"/>
    <mergeCell ref="B2:D3"/>
    <mergeCell ref="Z3:Z5"/>
    <mergeCell ref="AA3:AA5"/>
    <mergeCell ref="Z7:Z8"/>
    <mergeCell ref="AA7:AA8"/>
    <mergeCell ref="B10:L10"/>
    <mergeCell ref="B13:L13"/>
    <mergeCell ref="B14:L14"/>
    <mergeCell ref="B15:L15"/>
    <mergeCell ref="B18:L21"/>
    <mergeCell ref="B7:L7"/>
    <mergeCell ref="B9:C9"/>
    <mergeCell ref="B12:L12"/>
    <mergeCell ref="B26:L26"/>
    <mergeCell ref="Z27:Z28"/>
    <mergeCell ref="AA27:AA28"/>
    <mergeCell ref="B28:D28"/>
    <mergeCell ref="E28:F28"/>
    <mergeCell ref="G28:J28"/>
    <mergeCell ref="K28:K29"/>
    <mergeCell ref="L28:L29"/>
  </mergeCells>
  <phoneticPr fontId="9"/>
  <conditionalFormatting sqref="Z29:Z1048576 Z1:Z2 Z11:Z21 Z6 Z23:Z27">
    <cfRule type="containsText" dxfId="53" priority="8" operator="containsText" text="×">
      <formula>NOT(ISERROR(SEARCH("×",Z1)))</formula>
    </cfRule>
  </conditionalFormatting>
  <conditionalFormatting sqref="AA1:AA2 AA11:AA21 AA29:AA1048576 AA6 AA23:AA27">
    <cfRule type="containsText" dxfId="52" priority="7" operator="containsText" text="要修正">
      <formula>NOT(ISERROR(SEARCH("要修正",AA1)))</formula>
    </cfRule>
  </conditionalFormatting>
  <conditionalFormatting sqref="Z22">
    <cfRule type="containsText" dxfId="51" priority="6" operator="containsText" text="×">
      <formula>NOT(ISERROR(SEARCH("×",Z22)))</formula>
    </cfRule>
  </conditionalFormatting>
  <conditionalFormatting sqref="AA22">
    <cfRule type="containsText" dxfId="50" priority="5" operator="containsText" text="要修正">
      <formula>NOT(ISERROR(SEARCH("要修正",AA22)))</formula>
    </cfRule>
  </conditionalFormatting>
  <conditionalFormatting sqref="Z9:Z10 Z7">
    <cfRule type="containsText" dxfId="49" priority="4" operator="containsText" text="×">
      <formula>NOT(ISERROR(SEARCH("×",Z7)))</formula>
    </cfRule>
  </conditionalFormatting>
  <conditionalFormatting sqref="AA9:AA10 AA7">
    <cfRule type="containsText" dxfId="48" priority="3" operator="containsText" text="要修正">
      <formula>NOT(ISERROR(SEARCH("要修正",AA7)))</formula>
    </cfRule>
  </conditionalFormatting>
  <conditionalFormatting sqref="Z3:Z4">
    <cfRule type="containsText" dxfId="47" priority="2" operator="containsText" text="×">
      <formula>NOT(ISERROR(SEARCH("×",Z3)))</formula>
    </cfRule>
  </conditionalFormatting>
  <conditionalFormatting sqref="AA3:AA4">
    <cfRule type="containsText" dxfId="46" priority="1" operator="containsText" text="要修正">
      <formula>NOT(ISERROR(SEARCH("要修正",AA3)))</formula>
    </cfRule>
  </conditionalFormatting>
  <dataValidations xWindow="653" yWindow="793" count="10">
    <dataValidation type="list" allowBlank="1" showInputMessage="1" showErrorMessage="1" promptTitle="補助対象の該当非該当" prompt="コロナ対応病床の初度設備に係る経費が対象となります。_x000a_共用部分の設備、備品や医療用消耗品等は補助対象外なので「対象外」を選択してください。_x000a_審査において確認、対象外と認めたものについては対象外として補正をお願いする場合があります。" sqref="J30:J74" xr:uid="{7A5F737A-1818-4BE0-B86D-23376854AF36}">
      <formula1>"補助対象,補助対象外"</formula1>
    </dataValidation>
    <dataValidation allowBlank="1" showInputMessage="1" showErrorMessage="1" promptTitle="金額の表示" prompt="数式が入力されているため、自動計算されます。" sqref="K30:K74 I30:I74" xr:uid="{175361CE-EC71-489F-AC36-DE2B867AC731}"/>
    <dataValidation allowBlank="1" showInputMessage="1" showErrorMessage="1" promptTitle="添付書類番号" prompt="種類、規格、数量、単価が全て適切に入力され、右の「判定」が「◎」と表示されると自動で番号が表示されます。" sqref="L30:L74" xr:uid="{8FEBE4D0-4724-4CE5-A39E-D13DA9BECA4B}"/>
    <dataValidation allowBlank="1" showInputMessage="1" showErrorMessage="1" promptTitle="単価の入力" prompt="税抜額または税込額のいずれかを入力してください。_x000a_入力しない方は「0」は入力せず、空欄としてください。" sqref="H30:H74" xr:uid="{63B918DE-9F05-4532-A8C6-ABCCFA258684}"/>
    <dataValidation allowBlank="1" showInputMessage="1" showErrorMessage="1" promptTitle="規格及び数量の入力" prompt="補助対象経費を計上する際、いずれも入力してください。" sqref="E30:E74" xr:uid="{3A81E350-9D26-4052-ADB1-D576C302D75F}"/>
    <dataValidation allowBlank="1" showInputMessage="1" showErrorMessage="1" promptTitle="補助対象金額" prompt="補助対象額×（見積書金額-割引額）/見積書金額_x000a_で算出されます。" sqref="J3" xr:uid="{00000000-0002-0000-1600-000006000000}"/>
    <dataValidation allowBlank="1" showInputMessage="1" showErrorMessage="1" promptTitle="割引額がある場合は入力" prompt="割引がない場合は「0円」のままとしてください。" sqref="I3" xr:uid="{00000000-0002-0000-1600-000007000000}"/>
    <dataValidation type="list" allowBlank="1" showInputMessage="1" showErrorMessage="1" promptTitle="設備、備品、その他の別を選択" prompt="当該行に記載する品目が_x000a_・「設備」（設備本体）_x000a_・備品（本体設備と別の構成をなすもの）_x000a_・その他（上記の該当しないもの）_x000a_の別をプルダウンから選択してください。" sqref="D30:D74" xr:uid="{B17C7356-C8B6-4A9D-A5D5-E6FD9B506D28}">
      <formula1>"設備,備品,その他"</formula1>
    </dataValidation>
    <dataValidation type="decimal" operator="greaterThanOrEqual" allowBlank="1" showInputMessage="1" showErrorMessage="1" promptTitle="単価の入力" prompt="税抜額または税込額のいずれかを入力してください。_x000a_入力しない方は「0」は入力せず、空欄としてください。" sqref="G30:G74" xr:uid="{83E12E8F-0B85-4FB7-800A-742FB75EC07D}">
      <formula1>0</formula1>
    </dataValidation>
    <dataValidation type="whole" operator="greaterThanOrEqual" allowBlank="1" showInputMessage="1" showErrorMessage="1" errorTitle="数値のみを入力してください。" error="「個」、「枚」等の単位入力は不要です。" promptTitle="規格及び数量の入力" prompt="補助対象経費を計上する際、いずれも入力してください。" sqref="F30:F74" xr:uid="{1E1C6C13-F2E4-49C6-81A3-4000D59870C0}">
      <formula1>0</formula1>
    </dataValidation>
  </dataValidations>
  <pageMargins left="0.7" right="0.7" top="0.75" bottom="0.75" header="0.3" footer="0.3"/>
  <pageSetup paperSize="9" scale="55" orientation="portrait" r:id="rId1"/>
  <drawing r:id="rId2"/>
  <legacyDrawing r:id="rId3"/>
  <extLst>
    <ext xmlns:x14="http://schemas.microsoft.com/office/spreadsheetml/2009/9/main" uri="{CCE6A557-97BC-4b89-ADB6-D9C93CAAB3DF}">
      <x14:dataValidations xmlns:xm="http://schemas.microsoft.com/office/excel/2006/main" xWindow="653" yWindow="793" count="3">
        <x14:dataValidation type="list" allowBlank="1" showInputMessage="1" showErrorMessage="1" promptTitle="「用途先」病床の選択（左の「病床」を選択しないと表示されません。" prompt="ベッドに必ずしも紐付けるものではありませんが、１病床１台で紐付けした場合、整備する病床に番号付けをした場合の番号を選択してください。" xr:uid="{FA32CCDC-BCF9-47D8-92B7-39027332EB65}">
          <x14:formula1>
            <xm:f>OFFSET(テーブル!$X$48, 0, MATCH(B30,テーブル!$Y$47:$Z$47,0), COUNTA(OFFSET(テーブル!$X$48,0,MATCH(B30,テーブル!$Y$47:$Z$47,0),$W$30,1)),1)</xm:f>
          </x14:formula1>
          <xm:sqref>C30:C74</xm:sqref>
        </x14:dataValidation>
        <x14:dataValidation type="list" allowBlank="1" showInputMessage="1" showErrorMessage="1" promptTitle="配備先の別を選択" prompt="確保病床の共通使用のものか、個別のベッドに配備するものか選択してください。" xr:uid="{2436B0E2-2B6E-4733-9805-E2CF5ABC1348}">
          <x14:formula1>
            <xm:f>テーブル!$X$48:$X$49</xm:f>
          </x14:formula1>
          <xm:sqref>B30:B74</xm:sqref>
        </x14:dataValidation>
        <x14:dataValidation type="list" allowBlank="1" showInputMessage="1" showErrorMessage="1" xr:uid="{00000000-0002-0000-1600-00000A000000}">
          <x14:formula1>
            <xm:f>テーブル!$M$37:$M$51</xm:f>
          </x14:formula1>
          <xm:sqref>B2:D2</xm:sqref>
        </x14:dataValidation>
      </x14:dataValidations>
    </ext>
  </extLs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3">
    <tabColor theme="4" tint="0.79998168889431442"/>
    <pageSetUpPr fitToPage="1"/>
  </sheetPr>
  <dimension ref="A1:AF74"/>
  <sheetViews>
    <sheetView showGridLines="0" view="pageBreakPreview" topLeftCell="A21" zoomScale="60" zoomScaleNormal="100" workbookViewId="0">
      <selection activeCell="B26" sqref="B26:L26"/>
    </sheetView>
  </sheetViews>
  <sheetFormatPr defaultColWidth="8.625" defaultRowHeight="18"/>
  <cols>
    <col min="1" max="1" width="3.625" style="12" customWidth="1"/>
    <col min="2" max="4" width="8.625" style="19"/>
    <col min="5" max="5" width="30.625" style="19" customWidth="1"/>
    <col min="6" max="6" width="8.625" style="19"/>
    <col min="7" max="11" width="12.625" style="19" customWidth="1"/>
    <col min="12" max="12" width="8.625" style="19"/>
    <col min="13" max="13" width="3.625" style="19" customWidth="1"/>
    <col min="14" max="23" width="8.625" style="19"/>
    <col min="24" max="24" width="8.625" style="19" customWidth="1"/>
    <col min="25" max="25" width="3.625" style="12" customWidth="1"/>
    <col min="26" max="26" width="8.625" style="19"/>
    <col min="27" max="27" width="40.625" style="19" customWidth="1"/>
    <col min="28" max="28" width="3.625" style="19" customWidth="1"/>
    <col min="29" max="32" width="8.625" style="19"/>
    <col min="33" max="33" width="30.625" style="19" customWidth="1"/>
    <col min="34" max="16384" width="8.625" style="19"/>
  </cols>
  <sheetData>
    <row r="1" spans="1:32" ht="20.100000000000001" customHeight="1">
      <c r="K1" s="1829" t="str">
        <f xml:space="preserve">
IF(表紙!X2="交付申請兼実績報告","（４月１日～５月７日分）",
IF(OR(表紙!X2="事前協議",表紙!X2="交付申請",表紙!X2="変更申請",表紙!X2="実績報告"),"（５月８日～９月30日分）",
))</f>
        <v>（５月８日～９月30日分）</v>
      </c>
      <c r="L1" s="1364"/>
      <c r="M1" s="1364"/>
    </row>
    <row r="2" spans="1:32" ht="20.100000000000001" customHeight="1">
      <c r="B2" s="1817" t="s">
        <v>431</v>
      </c>
      <c r="C2" s="1818"/>
      <c r="D2" s="1819"/>
      <c r="H2" s="5" t="s">
        <v>538</v>
      </c>
      <c r="I2" s="374" t="s">
        <v>539</v>
      </c>
      <c r="J2" s="5" t="s">
        <v>44</v>
      </c>
      <c r="Z2" s="374" t="s">
        <v>419</v>
      </c>
      <c r="AA2" s="374" t="s">
        <v>417</v>
      </c>
      <c r="AC2" s="374" t="str">
        <f>Z9</f>
        <v>×</v>
      </c>
      <c r="AD2" s="374" t="str">
        <f>Z15</f>
        <v>◎</v>
      </c>
      <c r="AE2" s="374" t="str">
        <f>Z22</f>
        <v>◎</v>
      </c>
      <c r="AF2" s="374" t="str">
        <f>Z26</f>
        <v>◎</v>
      </c>
    </row>
    <row r="3" spans="1:32" ht="20.100000000000001" customHeight="1">
      <c r="B3" s="1820"/>
      <c r="C3" s="1821"/>
      <c r="D3" s="1822"/>
      <c r="H3" s="358">
        <f>SUM(I30:I74)</f>
        <v>35200000</v>
      </c>
      <c r="I3" s="8"/>
      <c r="J3" s="358">
        <f>IFERROR(ROUNDUP(SUM(K30:K74)*((H3-I3)/H3),0),0)</f>
        <v>35200000</v>
      </c>
      <c r="Z3" s="863" t="str">
        <f xml:space="preserve">
IF(COUNTIF(AD2:AF2,"○")=3,"○",
IF(COUNTIF(AD2:AF2,"◎")=3,"◎","×"
))</f>
        <v>◎</v>
      </c>
      <c r="AA3" s="1812" t="str">
        <f xml:space="preserve">
IF(Z3="○","整備しない場合は入力不要です。",
IF(Z3="×","【要修正】入力が不十分な箇所があります。",
IF(Z3="◎","適切に入力がされました。")))</f>
        <v>適切に入力がされました。</v>
      </c>
    </row>
    <row r="4" spans="1:32" ht="9.9499999999999993" customHeight="1">
      <c r="Z4" s="863"/>
      <c r="AA4" s="1812"/>
    </row>
    <row r="5" spans="1:32" ht="20.100000000000001" customHeight="1">
      <c r="B5" s="393" t="s">
        <v>55</v>
      </c>
      <c r="C5" s="393"/>
      <c r="D5" s="393"/>
      <c r="E5" s="393"/>
      <c r="F5" s="393"/>
      <c r="G5" s="393"/>
      <c r="H5" s="393"/>
      <c r="I5" s="393"/>
      <c r="J5" s="393"/>
      <c r="K5" s="393"/>
      <c r="L5" s="393"/>
      <c r="Z5" s="908"/>
      <c r="AA5" s="843"/>
    </row>
    <row r="6" spans="1:32" ht="9.9499999999999993" customHeight="1"/>
    <row r="7" spans="1:32" ht="20.100000000000001" customHeight="1">
      <c r="B7" s="1833" t="str">
        <f xml:space="preserve">
IF(OR(表紙!X2="事前協議",表紙!X2="交付申請"),"（１）整備を行う対象の新規で指定を受けた確保病床数あるいは、確保病床を有しない場合は整備を行う病床の数",
IF(表紙!X2="交付申請兼実績報告","（１）整備を行う対象の新規で指定を受けた確保病床数"))</f>
        <v>（１）整備を行う対象の新規で指定を受けた確保病床数あるいは、確保病床を有しない場合は整備を行う病床の数</v>
      </c>
      <c r="C7" s="932"/>
      <c r="D7" s="932"/>
      <c r="E7" s="932"/>
      <c r="F7" s="932"/>
      <c r="G7" s="932"/>
      <c r="H7" s="932"/>
      <c r="I7" s="932"/>
      <c r="J7" s="932"/>
      <c r="K7" s="932"/>
      <c r="L7" s="932"/>
      <c r="Z7" s="1808" t="s">
        <v>415</v>
      </c>
      <c r="AA7" s="1808" t="s">
        <v>417</v>
      </c>
    </row>
    <row r="8" spans="1:32" ht="9.9499999999999993" customHeight="1">
      <c r="Z8" s="1809"/>
      <c r="AA8" s="1809"/>
    </row>
    <row r="9" spans="1:32" ht="35.1" customHeight="1">
      <c r="B9" s="1834" t="s">
        <v>56</v>
      </c>
      <c r="C9" s="1835"/>
      <c r="D9" s="205" t="str">
        <f>IF(はじめに入力してください!K50="","",はじめに入力してください!K50)</f>
        <v/>
      </c>
      <c r="E9" s="359"/>
      <c r="F9" s="360"/>
      <c r="G9" s="360"/>
      <c r="H9" s="360"/>
      <c r="I9" s="360"/>
      <c r="J9" s="361"/>
      <c r="K9" s="361"/>
      <c r="L9" s="361"/>
      <c r="Z9" s="374" t="str">
        <f xml:space="preserve">
IF(D9="","×",
IF(D9=0,"○",
IF(D9&gt;=1,"◎",
)))</f>
        <v>×</v>
      </c>
      <c r="AA9" s="395" t="str">
        <f xml:space="preserve">
IF(D9="","【要修正】「はじめに入力してください」シートに整備を行う病床の数を入力してください。",
IF(D9=0,"申請しない場合は以下入力不要です。",
IF(D9&gt;=1,"適切に入力されました。",
)))</f>
        <v>【要修正】「はじめに入力してください」シートに整備を行う病床の数を入力してください。</v>
      </c>
    </row>
    <row r="10" spans="1:32" ht="20.100000000000001" customHeight="1">
      <c r="B10" s="1830"/>
      <c r="C10" s="1831"/>
      <c r="D10" s="1832"/>
      <c r="E10" s="1832"/>
      <c r="F10" s="1832"/>
      <c r="G10" s="1832"/>
      <c r="H10" s="1832"/>
      <c r="I10" s="1832"/>
      <c r="J10" s="1832"/>
      <c r="K10" s="1832"/>
      <c r="L10" s="1832"/>
    </row>
    <row r="11" spans="1:32" ht="20.100000000000001" hidden="1" customHeight="1"/>
    <row r="12" spans="1:32" ht="20.100000000000001" customHeight="1">
      <c r="B12" s="1833" t="s">
        <v>57</v>
      </c>
      <c r="C12" s="932"/>
      <c r="D12" s="932"/>
      <c r="E12" s="932"/>
      <c r="F12" s="932"/>
      <c r="G12" s="932"/>
      <c r="H12" s="932"/>
      <c r="I12" s="932"/>
      <c r="J12" s="932"/>
      <c r="K12" s="932"/>
      <c r="L12" s="932"/>
    </row>
    <row r="13" spans="1:32" ht="39.950000000000003" customHeight="1">
      <c r="B13" s="1813" t="s">
        <v>540</v>
      </c>
      <c r="C13" s="931"/>
      <c r="D13" s="931"/>
      <c r="E13" s="931"/>
      <c r="F13" s="931"/>
      <c r="G13" s="931"/>
      <c r="H13" s="931"/>
      <c r="I13" s="931"/>
      <c r="J13" s="931"/>
      <c r="K13" s="931"/>
      <c r="L13" s="931"/>
    </row>
    <row r="14" spans="1:32" s="392" customFormat="1" ht="99.95" customHeight="1">
      <c r="A14" s="13"/>
      <c r="B14" s="1813" t="str">
        <f>VLOOKUP(B2,テーブル!M37:N51,2,FALSE)</f>
        <v>（例）当院は透析患者の入院受け入れも行っており、これまで透析患者の病床をコロナ病床に転換して対応を行ってきた。
　　　今年度に入りこれまで、当院が透析患者の受け入れのため確保している病床数を超える入院受け入れ要請が生じ、透析専門の有床診療所に受け入れ協力
　　　をせざるを得ない状況が生じ、診療所でクラスターが発生、その際、遠隔の医療機関への搬送事例が生じたことから、こうした事態を未然に防ぐため、
　　　新たに○台の追加整備を行うこととしたい。
　　　（整備台数の検討にあたってのピーク時の陽性患者数の推移及び受け入れ要請を断らざるを得なかったケースの詳細については別紙のとおり。）</v>
      </c>
      <c r="C14" s="1645"/>
      <c r="D14" s="1645"/>
      <c r="E14" s="1645"/>
      <c r="F14" s="1645"/>
      <c r="G14" s="1645"/>
      <c r="H14" s="1645"/>
      <c r="I14" s="1645"/>
      <c r="J14" s="1645"/>
      <c r="K14" s="1645"/>
      <c r="L14" s="1645"/>
      <c r="Y14" s="13"/>
      <c r="Z14" s="373" t="s">
        <v>415</v>
      </c>
      <c r="AA14" s="373" t="s">
        <v>416</v>
      </c>
    </row>
    <row r="15" spans="1:32" ht="120" customHeight="1">
      <c r="B15" s="1814" t="s">
        <v>1321</v>
      </c>
      <c r="C15" s="1815"/>
      <c r="D15" s="1815"/>
      <c r="E15" s="1815"/>
      <c r="F15" s="1815"/>
      <c r="G15" s="1815"/>
      <c r="H15" s="1815"/>
      <c r="I15" s="1815"/>
      <c r="J15" s="1815"/>
      <c r="K15" s="1815"/>
      <c r="L15" s="1816"/>
      <c r="Z15" s="374" t="str">
        <f xml:space="preserve">
IF(COUNTA(B15)=0,"○",
IF(COUNTA(B15)=1,"◎"))</f>
        <v>◎</v>
      </c>
      <c r="AA15" s="395" t="str">
        <f xml:space="preserve">
IF(COUNTA(B15)=0,"整備しない場合は入力不要です。",
IF(COUNTA(B15)=1,"入力された状態になりました。"))</f>
        <v>入力された状態になりました。</v>
      </c>
    </row>
    <row r="16" spans="1:32" ht="20.100000000000001" customHeight="1"/>
    <row r="17" spans="1:27" ht="20.100000000000001" customHeight="1">
      <c r="B17" s="393" t="s">
        <v>454</v>
      </c>
      <c r="C17" s="393"/>
      <c r="D17" s="393"/>
      <c r="E17" s="393"/>
      <c r="F17" s="393"/>
      <c r="G17" s="393"/>
      <c r="H17" s="393"/>
      <c r="I17" s="393"/>
      <c r="J17" s="393"/>
      <c r="K17" s="393"/>
      <c r="L17" s="393"/>
    </row>
    <row r="18" spans="1:27" ht="20.100000000000001" customHeight="1">
      <c r="B18" s="1813" t="s">
        <v>482</v>
      </c>
      <c r="C18" s="931"/>
      <c r="D18" s="931"/>
      <c r="E18" s="931"/>
      <c r="F18" s="931"/>
      <c r="G18" s="931"/>
      <c r="H18" s="931"/>
      <c r="I18" s="931"/>
      <c r="J18" s="931"/>
      <c r="K18" s="931"/>
      <c r="L18" s="931"/>
    </row>
    <row r="19" spans="1:27" ht="20.100000000000001" customHeight="1">
      <c r="B19" s="1813"/>
      <c r="C19" s="931"/>
      <c r="D19" s="931"/>
      <c r="E19" s="931"/>
      <c r="F19" s="931"/>
      <c r="G19" s="931"/>
      <c r="H19" s="931"/>
      <c r="I19" s="931"/>
      <c r="J19" s="931"/>
      <c r="K19" s="931"/>
      <c r="L19" s="931"/>
    </row>
    <row r="20" spans="1:27" ht="20.100000000000001" customHeight="1">
      <c r="B20" s="1813"/>
      <c r="C20" s="931"/>
      <c r="D20" s="931"/>
      <c r="E20" s="931"/>
      <c r="F20" s="931"/>
      <c r="G20" s="931"/>
      <c r="H20" s="931"/>
      <c r="I20" s="931"/>
      <c r="J20" s="931"/>
      <c r="K20" s="931"/>
      <c r="L20" s="931"/>
    </row>
    <row r="21" spans="1:27" ht="20.100000000000001" customHeight="1">
      <c r="B21" s="931"/>
      <c r="C21" s="931"/>
      <c r="D21" s="931"/>
      <c r="E21" s="931"/>
      <c r="F21" s="931"/>
      <c r="G21" s="931"/>
      <c r="H21" s="931"/>
      <c r="I21" s="931"/>
      <c r="J21" s="931"/>
      <c r="K21" s="931"/>
      <c r="L21" s="931"/>
    </row>
    <row r="22" spans="1:27" ht="120" customHeight="1">
      <c r="B22" s="1814" t="s">
        <v>1321</v>
      </c>
      <c r="C22" s="1815"/>
      <c r="D22" s="1815"/>
      <c r="E22" s="1815"/>
      <c r="F22" s="1815"/>
      <c r="G22" s="1815"/>
      <c r="H22" s="1815"/>
      <c r="I22" s="1815"/>
      <c r="J22" s="1815"/>
      <c r="K22" s="1815"/>
      <c r="L22" s="1816"/>
      <c r="Z22" s="374" t="str">
        <f xml:space="preserve">
IF(COUNTA(B22)=0,"○",
IF(COUNTA(B22)=1,"◎"))</f>
        <v>◎</v>
      </c>
      <c r="AA22" s="395" t="str">
        <f xml:space="preserve">
IF(COUNTA(B22)=0,"整備しない場合は入力不要です。",
IF(COUNTA(B22)=1,"入力された状態になりました。"))</f>
        <v>入力された状態になりました。</v>
      </c>
    </row>
    <row r="23" spans="1:27" ht="20.100000000000001" customHeight="1"/>
    <row r="24" spans="1:27" ht="20.100000000000001" customHeight="1">
      <c r="B24" s="393" t="s">
        <v>453</v>
      </c>
      <c r="C24" s="393"/>
      <c r="D24" s="393"/>
      <c r="E24" s="393"/>
      <c r="F24" s="393"/>
      <c r="G24" s="393"/>
      <c r="H24" s="393"/>
      <c r="I24" s="393"/>
      <c r="J24" s="393"/>
      <c r="K24" s="393"/>
      <c r="L24" s="393"/>
      <c r="Z24" s="14"/>
    </row>
    <row r="25" spans="1:27" ht="9.9499999999999993" customHeight="1"/>
    <row r="26" spans="1:27" ht="60" customHeight="1">
      <c r="B26" s="1813" t="s">
        <v>561</v>
      </c>
      <c r="C26" s="932"/>
      <c r="D26" s="932"/>
      <c r="E26" s="932"/>
      <c r="F26" s="932"/>
      <c r="G26" s="932"/>
      <c r="H26" s="932"/>
      <c r="I26" s="932"/>
      <c r="J26" s="932"/>
      <c r="K26" s="932"/>
      <c r="L26" s="932"/>
      <c r="Z26" s="374" t="str">
        <f xml:space="preserve">
IF(COUNTIF(Z30:Z74,"○")=45,"○",
IF(COUNTIF(Z30:Z74,"×")&gt;=1,"×",
IF(AND(COUNTIF(Z30:Z74,"◎")&gt;=1,COUNTIF(Z30:Z74,"×")=0),"◎")))</f>
        <v>◎</v>
      </c>
      <c r="AA26" s="395" t="str">
        <f xml:space="preserve">
IF(COUNTIF(Z30:Z74,"○")=45,"整備しない場合は入力不要です。",
IF(COUNTIF(Z30:Z74,"×")&gt;=1,"【要修正】入力が不十分な箇所があります。",
IF(AND(COUNTIF(Z30:Z74,"◎")&gt;=1,COUNTIF(Z30:Z74,"×")=0),"適切に入力がされました。")))</f>
        <v>適切に入力がされました。</v>
      </c>
    </row>
    <row r="27" spans="1:27" ht="9.9499999999999993" customHeight="1">
      <c r="Z27" s="1807" t="s">
        <v>418</v>
      </c>
      <c r="AA27" s="1810" t="s">
        <v>420</v>
      </c>
    </row>
    <row r="28" spans="1:27">
      <c r="B28" s="1823" t="s">
        <v>41</v>
      </c>
      <c r="C28" s="1824"/>
      <c r="D28" s="1825"/>
      <c r="E28" s="1823" t="s">
        <v>42</v>
      </c>
      <c r="F28" s="1825"/>
      <c r="G28" s="1823" t="s">
        <v>43</v>
      </c>
      <c r="H28" s="1824"/>
      <c r="I28" s="1824"/>
      <c r="J28" s="1825"/>
      <c r="K28" s="1826" t="s">
        <v>44</v>
      </c>
      <c r="L28" s="1826" t="s">
        <v>45</v>
      </c>
      <c r="Z28" s="1084"/>
      <c r="AA28" s="1811"/>
    </row>
    <row r="29" spans="1:27">
      <c r="B29" s="3" t="s">
        <v>46</v>
      </c>
      <c r="C29" s="3" t="s">
        <v>47</v>
      </c>
      <c r="D29" s="3" t="s">
        <v>48</v>
      </c>
      <c r="E29" s="3" t="s">
        <v>54</v>
      </c>
      <c r="F29" s="3" t="s">
        <v>49</v>
      </c>
      <c r="G29" s="3" t="s">
        <v>50</v>
      </c>
      <c r="H29" s="3" t="s">
        <v>51</v>
      </c>
      <c r="I29" s="3" t="s">
        <v>52</v>
      </c>
      <c r="J29" s="3" t="s">
        <v>53</v>
      </c>
      <c r="K29" s="1827"/>
      <c r="L29" s="1827"/>
      <c r="Z29" s="374" t="s">
        <v>415</v>
      </c>
      <c r="AA29" s="374" t="s">
        <v>417</v>
      </c>
    </row>
    <row r="30" spans="1:27">
      <c r="A30" s="12">
        <v>1</v>
      </c>
      <c r="B30" s="6"/>
      <c r="C30" s="6"/>
      <c r="D30" s="6"/>
      <c r="E30" s="10"/>
      <c r="F30" s="7"/>
      <c r="G30" s="541"/>
      <c r="H30" s="15">
        <f>ROUNDDOWN(G30*1.1,0)</f>
        <v>0</v>
      </c>
      <c r="I30" s="4">
        <f>F30*H30</f>
        <v>0</v>
      </c>
      <c r="J30" s="9"/>
      <c r="K30" s="4">
        <f>IF(J30="補助対象",I30,IF(J30="補助対象外",0,0))</f>
        <v>0</v>
      </c>
      <c r="L30" s="5" t="str">
        <f>IF(Z30="◎",COUNTIF($Z$30:Z30,"◎"),"")</f>
        <v/>
      </c>
      <c r="W30" s="395" t="str">
        <f>IF(B30="個別病床",はじめに入力してください!$K$50,IF(B30="共通使用",はじめに入力してください!$K$52,""))</f>
        <v/>
      </c>
      <c r="Y30" s="12">
        <v>1</v>
      </c>
      <c r="Z30" s="374" t="str">
        <f xml:space="preserve">
IF(SUM(COUNTA(B30:G30),COUNTA(J30))=0,"○",
IF(AND(SUM(COUNTA(B30:G30),COUNTA(J30))&gt;0,SUM(COUNTA(B30:G30),COUNTA(J30))&lt;7),"×",
IF(SUM(COUNTA(B30:G30),COUNTA(J30))=7,"◎")))</f>
        <v>○</v>
      </c>
      <c r="AA30" s="395" t="str">
        <f xml:space="preserve">
IF(SUM(COUNTA(B30:G30),COUNTA(J30))=0,"整備しない場合は入力不要です。",
IF(AND(SUM(COUNTA(B30:G30),COUNTA(J30))&gt;0,SUM(COUNTA(B30:G30),COUNTA(J30))&lt;7),"【要修正】未入力の箇所があります。",
IF(SUM(COUNTA(B30:G30),COUNTA(J30))=7,"適切に入力がされました。")))</f>
        <v>整備しない場合は入力不要です。</v>
      </c>
    </row>
    <row r="31" spans="1:27">
      <c r="A31" s="12">
        <v>2</v>
      </c>
      <c r="B31" s="6"/>
      <c r="C31" s="6"/>
      <c r="D31" s="6"/>
      <c r="E31" s="10"/>
      <c r="F31" s="7"/>
      <c r="G31" s="541"/>
      <c r="H31" s="15">
        <f t="shared" ref="H31:H74" si="0">ROUNDDOWN(G31*1.1,0)</f>
        <v>0</v>
      </c>
      <c r="I31" s="4">
        <f t="shared" ref="I31:I74" si="1">F31*H31</f>
        <v>0</v>
      </c>
      <c r="J31" s="9"/>
      <c r="K31" s="4">
        <f t="shared" ref="K31:K74" si="2">IF(J31="補助対象",I31,IF(J31="補助対象外",0,0))</f>
        <v>0</v>
      </c>
      <c r="L31" s="5" t="str">
        <f>IF(Z31="◎",COUNTIF($Z$30:Z31,"◎"),"")</f>
        <v/>
      </c>
      <c r="W31" s="395" t="str">
        <f>IF(B31="個別病床",はじめに入力してください!$K$50,IF(B31="共通使用",はじめに入力してください!$K$52,""))</f>
        <v/>
      </c>
      <c r="Y31" s="12">
        <v>2</v>
      </c>
      <c r="Z31" s="374" t="str">
        <f t="shared" ref="Z31:Z74" si="3" xml:space="preserve">
IF(SUM(COUNTA(B31:G31),COUNTA(J31))=0,"○",
IF(AND(SUM(COUNTA(B31:G31),COUNTA(J31))&gt;0,SUM(COUNTA(B31:G31),COUNTA(J31))&lt;7),"×",
IF(SUM(COUNTA(B31:G31),COUNTA(J31))=7,"◎")))</f>
        <v>○</v>
      </c>
      <c r="AA31" s="395" t="str">
        <f t="shared" ref="AA31:AA74" si="4" xml:space="preserve">
IF(SUM(COUNTA(B31:G31),COUNTA(J31))=0,"整備しない場合は入力不要です。",
IF(AND(SUM(COUNTA(B31:G31),COUNTA(J31))&gt;0,SUM(COUNTA(B31:G31),COUNTA(J31))&lt;7),"【要修正】未入力の箇所があります。",
IF(SUM(COUNTA(B31:G31),COUNTA(J31))=7,"適切に入力がされました。")))</f>
        <v>整備しない場合は入力不要です。</v>
      </c>
    </row>
    <row r="32" spans="1:27">
      <c r="A32" s="12">
        <v>3</v>
      </c>
      <c r="B32" s="6"/>
      <c r="C32" s="6"/>
      <c r="D32" s="6"/>
      <c r="E32" s="10"/>
      <c r="F32" s="7"/>
      <c r="G32" s="541"/>
      <c r="H32" s="15">
        <f t="shared" si="0"/>
        <v>0</v>
      </c>
      <c r="I32" s="4">
        <f t="shared" si="1"/>
        <v>0</v>
      </c>
      <c r="J32" s="9"/>
      <c r="K32" s="4">
        <f t="shared" si="2"/>
        <v>0</v>
      </c>
      <c r="L32" s="5" t="str">
        <f>IF(Z32="◎",COUNTIF($Z$30:Z32,"◎"),"")</f>
        <v/>
      </c>
      <c r="W32" s="395" t="str">
        <f>IF(B32="個別病床",はじめに入力してください!$K$50,IF(B32="共通使用",はじめに入力してください!$K$52,""))</f>
        <v/>
      </c>
      <c r="Y32" s="12">
        <v>3</v>
      </c>
      <c r="Z32" s="374" t="str">
        <f t="shared" si="3"/>
        <v>○</v>
      </c>
      <c r="AA32" s="395" t="str">
        <f t="shared" si="4"/>
        <v>整備しない場合は入力不要です。</v>
      </c>
    </row>
    <row r="33" spans="1:27">
      <c r="A33" s="12">
        <v>4</v>
      </c>
      <c r="B33" s="6"/>
      <c r="C33" s="6"/>
      <c r="D33" s="6"/>
      <c r="E33" s="10"/>
      <c r="F33" s="7"/>
      <c r="G33" s="541"/>
      <c r="H33" s="15">
        <f t="shared" si="0"/>
        <v>0</v>
      </c>
      <c r="I33" s="4">
        <f t="shared" si="1"/>
        <v>0</v>
      </c>
      <c r="J33" s="9"/>
      <c r="K33" s="4">
        <f t="shared" si="2"/>
        <v>0</v>
      </c>
      <c r="L33" s="5" t="str">
        <f>IF(Z33="◎",COUNTIF($Z$30:Z33,"◎"),"")</f>
        <v/>
      </c>
      <c r="W33" s="395" t="str">
        <f>IF(B33="個別病床",はじめに入力してください!$K$50,IF(B33="共通使用",はじめに入力してください!$K$52,""))</f>
        <v/>
      </c>
      <c r="Y33" s="12">
        <v>4</v>
      </c>
      <c r="Z33" s="374" t="str">
        <f t="shared" si="3"/>
        <v>○</v>
      </c>
      <c r="AA33" s="395" t="str">
        <f t="shared" si="4"/>
        <v>整備しない場合は入力不要です。</v>
      </c>
    </row>
    <row r="34" spans="1:27">
      <c r="A34" s="12">
        <v>5</v>
      </c>
      <c r="B34" s="6"/>
      <c r="C34" s="6"/>
      <c r="D34" s="6"/>
      <c r="E34" s="10"/>
      <c r="F34" s="7"/>
      <c r="G34" s="541"/>
      <c r="H34" s="15">
        <f t="shared" si="0"/>
        <v>0</v>
      </c>
      <c r="I34" s="4">
        <f t="shared" si="1"/>
        <v>0</v>
      </c>
      <c r="J34" s="9"/>
      <c r="K34" s="4">
        <f t="shared" si="2"/>
        <v>0</v>
      </c>
      <c r="L34" s="5" t="str">
        <f>IF(Z34="◎",COUNTIF($Z$30:Z34,"◎"),"")</f>
        <v/>
      </c>
      <c r="W34" s="395" t="str">
        <f>IF(B34="個別病床",はじめに入力してください!$K$50,IF(B34="共通使用",はじめに入力してください!$K$52,""))</f>
        <v/>
      </c>
      <c r="Y34" s="12">
        <v>5</v>
      </c>
      <c r="Z34" s="374" t="str">
        <f t="shared" si="3"/>
        <v>○</v>
      </c>
      <c r="AA34" s="395" t="str">
        <f t="shared" si="4"/>
        <v>整備しない場合は入力不要です。</v>
      </c>
    </row>
    <row r="35" spans="1:27">
      <c r="A35" s="12">
        <v>6</v>
      </c>
      <c r="B35" s="6"/>
      <c r="C35" s="6"/>
      <c r="D35" s="6"/>
      <c r="E35" s="10"/>
      <c r="F35" s="7"/>
      <c r="G35" s="541"/>
      <c r="H35" s="15">
        <f t="shared" si="0"/>
        <v>0</v>
      </c>
      <c r="I35" s="4">
        <f t="shared" si="1"/>
        <v>0</v>
      </c>
      <c r="J35" s="9"/>
      <c r="K35" s="4">
        <f t="shared" si="2"/>
        <v>0</v>
      </c>
      <c r="L35" s="5" t="str">
        <f>IF(Z35="◎",COUNTIF($Z$30:Z35,"◎"),"")</f>
        <v/>
      </c>
      <c r="W35" s="395" t="str">
        <f>IF(B35="個別病床",はじめに入力してください!$K$50,IF(B35="共通使用",はじめに入力してください!$K$52,""))</f>
        <v/>
      </c>
      <c r="Y35" s="12">
        <v>6</v>
      </c>
      <c r="Z35" s="374" t="str">
        <f t="shared" si="3"/>
        <v>○</v>
      </c>
      <c r="AA35" s="395" t="str">
        <f t="shared" si="4"/>
        <v>整備しない場合は入力不要です。</v>
      </c>
    </row>
    <row r="36" spans="1:27">
      <c r="A36" s="12">
        <v>7</v>
      </c>
      <c r="B36" s="6" t="s">
        <v>691</v>
      </c>
      <c r="C36" s="6" t="s">
        <v>692</v>
      </c>
      <c r="D36" s="6" t="s">
        <v>1315</v>
      </c>
      <c r="E36" s="10" t="s">
        <v>1314</v>
      </c>
      <c r="F36" s="7">
        <v>8</v>
      </c>
      <c r="G36" s="541">
        <v>1000000</v>
      </c>
      <c r="H36" s="15">
        <f t="shared" si="0"/>
        <v>1100000</v>
      </c>
      <c r="I36" s="4">
        <f t="shared" si="1"/>
        <v>8800000</v>
      </c>
      <c r="J36" s="9" t="s">
        <v>1319</v>
      </c>
      <c r="K36" s="4">
        <f t="shared" si="2"/>
        <v>8800000</v>
      </c>
      <c r="L36" s="5">
        <f>IF(Z36="◎",COUNTIF($Z$30:Z36,"◎"),"")</f>
        <v>1</v>
      </c>
      <c r="W36" s="395">
        <f>IF(B36="個別病床",はじめに入力してください!$K$50,IF(B36="共通使用",はじめに入力してください!$K$52,""))</f>
        <v>0</v>
      </c>
      <c r="Y36" s="12">
        <v>7</v>
      </c>
      <c r="Z36" s="374" t="str">
        <f t="shared" si="3"/>
        <v>◎</v>
      </c>
      <c r="AA36" s="395" t="str">
        <f t="shared" si="4"/>
        <v>適切に入力がされました。</v>
      </c>
    </row>
    <row r="37" spans="1:27">
      <c r="A37" s="12">
        <v>8</v>
      </c>
      <c r="B37" s="6" t="s">
        <v>691</v>
      </c>
      <c r="C37" s="6" t="s">
        <v>692</v>
      </c>
      <c r="D37" s="6" t="s">
        <v>1316</v>
      </c>
      <c r="E37" s="10" t="s">
        <v>1317</v>
      </c>
      <c r="F37" s="7">
        <v>8</v>
      </c>
      <c r="G37" s="541">
        <v>1000000</v>
      </c>
      <c r="H37" s="15">
        <f t="shared" si="0"/>
        <v>1100000</v>
      </c>
      <c r="I37" s="4">
        <f t="shared" si="1"/>
        <v>8800000</v>
      </c>
      <c r="J37" s="9" t="s">
        <v>1319</v>
      </c>
      <c r="K37" s="4">
        <f t="shared" si="2"/>
        <v>8800000</v>
      </c>
      <c r="L37" s="5">
        <f>IF(Z37="◎",COUNTIF($Z$30:Z37,"◎"),"")</f>
        <v>2</v>
      </c>
      <c r="W37" s="395">
        <f>IF(B37="個別病床",はじめに入力してください!$K$50,IF(B37="共通使用",はじめに入力してください!$K$52,""))</f>
        <v>0</v>
      </c>
      <c r="Y37" s="12">
        <v>8</v>
      </c>
      <c r="Z37" s="374" t="str">
        <f t="shared" si="3"/>
        <v>◎</v>
      </c>
      <c r="AA37" s="395" t="str">
        <f t="shared" si="4"/>
        <v>適切に入力がされました。</v>
      </c>
    </row>
    <row r="38" spans="1:27">
      <c r="A38" s="12">
        <v>9</v>
      </c>
      <c r="B38" s="6" t="s">
        <v>102</v>
      </c>
      <c r="C38" s="6" t="s">
        <v>842</v>
      </c>
      <c r="D38" s="6" t="s">
        <v>1315</v>
      </c>
      <c r="E38" s="10" t="s">
        <v>1318</v>
      </c>
      <c r="F38" s="7">
        <v>8</v>
      </c>
      <c r="G38" s="541">
        <v>2000000</v>
      </c>
      <c r="H38" s="15">
        <f t="shared" si="0"/>
        <v>2200000</v>
      </c>
      <c r="I38" s="4">
        <f t="shared" si="1"/>
        <v>17600000</v>
      </c>
      <c r="J38" s="9" t="s">
        <v>1319</v>
      </c>
      <c r="K38" s="4">
        <f t="shared" si="2"/>
        <v>17600000</v>
      </c>
      <c r="L38" s="5">
        <f>IF(Z38="◎",COUNTIF($Z$30:Z38,"◎"),"")</f>
        <v>3</v>
      </c>
      <c r="W38" s="395">
        <f>IF(B38="個別病床",はじめに入力してください!$K$50,IF(B38="共通使用",はじめに入力してください!$K$52,""))</f>
        <v>0</v>
      </c>
      <c r="Y38" s="12">
        <v>9</v>
      </c>
      <c r="Z38" s="374" t="str">
        <f t="shared" si="3"/>
        <v>◎</v>
      </c>
      <c r="AA38" s="395" t="str">
        <f t="shared" si="4"/>
        <v>適切に入力がされました。</v>
      </c>
    </row>
    <row r="39" spans="1:27">
      <c r="A39" s="12">
        <v>10</v>
      </c>
      <c r="B39" s="6"/>
      <c r="C39" s="6"/>
      <c r="D39" s="6"/>
      <c r="E39" s="10"/>
      <c r="F39" s="7"/>
      <c r="G39" s="541"/>
      <c r="H39" s="15">
        <f t="shared" si="0"/>
        <v>0</v>
      </c>
      <c r="I39" s="4">
        <f t="shared" si="1"/>
        <v>0</v>
      </c>
      <c r="J39" s="9"/>
      <c r="K39" s="4">
        <f t="shared" si="2"/>
        <v>0</v>
      </c>
      <c r="L39" s="5" t="str">
        <f>IF(Z39="◎",COUNTIF($Z$30:Z39,"◎"),"")</f>
        <v/>
      </c>
      <c r="W39" s="395" t="str">
        <f>IF(B39="個別病床",はじめに入力してください!$K$50,IF(B39="共通使用",はじめに入力してください!$K$52,""))</f>
        <v/>
      </c>
      <c r="Y39" s="12">
        <v>10</v>
      </c>
      <c r="Z39" s="374" t="str">
        <f t="shared" si="3"/>
        <v>○</v>
      </c>
      <c r="AA39" s="395" t="str">
        <f t="shared" si="4"/>
        <v>整備しない場合は入力不要です。</v>
      </c>
    </row>
    <row r="40" spans="1:27">
      <c r="A40" s="12">
        <v>11</v>
      </c>
      <c r="B40" s="6"/>
      <c r="C40" s="6"/>
      <c r="D40" s="6"/>
      <c r="E40" s="10"/>
      <c r="F40" s="7"/>
      <c r="G40" s="541"/>
      <c r="H40" s="15">
        <f t="shared" si="0"/>
        <v>0</v>
      </c>
      <c r="I40" s="4">
        <f t="shared" si="1"/>
        <v>0</v>
      </c>
      <c r="J40" s="9"/>
      <c r="K40" s="4">
        <f t="shared" si="2"/>
        <v>0</v>
      </c>
      <c r="L40" s="5" t="str">
        <f>IF(Z40="◎",COUNTIF($Z$30:Z40,"◎"),"")</f>
        <v/>
      </c>
      <c r="W40" s="395" t="str">
        <f>IF(B40="個別病床",はじめに入力してください!$K$50,IF(B40="共通使用",はじめに入力してください!$K$52,""))</f>
        <v/>
      </c>
      <c r="Y40" s="12">
        <v>11</v>
      </c>
      <c r="Z40" s="374" t="str">
        <f t="shared" si="3"/>
        <v>○</v>
      </c>
      <c r="AA40" s="395" t="str">
        <f t="shared" si="4"/>
        <v>整備しない場合は入力不要です。</v>
      </c>
    </row>
    <row r="41" spans="1:27">
      <c r="A41" s="12">
        <v>12</v>
      </c>
      <c r="B41" s="6"/>
      <c r="C41" s="6"/>
      <c r="D41" s="6"/>
      <c r="E41" s="10"/>
      <c r="F41" s="7"/>
      <c r="G41" s="541"/>
      <c r="H41" s="15">
        <f t="shared" si="0"/>
        <v>0</v>
      </c>
      <c r="I41" s="4">
        <f t="shared" si="1"/>
        <v>0</v>
      </c>
      <c r="J41" s="9"/>
      <c r="K41" s="4">
        <f t="shared" si="2"/>
        <v>0</v>
      </c>
      <c r="L41" s="5" t="str">
        <f>IF(Z41="◎",COUNTIF($Z$30:Z41,"◎"),"")</f>
        <v/>
      </c>
      <c r="W41" s="395" t="str">
        <f>IF(B41="個別病床",はじめに入力してください!$K$50,IF(B41="共通使用",はじめに入力してください!$K$52,""))</f>
        <v/>
      </c>
      <c r="Y41" s="12">
        <v>12</v>
      </c>
      <c r="Z41" s="374" t="str">
        <f t="shared" si="3"/>
        <v>○</v>
      </c>
      <c r="AA41" s="395" t="str">
        <f t="shared" si="4"/>
        <v>整備しない場合は入力不要です。</v>
      </c>
    </row>
    <row r="42" spans="1:27">
      <c r="A42" s="12">
        <v>13</v>
      </c>
      <c r="B42" s="6"/>
      <c r="C42" s="6"/>
      <c r="D42" s="6"/>
      <c r="E42" s="10"/>
      <c r="F42" s="7"/>
      <c r="G42" s="541"/>
      <c r="H42" s="15">
        <f t="shared" si="0"/>
        <v>0</v>
      </c>
      <c r="I42" s="4">
        <f t="shared" si="1"/>
        <v>0</v>
      </c>
      <c r="J42" s="9"/>
      <c r="K42" s="4">
        <f t="shared" si="2"/>
        <v>0</v>
      </c>
      <c r="L42" s="5" t="str">
        <f>IF(Z42="◎",COUNTIF($Z$30:Z42,"◎"),"")</f>
        <v/>
      </c>
      <c r="W42" s="395" t="str">
        <f>IF(B42="個別病床",はじめに入力してください!$K$50,IF(B42="共通使用",はじめに入力してください!$K$52,""))</f>
        <v/>
      </c>
      <c r="Y42" s="12">
        <v>13</v>
      </c>
      <c r="Z42" s="374" t="str">
        <f t="shared" si="3"/>
        <v>○</v>
      </c>
      <c r="AA42" s="395" t="str">
        <f t="shared" si="4"/>
        <v>整備しない場合は入力不要です。</v>
      </c>
    </row>
    <row r="43" spans="1:27">
      <c r="A43" s="12">
        <v>14</v>
      </c>
      <c r="B43" s="6"/>
      <c r="C43" s="6"/>
      <c r="D43" s="6"/>
      <c r="E43" s="10"/>
      <c r="F43" s="7"/>
      <c r="G43" s="541"/>
      <c r="H43" s="15">
        <f t="shared" si="0"/>
        <v>0</v>
      </c>
      <c r="I43" s="4">
        <f t="shared" si="1"/>
        <v>0</v>
      </c>
      <c r="J43" s="9"/>
      <c r="K43" s="4">
        <f t="shared" si="2"/>
        <v>0</v>
      </c>
      <c r="L43" s="5" t="str">
        <f>IF(Z43="◎",COUNTIF($Z$30:Z43,"◎"),"")</f>
        <v/>
      </c>
      <c r="W43" s="395" t="str">
        <f>IF(B43="個別病床",はじめに入力してください!$K$50,IF(B43="共通使用",はじめに入力してください!$K$52,""))</f>
        <v/>
      </c>
      <c r="Y43" s="12">
        <v>14</v>
      </c>
      <c r="Z43" s="374" t="str">
        <f t="shared" si="3"/>
        <v>○</v>
      </c>
      <c r="AA43" s="395" t="str">
        <f t="shared" si="4"/>
        <v>整備しない場合は入力不要です。</v>
      </c>
    </row>
    <row r="44" spans="1:27">
      <c r="A44" s="12">
        <v>15</v>
      </c>
      <c r="B44" s="6"/>
      <c r="C44" s="6"/>
      <c r="D44" s="6"/>
      <c r="E44" s="10"/>
      <c r="F44" s="7"/>
      <c r="G44" s="541"/>
      <c r="H44" s="15">
        <f t="shared" si="0"/>
        <v>0</v>
      </c>
      <c r="I44" s="4">
        <f t="shared" si="1"/>
        <v>0</v>
      </c>
      <c r="J44" s="9"/>
      <c r="K44" s="4">
        <f t="shared" si="2"/>
        <v>0</v>
      </c>
      <c r="L44" s="5" t="str">
        <f>IF(Z44="◎",COUNTIF($Z$30:Z44,"◎"),"")</f>
        <v/>
      </c>
      <c r="W44" s="395" t="str">
        <f>IF(B44="個別病床",はじめに入力してください!$K$50,IF(B44="共通使用",はじめに入力してください!$K$52,""))</f>
        <v/>
      </c>
      <c r="Y44" s="12">
        <v>15</v>
      </c>
      <c r="Z44" s="374" t="str">
        <f t="shared" si="3"/>
        <v>○</v>
      </c>
      <c r="AA44" s="395" t="str">
        <f t="shared" si="4"/>
        <v>整備しない場合は入力不要です。</v>
      </c>
    </row>
    <row r="45" spans="1:27">
      <c r="A45" s="12">
        <v>16</v>
      </c>
      <c r="B45" s="6"/>
      <c r="C45" s="6"/>
      <c r="D45" s="6"/>
      <c r="E45" s="10"/>
      <c r="F45" s="7"/>
      <c r="G45" s="541"/>
      <c r="H45" s="15">
        <f t="shared" si="0"/>
        <v>0</v>
      </c>
      <c r="I45" s="4">
        <f t="shared" si="1"/>
        <v>0</v>
      </c>
      <c r="J45" s="9"/>
      <c r="K45" s="4">
        <f t="shared" si="2"/>
        <v>0</v>
      </c>
      <c r="L45" s="5" t="str">
        <f>IF(Z45="◎",COUNTIF($Z$30:Z45,"◎"),"")</f>
        <v/>
      </c>
      <c r="W45" s="395" t="str">
        <f>IF(B45="個別病床",はじめに入力してください!$K$50,IF(B45="共通使用",はじめに入力してください!$K$52,""))</f>
        <v/>
      </c>
      <c r="Y45" s="12">
        <v>16</v>
      </c>
      <c r="Z45" s="374" t="str">
        <f t="shared" si="3"/>
        <v>○</v>
      </c>
      <c r="AA45" s="395" t="str">
        <f t="shared" si="4"/>
        <v>整備しない場合は入力不要です。</v>
      </c>
    </row>
    <row r="46" spans="1:27">
      <c r="A46" s="12">
        <v>17</v>
      </c>
      <c r="B46" s="6"/>
      <c r="C46" s="6"/>
      <c r="D46" s="6"/>
      <c r="E46" s="10"/>
      <c r="F46" s="7"/>
      <c r="G46" s="541"/>
      <c r="H46" s="15">
        <f t="shared" si="0"/>
        <v>0</v>
      </c>
      <c r="I46" s="4">
        <f t="shared" si="1"/>
        <v>0</v>
      </c>
      <c r="J46" s="9"/>
      <c r="K46" s="4">
        <f t="shared" si="2"/>
        <v>0</v>
      </c>
      <c r="L46" s="5" t="str">
        <f>IF(Z46="◎",COUNTIF($Z$30:Z46,"◎"),"")</f>
        <v/>
      </c>
      <c r="W46" s="395" t="str">
        <f>IF(B46="個別病床",はじめに入力してください!$K$50,IF(B46="共通使用",はじめに入力してください!$K$52,""))</f>
        <v/>
      </c>
      <c r="Y46" s="12">
        <v>17</v>
      </c>
      <c r="Z46" s="374" t="str">
        <f t="shared" si="3"/>
        <v>○</v>
      </c>
      <c r="AA46" s="395" t="str">
        <f t="shared" si="4"/>
        <v>整備しない場合は入力不要です。</v>
      </c>
    </row>
    <row r="47" spans="1:27">
      <c r="A47" s="12">
        <v>18</v>
      </c>
      <c r="B47" s="6"/>
      <c r="C47" s="6"/>
      <c r="D47" s="6"/>
      <c r="E47" s="10"/>
      <c r="F47" s="7"/>
      <c r="G47" s="541"/>
      <c r="H47" s="15">
        <f t="shared" si="0"/>
        <v>0</v>
      </c>
      <c r="I47" s="4">
        <f t="shared" si="1"/>
        <v>0</v>
      </c>
      <c r="J47" s="9"/>
      <c r="K47" s="4">
        <f t="shared" si="2"/>
        <v>0</v>
      </c>
      <c r="L47" s="5" t="str">
        <f>IF(Z47="◎",COUNTIF($Z$30:Z47,"◎"),"")</f>
        <v/>
      </c>
      <c r="W47" s="395" t="str">
        <f>IF(B47="個別病床",はじめに入力してください!$K$50,IF(B47="共通使用",はじめに入力してください!$K$52,""))</f>
        <v/>
      </c>
      <c r="Y47" s="12">
        <v>18</v>
      </c>
      <c r="Z47" s="374" t="str">
        <f t="shared" si="3"/>
        <v>○</v>
      </c>
      <c r="AA47" s="395" t="str">
        <f t="shared" si="4"/>
        <v>整備しない場合は入力不要です。</v>
      </c>
    </row>
    <row r="48" spans="1:27">
      <c r="A48" s="12">
        <v>19</v>
      </c>
      <c r="B48" s="6"/>
      <c r="C48" s="6"/>
      <c r="D48" s="6"/>
      <c r="E48" s="10"/>
      <c r="F48" s="7"/>
      <c r="G48" s="541"/>
      <c r="H48" s="15">
        <f t="shared" si="0"/>
        <v>0</v>
      </c>
      <c r="I48" s="4">
        <f t="shared" si="1"/>
        <v>0</v>
      </c>
      <c r="J48" s="9"/>
      <c r="K48" s="4">
        <f t="shared" si="2"/>
        <v>0</v>
      </c>
      <c r="L48" s="5" t="str">
        <f>IF(Z48="◎",COUNTIF($Z$30:Z48,"◎"),"")</f>
        <v/>
      </c>
      <c r="W48" s="395" t="str">
        <f>IF(B48="個別病床",はじめに入力してください!$K$50,IF(B48="共通使用",はじめに入力してください!$K$52,""))</f>
        <v/>
      </c>
      <c r="Y48" s="12">
        <v>19</v>
      </c>
      <c r="Z48" s="374" t="str">
        <f t="shared" si="3"/>
        <v>○</v>
      </c>
      <c r="AA48" s="395" t="str">
        <f t="shared" si="4"/>
        <v>整備しない場合は入力不要です。</v>
      </c>
    </row>
    <row r="49" spans="1:27">
      <c r="A49" s="12">
        <v>20</v>
      </c>
      <c r="B49" s="6"/>
      <c r="C49" s="6"/>
      <c r="D49" s="6"/>
      <c r="E49" s="10"/>
      <c r="F49" s="7"/>
      <c r="G49" s="541"/>
      <c r="H49" s="15">
        <f t="shared" si="0"/>
        <v>0</v>
      </c>
      <c r="I49" s="4">
        <f t="shared" si="1"/>
        <v>0</v>
      </c>
      <c r="J49" s="9"/>
      <c r="K49" s="4">
        <f t="shared" si="2"/>
        <v>0</v>
      </c>
      <c r="L49" s="5" t="str">
        <f>IF(Z49="◎",COUNTIF($Z$30:Z49,"◎"),"")</f>
        <v/>
      </c>
      <c r="W49" s="395" t="str">
        <f>IF(B49="個別病床",はじめに入力してください!$K$50,IF(B49="共通使用",はじめに入力してください!$K$52,""))</f>
        <v/>
      </c>
      <c r="Y49" s="12">
        <v>20</v>
      </c>
      <c r="Z49" s="374" t="str">
        <f t="shared" si="3"/>
        <v>○</v>
      </c>
      <c r="AA49" s="395" t="str">
        <f t="shared" si="4"/>
        <v>整備しない場合は入力不要です。</v>
      </c>
    </row>
    <row r="50" spans="1:27">
      <c r="A50" s="12">
        <v>21</v>
      </c>
      <c r="B50" s="6"/>
      <c r="C50" s="6"/>
      <c r="D50" s="6"/>
      <c r="E50" s="10"/>
      <c r="F50" s="7"/>
      <c r="G50" s="541"/>
      <c r="H50" s="15">
        <f t="shared" si="0"/>
        <v>0</v>
      </c>
      <c r="I50" s="4">
        <f t="shared" si="1"/>
        <v>0</v>
      </c>
      <c r="J50" s="9"/>
      <c r="K50" s="4">
        <f t="shared" si="2"/>
        <v>0</v>
      </c>
      <c r="L50" s="5" t="str">
        <f>IF(Z50="◎",COUNTIF($Z$30:Z50,"◎"),"")</f>
        <v/>
      </c>
      <c r="W50" s="395" t="str">
        <f>IF(B50="個別病床",はじめに入力してください!$K$50,IF(B50="共通使用",はじめに入力してください!$K$52,""))</f>
        <v/>
      </c>
      <c r="Y50" s="12">
        <v>21</v>
      </c>
      <c r="Z50" s="374" t="str">
        <f t="shared" si="3"/>
        <v>○</v>
      </c>
      <c r="AA50" s="395" t="str">
        <f t="shared" si="4"/>
        <v>整備しない場合は入力不要です。</v>
      </c>
    </row>
    <row r="51" spans="1:27">
      <c r="A51" s="12">
        <v>22</v>
      </c>
      <c r="B51" s="6"/>
      <c r="C51" s="6"/>
      <c r="D51" s="6"/>
      <c r="E51" s="10"/>
      <c r="F51" s="7"/>
      <c r="G51" s="541"/>
      <c r="H51" s="15">
        <f t="shared" si="0"/>
        <v>0</v>
      </c>
      <c r="I51" s="4">
        <f t="shared" si="1"/>
        <v>0</v>
      </c>
      <c r="J51" s="9"/>
      <c r="K51" s="4">
        <f t="shared" si="2"/>
        <v>0</v>
      </c>
      <c r="L51" s="5" t="str">
        <f>IF(Z51="◎",COUNTIF($Z$30:Z51,"◎"),"")</f>
        <v/>
      </c>
      <c r="W51" s="395" t="str">
        <f>IF(B51="個別病床",はじめに入力してください!$K$50,IF(B51="共通使用",はじめに入力してください!$K$52,""))</f>
        <v/>
      </c>
      <c r="Y51" s="12">
        <v>22</v>
      </c>
      <c r="Z51" s="374" t="str">
        <f t="shared" si="3"/>
        <v>○</v>
      </c>
      <c r="AA51" s="395" t="str">
        <f t="shared" si="4"/>
        <v>整備しない場合は入力不要です。</v>
      </c>
    </row>
    <row r="52" spans="1:27">
      <c r="A52" s="12">
        <v>23</v>
      </c>
      <c r="B52" s="6"/>
      <c r="C52" s="6"/>
      <c r="D52" s="6"/>
      <c r="E52" s="10"/>
      <c r="F52" s="7"/>
      <c r="G52" s="541"/>
      <c r="H52" s="15">
        <f t="shared" si="0"/>
        <v>0</v>
      </c>
      <c r="I52" s="4">
        <f t="shared" si="1"/>
        <v>0</v>
      </c>
      <c r="J52" s="9"/>
      <c r="K52" s="4">
        <f t="shared" si="2"/>
        <v>0</v>
      </c>
      <c r="L52" s="5" t="str">
        <f>IF(Z52="◎",COUNTIF($Z$30:Z52,"◎"),"")</f>
        <v/>
      </c>
      <c r="W52" s="395" t="str">
        <f>IF(B52="個別病床",はじめに入力してください!$K$50,IF(B52="共通使用",はじめに入力してください!$K$52,""))</f>
        <v/>
      </c>
      <c r="Y52" s="12">
        <v>23</v>
      </c>
      <c r="Z52" s="374" t="str">
        <f t="shared" si="3"/>
        <v>○</v>
      </c>
      <c r="AA52" s="395" t="str">
        <f t="shared" si="4"/>
        <v>整備しない場合は入力不要です。</v>
      </c>
    </row>
    <row r="53" spans="1:27">
      <c r="A53" s="12">
        <v>24</v>
      </c>
      <c r="B53" s="6"/>
      <c r="C53" s="6"/>
      <c r="D53" s="6"/>
      <c r="E53" s="10"/>
      <c r="F53" s="7"/>
      <c r="G53" s="541"/>
      <c r="H53" s="15">
        <f t="shared" si="0"/>
        <v>0</v>
      </c>
      <c r="I53" s="4">
        <f t="shared" si="1"/>
        <v>0</v>
      </c>
      <c r="J53" s="9"/>
      <c r="K53" s="4">
        <f t="shared" si="2"/>
        <v>0</v>
      </c>
      <c r="L53" s="5" t="str">
        <f>IF(Z53="◎",COUNTIF($Z$30:Z53,"◎"),"")</f>
        <v/>
      </c>
      <c r="W53" s="395" t="str">
        <f>IF(B53="個別病床",はじめに入力してください!$K$50,IF(B53="共通使用",はじめに入力してください!$K$52,""))</f>
        <v/>
      </c>
      <c r="Y53" s="12">
        <v>24</v>
      </c>
      <c r="Z53" s="374" t="str">
        <f t="shared" si="3"/>
        <v>○</v>
      </c>
      <c r="AA53" s="395" t="str">
        <f t="shared" si="4"/>
        <v>整備しない場合は入力不要です。</v>
      </c>
    </row>
    <row r="54" spans="1:27">
      <c r="A54" s="12">
        <v>25</v>
      </c>
      <c r="B54" s="6"/>
      <c r="C54" s="6"/>
      <c r="D54" s="6"/>
      <c r="E54" s="10"/>
      <c r="F54" s="7"/>
      <c r="G54" s="541"/>
      <c r="H54" s="15">
        <f t="shared" si="0"/>
        <v>0</v>
      </c>
      <c r="I54" s="4">
        <f t="shared" si="1"/>
        <v>0</v>
      </c>
      <c r="J54" s="9"/>
      <c r="K54" s="4">
        <f t="shared" si="2"/>
        <v>0</v>
      </c>
      <c r="L54" s="5" t="str">
        <f>IF(Z54="◎",COUNTIF($Z$30:Z54,"◎"),"")</f>
        <v/>
      </c>
      <c r="W54" s="395" t="str">
        <f>IF(B54="個別病床",はじめに入力してください!$K$50,IF(B54="共通使用",はじめに入力してください!$K$52,""))</f>
        <v/>
      </c>
      <c r="Y54" s="12">
        <v>25</v>
      </c>
      <c r="Z54" s="374" t="str">
        <f t="shared" si="3"/>
        <v>○</v>
      </c>
      <c r="AA54" s="395" t="str">
        <f t="shared" si="4"/>
        <v>整備しない場合は入力不要です。</v>
      </c>
    </row>
    <row r="55" spans="1:27">
      <c r="A55" s="12">
        <v>26</v>
      </c>
      <c r="B55" s="6"/>
      <c r="C55" s="6"/>
      <c r="D55" s="6"/>
      <c r="E55" s="10"/>
      <c r="F55" s="7"/>
      <c r="G55" s="541"/>
      <c r="H55" s="15">
        <f t="shared" si="0"/>
        <v>0</v>
      </c>
      <c r="I55" s="4">
        <f t="shared" si="1"/>
        <v>0</v>
      </c>
      <c r="J55" s="9"/>
      <c r="K55" s="4">
        <f t="shared" si="2"/>
        <v>0</v>
      </c>
      <c r="L55" s="5" t="str">
        <f>IF(Z55="◎",COUNTIF($Z$30:Z55,"◎"),"")</f>
        <v/>
      </c>
      <c r="W55" s="395" t="str">
        <f>IF(B55="個別病床",はじめに入力してください!$K$50,IF(B55="共通使用",はじめに入力してください!$K$52,""))</f>
        <v/>
      </c>
      <c r="Y55" s="12">
        <v>26</v>
      </c>
      <c r="Z55" s="374" t="str">
        <f t="shared" si="3"/>
        <v>○</v>
      </c>
      <c r="AA55" s="395" t="str">
        <f t="shared" si="4"/>
        <v>整備しない場合は入力不要です。</v>
      </c>
    </row>
    <row r="56" spans="1:27">
      <c r="A56" s="12">
        <v>27</v>
      </c>
      <c r="B56" s="6"/>
      <c r="C56" s="6"/>
      <c r="D56" s="6"/>
      <c r="E56" s="10"/>
      <c r="F56" s="7"/>
      <c r="G56" s="541"/>
      <c r="H56" s="15">
        <f t="shared" si="0"/>
        <v>0</v>
      </c>
      <c r="I56" s="4">
        <f t="shared" si="1"/>
        <v>0</v>
      </c>
      <c r="J56" s="9"/>
      <c r="K56" s="4">
        <f t="shared" si="2"/>
        <v>0</v>
      </c>
      <c r="L56" s="5" t="str">
        <f>IF(Z56="◎",COUNTIF($Z$30:Z56,"◎"),"")</f>
        <v/>
      </c>
      <c r="W56" s="395" t="str">
        <f>IF(B56="個別病床",はじめに入力してください!$K$50,IF(B56="共通使用",はじめに入力してください!$K$52,""))</f>
        <v/>
      </c>
      <c r="Y56" s="12">
        <v>27</v>
      </c>
      <c r="Z56" s="374" t="str">
        <f t="shared" si="3"/>
        <v>○</v>
      </c>
      <c r="AA56" s="395" t="str">
        <f t="shared" si="4"/>
        <v>整備しない場合は入力不要です。</v>
      </c>
    </row>
    <row r="57" spans="1:27">
      <c r="A57" s="12">
        <v>28</v>
      </c>
      <c r="B57" s="6"/>
      <c r="C57" s="6"/>
      <c r="D57" s="6"/>
      <c r="E57" s="10"/>
      <c r="F57" s="7"/>
      <c r="G57" s="541"/>
      <c r="H57" s="15">
        <f t="shared" si="0"/>
        <v>0</v>
      </c>
      <c r="I57" s="4">
        <f t="shared" si="1"/>
        <v>0</v>
      </c>
      <c r="J57" s="9"/>
      <c r="K57" s="4">
        <f t="shared" si="2"/>
        <v>0</v>
      </c>
      <c r="L57" s="5" t="str">
        <f>IF(Z57="◎",COUNTIF($Z$30:Z57,"◎"),"")</f>
        <v/>
      </c>
      <c r="W57" s="395" t="str">
        <f>IF(B57="個別病床",はじめに入力してください!$K$50,IF(B57="共通使用",はじめに入力してください!$K$52,""))</f>
        <v/>
      </c>
      <c r="Y57" s="12">
        <v>28</v>
      </c>
      <c r="Z57" s="374" t="str">
        <f t="shared" si="3"/>
        <v>○</v>
      </c>
      <c r="AA57" s="395" t="str">
        <f t="shared" si="4"/>
        <v>整備しない場合は入力不要です。</v>
      </c>
    </row>
    <row r="58" spans="1:27">
      <c r="A58" s="12">
        <v>29</v>
      </c>
      <c r="B58" s="6"/>
      <c r="C58" s="6"/>
      <c r="D58" s="6"/>
      <c r="E58" s="10"/>
      <c r="F58" s="7"/>
      <c r="G58" s="541"/>
      <c r="H58" s="15">
        <f t="shared" si="0"/>
        <v>0</v>
      </c>
      <c r="I58" s="4">
        <f t="shared" si="1"/>
        <v>0</v>
      </c>
      <c r="J58" s="9"/>
      <c r="K58" s="4">
        <f t="shared" si="2"/>
        <v>0</v>
      </c>
      <c r="L58" s="5" t="str">
        <f>IF(Z58="◎",COUNTIF($Z$30:Z58,"◎"),"")</f>
        <v/>
      </c>
      <c r="W58" s="395" t="str">
        <f>IF(B58="個別病床",はじめに入力してください!$K$50,IF(B58="共通使用",はじめに入力してください!$K$52,""))</f>
        <v/>
      </c>
      <c r="Y58" s="12">
        <v>29</v>
      </c>
      <c r="Z58" s="374" t="str">
        <f t="shared" si="3"/>
        <v>○</v>
      </c>
      <c r="AA58" s="395" t="str">
        <f t="shared" si="4"/>
        <v>整備しない場合は入力不要です。</v>
      </c>
    </row>
    <row r="59" spans="1:27">
      <c r="A59" s="12">
        <v>30</v>
      </c>
      <c r="B59" s="6"/>
      <c r="C59" s="6"/>
      <c r="D59" s="6"/>
      <c r="E59" s="10"/>
      <c r="F59" s="7"/>
      <c r="G59" s="541"/>
      <c r="H59" s="15">
        <f t="shared" si="0"/>
        <v>0</v>
      </c>
      <c r="I59" s="4">
        <f t="shared" si="1"/>
        <v>0</v>
      </c>
      <c r="J59" s="9"/>
      <c r="K59" s="4">
        <f t="shared" si="2"/>
        <v>0</v>
      </c>
      <c r="L59" s="5" t="str">
        <f>IF(Z59="◎",COUNTIF($Z$30:Z59,"◎"),"")</f>
        <v/>
      </c>
      <c r="W59" s="395" t="str">
        <f>IF(B59="個別病床",はじめに入力してください!$K$50,IF(B59="共通使用",はじめに入力してください!$K$52,""))</f>
        <v/>
      </c>
      <c r="Y59" s="12">
        <v>30</v>
      </c>
      <c r="Z59" s="374" t="str">
        <f t="shared" si="3"/>
        <v>○</v>
      </c>
      <c r="AA59" s="395" t="str">
        <f t="shared" si="4"/>
        <v>整備しない場合は入力不要です。</v>
      </c>
    </row>
    <row r="60" spans="1:27">
      <c r="A60" s="12">
        <v>31</v>
      </c>
      <c r="B60" s="6"/>
      <c r="C60" s="6"/>
      <c r="D60" s="6"/>
      <c r="E60" s="10"/>
      <c r="F60" s="7"/>
      <c r="G60" s="541"/>
      <c r="H60" s="15">
        <f t="shared" si="0"/>
        <v>0</v>
      </c>
      <c r="I60" s="4">
        <f t="shared" si="1"/>
        <v>0</v>
      </c>
      <c r="J60" s="9"/>
      <c r="K60" s="4">
        <f t="shared" si="2"/>
        <v>0</v>
      </c>
      <c r="L60" s="5" t="str">
        <f>IF(Z60="◎",COUNTIF($Z$30:Z60,"◎"),"")</f>
        <v/>
      </c>
      <c r="W60" s="395" t="str">
        <f>IF(B60="個別病床",はじめに入力してください!$K$50,IF(B60="共通使用",はじめに入力してください!$K$52,""))</f>
        <v/>
      </c>
      <c r="Y60" s="12">
        <v>31</v>
      </c>
      <c r="Z60" s="374" t="str">
        <f t="shared" si="3"/>
        <v>○</v>
      </c>
      <c r="AA60" s="395" t="str">
        <f t="shared" si="4"/>
        <v>整備しない場合は入力不要です。</v>
      </c>
    </row>
    <row r="61" spans="1:27">
      <c r="A61" s="12">
        <v>32</v>
      </c>
      <c r="B61" s="6"/>
      <c r="C61" s="6"/>
      <c r="D61" s="6"/>
      <c r="E61" s="10"/>
      <c r="F61" s="7"/>
      <c r="G61" s="541"/>
      <c r="H61" s="15">
        <f t="shared" si="0"/>
        <v>0</v>
      </c>
      <c r="I61" s="4">
        <f t="shared" si="1"/>
        <v>0</v>
      </c>
      <c r="J61" s="9"/>
      <c r="K61" s="4">
        <f t="shared" si="2"/>
        <v>0</v>
      </c>
      <c r="L61" s="5" t="str">
        <f>IF(Z61="◎",COUNTIF($Z$30:Z61,"◎"),"")</f>
        <v/>
      </c>
      <c r="W61" s="395" t="str">
        <f>IF(B61="個別病床",はじめに入力してください!$K$50,IF(B61="共通使用",はじめに入力してください!$K$52,""))</f>
        <v/>
      </c>
      <c r="Y61" s="12">
        <v>32</v>
      </c>
      <c r="Z61" s="374" t="str">
        <f t="shared" si="3"/>
        <v>○</v>
      </c>
      <c r="AA61" s="395" t="str">
        <f t="shared" si="4"/>
        <v>整備しない場合は入力不要です。</v>
      </c>
    </row>
    <row r="62" spans="1:27">
      <c r="A62" s="12">
        <v>33</v>
      </c>
      <c r="B62" s="6"/>
      <c r="C62" s="6"/>
      <c r="D62" s="6"/>
      <c r="E62" s="10"/>
      <c r="F62" s="7"/>
      <c r="G62" s="541"/>
      <c r="H62" s="15">
        <f t="shared" si="0"/>
        <v>0</v>
      </c>
      <c r="I62" s="4">
        <f t="shared" si="1"/>
        <v>0</v>
      </c>
      <c r="J62" s="9"/>
      <c r="K62" s="4">
        <f t="shared" si="2"/>
        <v>0</v>
      </c>
      <c r="L62" s="5" t="str">
        <f>IF(Z62="◎",COUNTIF($Z$30:Z62,"◎"),"")</f>
        <v/>
      </c>
      <c r="W62" s="395" t="str">
        <f>IF(B62="個別病床",はじめに入力してください!$K$50,IF(B62="共通使用",はじめに入力してください!$K$52,""))</f>
        <v/>
      </c>
      <c r="Y62" s="12">
        <v>33</v>
      </c>
      <c r="Z62" s="374" t="str">
        <f t="shared" si="3"/>
        <v>○</v>
      </c>
      <c r="AA62" s="395" t="str">
        <f t="shared" si="4"/>
        <v>整備しない場合は入力不要です。</v>
      </c>
    </row>
    <row r="63" spans="1:27">
      <c r="A63" s="12">
        <v>34</v>
      </c>
      <c r="B63" s="6"/>
      <c r="C63" s="6"/>
      <c r="D63" s="6"/>
      <c r="E63" s="10"/>
      <c r="F63" s="7"/>
      <c r="G63" s="541"/>
      <c r="H63" s="15">
        <f t="shared" si="0"/>
        <v>0</v>
      </c>
      <c r="I63" s="4">
        <f t="shared" si="1"/>
        <v>0</v>
      </c>
      <c r="J63" s="9"/>
      <c r="K63" s="4">
        <f t="shared" si="2"/>
        <v>0</v>
      </c>
      <c r="L63" s="5" t="str">
        <f>IF(Z63="◎",COUNTIF($Z$30:Z63,"◎"),"")</f>
        <v/>
      </c>
      <c r="W63" s="395" t="str">
        <f>IF(B63="個別病床",はじめに入力してください!$K$50,IF(B63="共通使用",はじめに入力してください!$K$52,""))</f>
        <v/>
      </c>
      <c r="Y63" s="12">
        <v>34</v>
      </c>
      <c r="Z63" s="374" t="str">
        <f t="shared" si="3"/>
        <v>○</v>
      </c>
      <c r="AA63" s="395" t="str">
        <f t="shared" si="4"/>
        <v>整備しない場合は入力不要です。</v>
      </c>
    </row>
    <row r="64" spans="1:27">
      <c r="A64" s="12">
        <v>35</v>
      </c>
      <c r="B64" s="6"/>
      <c r="C64" s="6"/>
      <c r="D64" s="6"/>
      <c r="E64" s="10"/>
      <c r="F64" s="7"/>
      <c r="G64" s="541"/>
      <c r="H64" s="15">
        <f t="shared" si="0"/>
        <v>0</v>
      </c>
      <c r="I64" s="4">
        <f t="shared" si="1"/>
        <v>0</v>
      </c>
      <c r="J64" s="9"/>
      <c r="K64" s="4">
        <f t="shared" si="2"/>
        <v>0</v>
      </c>
      <c r="L64" s="5" t="str">
        <f>IF(Z64="◎",COUNTIF($Z$30:Z64,"◎"),"")</f>
        <v/>
      </c>
      <c r="W64" s="395" t="str">
        <f>IF(B64="個別病床",はじめに入力してください!$K$50,IF(B64="共通使用",はじめに入力してください!$K$52,""))</f>
        <v/>
      </c>
      <c r="Y64" s="12">
        <v>35</v>
      </c>
      <c r="Z64" s="374" t="str">
        <f t="shared" si="3"/>
        <v>○</v>
      </c>
      <c r="AA64" s="395" t="str">
        <f t="shared" si="4"/>
        <v>整備しない場合は入力不要です。</v>
      </c>
    </row>
    <row r="65" spans="1:27">
      <c r="A65" s="12">
        <v>36</v>
      </c>
      <c r="B65" s="6"/>
      <c r="C65" s="6"/>
      <c r="D65" s="6"/>
      <c r="E65" s="10"/>
      <c r="F65" s="7"/>
      <c r="G65" s="541"/>
      <c r="H65" s="15">
        <f t="shared" si="0"/>
        <v>0</v>
      </c>
      <c r="I65" s="4">
        <f t="shared" si="1"/>
        <v>0</v>
      </c>
      <c r="J65" s="9"/>
      <c r="K65" s="4">
        <f t="shared" si="2"/>
        <v>0</v>
      </c>
      <c r="L65" s="5" t="str">
        <f>IF(Z65="◎",COUNTIF($Z$30:Z65,"◎"),"")</f>
        <v/>
      </c>
      <c r="W65" s="395" t="str">
        <f>IF(B65="個別病床",はじめに入力してください!$K$50,IF(B65="共通使用",はじめに入力してください!$K$52,""))</f>
        <v/>
      </c>
      <c r="Y65" s="12">
        <v>36</v>
      </c>
      <c r="Z65" s="374" t="str">
        <f t="shared" si="3"/>
        <v>○</v>
      </c>
      <c r="AA65" s="395" t="str">
        <f t="shared" si="4"/>
        <v>整備しない場合は入力不要です。</v>
      </c>
    </row>
    <row r="66" spans="1:27">
      <c r="A66" s="12">
        <v>37</v>
      </c>
      <c r="B66" s="6"/>
      <c r="C66" s="6"/>
      <c r="D66" s="6"/>
      <c r="E66" s="10"/>
      <c r="F66" s="7"/>
      <c r="G66" s="541"/>
      <c r="H66" s="15">
        <f t="shared" si="0"/>
        <v>0</v>
      </c>
      <c r="I66" s="4">
        <f t="shared" si="1"/>
        <v>0</v>
      </c>
      <c r="J66" s="9"/>
      <c r="K66" s="4">
        <f t="shared" si="2"/>
        <v>0</v>
      </c>
      <c r="L66" s="5" t="str">
        <f>IF(Z66="◎",COUNTIF($Z$30:Z66,"◎"),"")</f>
        <v/>
      </c>
      <c r="W66" s="395" t="str">
        <f>IF(B66="個別病床",はじめに入力してください!$K$50,IF(B66="共通使用",はじめに入力してください!$K$52,""))</f>
        <v/>
      </c>
      <c r="Y66" s="12">
        <v>37</v>
      </c>
      <c r="Z66" s="374" t="str">
        <f t="shared" si="3"/>
        <v>○</v>
      </c>
      <c r="AA66" s="395" t="str">
        <f t="shared" si="4"/>
        <v>整備しない場合は入力不要です。</v>
      </c>
    </row>
    <row r="67" spans="1:27">
      <c r="A67" s="12">
        <v>38</v>
      </c>
      <c r="B67" s="6"/>
      <c r="C67" s="6"/>
      <c r="D67" s="6"/>
      <c r="E67" s="10"/>
      <c r="F67" s="7"/>
      <c r="G67" s="541"/>
      <c r="H67" s="15">
        <f t="shared" si="0"/>
        <v>0</v>
      </c>
      <c r="I67" s="4">
        <f t="shared" si="1"/>
        <v>0</v>
      </c>
      <c r="J67" s="9"/>
      <c r="K67" s="4">
        <f t="shared" si="2"/>
        <v>0</v>
      </c>
      <c r="L67" s="5" t="str">
        <f>IF(Z67="◎",COUNTIF($Z$30:Z67,"◎"),"")</f>
        <v/>
      </c>
      <c r="W67" s="395" t="str">
        <f>IF(B67="個別病床",はじめに入力してください!$K$50,IF(B67="共通使用",はじめに入力してください!$K$52,""))</f>
        <v/>
      </c>
      <c r="Y67" s="12">
        <v>38</v>
      </c>
      <c r="Z67" s="374" t="str">
        <f t="shared" si="3"/>
        <v>○</v>
      </c>
      <c r="AA67" s="395" t="str">
        <f t="shared" si="4"/>
        <v>整備しない場合は入力不要です。</v>
      </c>
    </row>
    <row r="68" spans="1:27">
      <c r="A68" s="12">
        <v>39</v>
      </c>
      <c r="B68" s="6"/>
      <c r="C68" s="6"/>
      <c r="D68" s="6"/>
      <c r="E68" s="10"/>
      <c r="F68" s="7"/>
      <c r="G68" s="541"/>
      <c r="H68" s="15">
        <f t="shared" si="0"/>
        <v>0</v>
      </c>
      <c r="I68" s="4">
        <f t="shared" si="1"/>
        <v>0</v>
      </c>
      <c r="J68" s="9"/>
      <c r="K68" s="4">
        <f t="shared" si="2"/>
        <v>0</v>
      </c>
      <c r="L68" s="5" t="str">
        <f>IF(Z68="◎",COUNTIF($Z$30:Z68,"◎"),"")</f>
        <v/>
      </c>
      <c r="W68" s="395" t="str">
        <f>IF(B68="個別病床",はじめに入力してください!$K$50,IF(B68="共通使用",はじめに入力してください!$K$52,""))</f>
        <v/>
      </c>
      <c r="Y68" s="12">
        <v>39</v>
      </c>
      <c r="Z68" s="374" t="str">
        <f t="shared" si="3"/>
        <v>○</v>
      </c>
      <c r="AA68" s="395" t="str">
        <f t="shared" si="4"/>
        <v>整備しない場合は入力不要です。</v>
      </c>
    </row>
    <row r="69" spans="1:27">
      <c r="A69" s="12">
        <v>40</v>
      </c>
      <c r="B69" s="6"/>
      <c r="C69" s="6"/>
      <c r="D69" s="6"/>
      <c r="E69" s="10"/>
      <c r="F69" s="7"/>
      <c r="G69" s="541"/>
      <c r="H69" s="15">
        <f t="shared" si="0"/>
        <v>0</v>
      </c>
      <c r="I69" s="4">
        <f t="shared" si="1"/>
        <v>0</v>
      </c>
      <c r="J69" s="9"/>
      <c r="K69" s="4">
        <f t="shared" si="2"/>
        <v>0</v>
      </c>
      <c r="L69" s="5" t="str">
        <f>IF(Z69="◎",COUNTIF($Z$30:Z69,"◎"),"")</f>
        <v/>
      </c>
      <c r="W69" s="395" t="str">
        <f>IF(B69="個別病床",はじめに入力してください!$K$50,IF(B69="共通使用",はじめに入力してください!$K$52,""))</f>
        <v/>
      </c>
      <c r="Y69" s="12">
        <v>40</v>
      </c>
      <c r="Z69" s="374" t="str">
        <f t="shared" si="3"/>
        <v>○</v>
      </c>
      <c r="AA69" s="395" t="str">
        <f t="shared" si="4"/>
        <v>整備しない場合は入力不要です。</v>
      </c>
    </row>
    <row r="70" spans="1:27">
      <c r="A70" s="12">
        <v>41</v>
      </c>
      <c r="B70" s="6"/>
      <c r="C70" s="6"/>
      <c r="D70" s="6"/>
      <c r="E70" s="10"/>
      <c r="F70" s="7"/>
      <c r="G70" s="541"/>
      <c r="H70" s="15">
        <f t="shared" si="0"/>
        <v>0</v>
      </c>
      <c r="I70" s="4">
        <f t="shared" si="1"/>
        <v>0</v>
      </c>
      <c r="J70" s="9"/>
      <c r="K70" s="4">
        <f t="shared" si="2"/>
        <v>0</v>
      </c>
      <c r="L70" s="5" t="str">
        <f>IF(Z70="◎",COUNTIF($Z$30:Z70,"◎"),"")</f>
        <v/>
      </c>
      <c r="W70" s="395" t="str">
        <f>IF(B70="個別病床",はじめに入力してください!$K$50,IF(B70="共通使用",はじめに入力してください!$K$52,""))</f>
        <v/>
      </c>
      <c r="Y70" s="12">
        <v>41</v>
      </c>
      <c r="Z70" s="374" t="str">
        <f t="shared" si="3"/>
        <v>○</v>
      </c>
      <c r="AA70" s="395" t="str">
        <f t="shared" si="4"/>
        <v>整備しない場合は入力不要です。</v>
      </c>
    </row>
    <row r="71" spans="1:27">
      <c r="A71" s="12">
        <v>42</v>
      </c>
      <c r="B71" s="6"/>
      <c r="C71" s="6"/>
      <c r="D71" s="6"/>
      <c r="E71" s="10"/>
      <c r="F71" s="7"/>
      <c r="G71" s="541"/>
      <c r="H71" s="15">
        <f t="shared" si="0"/>
        <v>0</v>
      </c>
      <c r="I71" s="4">
        <f t="shared" si="1"/>
        <v>0</v>
      </c>
      <c r="J71" s="9"/>
      <c r="K71" s="4">
        <f t="shared" si="2"/>
        <v>0</v>
      </c>
      <c r="L71" s="5" t="str">
        <f>IF(Z71="◎",COUNTIF($Z$30:Z71,"◎"),"")</f>
        <v/>
      </c>
      <c r="W71" s="395" t="str">
        <f>IF(B71="個別病床",はじめに入力してください!$K$50,IF(B71="共通使用",はじめに入力してください!$K$52,""))</f>
        <v/>
      </c>
      <c r="Y71" s="12">
        <v>42</v>
      </c>
      <c r="Z71" s="374" t="str">
        <f t="shared" si="3"/>
        <v>○</v>
      </c>
      <c r="AA71" s="395" t="str">
        <f t="shared" si="4"/>
        <v>整備しない場合は入力不要です。</v>
      </c>
    </row>
    <row r="72" spans="1:27">
      <c r="A72" s="12">
        <v>43</v>
      </c>
      <c r="B72" s="6"/>
      <c r="C72" s="6"/>
      <c r="D72" s="6"/>
      <c r="E72" s="10"/>
      <c r="F72" s="7"/>
      <c r="G72" s="541"/>
      <c r="H72" s="15">
        <f t="shared" si="0"/>
        <v>0</v>
      </c>
      <c r="I72" s="4">
        <f t="shared" si="1"/>
        <v>0</v>
      </c>
      <c r="J72" s="9"/>
      <c r="K72" s="4">
        <f t="shared" si="2"/>
        <v>0</v>
      </c>
      <c r="L72" s="5" t="str">
        <f>IF(Z72="◎",COUNTIF($Z$30:Z72,"◎"),"")</f>
        <v/>
      </c>
      <c r="W72" s="395" t="str">
        <f>IF(B72="個別病床",はじめに入力してください!$K$50,IF(B72="共通使用",はじめに入力してください!$K$52,""))</f>
        <v/>
      </c>
      <c r="Y72" s="12">
        <v>43</v>
      </c>
      <c r="Z72" s="374" t="str">
        <f t="shared" si="3"/>
        <v>○</v>
      </c>
      <c r="AA72" s="395" t="str">
        <f t="shared" si="4"/>
        <v>整備しない場合は入力不要です。</v>
      </c>
    </row>
    <row r="73" spans="1:27">
      <c r="A73" s="12">
        <v>44</v>
      </c>
      <c r="B73" s="6"/>
      <c r="C73" s="6"/>
      <c r="D73" s="6"/>
      <c r="E73" s="10"/>
      <c r="F73" s="7"/>
      <c r="G73" s="541"/>
      <c r="H73" s="15">
        <f t="shared" si="0"/>
        <v>0</v>
      </c>
      <c r="I73" s="4">
        <f t="shared" si="1"/>
        <v>0</v>
      </c>
      <c r="J73" s="9"/>
      <c r="K73" s="4">
        <f t="shared" si="2"/>
        <v>0</v>
      </c>
      <c r="L73" s="5" t="str">
        <f>IF(Z73="◎",COUNTIF($Z$30:Z73,"◎"),"")</f>
        <v/>
      </c>
      <c r="W73" s="395" t="str">
        <f>IF(B73="個別病床",はじめに入力してください!$K$50,IF(B73="共通使用",はじめに入力してください!$K$52,""))</f>
        <v/>
      </c>
      <c r="Y73" s="12">
        <v>44</v>
      </c>
      <c r="Z73" s="374" t="str">
        <f t="shared" si="3"/>
        <v>○</v>
      </c>
      <c r="AA73" s="395" t="str">
        <f t="shared" si="4"/>
        <v>整備しない場合は入力不要です。</v>
      </c>
    </row>
    <row r="74" spans="1:27">
      <c r="A74" s="12">
        <v>45</v>
      </c>
      <c r="B74" s="6"/>
      <c r="C74" s="6"/>
      <c r="D74" s="6"/>
      <c r="E74" s="10"/>
      <c r="F74" s="7"/>
      <c r="G74" s="541"/>
      <c r="H74" s="15">
        <f t="shared" si="0"/>
        <v>0</v>
      </c>
      <c r="I74" s="4">
        <f t="shared" si="1"/>
        <v>0</v>
      </c>
      <c r="J74" s="9"/>
      <c r="K74" s="4">
        <f t="shared" si="2"/>
        <v>0</v>
      </c>
      <c r="L74" s="5" t="str">
        <f>IF(Z74="◎",COUNTIF($Z$30:Z74,"◎"),"")</f>
        <v/>
      </c>
      <c r="W74" s="395" t="str">
        <f>IF(B74="個別病床",はじめに入力してください!$K$50,IF(B74="共通使用",はじめに入力してください!$K$52,""))</f>
        <v/>
      </c>
      <c r="Y74" s="12">
        <v>45</v>
      </c>
      <c r="Z74" s="374" t="str">
        <f t="shared" si="3"/>
        <v>○</v>
      </c>
      <c r="AA74" s="395" t="str">
        <f t="shared" si="4"/>
        <v>整備しない場合は入力不要です。</v>
      </c>
    </row>
  </sheetData>
  <mergeCells count="23">
    <mergeCell ref="K1:M1"/>
    <mergeCell ref="B22:L22"/>
    <mergeCell ref="B2:D3"/>
    <mergeCell ref="Z3:Z5"/>
    <mergeCell ref="AA3:AA5"/>
    <mergeCell ref="Z7:Z8"/>
    <mergeCell ref="AA7:AA8"/>
    <mergeCell ref="B10:L10"/>
    <mergeCell ref="B13:L13"/>
    <mergeCell ref="B14:L14"/>
    <mergeCell ref="B15:L15"/>
    <mergeCell ref="B18:L21"/>
    <mergeCell ref="B7:L7"/>
    <mergeCell ref="B9:C9"/>
    <mergeCell ref="B12:L12"/>
    <mergeCell ref="B26:L26"/>
    <mergeCell ref="Z27:Z28"/>
    <mergeCell ref="AA27:AA28"/>
    <mergeCell ref="B28:D28"/>
    <mergeCell ref="E28:F28"/>
    <mergeCell ref="G28:J28"/>
    <mergeCell ref="K28:K29"/>
    <mergeCell ref="L28:L29"/>
  </mergeCells>
  <phoneticPr fontId="9"/>
  <conditionalFormatting sqref="Z29:Z1048576 Z1:Z2 Z11:Z21 Z6 Z23:Z27">
    <cfRule type="containsText" dxfId="45" priority="8" operator="containsText" text="×">
      <formula>NOT(ISERROR(SEARCH("×",Z1)))</formula>
    </cfRule>
  </conditionalFormatting>
  <conditionalFormatting sqref="AA1:AA2 AA11:AA21 AA29:AA1048576 AA6 AA23:AA27">
    <cfRule type="containsText" dxfId="44" priority="7" operator="containsText" text="要修正">
      <formula>NOT(ISERROR(SEARCH("要修正",AA1)))</formula>
    </cfRule>
  </conditionalFormatting>
  <conditionalFormatting sqref="Z22">
    <cfRule type="containsText" dxfId="43" priority="6" operator="containsText" text="×">
      <formula>NOT(ISERROR(SEARCH("×",Z22)))</formula>
    </cfRule>
  </conditionalFormatting>
  <conditionalFormatting sqref="AA22">
    <cfRule type="containsText" dxfId="42" priority="5" operator="containsText" text="要修正">
      <formula>NOT(ISERROR(SEARCH("要修正",AA22)))</formula>
    </cfRule>
  </conditionalFormatting>
  <conditionalFormatting sqref="Z9:Z10 Z7">
    <cfRule type="containsText" dxfId="41" priority="4" operator="containsText" text="×">
      <formula>NOT(ISERROR(SEARCH("×",Z7)))</formula>
    </cfRule>
  </conditionalFormatting>
  <conditionalFormatting sqref="AA9:AA10 AA7">
    <cfRule type="containsText" dxfId="40" priority="3" operator="containsText" text="要修正">
      <formula>NOT(ISERROR(SEARCH("要修正",AA7)))</formula>
    </cfRule>
  </conditionalFormatting>
  <conditionalFormatting sqref="Z3:Z4">
    <cfRule type="containsText" dxfId="39" priority="2" operator="containsText" text="×">
      <formula>NOT(ISERROR(SEARCH("×",Z3)))</formula>
    </cfRule>
  </conditionalFormatting>
  <conditionalFormatting sqref="AA3:AA4">
    <cfRule type="containsText" dxfId="38" priority="1" operator="containsText" text="要修正">
      <formula>NOT(ISERROR(SEARCH("要修正",AA3)))</formula>
    </cfRule>
  </conditionalFormatting>
  <dataValidations count="10">
    <dataValidation allowBlank="1" showInputMessage="1" showErrorMessage="1" promptTitle="割引額がある場合は入力" prompt="割引がない場合は「0円」のままとしてください。" sqref="I3" xr:uid="{00000000-0002-0000-1700-000000000000}"/>
    <dataValidation allowBlank="1" showInputMessage="1" showErrorMessage="1" promptTitle="補助対象金額" prompt="補助対象額×（見積書金額-割引額）/見積書金額_x000a_で算出されます。" sqref="J3" xr:uid="{00000000-0002-0000-1700-000001000000}"/>
    <dataValidation allowBlank="1" showInputMessage="1" showErrorMessage="1" promptTitle="規格及び数量の入力" prompt="補助対象経費を計上する際、いずれも入力してください。" sqref="E30:E74" xr:uid="{C484396C-26C8-4394-B2A6-5D50D6EAA102}"/>
    <dataValidation allowBlank="1" showInputMessage="1" showErrorMessage="1" promptTitle="単価の入力" prompt="税抜額または税込額のいずれかを入力してください。_x000a_入力しない方は「0」は入力せず、空欄としてください。" sqref="H30:H74" xr:uid="{1C71E27D-40CF-4961-AD91-BBB5DEE6DDC2}"/>
    <dataValidation allowBlank="1" showInputMessage="1" showErrorMessage="1" promptTitle="添付書類番号" prompt="種類、規格、数量、単価が全て適切に入力され、右の「判定」が「◎」と表示されると自動で番号が表示されます。" sqref="L30:L74" xr:uid="{67EB0983-DE7A-489D-A687-413F23B31742}"/>
    <dataValidation allowBlank="1" showInputMessage="1" showErrorMessage="1" promptTitle="金額の表示" prompt="数式が入力されているため、自動計算されます。" sqref="K30:K74 I30:I74" xr:uid="{EEEA4C1B-BF82-43A4-B374-2757AF919CDF}"/>
    <dataValidation type="list" allowBlank="1" showInputMessage="1" showErrorMessage="1" promptTitle="補助対象の該当非該当" prompt="コロナ対応病床の初度設備に係る経費が対象となります。_x000a_共用部分の設備、備品や医療用消耗品等は補助対象外なので「対象外」を選択してください。_x000a_審査において確認、対象外と認めたものについては対象外として補正をお願いする場合があります。" sqref="J30:J74" xr:uid="{34173E3A-3E1A-40A8-B45E-5DB80AE01393}">
      <formula1>"補助対象,補助対象外"</formula1>
    </dataValidation>
    <dataValidation type="list" allowBlank="1" showInputMessage="1" showErrorMessage="1" promptTitle="設備、備品、その他の別を選択" prompt="当該行に記載する品目が_x000a_・「設備」（設備本体）_x000a_・備品（本体設備と別の構成をなすもの）_x000a_・その他（上記の該当しないもの）_x000a_の別をプルダウンから選択してください。" sqref="D30:D74" xr:uid="{C7E1D6ED-D2FE-40C4-B029-E9D997F5046D}">
      <formula1>"設備,備品,その他"</formula1>
    </dataValidation>
    <dataValidation type="decimal" operator="greaterThanOrEqual" allowBlank="1" showInputMessage="1" showErrorMessage="1" promptTitle="単価の入力" prompt="税抜額または税込額のいずれかを入力してください。_x000a_入力しない方は「0」は入力せず、空欄としてください。" sqref="G30:G74" xr:uid="{96AF94DB-E333-4949-B632-C36AF69EF0A2}">
      <formula1>0</formula1>
    </dataValidation>
    <dataValidation type="whole" operator="greaterThanOrEqual" allowBlank="1" showInputMessage="1" showErrorMessage="1" errorTitle="数値のみを入力してください。" error="「個」、「枚」等の単位入力は不要です。" promptTitle="規格及び数量の入力" prompt="補助対象経費を計上する際、いずれも入力してください。" sqref="F30:F74" xr:uid="{692477B6-278D-46C3-9FD3-B38D9B25F152}">
      <formula1>0</formula1>
    </dataValidation>
  </dataValidations>
  <pageMargins left="0.7" right="0.7" top="0.75" bottom="0.75" header="0.3" footer="0.3"/>
  <pageSetup paperSize="9" scale="55" orientation="portrait"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promptTitle="「用途先」病床の選択（左の「病床」を選択しないと表示されません。" prompt="ベッドに必ずしも紐付けるものではありませんが、１病床１台で紐付けした場合、整備する病床に番号付けをした場合の番号を選択してください。" xr:uid="{EE027488-C26D-4FDA-A079-50BD92EA6ED2}">
          <x14:formula1>
            <xm:f>OFFSET(テーブル!$X$48, 0, MATCH(B30,テーブル!$Y$47:$Z$47,0), COUNTA(OFFSET(テーブル!$X$48,0,MATCH(B30,テーブル!$Y$47:$Z$47,0),$W$30,1)),1)</xm:f>
          </x14:formula1>
          <xm:sqref>C30:C74</xm:sqref>
        </x14:dataValidation>
        <x14:dataValidation type="list" allowBlank="1" showInputMessage="1" showErrorMessage="1" promptTitle="配備先の別を選択" prompt="確保病床の共通使用のものか、個別のベッドに配備するものか選択してください。" xr:uid="{DCDD98E9-C0FB-4962-87A4-570F189D2935}">
          <x14:formula1>
            <xm:f>テーブル!$X$48:$X$49</xm:f>
          </x14:formula1>
          <xm:sqref>B30:B74</xm:sqref>
        </x14:dataValidation>
        <x14:dataValidation type="list" allowBlank="1" showInputMessage="1" showErrorMessage="1" xr:uid="{00000000-0002-0000-1700-000008000000}">
          <x14:formula1>
            <xm:f>テーブル!$M$37:$M$51</xm:f>
          </x14:formula1>
          <xm:sqref>B2:D2</xm:sqref>
        </x14:dataValidation>
      </x14:dataValidations>
    </ext>
  </extLs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4">
    <tabColor theme="4" tint="0.79998168889431442"/>
    <pageSetUpPr fitToPage="1"/>
  </sheetPr>
  <dimension ref="A1:AF74"/>
  <sheetViews>
    <sheetView showGridLines="0" view="pageBreakPreview" zoomScale="60" zoomScaleNormal="100" workbookViewId="0">
      <selection activeCell="B26" sqref="B26:L26"/>
    </sheetView>
  </sheetViews>
  <sheetFormatPr defaultColWidth="8.625" defaultRowHeight="18"/>
  <cols>
    <col min="1" max="1" width="3.625" style="12" customWidth="1"/>
    <col min="2" max="4" width="8.625" style="19"/>
    <col min="5" max="5" width="30.625" style="19" customWidth="1"/>
    <col min="6" max="6" width="8.625" style="19"/>
    <col min="7" max="11" width="12.625" style="19" customWidth="1"/>
    <col min="12" max="12" width="8.625" style="19"/>
    <col min="13" max="13" width="3.625" style="19" customWidth="1"/>
    <col min="14" max="23" width="8.625" style="19"/>
    <col min="24" max="24" width="8.625" style="19" customWidth="1"/>
    <col min="25" max="25" width="3.625" style="12" customWidth="1"/>
    <col min="26" max="26" width="8.625" style="19"/>
    <col min="27" max="27" width="40.625" style="19" customWidth="1"/>
    <col min="28" max="28" width="3.625" style="19" customWidth="1"/>
    <col min="29" max="32" width="8.625" style="19"/>
    <col min="33" max="33" width="30.625" style="19" customWidth="1"/>
    <col min="34" max="16384" width="8.625" style="19"/>
  </cols>
  <sheetData>
    <row r="1" spans="1:32" ht="20.100000000000001" customHeight="1">
      <c r="K1" s="1829" t="str">
        <f xml:space="preserve">
IF(表紙!X2="交付申請兼実績報告","（４月１日～５月７日分）",
IF(OR(表紙!X2="事前協議",表紙!X2="交付申請",表紙!X2="変更申請",表紙!X2="実績報告"),"（５月８日～９月30日分）",
))</f>
        <v>（５月８日～９月30日分）</v>
      </c>
      <c r="L1" s="1364"/>
      <c r="M1" s="1364"/>
    </row>
    <row r="2" spans="1:32" ht="20.100000000000001" customHeight="1">
      <c r="B2" s="1817" t="s">
        <v>432</v>
      </c>
      <c r="C2" s="1818"/>
      <c r="D2" s="1819"/>
      <c r="H2" s="5" t="s">
        <v>538</v>
      </c>
      <c r="I2" s="374" t="s">
        <v>539</v>
      </c>
      <c r="J2" s="5" t="s">
        <v>44</v>
      </c>
      <c r="Z2" s="374" t="s">
        <v>419</v>
      </c>
      <c r="AA2" s="374" t="s">
        <v>417</v>
      </c>
      <c r="AC2" s="374" t="str">
        <f>Z9</f>
        <v>×</v>
      </c>
      <c r="AD2" s="374" t="str">
        <f>Z15</f>
        <v>◎</v>
      </c>
      <c r="AE2" s="374" t="str">
        <f>Z22</f>
        <v>◎</v>
      </c>
      <c r="AF2" s="374" t="str">
        <f>Z26</f>
        <v>◎</v>
      </c>
    </row>
    <row r="3" spans="1:32" ht="20.100000000000001" customHeight="1">
      <c r="B3" s="1820"/>
      <c r="C3" s="1821"/>
      <c r="D3" s="1822"/>
      <c r="H3" s="358">
        <f>SUM(I30:I74)</f>
        <v>39600000</v>
      </c>
      <c r="I3" s="8"/>
      <c r="J3" s="358">
        <f>IFERROR(ROUNDUP(SUM(K30:K74)*((H3-I3)/H3),0),0)</f>
        <v>39600000</v>
      </c>
      <c r="Z3" s="863" t="str">
        <f xml:space="preserve">
IF(COUNTIF(AD2:AF2,"○")=3,"○",
IF(COUNTIF(AD2:AF2,"◎")=3,"◎","×"
))</f>
        <v>◎</v>
      </c>
      <c r="AA3" s="1812" t="str">
        <f xml:space="preserve">
IF(Z3="○","整備しない場合は入力不要です。",
IF(Z3="×","【要修正】入力が不十分な箇所があります。",
IF(Z3="◎","適切に入力がされました。")))</f>
        <v>適切に入力がされました。</v>
      </c>
    </row>
    <row r="4" spans="1:32" ht="9.9499999999999993" customHeight="1">
      <c r="Z4" s="863"/>
      <c r="AA4" s="1812"/>
    </row>
    <row r="5" spans="1:32" ht="20.100000000000001" customHeight="1">
      <c r="B5" s="393" t="s">
        <v>55</v>
      </c>
      <c r="C5" s="393"/>
      <c r="D5" s="393"/>
      <c r="E5" s="393"/>
      <c r="F5" s="393"/>
      <c r="G5" s="393"/>
      <c r="H5" s="393"/>
      <c r="I5" s="393"/>
      <c r="J5" s="393"/>
      <c r="K5" s="393"/>
      <c r="L5" s="393"/>
      <c r="Z5" s="908"/>
      <c r="AA5" s="843"/>
    </row>
    <row r="6" spans="1:32" ht="9.9499999999999993" customHeight="1"/>
    <row r="7" spans="1:32" ht="20.100000000000001" customHeight="1">
      <c r="B7" s="1833" t="str">
        <f xml:space="preserve">
IF(OR(表紙!X2="事前協議",表紙!X2="交付申請"),"（１）整備を行う対象の新規で指定を受けた確保病床数あるいは、確保病床を有しない場合は整備を行う病床の数",
IF(表紙!X2="交付申請兼実績報告","（１）整備を行う対象の新規で指定を受けた確保病床数"))</f>
        <v>（１）整備を行う対象の新規で指定を受けた確保病床数あるいは、確保病床を有しない場合は整備を行う病床の数</v>
      </c>
      <c r="C7" s="932"/>
      <c r="D7" s="932"/>
      <c r="E7" s="932"/>
      <c r="F7" s="932"/>
      <c r="G7" s="932"/>
      <c r="H7" s="932"/>
      <c r="I7" s="932"/>
      <c r="J7" s="932"/>
      <c r="K7" s="932"/>
      <c r="L7" s="932"/>
      <c r="Z7" s="1808" t="s">
        <v>415</v>
      </c>
      <c r="AA7" s="1808" t="s">
        <v>417</v>
      </c>
    </row>
    <row r="8" spans="1:32" ht="9.9499999999999993" customHeight="1">
      <c r="Z8" s="1809"/>
      <c r="AA8" s="1809"/>
    </row>
    <row r="9" spans="1:32" ht="35.1" customHeight="1">
      <c r="B9" s="1834" t="s">
        <v>56</v>
      </c>
      <c r="C9" s="1835"/>
      <c r="D9" s="205" t="str">
        <f>IF(はじめに入力してください!K50="","",はじめに入力してください!K50)</f>
        <v/>
      </c>
      <c r="E9" s="359"/>
      <c r="F9" s="360"/>
      <c r="G9" s="360"/>
      <c r="H9" s="360"/>
      <c r="I9" s="360"/>
      <c r="J9" s="361"/>
      <c r="K9" s="361"/>
      <c r="L9" s="361"/>
      <c r="Z9" s="374" t="str">
        <f xml:space="preserve">
IF(D9="","×",
IF(D9=0,"○",
IF(D9&gt;=1,"◎",
)))</f>
        <v>×</v>
      </c>
      <c r="AA9" s="395" t="str">
        <f xml:space="preserve">
IF(D9="","【要修正】「はじめに入力してください」シートに整備を行う病床の数を入力してください。",
IF(D9=0,"申請しない場合は以下入力不要です。",
IF(D9&gt;=1,"適切に入力されました。",
)))</f>
        <v>【要修正】「はじめに入力してください」シートに整備を行う病床の数を入力してください。</v>
      </c>
    </row>
    <row r="10" spans="1:32" ht="20.100000000000001" customHeight="1">
      <c r="B10" s="1830"/>
      <c r="C10" s="1831"/>
      <c r="D10" s="1832"/>
      <c r="E10" s="1832"/>
      <c r="F10" s="1832"/>
      <c r="G10" s="1832"/>
      <c r="H10" s="1832"/>
      <c r="I10" s="1832"/>
      <c r="J10" s="1832"/>
      <c r="K10" s="1832"/>
      <c r="L10" s="1832"/>
    </row>
    <row r="11" spans="1:32" ht="20.100000000000001" hidden="1" customHeight="1"/>
    <row r="12" spans="1:32" ht="20.100000000000001" customHeight="1">
      <c r="B12" s="1833" t="s">
        <v>57</v>
      </c>
      <c r="C12" s="932"/>
      <c r="D12" s="932"/>
      <c r="E12" s="932"/>
      <c r="F12" s="932"/>
      <c r="G12" s="932"/>
      <c r="H12" s="932"/>
      <c r="I12" s="932"/>
      <c r="J12" s="932"/>
      <c r="K12" s="932"/>
      <c r="L12" s="932"/>
    </row>
    <row r="13" spans="1:32" ht="39.950000000000003" customHeight="1">
      <c r="B13" s="1813" t="s">
        <v>540</v>
      </c>
      <c r="C13" s="931"/>
      <c r="D13" s="931"/>
      <c r="E13" s="931"/>
      <c r="F13" s="931"/>
      <c r="G13" s="931"/>
      <c r="H13" s="931"/>
      <c r="I13" s="931"/>
      <c r="J13" s="931"/>
      <c r="K13" s="931"/>
      <c r="L13" s="931"/>
    </row>
    <row r="14" spans="1:32" s="392" customFormat="1" ht="99.95" customHeight="1">
      <c r="A14" s="13"/>
      <c r="B14" s="1813" t="str">
        <f>VLOOKUP(B2,テーブル!M37:N51,2,FALSE)</f>
        <v>（例）当院はこれまで主として呼吸器症状が比較的軽度な入院患者の受け入れを行ってきたが、近傍及び圏域内の入院医療機関が慢性的に逼迫している状況
　　　であり、医療機関間の連携協力のありかたについて話し合いの中で、受け入れ体制の強化が課題とされてきた。
　　　当院は受け入れのために確保している病床及び看護要員に一定の余裕があったことから、新たに呼吸器系の専門医を確保することができたため、
　　　重篤な肺炎症状を呈する患者の受け入れを今後積極的に行っていくこととした。
　　　ついては新たに１台を整備することとし、入院受入体制を確保することとしたい。</v>
      </c>
      <c r="C14" s="1645"/>
      <c r="D14" s="1645"/>
      <c r="E14" s="1645"/>
      <c r="F14" s="1645"/>
      <c r="G14" s="1645"/>
      <c r="H14" s="1645"/>
      <c r="I14" s="1645"/>
      <c r="J14" s="1645"/>
      <c r="K14" s="1645"/>
      <c r="L14" s="1645"/>
      <c r="Y14" s="13"/>
      <c r="Z14" s="373" t="s">
        <v>415</v>
      </c>
      <c r="AA14" s="373" t="s">
        <v>416</v>
      </c>
    </row>
    <row r="15" spans="1:32" ht="120" customHeight="1">
      <c r="B15" s="1814" t="s">
        <v>1321</v>
      </c>
      <c r="C15" s="1815"/>
      <c r="D15" s="1815"/>
      <c r="E15" s="1815"/>
      <c r="F15" s="1815"/>
      <c r="G15" s="1815"/>
      <c r="H15" s="1815"/>
      <c r="I15" s="1815"/>
      <c r="J15" s="1815"/>
      <c r="K15" s="1815"/>
      <c r="L15" s="1816"/>
      <c r="Z15" s="374" t="str">
        <f xml:space="preserve">
IF(COUNTA(B15)=0,"○",
IF(COUNTA(B15)=1,"◎"))</f>
        <v>◎</v>
      </c>
      <c r="AA15" s="395" t="str">
        <f xml:space="preserve">
IF(COUNTA(B15)=0,"整備しない場合は入力不要です。",
IF(COUNTA(B15)=1,"入力された状態になりました。"))</f>
        <v>入力された状態になりました。</v>
      </c>
    </row>
    <row r="16" spans="1:32" ht="20.100000000000001" customHeight="1"/>
    <row r="17" spans="1:27" ht="20.100000000000001" customHeight="1">
      <c r="B17" s="393" t="s">
        <v>454</v>
      </c>
      <c r="C17" s="393"/>
      <c r="D17" s="393"/>
      <c r="E17" s="393"/>
      <c r="F17" s="393"/>
      <c r="G17" s="393"/>
      <c r="H17" s="393"/>
      <c r="I17" s="393"/>
      <c r="J17" s="393"/>
      <c r="K17" s="393"/>
      <c r="L17" s="393"/>
    </row>
    <row r="18" spans="1:27" ht="20.100000000000001" customHeight="1">
      <c r="B18" s="1813" t="s">
        <v>482</v>
      </c>
      <c r="C18" s="931"/>
      <c r="D18" s="931"/>
      <c r="E18" s="931"/>
      <c r="F18" s="931"/>
      <c r="G18" s="931"/>
      <c r="H18" s="931"/>
      <c r="I18" s="931"/>
      <c r="J18" s="931"/>
      <c r="K18" s="931"/>
      <c r="L18" s="931"/>
    </row>
    <row r="19" spans="1:27" ht="20.100000000000001" customHeight="1">
      <c r="B19" s="1813"/>
      <c r="C19" s="931"/>
      <c r="D19" s="931"/>
      <c r="E19" s="931"/>
      <c r="F19" s="931"/>
      <c r="G19" s="931"/>
      <c r="H19" s="931"/>
      <c r="I19" s="931"/>
      <c r="J19" s="931"/>
      <c r="K19" s="931"/>
      <c r="L19" s="931"/>
    </row>
    <row r="20" spans="1:27" ht="20.100000000000001" customHeight="1">
      <c r="B20" s="1813"/>
      <c r="C20" s="931"/>
      <c r="D20" s="931"/>
      <c r="E20" s="931"/>
      <c r="F20" s="931"/>
      <c r="G20" s="931"/>
      <c r="H20" s="931"/>
      <c r="I20" s="931"/>
      <c r="J20" s="931"/>
      <c r="K20" s="931"/>
      <c r="L20" s="931"/>
    </row>
    <row r="21" spans="1:27" ht="20.100000000000001" customHeight="1">
      <c r="B21" s="931"/>
      <c r="C21" s="931"/>
      <c r="D21" s="931"/>
      <c r="E21" s="931"/>
      <c r="F21" s="931"/>
      <c r="G21" s="931"/>
      <c r="H21" s="931"/>
      <c r="I21" s="931"/>
      <c r="J21" s="931"/>
      <c r="K21" s="931"/>
      <c r="L21" s="931"/>
    </row>
    <row r="22" spans="1:27" ht="120" customHeight="1">
      <c r="B22" s="1814" t="s">
        <v>1321</v>
      </c>
      <c r="C22" s="1815"/>
      <c r="D22" s="1815"/>
      <c r="E22" s="1815"/>
      <c r="F22" s="1815"/>
      <c r="G22" s="1815"/>
      <c r="H22" s="1815"/>
      <c r="I22" s="1815"/>
      <c r="J22" s="1815"/>
      <c r="K22" s="1815"/>
      <c r="L22" s="1816"/>
      <c r="Z22" s="374" t="str">
        <f xml:space="preserve">
IF(COUNTA(B22)=0,"○",
IF(COUNTA(B22)=1,"◎"))</f>
        <v>◎</v>
      </c>
      <c r="AA22" s="395" t="str">
        <f xml:space="preserve">
IF(COUNTA(B22)=0,"整備しない場合は入力不要です。",
IF(COUNTA(B22)=1,"入力された状態になりました。"))</f>
        <v>入力された状態になりました。</v>
      </c>
    </row>
    <row r="23" spans="1:27" ht="20.100000000000001" customHeight="1"/>
    <row r="24" spans="1:27" ht="20.100000000000001" customHeight="1">
      <c r="B24" s="393" t="s">
        <v>453</v>
      </c>
      <c r="C24" s="393"/>
      <c r="D24" s="393"/>
      <c r="E24" s="393"/>
      <c r="F24" s="393"/>
      <c r="G24" s="393"/>
      <c r="H24" s="393"/>
      <c r="I24" s="393"/>
      <c r="J24" s="393"/>
      <c r="K24" s="393"/>
      <c r="L24" s="393"/>
      <c r="Z24" s="14"/>
    </row>
    <row r="25" spans="1:27" ht="9.9499999999999993" customHeight="1"/>
    <row r="26" spans="1:27" ht="60" customHeight="1">
      <c r="B26" s="1813" t="s">
        <v>561</v>
      </c>
      <c r="C26" s="932"/>
      <c r="D26" s="932"/>
      <c r="E26" s="932"/>
      <c r="F26" s="932"/>
      <c r="G26" s="932"/>
      <c r="H26" s="932"/>
      <c r="I26" s="932"/>
      <c r="J26" s="932"/>
      <c r="K26" s="932"/>
      <c r="L26" s="932"/>
      <c r="Z26" s="374" t="str">
        <f xml:space="preserve">
IF(COUNTIF(Z30:Z74,"○")=45,"○",
IF(COUNTIF(Z30:Z74,"×")&gt;=1,"×",
IF(AND(COUNTIF(Z30:Z74,"◎")&gt;=1,COUNTIF(Z30:Z74,"×")=0),"◎")))</f>
        <v>◎</v>
      </c>
      <c r="AA26" s="395" t="str">
        <f xml:space="preserve">
IF(COUNTIF(Z30:Z74,"○")=45,"整備しない場合は入力不要です。",
IF(COUNTIF(Z30:Z74,"×")&gt;=1,"【要修正】入力が不十分な箇所があります。",
IF(AND(COUNTIF(Z30:Z74,"◎")&gt;=1,COUNTIF(Z30:Z74,"×")=0),"適切に入力がされました。")))</f>
        <v>適切に入力がされました。</v>
      </c>
    </row>
    <row r="27" spans="1:27" ht="9.9499999999999993" customHeight="1">
      <c r="Z27" s="1807" t="s">
        <v>418</v>
      </c>
      <c r="AA27" s="1810" t="s">
        <v>420</v>
      </c>
    </row>
    <row r="28" spans="1:27">
      <c r="B28" s="1823" t="s">
        <v>41</v>
      </c>
      <c r="C28" s="1824"/>
      <c r="D28" s="1825"/>
      <c r="E28" s="1823" t="s">
        <v>42</v>
      </c>
      <c r="F28" s="1825"/>
      <c r="G28" s="1823" t="s">
        <v>43</v>
      </c>
      <c r="H28" s="1824"/>
      <c r="I28" s="1824"/>
      <c r="J28" s="1825"/>
      <c r="K28" s="1826" t="s">
        <v>44</v>
      </c>
      <c r="L28" s="1826" t="s">
        <v>45</v>
      </c>
      <c r="Z28" s="1084"/>
      <c r="AA28" s="1811"/>
    </row>
    <row r="29" spans="1:27">
      <c r="B29" s="3" t="s">
        <v>46</v>
      </c>
      <c r="C29" s="3" t="s">
        <v>47</v>
      </c>
      <c r="D29" s="3" t="s">
        <v>48</v>
      </c>
      <c r="E29" s="3" t="s">
        <v>54</v>
      </c>
      <c r="F29" s="3" t="s">
        <v>49</v>
      </c>
      <c r="G29" s="3" t="s">
        <v>50</v>
      </c>
      <c r="H29" s="3" t="s">
        <v>51</v>
      </c>
      <c r="I29" s="3" t="s">
        <v>52</v>
      </c>
      <c r="J29" s="3" t="s">
        <v>53</v>
      </c>
      <c r="K29" s="1827"/>
      <c r="L29" s="1827"/>
      <c r="Z29" s="374" t="s">
        <v>415</v>
      </c>
      <c r="AA29" s="374" t="s">
        <v>417</v>
      </c>
    </row>
    <row r="30" spans="1:27">
      <c r="A30" s="12">
        <v>1</v>
      </c>
      <c r="B30" s="6"/>
      <c r="C30" s="6"/>
      <c r="D30" s="6"/>
      <c r="E30" s="10"/>
      <c r="F30" s="7"/>
      <c r="G30" s="541"/>
      <c r="H30" s="15">
        <f>ROUNDDOWN(G30*1.1,0)</f>
        <v>0</v>
      </c>
      <c r="I30" s="4">
        <f>F30*H30</f>
        <v>0</v>
      </c>
      <c r="J30" s="9"/>
      <c r="K30" s="4">
        <f>IF(J30="補助対象",I30,IF(J30="補助対象外",0,0))</f>
        <v>0</v>
      </c>
      <c r="L30" s="5" t="str">
        <f>IF(Z30="◎",COUNTIF($Z$30:Z30,"◎"),"")</f>
        <v/>
      </c>
      <c r="W30" s="395" t="str">
        <f>IF(B30="個別病床",はじめに入力してください!$K$50,IF(B30="共通使用",はじめに入力してください!$K$52,""))</f>
        <v/>
      </c>
      <c r="Y30" s="12">
        <v>1</v>
      </c>
      <c r="Z30" s="374" t="str">
        <f xml:space="preserve">
IF(SUM(COUNTA(B30:G30),COUNTA(J30))=0,"○",
IF(AND(SUM(COUNTA(B30:G30),COUNTA(J30))&gt;0,SUM(COUNTA(B30:G30),COUNTA(J30))&lt;7),"×",
IF(SUM(COUNTA(B30:G30),COUNTA(J30))=7,"◎")))</f>
        <v>○</v>
      </c>
      <c r="AA30" s="395" t="str">
        <f xml:space="preserve">
IF(SUM(COUNTA(B30:G30),COUNTA(J30))=0,"整備しない場合は入力不要です。",
IF(AND(SUM(COUNTA(B30:G30),COUNTA(J30))&gt;0,SUM(COUNTA(B30:G30),COUNTA(J30))&lt;7),"【要修正】未入力の箇所があります。",
IF(SUM(COUNTA(B30:G30),COUNTA(J30))=7,"適切に入力がされました。")))</f>
        <v>整備しない場合は入力不要です。</v>
      </c>
    </row>
    <row r="31" spans="1:27">
      <c r="A31" s="12">
        <v>2</v>
      </c>
      <c r="B31" s="6"/>
      <c r="C31" s="6"/>
      <c r="D31" s="6"/>
      <c r="E31" s="10"/>
      <c r="F31" s="7"/>
      <c r="G31" s="541"/>
      <c r="H31" s="15">
        <f t="shared" ref="H31:H74" si="0">ROUNDDOWN(G31*1.1,0)</f>
        <v>0</v>
      </c>
      <c r="I31" s="4">
        <f t="shared" ref="I31:I74" si="1">F31*H31</f>
        <v>0</v>
      </c>
      <c r="J31" s="9"/>
      <c r="K31" s="4">
        <f t="shared" ref="K31:K74" si="2">IF(J31="補助対象",I31,IF(J31="補助対象外",0,0))</f>
        <v>0</v>
      </c>
      <c r="L31" s="5" t="str">
        <f>IF(Z31="◎",COUNTIF($Z$30:Z31,"◎"),"")</f>
        <v/>
      </c>
      <c r="W31" s="395" t="str">
        <f>IF(B31="個別病床",はじめに入力してください!$K$50,IF(B31="共通使用",はじめに入力してください!$K$52,""))</f>
        <v/>
      </c>
      <c r="Y31" s="12">
        <v>2</v>
      </c>
      <c r="Z31" s="374" t="str">
        <f t="shared" ref="Z31:Z74" si="3" xml:space="preserve">
IF(SUM(COUNTA(B31:G31),COUNTA(J31))=0,"○",
IF(AND(SUM(COUNTA(B31:G31),COUNTA(J31))&gt;0,SUM(COUNTA(B31:G31),COUNTA(J31))&lt;7),"×",
IF(SUM(COUNTA(B31:G31),COUNTA(J31))=7,"◎")))</f>
        <v>○</v>
      </c>
      <c r="AA31" s="395" t="str">
        <f t="shared" ref="AA31:AA74" si="4" xml:space="preserve">
IF(SUM(COUNTA(B31:G31),COUNTA(J31))=0,"整備しない場合は入力不要です。",
IF(AND(SUM(COUNTA(B31:G31),COUNTA(J31))&gt;0,SUM(COUNTA(B31:G31),COUNTA(J31))&lt;7),"【要修正】未入力の箇所があります。",
IF(SUM(COUNTA(B31:G31),COUNTA(J31))=7,"適切に入力がされました。")))</f>
        <v>整備しない場合は入力不要です。</v>
      </c>
    </row>
    <row r="32" spans="1:27">
      <c r="A32" s="12">
        <v>3</v>
      </c>
      <c r="B32" s="6"/>
      <c r="C32" s="6"/>
      <c r="D32" s="6"/>
      <c r="E32" s="10"/>
      <c r="F32" s="7"/>
      <c r="G32" s="541"/>
      <c r="H32" s="15">
        <f t="shared" si="0"/>
        <v>0</v>
      </c>
      <c r="I32" s="4">
        <f t="shared" si="1"/>
        <v>0</v>
      </c>
      <c r="J32" s="9"/>
      <c r="K32" s="4">
        <f t="shared" si="2"/>
        <v>0</v>
      </c>
      <c r="L32" s="5" t="str">
        <f>IF(Z32="◎",COUNTIF($Z$30:Z32,"◎"),"")</f>
        <v/>
      </c>
      <c r="W32" s="395" t="str">
        <f>IF(B32="個別病床",はじめに入力してください!$K$50,IF(B32="共通使用",はじめに入力してください!$K$52,""))</f>
        <v/>
      </c>
      <c r="Y32" s="12">
        <v>3</v>
      </c>
      <c r="Z32" s="374" t="str">
        <f t="shared" si="3"/>
        <v>○</v>
      </c>
      <c r="AA32" s="395" t="str">
        <f t="shared" si="4"/>
        <v>整備しない場合は入力不要です。</v>
      </c>
    </row>
    <row r="33" spans="1:27">
      <c r="A33" s="12">
        <v>4</v>
      </c>
      <c r="B33" s="6"/>
      <c r="C33" s="6"/>
      <c r="D33" s="6"/>
      <c r="E33" s="10"/>
      <c r="F33" s="7"/>
      <c r="G33" s="541"/>
      <c r="H33" s="15">
        <f t="shared" si="0"/>
        <v>0</v>
      </c>
      <c r="I33" s="4">
        <f t="shared" si="1"/>
        <v>0</v>
      </c>
      <c r="J33" s="9"/>
      <c r="K33" s="4">
        <f t="shared" si="2"/>
        <v>0</v>
      </c>
      <c r="L33" s="5" t="str">
        <f>IF(Z33="◎",COUNTIF($Z$30:Z33,"◎"),"")</f>
        <v/>
      </c>
      <c r="W33" s="395" t="str">
        <f>IF(B33="個別病床",はじめに入力してください!$K$50,IF(B33="共通使用",はじめに入力してください!$K$52,""))</f>
        <v/>
      </c>
      <c r="Y33" s="12">
        <v>4</v>
      </c>
      <c r="Z33" s="374" t="str">
        <f t="shared" si="3"/>
        <v>○</v>
      </c>
      <c r="AA33" s="395" t="str">
        <f t="shared" si="4"/>
        <v>整備しない場合は入力不要です。</v>
      </c>
    </row>
    <row r="34" spans="1:27">
      <c r="A34" s="12">
        <v>5</v>
      </c>
      <c r="B34" s="6"/>
      <c r="C34" s="6"/>
      <c r="D34" s="6"/>
      <c r="E34" s="10"/>
      <c r="F34" s="7"/>
      <c r="G34" s="541"/>
      <c r="H34" s="15">
        <f t="shared" si="0"/>
        <v>0</v>
      </c>
      <c r="I34" s="4">
        <f t="shared" si="1"/>
        <v>0</v>
      </c>
      <c r="J34" s="9"/>
      <c r="K34" s="4">
        <f t="shared" si="2"/>
        <v>0</v>
      </c>
      <c r="L34" s="5" t="str">
        <f>IF(Z34="◎",COUNTIF($Z$30:Z34,"◎"),"")</f>
        <v/>
      </c>
      <c r="W34" s="395" t="str">
        <f>IF(B34="個別病床",はじめに入力してください!$K$50,IF(B34="共通使用",はじめに入力してください!$K$52,""))</f>
        <v/>
      </c>
      <c r="Y34" s="12">
        <v>5</v>
      </c>
      <c r="Z34" s="374" t="str">
        <f t="shared" si="3"/>
        <v>○</v>
      </c>
      <c r="AA34" s="395" t="str">
        <f t="shared" si="4"/>
        <v>整備しない場合は入力不要です。</v>
      </c>
    </row>
    <row r="35" spans="1:27">
      <c r="A35" s="12">
        <v>6</v>
      </c>
      <c r="B35" s="6"/>
      <c r="C35" s="6"/>
      <c r="D35" s="6"/>
      <c r="E35" s="10"/>
      <c r="F35" s="7"/>
      <c r="G35" s="541"/>
      <c r="H35" s="15">
        <f t="shared" si="0"/>
        <v>0</v>
      </c>
      <c r="I35" s="4">
        <f t="shared" si="1"/>
        <v>0</v>
      </c>
      <c r="J35" s="9"/>
      <c r="K35" s="4">
        <f t="shared" si="2"/>
        <v>0</v>
      </c>
      <c r="L35" s="5" t="str">
        <f>IF(Z35="◎",COUNTIF($Z$30:Z35,"◎"),"")</f>
        <v/>
      </c>
      <c r="W35" s="395" t="str">
        <f>IF(B35="個別病床",はじめに入力してください!$K$50,IF(B35="共通使用",はじめに入力してください!$K$52,""))</f>
        <v/>
      </c>
      <c r="Y35" s="12">
        <v>6</v>
      </c>
      <c r="Z35" s="374" t="str">
        <f t="shared" si="3"/>
        <v>○</v>
      </c>
      <c r="AA35" s="395" t="str">
        <f t="shared" si="4"/>
        <v>整備しない場合は入力不要です。</v>
      </c>
    </row>
    <row r="36" spans="1:27">
      <c r="A36" s="12">
        <v>7</v>
      </c>
      <c r="B36" s="6"/>
      <c r="C36" s="6"/>
      <c r="D36" s="6"/>
      <c r="E36" s="10"/>
      <c r="F36" s="7"/>
      <c r="G36" s="541"/>
      <c r="H36" s="15">
        <f t="shared" si="0"/>
        <v>0</v>
      </c>
      <c r="I36" s="4">
        <f t="shared" si="1"/>
        <v>0</v>
      </c>
      <c r="J36" s="9"/>
      <c r="K36" s="4">
        <f t="shared" si="2"/>
        <v>0</v>
      </c>
      <c r="L36" s="5" t="str">
        <f>IF(Z36="◎",COUNTIF($Z$30:Z36,"◎"),"")</f>
        <v/>
      </c>
      <c r="W36" s="395" t="str">
        <f>IF(B36="個別病床",はじめに入力してください!$K$50,IF(B36="共通使用",はじめに入力してください!$K$52,""))</f>
        <v/>
      </c>
      <c r="Y36" s="12">
        <v>7</v>
      </c>
      <c r="Z36" s="374" t="str">
        <f t="shared" si="3"/>
        <v>○</v>
      </c>
      <c r="AA36" s="395" t="str">
        <f t="shared" si="4"/>
        <v>整備しない場合は入力不要です。</v>
      </c>
    </row>
    <row r="37" spans="1:27">
      <c r="A37" s="12">
        <v>8</v>
      </c>
      <c r="B37" s="6" t="s">
        <v>691</v>
      </c>
      <c r="C37" s="6" t="s">
        <v>692</v>
      </c>
      <c r="D37" s="6" t="s">
        <v>1315</v>
      </c>
      <c r="E37" s="10" t="s">
        <v>1314</v>
      </c>
      <c r="F37" s="7">
        <v>9</v>
      </c>
      <c r="G37" s="541">
        <v>1000000</v>
      </c>
      <c r="H37" s="15">
        <f t="shared" si="0"/>
        <v>1100000</v>
      </c>
      <c r="I37" s="4">
        <f t="shared" si="1"/>
        <v>9900000</v>
      </c>
      <c r="J37" s="9" t="s">
        <v>1319</v>
      </c>
      <c r="K37" s="4">
        <f t="shared" si="2"/>
        <v>9900000</v>
      </c>
      <c r="L37" s="5">
        <f>IF(Z37="◎",COUNTIF($Z$30:Z37,"◎"),"")</f>
        <v>1</v>
      </c>
      <c r="W37" s="395">
        <f>IF(B37="個別病床",はじめに入力してください!$K$50,IF(B37="共通使用",はじめに入力してください!$K$52,""))</f>
        <v>0</v>
      </c>
      <c r="Y37" s="12">
        <v>8</v>
      </c>
      <c r="Z37" s="374" t="str">
        <f t="shared" si="3"/>
        <v>◎</v>
      </c>
      <c r="AA37" s="395" t="str">
        <f t="shared" si="4"/>
        <v>適切に入力がされました。</v>
      </c>
    </row>
    <row r="38" spans="1:27">
      <c r="A38" s="12">
        <v>9</v>
      </c>
      <c r="B38" s="6" t="s">
        <v>691</v>
      </c>
      <c r="C38" s="6" t="s">
        <v>692</v>
      </c>
      <c r="D38" s="6" t="s">
        <v>1316</v>
      </c>
      <c r="E38" s="10" t="s">
        <v>1317</v>
      </c>
      <c r="F38" s="7">
        <v>9</v>
      </c>
      <c r="G38" s="541">
        <v>1000000</v>
      </c>
      <c r="H38" s="15">
        <f t="shared" si="0"/>
        <v>1100000</v>
      </c>
      <c r="I38" s="4">
        <f t="shared" si="1"/>
        <v>9900000</v>
      </c>
      <c r="J38" s="9" t="s">
        <v>1319</v>
      </c>
      <c r="K38" s="4">
        <f t="shared" si="2"/>
        <v>9900000</v>
      </c>
      <c r="L38" s="5">
        <f>IF(Z38="◎",COUNTIF($Z$30:Z38,"◎"),"")</f>
        <v>2</v>
      </c>
      <c r="W38" s="395">
        <f>IF(B38="個別病床",はじめに入力してください!$K$50,IF(B38="共通使用",はじめに入力してください!$K$52,""))</f>
        <v>0</v>
      </c>
      <c r="Y38" s="12">
        <v>9</v>
      </c>
      <c r="Z38" s="374" t="str">
        <f t="shared" si="3"/>
        <v>◎</v>
      </c>
      <c r="AA38" s="395" t="str">
        <f t="shared" si="4"/>
        <v>適切に入力がされました。</v>
      </c>
    </row>
    <row r="39" spans="1:27">
      <c r="A39" s="12">
        <v>10</v>
      </c>
      <c r="B39" s="6" t="s">
        <v>102</v>
      </c>
      <c r="C39" s="6" t="s">
        <v>842</v>
      </c>
      <c r="D39" s="6" t="s">
        <v>1315</v>
      </c>
      <c r="E39" s="10" t="s">
        <v>1318</v>
      </c>
      <c r="F39" s="7">
        <v>9</v>
      </c>
      <c r="G39" s="541">
        <v>2000000</v>
      </c>
      <c r="H39" s="15">
        <f t="shared" si="0"/>
        <v>2200000</v>
      </c>
      <c r="I39" s="4">
        <f t="shared" si="1"/>
        <v>19800000</v>
      </c>
      <c r="J39" s="9" t="s">
        <v>1319</v>
      </c>
      <c r="K39" s="4">
        <f t="shared" si="2"/>
        <v>19800000</v>
      </c>
      <c r="L39" s="5">
        <f>IF(Z39="◎",COUNTIF($Z$30:Z39,"◎"),"")</f>
        <v>3</v>
      </c>
      <c r="W39" s="395">
        <f>IF(B39="個別病床",はじめに入力してください!$K$50,IF(B39="共通使用",はじめに入力してください!$K$52,""))</f>
        <v>0</v>
      </c>
      <c r="Y39" s="12">
        <v>10</v>
      </c>
      <c r="Z39" s="374" t="str">
        <f t="shared" si="3"/>
        <v>◎</v>
      </c>
      <c r="AA39" s="395" t="str">
        <f t="shared" si="4"/>
        <v>適切に入力がされました。</v>
      </c>
    </row>
    <row r="40" spans="1:27">
      <c r="A40" s="12">
        <v>11</v>
      </c>
      <c r="B40" s="6"/>
      <c r="C40" s="6"/>
      <c r="D40" s="6"/>
      <c r="E40" s="10"/>
      <c r="F40" s="7"/>
      <c r="G40" s="541"/>
      <c r="H40" s="15">
        <f t="shared" si="0"/>
        <v>0</v>
      </c>
      <c r="I40" s="4">
        <f t="shared" si="1"/>
        <v>0</v>
      </c>
      <c r="J40" s="9"/>
      <c r="K40" s="4">
        <f t="shared" si="2"/>
        <v>0</v>
      </c>
      <c r="L40" s="5" t="str">
        <f>IF(Z40="◎",COUNTIF($Z$30:Z40,"◎"),"")</f>
        <v/>
      </c>
      <c r="W40" s="395" t="str">
        <f>IF(B40="個別病床",はじめに入力してください!$K$50,IF(B40="共通使用",はじめに入力してください!$K$52,""))</f>
        <v/>
      </c>
      <c r="Y40" s="12">
        <v>11</v>
      </c>
      <c r="Z40" s="374" t="str">
        <f t="shared" si="3"/>
        <v>○</v>
      </c>
      <c r="AA40" s="395" t="str">
        <f t="shared" si="4"/>
        <v>整備しない場合は入力不要です。</v>
      </c>
    </row>
    <row r="41" spans="1:27">
      <c r="A41" s="12">
        <v>12</v>
      </c>
      <c r="B41" s="6"/>
      <c r="C41" s="6"/>
      <c r="D41" s="6"/>
      <c r="E41" s="10"/>
      <c r="F41" s="7"/>
      <c r="G41" s="541"/>
      <c r="H41" s="15">
        <f t="shared" si="0"/>
        <v>0</v>
      </c>
      <c r="I41" s="4">
        <f t="shared" si="1"/>
        <v>0</v>
      </c>
      <c r="J41" s="9"/>
      <c r="K41" s="4">
        <f t="shared" si="2"/>
        <v>0</v>
      </c>
      <c r="L41" s="5" t="str">
        <f>IF(Z41="◎",COUNTIF($Z$30:Z41,"◎"),"")</f>
        <v/>
      </c>
      <c r="W41" s="395" t="str">
        <f>IF(B41="個別病床",はじめに入力してください!$K$50,IF(B41="共通使用",はじめに入力してください!$K$52,""))</f>
        <v/>
      </c>
      <c r="Y41" s="12">
        <v>12</v>
      </c>
      <c r="Z41" s="374" t="str">
        <f t="shared" si="3"/>
        <v>○</v>
      </c>
      <c r="AA41" s="395" t="str">
        <f t="shared" si="4"/>
        <v>整備しない場合は入力不要です。</v>
      </c>
    </row>
    <row r="42" spans="1:27">
      <c r="A42" s="12">
        <v>13</v>
      </c>
      <c r="B42" s="6"/>
      <c r="C42" s="6"/>
      <c r="D42" s="6"/>
      <c r="E42" s="10"/>
      <c r="F42" s="7"/>
      <c r="G42" s="541"/>
      <c r="H42" s="15">
        <f t="shared" si="0"/>
        <v>0</v>
      </c>
      <c r="I42" s="4">
        <f t="shared" si="1"/>
        <v>0</v>
      </c>
      <c r="J42" s="9"/>
      <c r="K42" s="4">
        <f t="shared" si="2"/>
        <v>0</v>
      </c>
      <c r="L42" s="5" t="str">
        <f>IF(Z42="◎",COUNTIF($Z$30:Z42,"◎"),"")</f>
        <v/>
      </c>
      <c r="W42" s="395" t="str">
        <f>IF(B42="個別病床",はじめに入力してください!$K$50,IF(B42="共通使用",はじめに入力してください!$K$52,""))</f>
        <v/>
      </c>
      <c r="Y42" s="12">
        <v>13</v>
      </c>
      <c r="Z42" s="374" t="str">
        <f t="shared" si="3"/>
        <v>○</v>
      </c>
      <c r="AA42" s="395" t="str">
        <f t="shared" si="4"/>
        <v>整備しない場合は入力不要です。</v>
      </c>
    </row>
    <row r="43" spans="1:27">
      <c r="A43" s="12">
        <v>14</v>
      </c>
      <c r="B43" s="6"/>
      <c r="C43" s="6"/>
      <c r="D43" s="6"/>
      <c r="E43" s="10"/>
      <c r="F43" s="7"/>
      <c r="G43" s="541"/>
      <c r="H43" s="15">
        <f t="shared" si="0"/>
        <v>0</v>
      </c>
      <c r="I43" s="4">
        <f t="shared" si="1"/>
        <v>0</v>
      </c>
      <c r="J43" s="9"/>
      <c r="K43" s="4">
        <f t="shared" si="2"/>
        <v>0</v>
      </c>
      <c r="L43" s="5" t="str">
        <f>IF(Z43="◎",COUNTIF($Z$30:Z43,"◎"),"")</f>
        <v/>
      </c>
      <c r="W43" s="395" t="str">
        <f>IF(B43="個別病床",はじめに入力してください!$K$50,IF(B43="共通使用",はじめに入力してください!$K$52,""))</f>
        <v/>
      </c>
      <c r="Y43" s="12">
        <v>14</v>
      </c>
      <c r="Z43" s="374" t="str">
        <f t="shared" si="3"/>
        <v>○</v>
      </c>
      <c r="AA43" s="395" t="str">
        <f t="shared" si="4"/>
        <v>整備しない場合は入力不要です。</v>
      </c>
    </row>
    <row r="44" spans="1:27">
      <c r="A44" s="12">
        <v>15</v>
      </c>
      <c r="B44" s="6"/>
      <c r="C44" s="6"/>
      <c r="D44" s="6"/>
      <c r="E44" s="10"/>
      <c r="F44" s="7"/>
      <c r="G44" s="541"/>
      <c r="H44" s="15">
        <f t="shared" si="0"/>
        <v>0</v>
      </c>
      <c r="I44" s="4">
        <f t="shared" si="1"/>
        <v>0</v>
      </c>
      <c r="J44" s="9"/>
      <c r="K44" s="4">
        <f t="shared" si="2"/>
        <v>0</v>
      </c>
      <c r="L44" s="5" t="str">
        <f>IF(Z44="◎",COUNTIF($Z$30:Z44,"◎"),"")</f>
        <v/>
      </c>
      <c r="W44" s="395" t="str">
        <f>IF(B44="個別病床",はじめに入力してください!$K$50,IF(B44="共通使用",はじめに入力してください!$K$52,""))</f>
        <v/>
      </c>
      <c r="Y44" s="12">
        <v>15</v>
      </c>
      <c r="Z44" s="374" t="str">
        <f t="shared" si="3"/>
        <v>○</v>
      </c>
      <c r="AA44" s="395" t="str">
        <f t="shared" si="4"/>
        <v>整備しない場合は入力不要です。</v>
      </c>
    </row>
    <row r="45" spans="1:27">
      <c r="A45" s="12">
        <v>16</v>
      </c>
      <c r="B45" s="6"/>
      <c r="C45" s="6"/>
      <c r="D45" s="6"/>
      <c r="E45" s="10"/>
      <c r="F45" s="7"/>
      <c r="G45" s="541"/>
      <c r="H45" s="15">
        <f t="shared" si="0"/>
        <v>0</v>
      </c>
      <c r="I45" s="4">
        <f t="shared" si="1"/>
        <v>0</v>
      </c>
      <c r="J45" s="9"/>
      <c r="K45" s="4">
        <f t="shared" si="2"/>
        <v>0</v>
      </c>
      <c r="L45" s="5" t="str">
        <f>IF(Z45="◎",COUNTIF($Z$30:Z45,"◎"),"")</f>
        <v/>
      </c>
      <c r="W45" s="395" t="str">
        <f>IF(B45="個別病床",はじめに入力してください!$K$50,IF(B45="共通使用",はじめに入力してください!$K$52,""))</f>
        <v/>
      </c>
      <c r="Y45" s="12">
        <v>16</v>
      </c>
      <c r="Z45" s="374" t="str">
        <f t="shared" si="3"/>
        <v>○</v>
      </c>
      <c r="AA45" s="395" t="str">
        <f t="shared" si="4"/>
        <v>整備しない場合は入力不要です。</v>
      </c>
    </row>
    <row r="46" spans="1:27">
      <c r="A46" s="12">
        <v>17</v>
      </c>
      <c r="B46" s="6"/>
      <c r="C46" s="6"/>
      <c r="D46" s="6"/>
      <c r="E46" s="10"/>
      <c r="F46" s="7"/>
      <c r="G46" s="541"/>
      <c r="H46" s="15">
        <f t="shared" si="0"/>
        <v>0</v>
      </c>
      <c r="I46" s="4">
        <f t="shared" si="1"/>
        <v>0</v>
      </c>
      <c r="J46" s="9"/>
      <c r="K46" s="4">
        <f t="shared" si="2"/>
        <v>0</v>
      </c>
      <c r="L46" s="5" t="str">
        <f>IF(Z46="◎",COUNTIF($Z$30:Z46,"◎"),"")</f>
        <v/>
      </c>
      <c r="W46" s="395" t="str">
        <f>IF(B46="個別病床",はじめに入力してください!$K$50,IF(B46="共通使用",はじめに入力してください!$K$52,""))</f>
        <v/>
      </c>
      <c r="Y46" s="12">
        <v>17</v>
      </c>
      <c r="Z46" s="374" t="str">
        <f t="shared" si="3"/>
        <v>○</v>
      </c>
      <c r="AA46" s="395" t="str">
        <f t="shared" si="4"/>
        <v>整備しない場合は入力不要です。</v>
      </c>
    </row>
    <row r="47" spans="1:27">
      <c r="A47" s="12">
        <v>18</v>
      </c>
      <c r="B47" s="6"/>
      <c r="C47" s="6"/>
      <c r="D47" s="6"/>
      <c r="E47" s="10"/>
      <c r="F47" s="7"/>
      <c r="G47" s="541"/>
      <c r="H47" s="15">
        <f t="shared" si="0"/>
        <v>0</v>
      </c>
      <c r="I47" s="4">
        <f t="shared" si="1"/>
        <v>0</v>
      </c>
      <c r="J47" s="9"/>
      <c r="K47" s="4">
        <f t="shared" si="2"/>
        <v>0</v>
      </c>
      <c r="L47" s="5" t="str">
        <f>IF(Z47="◎",COUNTIF($Z$30:Z47,"◎"),"")</f>
        <v/>
      </c>
      <c r="W47" s="395" t="str">
        <f>IF(B47="個別病床",はじめに入力してください!$K$50,IF(B47="共通使用",はじめに入力してください!$K$52,""))</f>
        <v/>
      </c>
      <c r="Y47" s="12">
        <v>18</v>
      </c>
      <c r="Z47" s="374" t="str">
        <f t="shared" si="3"/>
        <v>○</v>
      </c>
      <c r="AA47" s="395" t="str">
        <f t="shared" si="4"/>
        <v>整備しない場合は入力不要です。</v>
      </c>
    </row>
    <row r="48" spans="1:27">
      <c r="A48" s="12">
        <v>19</v>
      </c>
      <c r="B48" s="6"/>
      <c r="C48" s="6"/>
      <c r="D48" s="6"/>
      <c r="E48" s="10"/>
      <c r="F48" s="7"/>
      <c r="G48" s="541"/>
      <c r="H48" s="15">
        <f t="shared" si="0"/>
        <v>0</v>
      </c>
      <c r="I48" s="4">
        <f t="shared" si="1"/>
        <v>0</v>
      </c>
      <c r="J48" s="9"/>
      <c r="K48" s="4">
        <f t="shared" si="2"/>
        <v>0</v>
      </c>
      <c r="L48" s="5" t="str">
        <f>IF(Z48="◎",COUNTIF($Z$30:Z48,"◎"),"")</f>
        <v/>
      </c>
      <c r="W48" s="395" t="str">
        <f>IF(B48="個別病床",はじめに入力してください!$K$50,IF(B48="共通使用",はじめに入力してください!$K$52,""))</f>
        <v/>
      </c>
      <c r="Y48" s="12">
        <v>19</v>
      </c>
      <c r="Z48" s="374" t="str">
        <f t="shared" si="3"/>
        <v>○</v>
      </c>
      <c r="AA48" s="395" t="str">
        <f t="shared" si="4"/>
        <v>整備しない場合は入力不要です。</v>
      </c>
    </row>
    <row r="49" spans="1:27">
      <c r="A49" s="12">
        <v>20</v>
      </c>
      <c r="B49" s="6"/>
      <c r="C49" s="6"/>
      <c r="D49" s="6"/>
      <c r="E49" s="10"/>
      <c r="F49" s="7"/>
      <c r="G49" s="541"/>
      <c r="H49" s="15">
        <f t="shared" si="0"/>
        <v>0</v>
      </c>
      <c r="I49" s="4">
        <f t="shared" si="1"/>
        <v>0</v>
      </c>
      <c r="J49" s="9"/>
      <c r="K49" s="4">
        <f t="shared" si="2"/>
        <v>0</v>
      </c>
      <c r="L49" s="5" t="str">
        <f>IF(Z49="◎",COUNTIF($Z$30:Z49,"◎"),"")</f>
        <v/>
      </c>
      <c r="W49" s="395" t="str">
        <f>IF(B49="個別病床",はじめに入力してください!$K$50,IF(B49="共通使用",はじめに入力してください!$K$52,""))</f>
        <v/>
      </c>
      <c r="Y49" s="12">
        <v>20</v>
      </c>
      <c r="Z49" s="374" t="str">
        <f t="shared" si="3"/>
        <v>○</v>
      </c>
      <c r="AA49" s="395" t="str">
        <f t="shared" si="4"/>
        <v>整備しない場合は入力不要です。</v>
      </c>
    </row>
    <row r="50" spans="1:27">
      <c r="A50" s="12">
        <v>21</v>
      </c>
      <c r="B50" s="6"/>
      <c r="C50" s="6"/>
      <c r="D50" s="6"/>
      <c r="E50" s="10"/>
      <c r="F50" s="7"/>
      <c r="G50" s="541"/>
      <c r="H50" s="15">
        <f t="shared" si="0"/>
        <v>0</v>
      </c>
      <c r="I50" s="4">
        <f t="shared" si="1"/>
        <v>0</v>
      </c>
      <c r="J50" s="9"/>
      <c r="K50" s="4">
        <f t="shared" si="2"/>
        <v>0</v>
      </c>
      <c r="L50" s="5" t="str">
        <f>IF(Z50="◎",COUNTIF($Z$30:Z50,"◎"),"")</f>
        <v/>
      </c>
      <c r="W50" s="395" t="str">
        <f>IF(B50="個別病床",はじめに入力してください!$K$50,IF(B50="共通使用",はじめに入力してください!$K$52,""))</f>
        <v/>
      </c>
      <c r="Y50" s="12">
        <v>21</v>
      </c>
      <c r="Z50" s="374" t="str">
        <f t="shared" si="3"/>
        <v>○</v>
      </c>
      <c r="AA50" s="395" t="str">
        <f t="shared" si="4"/>
        <v>整備しない場合は入力不要です。</v>
      </c>
    </row>
    <row r="51" spans="1:27">
      <c r="A51" s="12">
        <v>22</v>
      </c>
      <c r="B51" s="6"/>
      <c r="C51" s="6"/>
      <c r="D51" s="6"/>
      <c r="E51" s="10"/>
      <c r="F51" s="7"/>
      <c r="G51" s="541"/>
      <c r="H51" s="15">
        <f t="shared" si="0"/>
        <v>0</v>
      </c>
      <c r="I51" s="4">
        <f t="shared" si="1"/>
        <v>0</v>
      </c>
      <c r="J51" s="9"/>
      <c r="K51" s="4">
        <f t="shared" si="2"/>
        <v>0</v>
      </c>
      <c r="L51" s="5" t="str">
        <f>IF(Z51="◎",COUNTIF($Z$30:Z51,"◎"),"")</f>
        <v/>
      </c>
      <c r="W51" s="395" t="str">
        <f>IF(B51="個別病床",はじめに入力してください!$K$50,IF(B51="共通使用",はじめに入力してください!$K$52,""))</f>
        <v/>
      </c>
      <c r="Y51" s="12">
        <v>22</v>
      </c>
      <c r="Z51" s="374" t="str">
        <f t="shared" si="3"/>
        <v>○</v>
      </c>
      <c r="AA51" s="395" t="str">
        <f t="shared" si="4"/>
        <v>整備しない場合は入力不要です。</v>
      </c>
    </row>
    <row r="52" spans="1:27">
      <c r="A52" s="12">
        <v>23</v>
      </c>
      <c r="B52" s="6"/>
      <c r="C52" s="6"/>
      <c r="D52" s="6"/>
      <c r="E52" s="10"/>
      <c r="F52" s="7"/>
      <c r="G52" s="541"/>
      <c r="H52" s="15">
        <f t="shared" si="0"/>
        <v>0</v>
      </c>
      <c r="I52" s="4">
        <f t="shared" si="1"/>
        <v>0</v>
      </c>
      <c r="J52" s="9"/>
      <c r="K52" s="4">
        <f t="shared" si="2"/>
        <v>0</v>
      </c>
      <c r="L52" s="5" t="str">
        <f>IF(Z52="◎",COUNTIF($Z$30:Z52,"◎"),"")</f>
        <v/>
      </c>
      <c r="W52" s="395" t="str">
        <f>IF(B52="個別病床",はじめに入力してください!$K$50,IF(B52="共通使用",はじめに入力してください!$K$52,""))</f>
        <v/>
      </c>
      <c r="Y52" s="12">
        <v>23</v>
      </c>
      <c r="Z52" s="374" t="str">
        <f t="shared" si="3"/>
        <v>○</v>
      </c>
      <c r="AA52" s="395" t="str">
        <f t="shared" si="4"/>
        <v>整備しない場合は入力不要です。</v>
      </c>
    </row>
    <row r="53" spans="1:27">
      <c r="A53" s="12">
        <v>24</v>
      </c>
      <c r="B53" s="6"/>
      <c r="C53" s="6"/>
      <c r="D53" s="6"/>
      <c r="E53" s="10"/>
      <c r="F53" s="7"/>
      <c r="G53" s="541"/>
      <c r="H53" s="15">
        <f t="shared" si="0"/>
        <v>0</v>
      </c>
      <c r="I53" s="4">
        <f t="shared" si="1"/>
        <v>0</v>
      </c>
      <c r="J53" s="9"/>
      <c r="K53" s="4">
        <f t="shared" si="2"/>
        <v>0</v>
      </c>
      <c r="L53" s="5" t="str">
        <f>IF(Z53="◎",COUNTIF($Z$30:Z53,"◎"),"")</f>
        <v/>
      </c>
      <c r="W53" s="395" t="str">
        <f>IF(B53="個別病床",はじめに入力してください!$K$50,IF(B53="共通使用",はじめに入力してください!$K$52,""))</f>
        <v/>
      </c>
      <c r="Y53" s="12">
        <v>24</v>
      </c>
      <c r="Z53" s="374" t="str">
        <f t="shared" si="3"/>
        <v>○</v>
      </c>
      <c r="AA53" s="395" t="str">
        <f t="shared" si="4"/>
        <v>整備しない場合は入力不要です。</v>
      </c>
    </row>
    <row r="54" spans="1:27">
      <c r="A54" s="12">
        <v>25</v>
      </c>
      <c r="B54" s="6"/>
      <c r="C54" s="6"/>
      <c r="D54" s="6"/>
      <c r="E54" s="10"/>
      <c r="F54" s="7"/>
      <c r="G54" s="541"/>
      <c r="H54" s="15">
        <f t="shared" si="0"/>
        <v>0</v>
      </c>
      <c r="I54" s="4">
        <f t="shared" si="1"/>
        <v>0</v>
      </c>
      <c r="J54" s="9"/>
      <c r="K54" s="4">
        <f t="shared" si="2"/>
        <v>0</v>
      </c>
      <c r="L54" s="5" t="str">
        <f>IF(Z54="◎",COUNTIF($Z$30:Z54,"◎"),"")</f>
        <v/>
      </c>
      <c r="W54" s="395" t="str">
        <f>IF(B54="個別病床",はじめに入力してください!$K$50,IF(B54="共通使用",はじめに入力してください!$K$52,""))</f>
        <v/>
      </c>
      <c r="Y54" s="12">
        <v>25</v>
      </c>
      <c r="Z54" s="374" t="str">
        <f t="shared" si="3"/>
        <v>○</v>
      </c>
      <c r="AA54" s="395" t="str">
        <f t="shared" si="4"/>
        <v>整備しない場合は入力不要です。</v>
      </c>
    </row>
    <row r="55" spans="1:27">
      <c r="A55" s="12">
        <v>26</v>
      </c>
      <c r="B55" s="6"/>
      <c r="C55" s="6"/>
      <c r="D55" s="6"/>
      <c r="E55" s="10"/>
      <c r="F55" s="7"/>
      <c r="G55" s="541"/>
      <c r="H55" s="15">
        <f t="shared" si="0"/>
        <v>0</v>
      </c>
      <c r="I55" s="4">
        <f t="shared" si="1"/>
        <v>0</v>
      </c>
      <c r="J55" s="9"/>
      <c r="K55" s="4">
        <f t="shared" si="2"/>
        <v>0</v>
      </c>
      <c r="L55" s="5" t="str">
        <f>IF(Z55="◎",COUNTIF($Z$30:Z55,"◎"),"")</f>
        <v/>
      </c>
      <c r="W55" s="395" t="str">
        <f>IF(B55="個別病床",はじめに入力してください!$K$50,IF(B55="共通使用",はじめに入力してください!$K$52,""))</f>
        <v/>
      </c>
      <c r="Y55" s="12">
        <v>26</v>
      </c>
      <c r="Z55" s="374" t="str">
        <f t="shared" si="3"/>
        <v>○</v>
      </c>
      <c r="AA55" s="395" t="str">
        <f t="shared" si="4"/>
        <v>整備しない場合は入力不要です。</v>
      </c>
    </row>
    <row r="56" spans="1:27">
      <c r="A56" s="12">
        <v>27</v>
      </c>
      <c r="B56" s="6"/>
      <c r="C56" s="6"/>
      <c r="D56" s="6"/>
      <c r="E56" s="10"/>
      <c r="F56" s="7"/>
      <c r="G56" s="541"/>
      <c r="H56" s="15">
        <f t="shared" si="0"/>
        <v>0</v>
      </c>
      <c r="I56" s="4">
        <f t="shared" si="1"/>
        <v>0</v>
      </c>
      <c r="J56" s="9"/>
      <c r="K56" s="4">
        <f t="shared" si="2"/>
        <v>0</v>
      </c>
      <c r="L56" s="5" t="str">
        <f>IF(Z56="◎",COUNTIF($Z$30:Z56,"◎"),"")</f>
        <v/>
      </c>
      <c r="W56" s="395" t="str">
        <f>IF(B56="個別病床",はじめに入力してください!$K$50,IF(B56="共通使用",はじめに入力してください!$K$52,""))</f>
        <v/>
      </c>
      <c r="Y56" s="12">
        <v>27</v>
      </c>
      <c r="Z56" s="374" t="str">
        <f t="shared" si="3"/>
        <v>○</v>
      </c>
      <c r="AA56" s="395" t="str">
        <f t="shared" si="4"/>
        <v>整備しない場合は入力不要です。</v>
      </c>
    </row>
    <row r="57" spans="1:27">
      <c r="A57" s="12">
        <v>28</v>
      </c>
      <c r="B57" s="6"/>
      <c r="C57" s="6"/>
      <c r="D57" s="6"/>
      <c r="E57" s="10"/>
      <c r="F57" s="7"/>
      <c r="G57" s="541"/>
      <c r="H57" s="15">
        <f t="shared" si="0"/>
        <v>0</v>
      </c>
      <c r="I57" s="4">
        <f t="shared" si="1"/>
        <v>0</v>
      </c>
      <c r="J57" s="9"/>
      <c r="K57" s="4">
        <f t="shared" si="2"/>
        <v>0</v>
      </c>
      <c r="L57" s="5" t="str">
        <f>IF(Z57="◎",COUNTIF($Z$30:Z57,"◎"),"")</f>
        <v/>
      </c>
      <c r="W57" s="395" t="str">
        <f>IF(B57="個別病床",はじめに入力してください!$K$50,IF(B57="共通使用",はじめに入力してください!$K$52,""))</f>
        <v/>
      </c>
      <c r="Y57" s="12">
        <v>28</v>
      </c>
      <c r="Z57" s="374" t="str">
        <f t="shared" si="3"/>
        <v>○</v>
      </c>
      <c r="AA57" s="395" t="str">
        <f t="shared" si="4"/>
        <v>整備しない場合は入力不要です。</v>
      </c>
    </row>
    <row r="58" spans="1:27">
      <c r="A58" s="12">
        <v>29</v>
      </c>
      <c r="B58" s="6"/>
      <c r="C58" s="6"/>
      <c r="D58" s="6"/>
      <c r="E58" s="10"/>
      <c r="F58" s="7"/>
      <c r="G58" s="541"/>
      <c r="H58" s="15">
        <f t="shared" si="0"/>
        <v>0</v>
      </c>
      <c r="I58" s="4">
        <f t="shared" si="1"/>
        <v>0</v>
      </c>
      <c r="J58" s="9"/>
      <c r="K58" s="4">
        <f t="shared" si="2"/>
        <v>0</v>
      </c>
      <c r="L58" s="5" t="str">
        <f>IF(Z58="◎",COUNTIF($Z$30:Z58,"◎"),"")</f>
        <v/>
      </c>
      <c r="W58" s="395" t="str">
        <f>IF(B58="個別病床",はじめに入力してください!$K$50,IF(B58="共通使用",はじめに入力してください!$K$52,""))</f>
        <v/>
      </c>
      <c r="Y58" s="12">
        <v>29</v>
      </c>
      <c r="Z58" s="374" t="str">
        <f t="shared" si="3"/>
        <v>○</v>
      </c>
      <c r="AA58" s="395" t="str">
        <f t="shared" si="4"/>
        <v>整備しない場合は入力不要です。</v>
      </c>
    </row>
    <row r="59" spans="1:27">
      <c r="A59" s="12">
        <v>30</v>
      </c>
      <c r="B59" s="6"/>
      <c r="C59" s="6"/>
      <c r="D59" s="6"/>
      <c r="E59" s="10"/>
      <c r="F59" s="7"/>
      <c r="G59" s="541"/>
      <c r="H59" s="15">
        <f t="shared" si="0"/>
        <v>0</v>
      </c>
      <c r="I59" s="4">
        <f t="shared" si="1"/>
        <v>0</v>
      </c>
      <c r="J59" s="9"/>
      <c r="K59" s="4">
        <f t="shared" si="2"/>
        <v>0</v>
      </c>
      <c r="L59" s="5" t="str">
        <f>IF(Z59="◎",COUNTIF($Z$30:Z59,"◎"),"")</f>
        <v/>
      </c>
      <c r="W59" s="395" t="str">
        <f>IF(B59="個別病床",はじめに入力してください!$K$50,IF(B59="共通使用",はじめに入力してください!$K$52,""))</f>
        <v/>
      </c>
      <c r="Y59" s="12">
        <v>30</v>
      </c>
      <c r="Z59" s="374" t="str">
        <f t="shared" si="3"/>
        <v>○</v>
      </c>
      <c r="AA59" s="395" t="str">
        <f t="shared" si="4"/>
        <v>整備しない場合は入力不要です。</v>
      </c>
    </row>
    <row r="60" spans="1:27">
      <c r="A60" s="12">
        <v>31</v>
      </c>
      <c r="B60" s="6"/>
      <c r="C60" s="6"/>
      <c r="D60" s="6"/>
      <c r="E60" s="10"/>
      <c r="F60" s="7"/>
      <c r="G60" s="541"/>
      <c r="H60" s="15">
        <f t="shared" si="0"/>
        <v>0</v>
      </c>
      <c r="I60" s="4">
        <f t="shared" si="1"/>
        <v>0</v>
      </c>
      <c r="J60" s="9"/>
      <c r="K60" s="4">
        <f t="shared" si="2"/>
        <v>0</v>
      </c>
      <c r="L60" s="5" t="str">
        <f>IF(Z60="◎",COUNTIF($Z$30:Z60,"◎"),"")</f>
        <v/>
      </c>
      <c r="W60" s="395" t="str">
        <f>IF(B60="個別病床",はじめに入力してください!$K$50,IF(B60="共通使用",はじめに入力してください!$K$52,""))</f>
        <v/>
      </c>
      <c r="Y60" s="12">
        <v>31</v>
      </c>
      <c r="Z60" s="374" t="str">
        <f t="shared" si="3"/>
        <v>○</v>
      </c>
      <c r="AA60" s="395" t="str">
        <f t="shared" si="4"/>
        <v>整備しない場合は入力不要です。</v>
      </c>
    </row>
    <row r="61" spans="1:27">
      <c r="A61" s="12">
        <v>32</v>
      </c>
      <c r="B61" s="6"/>
      <c r="C61" s="6"/>
      <c r="D61" s="6"/>
      <c r="E61" s="10"/>
      <c r="F61" s="7"/>
      <c r="G61" s="541"/>
      <c r="H61" s="15">
        <f t="shared" si="0"/>
        <v>0</v>
      </c>
      <c r="I61" s="4">
        <f t="shared" si="1"/>
        <v>0</v>
      </c>
      <c r="J61" s="9"/>
      <c r="K61" s="4">
        <f t="shared" si="2"/>
        <v>0</v>
      </c>
      <c r="L61" s="5" t="str">
        <f>IF(Z61="◎",COUNTIF($Z$30:Z61,"◎"),"")</f>
        <v/>
      </c>
      <c r="W61" s="395" t="str">
        <f>IF(B61="個別病床",はじめに入力してください!$K$50,IF(B61="共通使用",はじめに入力してください!$K$52,""))</f>
        <v/>
      </c>
      <c r="Y61" s="12">
        <v>32</v>
      </c>
      <c r="Z61" s="374" t="str">
        <f t="shared" si="3"/>
        <v>○</v>
      </c>
      <c r="AA61" s="395" t="str">
        <f t="shared" si="4"/>
        <v>整備しない場合は入力不要です。</v>
      </c>
    </row>
    <row r="62" spans="1:27">
      <c r="A62" s="12">
        <v>33</v>
      </c>
      <c r="B62" s="6"/>
      <c r="C62" s="6"/>
      <c r="D62" s="6"/>
      <c r="E62" s="10"/>
      <c r="F62" s="7"/>
      <c r="G62" s="541"/>
      <c r="H62" s="15">
        <f t="shared" si="0"/>
        <v>0</v>
      </c>
      <c r="I62" s="4">
        <f t="shared" si="1"/>
        <v>0</v>
      </c>
      <c r="J62" s="9"/>
      <c r="K62" s="4">
        <f t="shared" si="2"/>
        <v>0</v>
      </c>
      <c r="L62" s="5" t="str">
        <f>IF(Z62="◎",COUNTIF($Z$30:Z62,"◎"),"")</f>
        <v/>
      </c>
      <c r="W62" s="395" t="str">
        <f>IF(B62="個別病床",はじめに入力してください!$K$50,IF(B62="共通使用",はじめに入力してください!$K$52,""))</f>
        <v/>
      </c>
      <c r="Y62" s="12">
        <v>33</v>
      </c>
      <c r="Z62" s="374" t="str">
        <f t="shared" si="3"/>
        <v>○</v>
      </c>
      <c r="AA62" s="395" t="str">
        <f t="shared" si="4"/>
        <v>整備しない場合は入力不要です。</v>
      </c>
    </row>
    <row r="63" spans="1:27">
      <c r="A63" s="12">
        <v>34</v>
      </c>
      <c r="B63" s="6"/>
      <c r="C63" s="6"/>
      <c r="D63" s="6"/>
      <c r="E63" s="10"/>
      <c r="F63" s="7"/>
      <c r="G63" s="541"/>
      <c r="H63" s="15">
        <f t="shared" si="0"/>
        <v>0</v>
      </c>
      <c r="I63" s="4">
        <f t="shared" si="1"/>
        <v>0</v>
      </c>
      <c r="J63" s="9"/>
      <c r="K63" s="4">
        <f t="shared" si="2"/>
        <v>0</v>
      </c>
      <c r="L63" s="5" t="str">
        <f>IF(Z63="◎",COUNTIF($Z$30:Z63,"◎"),"")</f>
        <v/>
      </c>
      <c r="W63" s="395" t="str">
        <f>IF(B63="個別病床",はじめに入力してください!$K$50,IF(B63="共通使用",はじめに入力してください!$K$52,""))</f>
        <v/>
      </c>
      <c r="Y63" s="12">
        <v>34</v>
      </c>
      <c r="Z63" s="374" t="str">
        <f t="shared" si="3"/>
        <v>○</v>
      </c>
      <c r="AA63" s="395" t="str">
        <f t="shared" si="4"/>
        <v>整備しない場合は入力不要です。</v>
      </c>
    </row>
    <row r="64" spans="1:27">
      <c r="A64" s="12">
        <v>35</v>
      </c>
      <c r="B64" s="6"/>
      <c r="C64" s="6"/>
      <c r="D64" s="6"/>
      <c r="E64" s="10"/>
      <c r="F64" s="7"/>
      <c r="G64" s="541"/>
      <c r="H64" s="15">
        <f t="shared" si="0"/>
        <v>0</v>
      </c>
      <c r="I64" s="4">
        <f t="shared" si="1"/>
        <v>0</v>
      </c>
      <c r="J64" s="9"/>
      <c r="K64" s="4">
        <f t="shared" si="2"/>
        <v>0</v>
      </c>
      <c r="L64" s="5" t="str">
        <f>IF(Z64="◎",COUNTIF($Z$30:Z64,"◎"),"")</f>
        <v/>
      </c>
      <c r="W64" s="395" t="str">
        <f>IF(B64="個別病床",はじめに入力してください!$K$50,IF(B64="共通使用",はじめに入力してください!$K$52,""))</f>
        <v/>
      </c>
      <c r="Y64" s="12">
        <v>35</v>
      </c>
      <c r="Z64" s="374" t="str">
        <f t="shared" si="3"/>
        <v>○</v>
      </c>
      <c r="AA64" s="395" t="str">
        <f t="shared" si="4"/>
        <v>整備しない場合は入力不要です。</v>
      </c>
    </row>
    <row r="65" spans="1:27">
      <c r="A65" s="12">
        <v>36</v>
      </c>
      <c r="B65" s="6"/>
      <c r="C65" s="6"/>
      <c r="D65" s="6"/>
      <c r="E65" s="10"/>
      <c r="F65" s="7"/>
      <c r="G65" s="541"/>
      <c r="H65" s="15">
        <f t="shared" si="0"/>
        <v>0</v>
      </c>
      <c r="I65" s="4">
        <f t="shared" si="1"/>
        <v>0</v>
      </c>
      <c r="J65" s="9"/>
      <c r="K65" s="4">
        <f t="shared" si="2"/>
        <v>0</v>
      </c>
      <c r="L65" s="5" t="str">
        <f>IF(Z65="◎",COUNTIF($Z$30:Z65,"◎"),"")</f>
        <v/>
      </c>
      <c r="W65" s="395" t="str">
        <f>IF(B65="個別病床",はじめに入力してください!$K$50,IF(B65="共通使用",はじめに入力してください!$K$52,""))</f>
        <v/>
      </c>
      <c r="Y65" s="12">
        <v>36</v>
      </c>
      <c r="Z65" s="374" t="str">
        <f t="shared" si="3"/>
        <v>○</v>
      </c>
      <c r="AA65" s="395" t="str">
        <f t="shared" si="4"/>
        <v>整備しない場合は入力不要です。</v>
      </c>
    </row>
    <row r="66" spans="1:27">
      <c r="A66" s="12">
        <v>37</v>
      </c>
      <c r="B66" s="6"/>
      <c r="C66" s="6"/>
      <c r="D66" s="6"/>
      <c r="E66" s="10"/>
      <c r="F66" s="7"/>
      <c r="G66" s="541"/>
      <c r="H66" s="15">
        <f t="shared" si="0"/>
        <v>0</v>
      </c>
      <c r="I66" s="4">
        <f t="shared" si="1"/>
        <v>0</v>
      </c>
      <c r="J66" s="9"/>
      <c r="K66" s="4">
        <f t="shared" si="2"/>
        <v>0</v>
      </c>
      <c r="L66" s="5" t="str">
        <f>IF(Z66="◎",COUNTIF($Z$30:Z66,"◎"),"")</f>
        <v/>
      </c>
      <c r="W66" s="395" t="str">
        <f>IF(B66="個別病床",はじめに入力してください!$K$50,IF(B66="共通使用",はじめに入力してください!$K$52,""))</f>
        <v/>
      </c>
      <c r="Y66" s="12">
        <v>37</v>
      </c>
      <c r="Z66" s="374" t="str">
        <f t="shared" si="3"/>
        <v>○</v>
      </c>
      <c r="AA66" s="395" t="str">
        <f t="shared" si="4"/>
        <v>整備しない場合は入力不要です。</v>
      </c>
    </row>
    <row r="67" spans="1:27">
      <c r="A67" s="12">
        <v>38</v>
      </c>
      <c r="B67" s="6"/>
      <c r="C67" s="6"/>
      <c r="D67" s="6"/>
      <c r="E67" s="10"/>
      <c r="F67" s="7"/>
      <c r="G67" s="541"/>
      <c r="H67" s="15">
        <f t="shared" si="0"/>
        <v>0</v>
      </c>
      <c r="I67" s="4">
        <f t="shared" si="1"/>
        <v>0</v>
      </c>
      <c r="J67" s="9"/>
      <c r="K67" s="4">
        <f t="shared" si="2"/>
        <v>0</v>
      </c>
      <c r="L67" s="5" t="str">
        <f>IF(Z67="◎",COUNTIF($Z$30:Z67,"◎"),"")</f>
        <v/>
      </c>
      <c r="W67" s="395" t="str">
        <f>IF(B67="個別病床",はじめに入力してください!$K$50,IF(B67="共通使用",はじめに入力してください!$K$52,""))</f>
        <v/>
      </c>
      <c r="Y67" s="12">
        <v>38</v>
      </c>
      <c r="Z67" s="374" t="str">
        <f t="shared" si="3"/>
        <v>○</v>
      </c>
      <c r="AA67" s="395" t="str">
        <f t="shared" si="4"/>
        <v>整備しない場合は入力不要です。</v>
      </c>
    </row>
    <row r="68" spans="1:27">
      <c r="A68" s="12">
        <v>39</v>
      </c>
      <c r="B68" s="6"/>
      <c r="C68" s="6"/>
      <c r="D68" s="6"/>
      <c r="E68" s="10"/>
      <c r="F68" s="7"/>
      <c r="G68" s="541"/>
      <c r="H68" s="15">
        <f t="shared" si="0"/>
        <v>0</v>
      </c>
      <c r="I68" s="4">
        <f t="shared" si="1"/>
        <v>0</v>
      </c>
      <c r="J68" s="9"/>
      <c r="K68" s="4">
        <f t="shared" si="2"/>
        <v>0</v>
      </c>
      <c r="L68" s="5" t="str">
        <f>IF(Z68="◎",COUNTIF($Z$30:Z68,"◎"),"")</f>
        <v/>
      </c>
      <c r="W68" s="395" t="str">
        <f>IF(B68="個別病床",はじめに入力してください!$K$50,IF(B68="共通使用",はじめに入力してください!$K$52,""))</f>
        <v/>
      </c>
      <c r="Y68" s="12">
        <v>39</v>
      </c>
      <c r="Z68" s="374" t="str">
        <f t="shared" si="3"/>
        <v>○</v>
      </c>
      <c r="AA68" s="395" t="str">
        <f t="shared" si="4"/>
        <v>整備しない場合は入力不要です。</v>
      </c>
    </row>
    <row r="69" spans="1:27">
      <c r="A69" s="12">
        <v>40</v>
      </c>
      <c r="B69" s="6"/>
      <c r="C69" s="6"/>
      <c r="D69" s="6"/>
      <c r="E69" s="10"/>
      <c r="F69" s="7"/>
      <c r="G69" s="541"/>
      <c r="H69" s="15">
        <f t="shared" si="0"/>
        <v>0</v>
      </c>
      <c r="I69" s="4">
        <f t="shared" si="1"/>
        <v>0</v>
      </c>
      <c r="J69" s="9"/>
      <c r="K69" s="4">
        <f t="shared" si="2"/>
        <v>0</v>
      </c>
      <c r="L69" s="5" t="str">
        <f>IF(Z69="◎",COUNTIF($Z$30:Z69,"◎"),"")</f>
        <v/>
      </c>
      <c r="W69" s="395" t="str">
        <f>IF(B69="個別病床",はじめに入力してください!$K$50,IF(B69="共通使用",はじめに入力してください!$K$52,""))</f>
        <v/>
      </c>
      <c r="Y69" s="12">
        <v>40</v>
      </c>
      <c r="Z69" s="374" t="str">
        <f t="shared" si="3"/>
        <v>○</v>
      </c>
      <c r="AA69" s="395" t="str">
        <f t="shared" si="4"/>
        <v>整備しない場合は入力不要です。</v>
      </c>
    </row>
    <row r="70" spans="1:27">
      <c r="A70" s="12">
        <v>41</v>
      </c>
      <c r="B70" s="6"/>
      <c r="C70" s="6"/>
      <c r="D70" s="6"/>
      <c r="E70" s="10"/>
      <c r="F70" s="7"/>
      <c r="G70" s="541"/>
      <c r="H70" s="15">
        <f t="shared" si="0"/>
        <v>0</v>
      </c>
      <c r="I70" s="4">
        <f t="shared" si="1"/>
        <v>0</v>
      </c>
      <c r="J70" s="9"/>
      <c r="K70" s="4">
        <f t="shared" si="2"/>
        <v>0</v>
      </c>
      <c r="L70" s="5" t="str">
        <f>IF(Z70="◎",COUNTIF($Z$30:Z70,"◎"),"")</f>
        <v/>
      </c>
      <c r="W70" s="395" t="str">
        <f>IF(B70="個別病床",はじめに入力してください!$K$50,IF(B70="共通使用",はじめに入力してください!$K$52,""))</f>
        <v/>
      </c>
      <c r="Y70" s="12">
        <v>41</v>
      </c>
      <c r="Z70" s="374" t="str">
        <f t="shared" si="3"/>
        <v>○</v>
      </c>
      <c r="AA70" s="395" t="str">
        <f t="shared" si="4"/>
        <v>整備しない場合は入力不要です。</v>
      </c>
    </row>
    <row r="71" spans="1:27">
      <c r="A71" s="12">
        <v>42</v>
      </c>
      <c r="B71" s="6"/>
      <c r="C71" s="6"/>
      <c r="D71" s="6"/>
      <c r="E71" s="10"/>
      <c r="F71" s="7"/>
      <c r="G71" s="541"/>
      <c r="H71" s="15">
        <f t="shared" si="0"/>
        <v>0</v>
      </c>
      <c r="I71" s="4">
        <f t="shared" si="1"/>
        <v>0</v>
      </c>
      <c r="J71" s="9"/>
      <c r="K71" s="4">
        <f t="shared" si="2"/>
        <v>0</v>
      </c>
      <c r="L71" s="5" t="str">
        <f>IF(Z71="◎",COUNTIF($Z$30:Z71,"◎"),"")</f>
        <v/>
      </c>
      <c r="W71" s="395" t="str">
        <f>IF(B71="個別病床",はじめに入力してください!$K$50,IF(B71="共通使用",はじめに入力してください!$K$52,""))</f>
        <v/>
      </c>
      <c r="Y71" s="12">
        <v>42</v>
      </c>
      <c r="Z71" s="374" t="str">
        <f t="shared" si="3"/>
        <v>○</v>
      </c>
      <c r="AA71" s="395" t="str">
        <f t="shared" si="4"/>
        <v>整備しない場合は入力不要です。</v>
      </c>
    </row>
    <row r="72" spans="1:27">
      <c r="A72" s="12">
        <v>43</v>
      </c>
      <c r="B72" s="6"/>
      <c r="C72" s="6"/>
      <c r="D72" s="6"/>
      <c r="E72" s="10"/>
      <c r="F72" s="7"/>
      <c r="G72" s="541"/>
      <c r="H72" s="15">
        <f t="shared" si="0"/>
        <v>0</v>
      </c>
      <c r="I72" s="4">
        <f t="shared" si="1"/>
        <v>0</v>
      </c>
      <c r="J72" s="9"/>
      <c r="K72" s="4">
        <f t="shared" si="2"/>
        <v>0</v>
      </c>
      <c r="L72" s="5" t="str">
        <f>IF(Z72="◎",COUNTIF($Z$30:Z72,"◎"),"")</f>
        <v/>
      </c>
      <c r="W72" s="395" t="str">
        <f>IF(B72="個別病床",はじめに入力してください!$K$50,IF(B72="共通使用",はじめに入力してください!$K$52,""))</f>
        <v/>
      </c>
      <c r="Y72" s="12">
        <v>43</v>
      </c>
      <c r="Z72" s="374" t="str">
        <f t="shared" si="3"/>
        <v>○</v>
      </c>
      <c r="AA72" s="395" t="str">
        <f t="shared" si="4"/>
        <v>整備しない場合は入力不要です。</v>
      </c>
    </row>
    <row r="73" spans="1:27">
      <c r="A73" s="12">
        <v>44</v>
      </c>
      <c r="B73" s="6"/>
      <c r="C73" s="6"/>
      <c r="D73" s="6"/>
      <c r="E73" s="10"/>
      <c r="F73" s="7"/>
      <c r="G73" s="541"/>
      <c r="H73" s="15">
        <f t="shared" si="0"/>
        <v>0</v>
      </c>
      <c r="I73" s="4">
        <f t="shared" si="1"/>
        <v>0</v>
      </c>
      <c r="J73" s="9"/>
      <c r="K73" s="4">
        <f t="shared" si="2"/>
        <v>0</v>
      </c>
      <c r="L73" s="5" t="str">
        <f>IF(Z73="◎",COUNTIF($Z$30:Z73,"◎"),"")</f>
        <v/>
      </c>
      <c r="W73" s="395" t="str">
        <f>IF(B73="個別病床",はじめに入力してください!$K$50,IF(B73="共通使用",はじめに入力してください!$K$52,""))</f>
        <v/>
      </c>
      <c r="Y73" s="12">
        <v>44</v>
      </c>
      <c r="Z73" s="374" t="str">
        <f t="shared" si="3"/>
        <v>○</v>
      </c>
      <c r="AA73" s="395" t="str">
        <f t="shared" si="4"/>
        <v>整備しない場合は入力不要です。</v>
      </c>
    </row>
    <row r="74" spans="1:27">
      <c r="A74" s="12">
        <v>45</v>
      </c>
      <c r="B74" s="6"/>
      <c r="C74" s="6"/>
      <c r="D74" s="6"/>
      <c r="E74" s="10"/>
      <c r="F74" s="7"/>
      <c r="G74" s="541"/>
      <c r="H74" s="15">
        <f t="shared" si="0"/>
        <v>0</v>
      </c>
      <c r="I74" s="4">
        <f t="shared" si="1"/>
        <v>0</v>
      </c>
      <c r="J74" s="9"/>
      <c r="K74" s="4">
        <f t="shared" si="2"/>
        <v>0</v>
      </c>
      <c r="L74" s="5" t="str">
        <f>IF(Z74="◎",COUNTIF($Z$30:Z74,"◎"),"")</f>
        <v/>
      </c>
      <c r="W74" s="395" t="str">
        <f>IF(B74="個別病床",はじめに入力してください!$K$50,IF(B74="共通使用",はじめに入力してください!$K$52,""))</f>
        <v/>
      </c>
      <c r="Y74" s="12">
        <v>45</v>
      </c>
      <c r="Z74" s="374" t="str">
        <f t="shared" si="3"/>
        <v>○</v>
      </c>
      <c r="AA74" s="395" t="str">
        <f t="shared" si="4"/>
        <v>整備しない場合は入力不要です。</v>
      </c>
    </row>
  </sheetData>
  <mergeCells count="23">
    <mergeCell ref="K1:M1"/>
    <mergeCell ref="B22:L22"/>
    <mergeCell ref="B2:D3"/>
    <mergeCell ref="Z3:Z5"/>
    <mergeCell ref="AA3:AA5"/>
    <mergeCell ref="Z7:Z8"/>
    <mergeCell ref="AA7:AA8"/>
    <mergeCell ref="B10:L10"/>
    <mergeCell ref="B13:L13"/>
    <mergeCell ref="B14:L14"/>
    <mergeCell ref="B15:L15"/>
    <mergeCell ref="B18:L21"/>
    <mergeCell ref="B7:L7"/>
    <mergeCell ref="B9:C9"/>
    <mergeCell ref="B12:L12"/>
    <mergeCell ref="B26:L26"/>
    <mergeCell ref="Z27:Z28"/>
    <mergeCell ref="AA27:AA28"/>
    <mergeCell ref="B28:D28"/>
    <mergeCell ref="E28:F28"/>
    <mergeCell ref="G28:J28"/>
    <mergeCell ref="K28:K29"/>
    <mergeCell ref="L28:L29"/>
  </mergeCells>
  <phoneticPr fontId="9"/>
  <conditionalFormatting sqref="Z29:Z1048576 Z1:Z2 Z11:Z21 Z6 Z23:Z27">
    <cfRule type="containsText" dxfId="37" priority="8" operator="containsText" text="×">
      <formula>NOT(ISERROR(SEARCH("×",Z1)))</formula>
    </cfRule>
  </conditionalFormatting>
  <conditionalFormatting sqref="AA1:AA2 AA11:AA21 AA29:AA1048576 AA6 AA23:AA27">
    <cfRule type="containsText" dxfId="36" priority="7" operator="containsText" text="要修正">
      <formula>NOT(ISERROR(SEARCH("要修正",AA1)))</formula>
    </cfRule>
  </conditionalFormatting>
  <conditionalFormatting sqref="Z22">
    <cfRule type="containsText" dxfId="35" priority="6" operator="containsText" text="×">
      <formula>NOT(ISERROR(SEARCH("×",Z22)))</formula>
    </cfRule>
  </conditionalFormatting>
  <conditionalFormatting sqref="AA22">
    <cfRule type="containsText" dxfId="34" priority="5" operator="containsText" text="要修正">
      <formula>NOT(ISERROR(SEARCH("要修正",AA22)))</formula>
    </cfRule>
  </conditionalFormatting>
  <conditionalFormatting sqref="Z9:Z10 Z7">
    <cfRule type="containsText" dxfId="33" priority="4" operator="containsText" text="×">
      <formula>NOT(ISERROR(SEARCH("×",Z7)))</formula>
    </cfRule>
  </conditionalFormatting>
  <conditionalFormatting sqref="AA9:AA10 AA7">
    <cfRule type="containsText" dxfId="32" priority="3" operator="containsText" text="要修正">
      <formula>NOT(ISERROR(SEARCH("要修正",AA7)))</formula>
    </cfRule>
  </conditionalFormatting>
  <conditionalFormatting sqref="Z3:Z4">
    <cfRule type="containsText" dxfId="31" priority="2" operator="containsText" text="×">
      <formula>NOT(ISERROR(SEARCH("×",Z3)))</formula>
    </cfRule>
  </conditionalFormatting>
  <conditionalFormatting sqref="AA3:AA4">
    <cfRule type="containsText" dxfId="30" priority="1" operator="containsText" text="要修正">
      <formula>NOT(ISERROR(SEARCH("要修正",AA3)))</formula>
    </cfRule>
  </conditionalFormatting>
  <dataValidations count="10">
    <dataValidation type="list" allowBlank="1" showInputMessage="1" showErrorMessage="1" promptTitle="補助対象の該当非該当" prompt="コロナ対応病床の初度設備に係る経費が対象となります。_x000a_共用部分の設備、備品や医療用消耗品等は補助対象外なので「対象外」を選択してください。_x000a_審査において確認、対象外と認めたものについては対象外として補正をお願いする場合があります。" sqref="J30:J74" xr:uid="{0F299383-769A-442F-BCC9-B86C54A607FE}">
      <formula1>"補助対象,補助対象外"</formula1>
    </dataValidation>
    <dataValidation allowBlank="1" showInputMessage="1" showErrorMessage="1" promptTitle="金額の表示" prompt="数式が入力されているため、自動計算されます。" sqref="K30:K74 I30:I74" xr:uid="{72D69702-C1A2-450F-8841-9ED40F9BCFAC}"/>
    <dataValidation allowBlank="1" showInputMessage="1" showErrorMessage="1" promptTitle="添付書類番号" prompt="種類、規格、数量、単価が全て適切に入力され、右の「判定」が「◎」と表示されると自動で番号が表示されます。" sqref="L30:L74" xr:uid="{6170A825-70DF-46A9-89A0-E0E64A238534}"/>
    <dataValidation allowBlank="1" showInputMessage="1" showErrorMessage="1" promptTitle="単価の入力" prompt="税抜額または税込額のいずれかを入力してください。_x000a_入力しない方は「0」は入力せず、空欄としてください。" sqref="H30:H74" xr:uid="{0081B7E4-1E24-40A1-80A8-5894EDB1910F}"/>
    <dataValidation allowBlank="1" showInputMessage="1" showErrorMessage="1" promptTitle="規格及び数量の入力" prompt="補助対象経費を計上する際、いずれも入力してください。" sqref="E30:E74" xr:uid="{A55C3BA1-3178-454F-8DDA-E952A08AD353}"/>
    <dataValidation allowBlank="1" showInputMessage="1" showErrorMessage="1" promptTitle="補助対象金額" prompt="補助対象額×（見積書金額-割引額）/見積書金額_x000a_で算出されます。" sqref="J3" xr:uid="{00000000-0002-0000-1800-000005000000}"/>
    <dataValidation allowBlank="1" showInputMessage="1" showErrorMessage="1" promptTitle="割引額がある場合は入力" prompt="割引がない場合は「0円」のままとしてください。" sqref="I3" xr:uid="{00000000-0002-0000-1800-000006000000}"/>
    <dataValidation type="list" allowBlank="1" showInputMessage="1" showErrorMessage="1" promptTitle="設備、備品、その他の別を選択" prompt="当該行に記載する品目が_x000a_・「設備」（設備本体）_x000a_・備品（本体設備と別の構成をなすもの）_x000a_・その他（上記の該当しないもの）_x000a_の別をプルダウンから選択してください。" sqref="D30:D74" xr:uid="{4F6499FC-D378-4C9D-BA55-16E6BAA1DCFE}">
      <formula1>"設備,備品,その他"</formula1>
    </dataValidation>
    <dataValidation type="decimal" operator="greaterThanOrEqual" allowBlank="1" showInputMessage="1" showErrorMessage="1" promptTitle="単価の入力" prompt="税抜額または税込額のいずれかを入力してください。_x000a_入力しない方は「0」は入力せず、空欄としてください。" sqref="G30:G74" xr:uid="{751242D6-CB3B-4BB7-9B9D-5EC2DE08AD79}">
      <formula1>0</formula1>
    </dataValidation>
    <dataValidation type="whole" operator="greaterThanOrEqual" allowBlank="1" showInputMessage="1" showErrorMessage="1" errorTitle="数値のみを入力してください。" error="「個」、「枚」等の単位入力は不要です。" promptTitle="規格及び数量の入力" prompt="補助対象経費を計上する際、いずれも入力してください。" sqref="F30:F74" xr:uid="{116710CB-C5F7-4071-BDE6-70FB42B05AF5}">
      <formula1>0</formula1>
    </dataValidation>
  </dataValidations>
  <pageMargins left="0.7" right="0.7" top="0.75" bottom="0.75" header="0.3" footer="0.3"/>
  <pageSetup paperSize="9" scale="55" orientation="portrait"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promptTitle="配備先の別を選択" prompt="確保病床の共通使用のものか、個別のベッドに配備するものか選択してください。" xr:uid="{53A84808-325D-4B27-9F5D-DBF82349414B}">
          <x14:formula1>
            <xm:f>テーブル!$X$48:$X$49</xm:f>
          </x14:formula1>
          <xm:sqref>B30:B74</xm:sqref>
        </x14:dataValidation>
        <x14:dataValidation type="list" allowBlank="1" showInputMessage="1" showErrorMessage="1" promptTitle="「用途先」病床の選択（左の「病床」を選択しないと表示されません。" prompt="ベッドに必ずしも紐付けるものではありませんが、１病床１台で紐付けした場合、整備する病床に番号付けをした場合の番号を選択してください。" xr:uid="{4D8C5B2B-E002-4166-962A-294BDD904ED5}">
          <x14:formula1>
            <xm:f>OFFSET(テーブル!$X$48, 0, MATCH(B30,テーブル!$Y$47:$Z$47,0), COUNTA(OFFSET(テーブル!$X$48,0,MATCH(B30,テーブル!$Y$47:$Z$47,0),$W$30,1)),1)</xm:f>
          </x14:formula1>
          <xm:sqref>C30:C74</xm:sqref>
        </x14:dataValidation>
        <x14:dataValidation type="list" allowBlank="1" showInputMessage="1" showErrorMessage="1" xr:uid="{00000000-0002-0000-1800-000008000000}">
          <x14:formula1>
            <xm:f>テーブル!$M$37:$M$51</xm:f>
          </x14:formula1>
          <xm:sqref>B2:D2</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9"/>
  <dimension ref="B2:AG322"/>
  <sheetViews>
    <sheetView workbookViewId="0"/>
  </sheetViews>
  <sheetFormatPr defaultColWidth="9" defaultRowHeight="9.75"/>
  <cols>
    <col min="1" max="1" width="9" style="20"/>
    <col min="2" max="2" width="9" style="63"/>
    <col min="3" max="16384" width="9" style="20"/>
  </cols>
  <sheetData>
    <row r="2" spans="2:10">
      <c r="B2" s="65"/>
      <c r="C2" s="67" t="s">
        <v>996</v>
      </c>
      <c r="D2" s="105" t="s">
        <v>1003</v>
      </c>
      <c r="E2" s="67" t="s">
        <v>997</v>
      </c>
      <c r="F2" s="67" t="s">
        <v>998</v>
      </c>
      <c r="G2" s="67" t="s">
        <v>999</v>
      </c>
      <c r="H2" s="105" t="s">
        <v>1000</v>
      </c>
      <c r="I2" s="105" t="s">
        <v>1001</v>
      </c>
      <c r="J2" s="67" t="s">
        <v>1002</v>
      </c>
    </row>
    <row r="3" spans="2:10">
      <c r="B3" s="103" t="s">
        <v>101</v>
      </c>
      <c r="C3" s="102">
        <f>初度設備!J3</f>
        <v>0</v>
      </c>
      <c r="D3" s="104" t="s">
        <v>1004</v>
      </c>
      <c r="E3" s="104" t="s">
        <v>1004</v>
      </c>
      <c r="F3" s="104" t="s">
        <v>1004</v>
      </c>
      <c r="G3" s="104" t="s">
        <v>1004</v>
      </c>
      <c r="H3" s="102">
        <f>D20</f>
        <v>0</v>
      </c>
      <c r="I3" s="66"/>
      <c r="J3" s="66"/>
    </row>
    <row r="4" spans="2:10">
      <c r="B4" s="103" t="s">
        <v>105</v>
      </c>
      <c r="C4" s="102">
        <f>人工呼吸器!J3</f>
        <v>0</v>
      </c>
      <c r="D4" s="104" t="s">
        <v>1004</v>
      </c>
      <c r="E4" s="104" t="s">
        <v>1004</v>
      </c>
      <c r="F4" s="104" t="s">
        <v>1004</v>
      </c>
      <c r="G4" s="104" t="s">
        <v>1004</v>
      </c>
      <c r="H4" s="102">
        <f>F20</f>
        <v>0</v>
      </c>
      <c r="I4" s="66"/>
      <c r="J4" s="66"/>
    </row>
    <row r="5" spans="2:10">
      <c r="B5" s="103" t="s">
        <v>109</v>
      </c>
      <c r="C5" s="102" t="e">
        <f>#REF!</f>
        <v>#REF!</v>
      </c>
      <c r="D5" s="104" t="s">
        <v>1004</v>
      </c>
      <c r="E5" s="104" t="s">
        <v>1004</v>
      </c>
      <c r="F5" s="104" t="s">
        <v>1004</v>
      </c>
      <c r="G5" s="104" t="s">
        <v>1004</v>
      </c>
      <c r="H5" s="102" t="s">
        <v>1004</v>
      </c>
      <c r="I5" s="66"/>
      <c r="J5" s="66"/>
    </row>
    <row r="6" spans="2:10">
      <c r="B6" s="103" t="s">
        <v>530</v>
      </c>
      <c r="C6" s="102">
        <f>簡易陰圧装置!J3</f>
        <v>0</v>
      </c>
      <c r="D6" s="104" t="s">
        <v>1004</v>
      </c>
      <c r="E6" s="104" t="s">
        <v>1004</v>
      </c>
      <c r="F6" s="104" t="s">
        <v>1004</v>
      </c>
      <c r="G6" s="104" t="s">
        <v>1004</v>
      </c>
      <c r="H6" s="102">
        <f>J20</f>
        <v>0</v>
      </c>
      <c r="I6" s="66"/>
      <c r="J6" s="66"/>
    </row>
    <row r="7" spans="2:10">
      <c r="B7" s="103" t="s">
        <v>532</v>
      </c>
      <c r="C7" s="102" t="e">
        <f>#REF!</f>
        <v>#REF!</v>
      </c>
      <c r="D7" s="104" t="s">
        <v>1004</v>
      </c>
      <c r="E7" s="104" t="s">
        <v>1004</v>
      </c>
      <c r="F7" s="104" t="s">
        <v>1004</v>
      </c>
      <c r="G7" s="104" t="s">
        <v>1004</v>
      </c>
      <c r="H7" s="102">
        <f>L20</f>
        <v>0</v>
      </c>
      <c r="I7" s="66"/>
      <c r="J7" s="66"/>
    </row>
    <row r="8" spans="2:10">
      <c r="B8" s="103" t="s">
        <v>509</v>
      </c>
      <c r="C8" s="102">
        <f>体外式膜型人工肺!J3</f>
        <v>0</v>
      </c>
      <c r="D8" s="104" t="s">
        <v>1004</v>
      </c>
      <c r="E8" s="104" t="s">
        <v>1004</v>
      </c>
      <c r="F8" s="104" t="s">
        <v>1004</v>
      </c>
      <c r="G8" s="104" t="s">
        <v>1004</v>
      </c>
      <c r="H8" s="102">
        <f>N20</f>
        <v>0</v>
      </c>
      <c r="I8" s="66"/>
      <c r="J8" s="66"/>
    </row>
    <row r="9" spans="2:10">
      <c r="B9" s="103" t="s">
        <v>112</v>
      </c>
      <c r="C9" s="102">
        <f>簡易病室!J3</f>
        <v>0</v>
      </c>
      <c r="D9" s="104" t="s">
        <v>1004</v>
      </c>
      <c r="E9" s="104" t="s">
        <v>1004</v>
      </c>
      <c r="F9" s="104" t="s">
        <v>1004</v>
      </c>
      <c r="G9" s="104" t="s">
        <v>1004</v>
      </c>
      <c r="H9" s="102" t="s">
        <v>1004</v>
      </c>
      <c r="I9" s="66"/>
      <c r="J9" s="66"/>
    </row>
    <row r="10" spans="2:10">
      <c r="B10" s="103" t="s">
        <v>513</v>
      </c>
      <c r="C10" s="102">
        <f>紫外線照射装置!J3</f>
        <v>0</v>
      </c>
      <c r="D10" s="104" t="s">
        <v>1004</v>
      </c>
      <c r="E10" s="104" t="s">
        <v>1004</v>
      </c>
      <c r="F10" s="104" t="s">
        <v>1004</v>
      </c>
      <c r="G10" s="104" t="s">
        <v>1004</v>
      </c>
      <c r="H10" s="102">
        <f>R20</f>
        <v>0</v>
      </c>
      <c r="I10" s="66"/>
      <c r="J10" s="66"/>
    </row>
    <row r="11" spans="2:10">
      <c r="B11" s="103" t="s">
        <v>115</v>
      </c>
      <c r="C11" s="102">
        <f>超音波画像診断装置!J3</f>
        <v>30800000</v>
      </c>
      <c r="D11" s="104" t="s">
        <v>1004</v>
      </c>
      <c r="E11" s="104" t="s">
        <v>1004</v>
      </c>
      <c r="F11" s="104" t="s">
        <v>1004</v>
      </c>
      <c r="G11" s="104" t="s">
        <v>1004</v>
      </c>
      <c r="H11" s="102">
        <f>U20</f>
        <v>22000000</v>
      </c>
      <c r="I11" s="66"/>
      <c r="J11" s="66"/>
    </row>
    <row r="12" spans="2:10">
      <c r="B12" s="103" t="s">
        <v>118</v>
      </c>
      <c r="C12" s="102">
        <f>血液浄化装置!J3</f>
        <v>35200000</v>
      </c>
      <c r="D12" s="104" t="s">
        <v>1004</v>
      </c>
      <c r="E12" s="104" t="s">
        <v>1004</v>
      </c>
      <c r="F12" s="104" t="s">
        <v>1004</v>
      </c>
      <c r="G12" s="104" t="s">
        <v>1004</v>
      </c>
      <c r="H12" s="102">
        <f>W20</f>
        <v>13200000</v>
      </c>
      <c r="I12" s="66"/>
      <c r="J12" s="66"/>
    </row>
    <row r="13" spans="2:10">
      <c r="B13" s="103" t="s">
        <v>121</v>
      </c>
      <c r="C13" s="102">
        <f>気管支鏡!J3</f>
        <v>39600000</v>
      </c>
      <c r="D13" s="104" t="s">
        <v>1004</v>
      </c>
      <c r="E13" s="104" t="s">
        <v>1004</v>
      </c>
      <c r="F13" s="104" t="s">
        <v>1004</v>
      </c>
      <c r="G13" s="104" t="s">
        <v>1004</v>
      </c>
      <c r="H13" s="102">
        <f>Y20</f>
        <v>11000000</v>
      </c>
      <c r="I13" s="66"/>
      <c r="J13" s="66"/>
    </row>
    <row r="14" spans="2:10">
      <c r="B14" s="103" t="s">
        <v>534</v>
      </c>
      <c r="C14" s="102">
        <f>CT撮影装置!J3</f>
        <v>12124200000</v>
      </c>
      <c r="D14" s="104" t="s">
        <v>1004</v>
      </c>
      <c r="E14" s="104" t="s">
        <v>1004</v>
      </c>
      <c r="F14" s="104" t="s">
        <v>1004</v>
      </c>
      <c r="G14" s="104" t="s">
        <v>1004</v>
      </c>
      <c r="H14" s="102">
        <f>AA20</f>
        <v>90200000</v>
      </c>
      <c r="I14" s="66"/>
      <c r="J14" s="66"/>
    </row>
    <row r="15" spans="2:10">
      <c r="B15" s="103" t="s">
        <v>518</v>
      </c>
      <c r="C15" s="102">
        <f>生体情報モニタ!J3</f>
        <v>39600000</v>
      </c>
      <c r="D15" s="104" t="s">
        <v>1004</v>
      </c>
      <c r="E15" s="104" t="s">
        <v>1004</v>
      </c>
      <c r="F15" s="104" t="s">
        <v>1004</v>
      </c>
      <c r="G15" s="104" t="s">
        <v>1004</v>
      </c>
      <c r="H15" s="102">
        <f>AC20</f>
        <v>2200000</v>
      </c>
      <c r="I15" s="66"/>
      <c r="J15" s="66"/>
    </row>
    <row r="16" spans="2:10">
      <c r="B16" s="103" t="s">
        <v>128</v>
      </c>
      <c r="C16" s="102">
        <f>分娩監視装置!J3</f>
        <v>42900000</v>
      </c>
      <c r="D16" s="104" t="s">
        <v>1004</v>
      </c>
      <c r="E16" s="104" t="s">
        <v>1004</v>
      </c>
      <c r="F16" s="104" t="s">
        <v>1004</v>
      </c>
      <c r="G16" s="104" t="s">
        <v>1004</v>
      </c>
      <c r="H16" s="102">
        <f>AE20</f>
        <v>4400000</v>
      </c>
      <c r="I16" s="66"/>
      <c r="J16" s="66"/>
    </row>
    <row r="17" spans="2:33">
      <c r="B17" s="103" t="s">
        <v>131</v>
      </c>
      <c r="C17" s="102">
        <f>新生児モニタ!J3</f>
        <v>46200000</v>
      </c>
      <c r="D17" s="104" t="s">
        <v>1004</v>
      </c>
      <c r="E17" s="104" t="s">
        <v>1004</v>
      </c>
      <c r="F17" s="104" t="s">
        <v>1004</v>
      </c>
      <c r="G17" s="104" t="s">
        <v>1004</v>
      </c>
      <c r="H17" s="102">
        <f>AG20</f>
        <v>2200000</v>
      </c>
      <c r="I17" s="66"/>
      <c r="J17" s="66"/>
    </row>
    <row r="20" spans="2:33" s="21" customFormat="1" ht="9.75" customHeight="1">
      <c r="B20" s="27"/>
      <c r="C20" s="811" t="s">
        <v>548</v>
      </c>
      <c r="D20" s="98">
        <f>SUM(D23:D322)</f>
        <v>0</v>
      </c>
      <c r="E20" s="811" t="s">
        <v>992</v>
      </c>
      <c r="F20" s="810">
        <f>SUM(F23:F322)</f>
        <v>0</v>
      </c>
      <c r="G20" s="808"/>
      <c r="H20" s="809"/>
      <c r="I20" s="811" t="s">
        <v>551</v>
      </c>
      <c r="J20" s="98">
        <f>SUM(J23:J322)</f>
        <v>0</v>
      </c>
      <c r="K20" s="811" t="s">
        <v>552</v>
      </c>
      <c r="L20" s="98">
        <f>SUM(L23:L322)</f>
        <v>0</v>
      </c>
      <c r="M20" s="811" t="s">
        <v>995</v>
      </c>
      <c r="N20" s="810">
        <f>SUM(N23:N322)</f>
        <v>0</v>
      </c>
      <c r="O20" s="808"/>
      <c r="P20" s="809"/>
      <c r="Q20" s="811" t="s">
        <v>553</v>
      </c>
      <c r="R20" s="810">
        <f>MIN(SUM(R23:R322),8000000*1/2)</f>
        <v>0</v>
      </c>
      <c r="S20" s="809"/>
      <c r="T20" s="811" t="s">
        <v>554</v>
      </c>
      <c r="U20" s="98">
        <f>SUM(U23:U322)</f>
        <v>22000000</v>
      </c>
      <c r="V20" s="811" t="s">
        <v>555</v>
      </c>
      <c r="W20" s="98">
        <f>SUM(W23:W322)</f>
        <v>13200000</v>
      </c>
      <c r="X20" s="811" t="s">
        <v>556</v>
      </c>
      <c r="Y20" s="98">
        <f>SUM(Y23:Y322)</f>
        <v>11000000</v>
      </c>
      <c r="Z20" s="811" t="s">
        <v>557</v>
      </c>
      <c r="AA20" s="98">
        <f>SUM(AA23:AA322)</f>
        <v>90200000</v>
      </c>
      <c r="AB20" s="811" t="s">
        <v>558</v>
      </c>
      <c r="AC20" s="98">
        <f>SUM(AC23:AC322)</f>
        <v>2200000</v>
      </c>
      <c r="AD20" s="811" t="s">
        <v>559</v>
      </c>
      <c r="AE20" s="98">
        <f>SUM(AE23:AE322)</f>
        <v>4400000</v>
      </c>
      <c r="AF20" s="811" t="s">
        <v>560</v>
      </c>
      <c r="AG20" s="98">
        <f>SUM(AG23:AG322)</f>
        <v>2200000</v>
      </c>
    </row>
    <row r="21" spans="2:33" s="101" customFormat="1" ht="9.75" customHeight="1">
      <c r="B21" s="99"/>
      <c r="C21" s="812"/>
      <c r="D21" s="100">
        <v>133000</v>
      </c>
      <c r="E21" s="812"/>
      <c r="F21" s="807">
        <v>5000000</v>
      </c>
      <c r="G21" s="808"/>
      <c r="H21" s="809"/>
      <c r="I21" s="812"/>
      <c r="J21" s="100">
        <v>4320000</v>
      </c>
      <c r="K21" s="812"/>
      <c r="L21" s="100">
        <v>51400</v>
      </c>
      <c r="M21" s="812"/>
      <c r="N21" s="807">
        <v>21000000</v>
      </c>
      <c r="O21" s="808"/>
      <c r="P21" s="809"/>
      <c r="Q21" s="812"/>
      <c r="R21" s="807">
        <v>8000000</v>
      </c>
      <c r="S21" s="809"/>
      <c r="T21" s="812"/>
      <c r="U21" s="100">
        <v>11000000</v>
      </c>
      <c r="V21" s="812"/>
      <c r="W21" s="100">
        <v>6600000</v>
      </c>
      <c r="X21" s="812"/>
      <c r="Y21" s="100">
        <v>5500000</v>
      </c>
      <c r="Z21" s="812"/>
      <c r="AA21" s="100">
        <v>66000000</v>
      </c>
      <c r="AB21" s="812"/>
      <c r="AC21" s="100">
        <v>1100000</v>
      </c>
      <c r="AD21" s="812"/>
      <c r="AE21" s="100">
        <v>2200000</v>
      </c>
      <c r="AF21" s="812"/>
      <c r="AG21" s="100">
        <v>1100000</v>
      </c>
    </row>
    <row r="22" spans="2:33">
      <c r="B22" s="65"/>
      <c r="C22" s="67" t="s">
        <v>549</v>
      </c>
      <c r="D22" s="67" t="s">
        <v>550</v>
      </c>
      <c r="E22" s="67" t="s">
        <v>549</v>
      </c>
      <c r="F22" s="67" t="s">
        <v>550</v>
      </c>
      <c r="G22" s="97" t="s">
        <v>993</v>
      </c>
      <c r="H22" s="97" t="s">
        <v>994</v>
      </c>
      <c r="I22" s="67" t="s">
        <v>549</v>
      </c>
      <c r="J22" s="67" t="s">
        <v>550</v>
      </c>
      <c r="K22" s="67" t="s">
        <v>549</v>
      </c>
      <c r="L22" s="67" t="s">
        <v>550</v>
      </c>
      <c r="M22" s="67" t="s">
        <v>549</v>
      </c>
      <c r="N22" s="67" t="s">
        <v>550</v>
      </c>
      <c r="O22" s="97" t="s">
        <v>993</v>
      </c>
      <c r="P22" s="97" t="s">
        <v>994</v>
      </c>
      <c r="Q22" s="67" t="s">
        <v>549</v>
      </c>
      <c r="R22" s="67" t="s">
        <v>550</v>
      </c>
      <c r="S22" s="67" t="s">
        <v>994</v>
      </c>
      <c r="T22" s="67" t="s">
        <v>549</v>
      </c>
      <c r="U22" s="67" t="s">
        <v>550</v>
      </c>
      <c r="V22" s="67" t="s">
        <v>549</v>
      </c>
      <c r="W22" s="67" t="s">
        <v>550</v>
      </c>
      <c r="X22" s="67" t="s">
        <v>549</v>
      </c>
      <c r="Y22" s="67" t="s">
        <v>550</v>
      </c>
      <c r="Z22" s="67" t="s">
        <v>549</v>
      </c>
      <c r="AA22" s="67" t="s">
        <v>550</v>
      </c>
      <c r="AB22" s="67" t="s">
        <v>549</v>
      </c>
      <c r="AC22" s="67" t="s">
        <v>550</v>
      </c>
      <c r="AD22" s="67" t="s">
        <v>549</v>
      </c>
      <c r="AE22" s="67" t="s">
        <v>550</v>
      </c>
      <c r="AF22" s="67" t="s">
        <v>549</v>
      </c>
      <c r="AG22" s="67" t="s">
        <v>550</v>
      </c>
    </row>
    <row r="23" spans="2:33">
      <c r="B23" s="65" t="s">
        <v>692</v>
      </c>
      <c r="C23" s="68">
        <f>IFERROR(SUMIF(初度設備!$C$30:$C$74,B23,初度設備!$N$30:$N$74)*((初度設備!$H$3-初度設備!$I$3)/初度設備!$H$3),0)</f>
        <v>0</v>
      </c>
      <c r="D23" s="69">
        <f>ROUNDDOWN(MIN(C23,$D$21),-3)</f>
        <v>0</v>
      </c>
      <c r="E23" s="68">
        <f>IFERROR(SUMIF(人工呼吸器!$C$30:$C$74,B23,人工呼吸器!$N$30:$N$74)*((人工呼吸器!$H$3-人工呼吸器!$I$3)/人工呼吸器!$H$3),0)</f>
        <v>0</v>
      </c>
      <c r="F23" s="69">
        <f>ROUNDDOWN(E23,-3)</f>
        <v>0</v>
      </c>
      <c r="G23" s="69">
        <f>IF(F23&gt;=5000000,5000000,F23)</f>
        <v>0</v>
      </c>
      <c r="H23" s="69">
        <f>IF(G23=5000000,F23-5000000,0)</f>
        <v>0</v>
      </c>
      <c r="I23" s="68">
        <f>IFERROR(SUMIF(簡易陰圧装置!$C$30:$C$74,B23,簡易陰圧装置!$N$30:$N$74)*((簡易陰圧装置!$H$3-簡易陰圧装置!$I$3)/簡易陰圧装置!$H$3),0)</f>
        <v>0</v>
      </c>
      <c r="J23" s="69">
        <f>ROUNDDOWN(MIN(I23,$J$21),-3)</f>
        <v>0</v>
      </c>
      <c r="K23" s="68">
        <f>IFERROR(SUMIF(#REF!,B23,#REF!)*((#REF!-#REF!)/#REF!),0)</f>
        <v>0</v>
      </c>
      <c r="L23" s="69">
        <f>ROUNDDOWN(MIN(K23,$L$21),-3)</f>
        <v>0</v>
      </c>
      <c r="M23" s="68">
        <f>IFERROR(SUMIF(体外式膜型人工肺!$C$30:$C$74,B23,体外式膜型人工肺!$N$30:$N$74)*((体外式膜型人工肺!$H$3-体外式膜型人工肺!$I$3)/体外式膜型人工肺!$H$3),0)</f>
        <v>0</v>
      </c>
      <c r="N23" s="69">
        <f>ROUNDDOWN(M23,-3)</f>
        <v>0</v>
      </c>
      <c r="O23" s="69">
        <f>IF(N23&gt;=21000000,21000000,N23)</f>
        <v>0</v>
      </c>
      <c r="P23" s="69">
        <f>IF(O23=21000000,N23-21000000,0)</f>
        <v>0</v>
      </c>
      <c r="Q23" s="68">
        <f>IFERROR(SUMIF(紫外線照射装置!$C$30:$C$74,B23,紫外線照射装置!$N$30:$N$74)*((紫外線照射装置!$H$3-紫外線照射装置!$I$3)/紫外線照射装置!$H$3),0)</f>
        <v>0</v>
      </c>
      <c r="R23" s="69">
        <f>IFERROR(ROUNDDOWN(MIN(Q23,$R$21)/2,-3),0)</f>
        <v>0</v>
      </c>
      <c r="S23" s="102">
        <f>R23</f>
        <v>0</v>
      </c>
      <c r="T23" s="68">
        <f>IFERROR(SUMIF(超音波画像診断装置!$C$30:$C$74,B23,超音波画像診断装置!$K$30:$K$74)*((超音波画像診断装置!$H$3-超音波画像診断装置!$I$3)/超音波画像診断装置!$H$3),0)</f>
        <v>15400000</v>
      </c>
      <c r="U23" s="69">
        <f>ROUNDDOWN(MIN(T23,$U$21),-3)</f>
        <v>11000000</v>
      </c>
      <c r="V23" s="68">
        <f>IFERROR(SUMIF(血液浄化装置!$C$30:$C$74,B23,血液浄化装置!$K$30:$K$74)*((血液浄化装置!$H$3-血液浄化装置!$I$3)/血液浄化装置!$H$3),0)</f>
        <v>17600000</v>
      </c>
      <c r="W23" s="69">
        <f>ROUNDDOWN(MIN(V23,$W$21),-3)</f>
        <v>6600000</v>
      </c>
      <c r="X23" s="68">
        <f>IFERROR(SUMIF(気管支鏡!$C$30:$C$74,B23,気管支鏡!$K$30:$K$74)*((気管支鏡!$H$3-気管支鏡!$I$3)/気管支鏡!$H$3),0)</f>
        <v>19800000</v>
      </c>
      <c r="Y23" s="69">
        <f t="shared" ref="Y23:Y86" si="0">ROUNDDOWN(MIN(X23,$Y$21),-3)</f>
        <v>5500000</v>
      </c>
      <c r="Z23" s="68">
        <f>IFERROR(SUMIF(CT撮影装置!$C$30:$C$74,B23,CT撮影装置!$K$30:$K$74)*((CT撮影装置!$H$3-CT撮影装置!$I$3)/CT撮影装置!$H$3),0)</f>
        <v>12100000000</v>
      </c>
      <c r="AA23" s="69">
        <f>ROUNDDOWN(MIN(Z23,$AA$21),-3)</f>
        <v>66000000</v>
      </c>
      <c r="AB23" s="68">
        <f>IFERROR(SUMIF(生体情報モニタ!$C$30:$C$74,B23,生体情報モニタ!$K$30:$K$74)*((生体情報モニタ!$H$3-生体情報モニタ!$I$3)/生体情報モニタ!$H$3),0)</f>
        <v>13200000</v>
      </c>
      <c r="AC23" s="69">
        <f t="shared" ref="AC23:AC86" si="1">ROUNDDOWN(MIN(AB23,$AC$21),-3)</f>
        <v>1100000</v>
      </c>
      <c r="AD23" s="68">
        <f>IFERROR(SUMIF(分娩監視装置!$C$30:$C$74,B23,分娩監視装置!$K$30:$K$74)*((分娩監視装置!$H$3-分娩監視装置!$I$3)/分娩監視装置!$H$3),0)</f>
        <v>14300000</v>
      </c>
      <c r="AE23" s="69">
        <f>ROUNDDOWN(MIN(AD23,$AE$21),-3)</f>
        <v>2200000</v>
      </c>
      <c r="AF23" s="68">
        <f>IFERROR(SUMIF(新生児モニタ!$C$30:$C$74,B23,新生児モニタ!$K$30:$K$74)*((新生児モニタ!$H$3-新生児モニタ!$I$3)/新生児モニタ!$H$3),0)</f>
        <v>15400000</v>
      </c>
      <c r="AG23" s="69">
        <f>ROUNDDOWN(MIN(AF23,$AG$21),-3)</f>
        <v>1100000</v>
      </c>
    </row>
    <row r="24" spans="2:33">
      <c r="B24" s="65" t="s">
        <v>693</v>
      </c>
      <c r="C24" s="68">
        <f>IFERROR(SUMIF(初度設備!$C$30:$C$74,B24,初度設備!$N$30:$N$74)*((初度設備!$H$3-初度設備!$I$3)/初度設備!$H$3),0)</f>
        <v>0</v>
      </c>
      <c r="D24" s="69">
        <f t="shared" ref="D24:D87" si="2">ROUNDDOWN(MIN(C24,$D$21),-3)</f>
        <v>0</v>
      </c>
      <c r="E24" s="68">
        <f>IFERROR(SUMIF(人工呼吸器!$C$30:$C$74,B24,人工呼吸器!$N$30:$N$74)*((人工呼吸器!$H$3-人工呼吸器!$I$3)/人工呼吸器!$H$3),0)</f>
        <v>0</v>
      </c>
      <c r="F24" s="69">
        <f t="shared" ref="F24:F87" si="3">ROUNDDOWN(E24,-3)</f>
        <v>0</v>
      </c>
      <c r="G24" s="69">
        <f t="shared" ref="G24:G87" si="4">IF(F24&gt;=5000000,5000000,F24)</f>
        <v>0</v>
      </c>
      <c r="H24" s="69">
        <f t="shared" ref="H24:H87" si="5">IF(G24=5000000,F24-5000000,0)</f>
        <v>0</v>
      </c>
      <c r="I24" s="68">
        <f>IFERROR(SUMIF(簡易陰圧装置!$C$30:$C$74,B24,簡易陰圧装置!$N$30:$N$74)*((簡易陰圧装置!$H$3-簡易陰圧装置!$I$3)/簡易陰圧装置!$H$3),0)</f>
        <v>0</v>
      </c>
      <c r="J24" s="69">
        <f t="shared" ref="J24:J87" si="6">ROUNDDOWN(MIN(I24,$J$21),-3)</f>
        <v>0</v>
      </c>
      <c r="K24" s="68">
        <f>IFERROR(SUMIF(#REF!,B24,#REF!)*((#REF!-#REF!)/#REF!),0)</f>
        <v>0</v>
      </c>
      <c r="L24" s="69">
        <f t="shared" ref="L24:L87" si="7">ROUNDDOWN(MIN(K24,$L$21),-3)</f>
        <v>0</v>
      </c>
      <c r="M24" s="68">
        <f>IFERROR(SUMIF(体外式膜型人工肺!$C$30:$C$74,B24,体外式膜型人工肺!$N$30:$N$74)*((体外式膜型人工肺!$H$3-体外式膜型人工肺!$I$3)/体外式膜型人工肺!$H$3),0)</f>
        <v>0</v>
      </c>
      <c r="N24" s="69">
        <f t="shared" ref="N24:N87" si="8">ROUNDDOWN(M24,-3)</f>
        <v>0</v>
      </c>
      <c r="O24" s="69">
        <f t="shared" ref="O24:O87" si="9">IF(N24&gt;=21000000,21000000,N24)</f>
        <v>0</v>
      </c>
      <c r="P24" s="69">
        <f t="shared" ref="P24:P87" si="10">IF(O24=21000000,N24-21000000,0)</f>
        <v>0</v>
      </c>
      <c r="Q24" s="68">
        <f>IFERROR(SUMIF(紫外線照射装置!$C$30:$C$74,B24,紫外線照射装置!$N$30:$N$74)*((紫外線照射装置!$H$3-紫外線照射装置!$I$3)/紫外線照射装置!$H$3),0)</f>
        <v>0</v>
      </c>
      <c r="R24" s="69">
        <f t="shared" ref="R24:R87" si="11">IFERROR(ROUNDDOWN(MIN(Q24,$R$21)/2,-3),0)</f>
        <v>0</v>
      </c>
      <c r="S24" s="102">
        <f t="shared" ref="S24:S87" si="12">R24</f>
        <v>0</v>
      </c>
      <c r="T24" s="68">
        <f>IFERROR(SUMIF(超音波画像診断装置!$C$30:$C$74,B24,超音波画像診断装置!$K$30:$K$74)*((超音波画像診断装置!$H$3-超音波画像診断装置!$I$3)/超音波画像診断装置!$H$3),0)</f>
        <v>0</v>
      </c>
      <c r="U24" s="69">
        <f t="shared" ref="U24:U87" si="13">ROUNDDOWN(MIN(T24,$U$21),-3)</f>
        <v>0</v>
      </c>
      <c r="V24" s="68">
        <f>IFERROR(SUMIF(血液浄化装置!$C$30:$C$74,B24,血液浄化装置!$K$30:$K$74)*((血液浄化装置!$H$3-血液浄化装置!$I$3)/血液浄化装置!$H$3),0)</f>
        <v>0</v>
      </c>
      <c r="W24" s="69">
        <f t="shared" ref="W24:W87" si="14">ROUNDDOWN(MIN(V24,$W$21),-3)</f>
        <v>0</v>
      </c>
      <c r="X24" s="68">
        <f>IFERROR(SUMIF(気管支鏡!$C$30:$C$74,B24,気管支鏡!$K$30:$K$74)*((気管支鏡!$H$3-気管支鏡!$I$3)/気管支鏡!$H$3),0)</f>
        <v>0</v>
      </c>
      <c r="Y24" s="69">
        <f t="shared" si="0"/>
        <v>0</v>
      </c>
      <c r="Z24" s="68">
        <f>IFERROR(SUMIF(CT撮影装置!$C$30:$C$74,B24,CT撮影装置!$K$30:$K$74)*((CT撮影装置!$H$3-CT撮影装置!$I$3)/CT撮影装置!$H$3),0)</f>
        <v>0</v>
      </c>
      <c r="AA24" s="69">
        <f t="shared" ref="AA24:AA87" si="15">ROUNDDOWN(MIN(Z24,$AA$21),-3)</f>
        <v>0</v>
      </c>
      <c r="AB24" s="68">
        <f>IFERROR(SUMIF(生体情報モニタ!$C$30:$C$74,B24,生体情報モニタ!$K$30:$K$74)*((生体情報モニタ!$H$3-生体情報モニタ!$I$3)/生体情報モニタ!$H$3),0)</f>
        <v>0</v>
      </c>
      <c r="AC24" s="69">
        <f t="shared" si="1"/>
        <v>0</v>
      </c>
      <c r="AD24" s="68">
        <f>IFERROR(SUMIF(分娩監視装置!$C$30:$C$74,B24,分娩監視装置!$K$30:$K$74)*((分娩監視装置!$H$3-分娩監視装置!$I$3)/分娩監視装置!$H$3),0)</f>
        <v>0</v>
      </c>
      <c r="AE24" s="69">
        <f t="shared" ref="AE24:AE87" si="16">ROUNDDOWN(MIN(AD24,$AE$21),-3)</f>
        <v>0</v>
      </c>
      <c r="AF24" s="68">
        <f>IFERROR(SUMIF(新生児モニタ!$C$30:$C$74,B24,新生児モニタ!$K$30:$K$74)*((新生児モニタ!$H$3-新生児モニタ!$I$3)/新生児モニタ!$H$3),0)</f>
        <v>0</v>
      </c>
      <c r="AG24" s="69">
        <f t="shared" ref="AG24:AG87" si="17">ROUNDDOWN(MIN(AF24,$AG$21),-3)</f>
        <v>0</v>
      </c>
    </row>
    <row r="25" spans="2:33">
      <c r="B25" s="65" t="s">
        <v>694</v>
      </c>
      <c r="C25" s="68">
        <f>IFERROR(SUMIF(初度設備!$C$30:$C$74,B25,初度設備!$N$30:$N$74)*((初度設備!$H$3-初度設備!$I$3)/初度設備!$H$3),0)</f>
        <v>0</v>
      </c>
      <c r="D25" s="69">
        <f t="shared" si="2"/>
        <v>0</v>
      </c>
      <c r="E25" s="68">
        <f>IFERROR(SUMIF(人工呼吸器!$C$30:$C$74,B25,人工呼吸器!$N$30:$N$74)*((人工呼吸器!$H$3-人工呼吸器!$I$3)/人工呼吸器!$H$3),0)</f>
        <v>0</v>
      </c>
      <c r="F25" s="69">
        <f t="shared" si="3"/>
        <v>0</v>
      </c>
      <c r="G25" s="69">
        <f t="shared" si="4"/>
        <v>0</v>
      </c>
      <c r="H25" s="69">
        <f t="shared" si="5"/>
        <v>0</v>
      </c>
      <c r="I25" s="68">
        <f>IFERROR(SUMIF(簡易陰圧装置!$C$30:$C$74,B25,簡易陰圧装置!$N$30:$N$74)*((簡易陰圧装置!$H$3-簡易陰圧装置!$I$3)/簡易陰圧装置!$H$3),0)</f>
        <v>0</v>
      </c>
      <c r="J25" s="69">
        <f t="shared" si="6"/>
        <v>0</v>
      </c>
      <c r="K25" s="68">
        <f>IFERROR(SUMIF(#REF!,B25,#REF!)*((#REF!-#REF!)/#REF!),0)</f>
        <v>0</v>
      </c>
      <c r="L25" s="69">
        <f t="shared" si="7"/>
        <v>0</v>
      </c>
      <c r="M25" s="68">
        <f>IFERROR(SUMIF(体外式膜型人工肺!$C$30:$C$74,B25,体外式膜型人工肺!$N$30:$N$74)*((体外式膜型人工肺!$H$3-体外式膜型人工肺!$I$3)/体外式膜型人工肺!$H$3),0)</f>
        <v>0</v>
      </c>
      <c r="N25" s="69">
        <f t="shared" si="8"/>
        <v>0</v>
      </c>
      <c r="O25" s="69">
        <f t="shared" si="9"/>
        <v>0</v>
      </c>
      <c r="P25" s="69">
        <f t="shared" si="10"/>
        <v>0</v>
      </c>
      <c r="Q25" s="68">
        <f>IFERROR(SUMIF(紫外線照射装置!$C$30:$C$74,B25,紫外線照射装置!$N$30:$N$74)*((紫外線照射装置!$H$3-紫外線照射装置!$I$3)/紫外線照射装置!$H$3),0)</f>
        <v>0</v>
      </c>
      <c r="R25" s="69">
        <f t="shared" si="11"/>
        <v>0</v>
      </c>
      <c r="S25" s="102">
        <f t="shared" si="12"/>
        <v>0</v>
      </c>
      <c r="T25" s="68">
        <f>IFERROR(SUMIF(超音波画像診断装置!$C$30:$C$74,B25,超音波画像診断装置!$K$30:$K$74)*((超音波画像診断装置!$H$3-超音波画像診断装置!$I$3)/超音波画像診断装置!$H$3),0)</f>
        <v>0</v>
      </c>
      <c r="U25" s="69">
        <f t="shared" si="13"/>
        <v>0</v>
      </c>
      <c r="V25" s="68">
        <f>IFERROR(SUMIF(血液浄化装置!$C$30:$C$74,B25,血液浄化装置!$K$30:$K$74)*((血液浄化装置!$H$3-血液浄化装置!$I$3)/血液浄化装置!$H$3),0)</f>
        <v>0</v>
      </c>
      <c r="W25" s="69">
        <f t="shared" si="14"/>
        <v>0</v>
      </c>
      <c r="X25" s="68">
        <f>IFERROR(SUMIF(気管支鏡!$C$30:$C$74,B25,気管支鏡!$K$30:$K$74)*((気管支鏡!$H$3-気管支鏡!$I$3)/気管支鏡!$H$3),0)</f>
        <v>0</v>
      </c>
      <c r="Y25" s="69">
        <f t="shared" si="0"/>
        <v>0</v>
      </c>
      <c r="Z25" s="68">
        <f>IFERROR(SUMIF(CT撮影装置!$C$30:$C$74,B25,CT撮影装置!$K$30:$K$74)*((CT撮影装置!$H$3-CT撮影装置!$I$3)/CT撮影装置!$H$3),0)</f>
        <v>0</v>
      </c>
      <c r="AA25" s="69">
        <f t="shared" si="15"/>
        <v>0</v>
      </c>
      <c r="AB25" s="68">
        <f>IFERROR(SUMIF(生体情報モニタ!$C$30:$C$74,B25,生体情報モニタ!$K$30:$K$74)*((生体情報モニタ!$H$3-生体情報モニタ!$I$3)/生体情報モニタ!$H$3),0)</f>
        <v>0</v>
      </c>
      <c r="AC25" s="69">
        <f t="shared" si="1"/>
        <v>0</v>
      </c>
      <c r="AD25" s="68">
        <f>IFERROR(SUMIF(分娩監視装置!$C$30:$C$74,B25,分娩監視装置!$K$30:$K$74)*((分娩監視装置!$H$3-分娩監視装置!$I$3)/分娩監視装置!$H$3),0)</f>
        <v>0</v>
      </c>
      <c r="AE25" s="69">
        <f t="shared" si="16"/>
        <v>0</v>
      </c>
      <c r="AF25" s="68">
        <f>IFERROR(SUMIF(新生児モニタ!$C$30:$C$74,B25,新生児モニタ!$K$30:$K$74)*((新生児モニタ!$H$3-新生児モニタ!$I$3)/新生児モニタ!$H$3),0)</f>
        <v>0</v>
      </c>
      <c r="AG25" s="69">
        <f t="shared" si="17"/>
        <v>0</v>
      </c>
    </row>
    <row r="26" spans="2:33">
      <c r="B26" s="65" t="s">
        <v>695</v>
      </c>
      <c r="C26" s="68">
        <f>IFERROR(SUMIF(初度設備!$C$30:$C$74,B26,初度設備!$N$30:$N$74)*((初度設備!$H$3-初度設備!$I$3)/初度設備!$H$3),0)</f>
        <v>0</v>
      </c>
      <c r="D26" s="69">
        <f t="shared" si="2"/>
        <v>0</v>
      </c>
      <c r="E26" s="68">
        <f>IFERROR(SUMIF(人工呼吸器!$C$30:$C$74,B26,人工呼吸器!$N$30:$N$74)*((人工呼吸器!$H$3-人工呼吸器!$I$3)/人工呼吸器!$H$3),0)</f>
        <v>0</v>
      </c>
      <c r="F26" s="69">
        <f t="shared" si="3"/>
        <v>0</v>
      </c>
      <c r="G26" s="69">
        <f t="shared" si="4"/>
        <v>0</v>
      </c>
      <c r="H26" s="69">
        <f t="shared" si="5"/>
        <v>0</v>
      </c>
      <c r="I26" s="68">
        <f>IFERROR(SUMIF(簡易陰圧装置!$C$30:$C$74,B26,簡易陰圧装置!$N$30:$N$74)*((簡易陰圧装置!$H$3-簡易陰圧装置!$I$3)/簡易陰圧装置!$H$3),0)</f>
        <v>0</v>
      </c>
      <c r="J26" s="69">
        <f t="shared" si="6"/>
        <v>0</v>
      </c>
      <c r="K26" s="68">
        <f>IFERROR(SUMIF(#REF!,B26,#REF!)*((#REF!-#REF!)/#REF!),0)</f>
        <v>0</v>
      </c>
      <c r="L26" s="69">
        <f t="shared" si="7"/>
        <v>0</v>
      </c>
      <c r="M26" s="68">
        <f>IFERROR(SUMIF(体外式膜型人工肺!$C$30:$C$74,B26,体外式膜型人工肺!$N$30:$N$74)*((体外式膜型人工肺!$H$3-体外式膜型人工肺!$I$3)/体外式膜型人工肺!$H$3),0)</f>
        <v>0</v>
      </c>
      <c r="N26" s="69">
        <f t="shared" si="8"/>
        <v>0</v>
      </c>
      <c r="O26" s="69">
        <f t="shared" si="9"/>
        <v>0</v>
      </c>
      <c r="P26" s="69">
        <f t="shared" si="10"/>
        <v>0</v>
      </c>
      <c r="Q26" s="68">
        <f>IFERROR(SUMIF(紫外線照射装置!$C$30:$C$74,B26,紫外線照射装置!$N$30:$N$74)*((紫外線照射装置!$H$3-紫外線照射装置!$I$3)/紫外線照射装置!$H$3),0)</f>
        <v>0</v>
      </c>
      <c r="R26" s="69">
        <f t="shared" si="11"/>
        <v>0</v>
      </c>
      <c r="S26" s="102">
        <f t="shared" si="12"/>
        <v>0</v>
      </c>
      <c r="T26" s="68">
        <f>IFERROR(SUMIF(超音波画像診断装置!$C$30:$C$74,B26,超音波画像診断装置!$K$30:$K$74)*((超音波画像診断装置!$H$3-超音波画像診断装置!$I$3)/超音波画像診断装置!$H$3),0)</f>
        <v>0</v>
      </c>
      <c r="U26" s="69">
        <f t="shared" si="13"/>
        <v>0</v>
      </c>
      <c r="V26" s="68">
        <f>IFERROR(SUMIF(血液浄化装置!$C$30:$C$74,B26,血液浄化装置!$K$30:$K$74)*((血液浄化装置!$H$3-血液浄化装置!$I$3)/血液浄化装置!$H$3),0)</f>
        <v>0</v>
      </c>
      <c r="W26" s="69">
        <f t="shared" si="14"/>
        <v>0</v>
      </c>
      <c r="X26" s="68">
        <f>IFERROR(SUMIF(気管支鏡!$C$30:$C$74,B26,気管支鏡!$K$30:$K$74)*((気管支鏡!$H$3-気管支鏡!$I$3)/気管支鏡!$H$3),0)</f>
        <v>0</v>
      </c>
      <c r="Y26" s="69">
        <f t="shared" si="0"/>
        <v>0</v>
      </c>
      <c r="Z26" s="68">
        <f>IFERROR(SUMIF(CT撮影装置!$C$30:$C$74,B26,CT撮影装置!$K$30:$K$74)*((CT撮影装置!$H$3-CT撮影装置!$I$3)/CT撮影装置!$H$3),0)</f>
        <v>0</v>
      </c>
      <c r="AA26" s="69">
        <f t="shared" si="15"/>
        <v>0</v>
      </c>
      <c r="AB26" s="68">
        <f>IFERROR(SUMIF(生体情報モニタ!$C$30:$C$74,B26,生体情報モニタ!$K$30:$K$74)*((生体情報モニタ!$H$3-生体情報モニタ!$I$3)/生体情報モニタ!$H$3),0)</f>
        <v>0</v>
      </c>
      <c r="AC26" s="69">
        <f t="shared" si="1"/>
        <v>0</v>
      </c>
      <c r="AD26" s="68">
        <f>IFERROR(SUMIF(分娩監視装置!$C$30:$C$74,B26,分娩監視装置!$K$30:$K$74)*((分娩監視装置!$H$3-分娩監視装置!$I$3)/分娩監視装置!$H$3),0)</f>
        <v>0</v>
      </c>
      <c r="AE26" s="69">
        <f t="shared" si="16"/>
        <v>0</v>
      </c>
      <c r="AF26" s="68">
        <f>IFERROR(SUMIF(新生児モニタ!$C$30:$C$74,B26,新生児モニタ!$K$30:$K$74)*((新生児モニタ!$H$3-新生児モニタ!$I$3)/新生児モニタ!$H$3),0)</f>
        <v>0</v>
      </c>
      <c r="AG26" s="69">
        <f t="shared" si="17"/>
        <v>0</v>
      </c>
    </row>
    <row r="27" spans="2:33">
      <c r="B27" s="65" t="s">
        <v>696</v>
      </c>
      <c r="C27" s="68">
        <f>IFERROR(SUMIF(初度設備!$C$30:$C$74,B27,初度設備!$N$30:$N$74)*((初度設備!$H$3-初度設備!$I$3)/初度設備!$H$3),0)</f>
        <v>0</v>
      </c>
      <c r="D27" s="69">
        <f t="shared" si="2"/>
        <v>0</v>
      </c>
      <c r="E27" s="68">
        <f>IFERROR(SUMIF(人工呼吸器!$C$30:$C$74,B27,人工呼吸器!$N$30:$N$74)*((人工呼吸器!$H$3-人工呼吸器!$I$3)/人工呼吸器!$H$3),0)</f>
        <v>0</v>
      </c>
      <c r="F27" s="69">
        <f t="shared" si="3"/>
        <v>0</v>
      </c>
      <c r="G27" s="69">
        <f t="shared" si="4"/>
        <v>0</v>
      </c>
      <c r="H27" s="69">
        <f t="shared" si="5"/>
        <v>0</v>
      </c>
      <c r="I27" s="68">
        <f>IFERROR(SUMIF(簡易陰圧装置!$C$30:$C$74,B27,簡易陰圧装置!$N$30:$N$74)*((簡易陰圧装置!$H$3-簡易陰圧装置!$I$3)/簡易陰圧装置!$H$3),0)</f>
        <v>0</v>
      </c>
      <c r="J27" s="69">
        <f t="shared" si="6"/>
        <v>0</v>
      </c>
      <c r="K27" s="68">
        <f>IFERROR(SUMIF(#REF!,B27,#REF!)*((#REF!-#REF!)/#REF!),0)</f>
        <v>0</v>
      </c>
      <c r="L27" s="69">
        <f t="shared" si="7"/>
        <v>0</v>
      </c>
      <c r="M27" s="68">
        <f>IFERROR(SUMIF(体外式膜型人工肺!$C$30:$C$74,B27,体外式膜型人工肺!$N$30:$N$74)*((体外式膜型人工肺!$H$3-体外式膜型人工肺!$I$3)/体外式膜型人工肺!$H$3),0)</f>
        <v>0</v>
      </c>
      <c r="N27" s="69">
        <f t="shared" si="8"/>
        <v>0</v>
      </c>
      <c r="O27" s="69">
        <f t="shared" si="9"/>
        <v>0</v>
      </c>
      <c r="P27" s="69">
        <f t="shared" si="10"/>
        <v>0</v>
      </c>
      <c r="Q27" s="68">
        <f>IFERROR(SUMIF(紫外線照射装置!$C$30:$C$74,B27,紫外線照射装置!$N$30:$N$74)*((紫外線照射装置!$H$3-紫外線照射装置!$I$3)/紫外線照射装置!$H$3),0)</f>
        <v>0</v>
      </c>
      <c r="R27" s="69">
        <f t="shared" si="11"/>
        <v>0</v>
      </c>
      <c r="S27" s="102">
        <f t="shared" si="12"/>
        <v>0</v>
      </c>
      <c r="T27" s="68">
        <f>IFERROR(SUMIF(超音波画像診断装置!$C$30:$C$74,B27,超音波画像診断装置!$K$30:$K$74)*((超音波画像診断装置!$H$3-超音波画像診断装置!$I$3)/超音波画像診断装置!$H$3),0)</f>
        <v>0</v>
      </c>
      <c r="U27" s="69">
        <f t="shared" si="13"/>
        <v>0</v>
      </c>
      <c r="V27" s="68">
        <f>IFERROR(SUMIF(血液浄化装置!$C$30:$C$74,B27,血液浄化装置!$K$30:$K$74)*((血液浄化装置!$H$3-血液浄化装置!$I$3)/血液浄化装置!$H$3),0)</f>
        <v>0</v>
      </c>
      <c r="W27" s="69">
        <f t="shared" si="14"/>
        <v>0</v>
      </c>
      <c r="X27" s="68">
        <f>IFERROR(SUMIF(気管支鏡!$C$30:$C$74,B27,気管支鏡!$K$30:$K$74)*((気管支鏡!$H$3-気管支鏡!$I$3)/気管支鏡!$H$3),0)</f>
        <v>0</v>
      </c>
      <c r="Y27" s="69">
        <f t="shared" si="0"/>
        <v>0</v>
      </c>
      <c r="Z27" s="68">
        <f>IFERROR(SUMIF(CT撮影装置!$C$30:$C$74,B27,CT撮影装置!$K$30:$K$74)*((CT撮影装置!$H$3-CT撮影装置!$I$3)/CT撮影装置!$H$3),0)</f>
        <v>0</v>
      </c>
      <c r="AA27" s="69">
        <f t="shared" si="15"/>
        <v>0</v>
      </c>
      <c r="AB27" s="68">
        <f>IFERROR(SUMIF(生体情報モニタ!$C$30:$C$74,B27,生体情報モニタ!$K$30:$K$74)*((生体情報モニタ!$H$3-生体情報モニタ!$I$3)/生体情報モニタ!$H$3),0)</f>
        <v>0</v>
      </c>
      <c r="AC27" s="69">
        <f t="shared" si="1"/>
        <v>0</v>
      </c>
      <c r="AD27" s="68">
        <f>IFERROR(SUMIF(分娩監視装置!$C$30:$C$74,B27,分娩監視装置!$K$30:$K$74)*((分娩監視装置!$H$3-分娩監視装置!$I$3)/分娩監視装置!$H$3),0)</f>
        <v>0</v>
      </c>
      <c r="AE27" s="69">
        <f t="shared" si="16"/>
        <v>0</v>
      </c>
      <c r="AF27" s="68">
        <f>IFERROR(SUMIF(新生児モニタ!$C$30:$C$74,B27,新生児モニタ!$K$30:$K$74)*((新生児モニタ!$H$3-新生児モニタ!$I$3)/新生児モニタ!$H$3),0)</f>
        <v>0</v>
      </c>
      <c r="AG27" s="69">
        <f t="shared" si="17"/>
        <v>0</v>
      </c>
    </row>
    <row r="28" spans="2:33">
      <c r="B28" s="65" t="s">
        <v>697</v>
      </c>
      <c r="C28" s="68">
        <f>IFERROR(SUMIF(初度設備!$C$30:$C$74,B28,初度設備!$N$30:$N$74)*((初度設備!$H$3-初度設備!$I$3)/初度設備!$H$3),0)</f>
        <v>0</v>
      </c>
      <c r="D28" s="69">
        <f t="shared" si="2"/>
        <v>0</v>
      </c>
      <c r="E28" s="68">
        <f>IFERROR(SUMIF(人工呼吸器!$C$30:$C$74,B28,人工呼吸器!$N$30:$N$74)*((人工呼吸器!$H$3-人工呼吸器!$I$3)/人工呼吸器!$H$3),0)</f>
        <v>0</v>
      </c>
      <c r="F28" s="69">
        <f t="shared" si="3"/>
        <v>0</v>
      </c>
      <c r="G28" s="69">
        <f t="shared" si="4"/>
        <v>0</v>
      </c>
      <c r="H28" s="69">
        <f t="shared" si="5"/>
        <v>0</v>
      </c>
      <c r="I28" s="68">
        <f>IFERROR(SUMIF(簡易陰圧装置!$C$30:$C$74,B28,簡易陰圧装置!$N$30:$N$74)*((簡易陰圧装置!$H$3-簡易陰圧装置!$I$3)/簡易陰圧装置!$H$3),0)</f>
        <v>0</v>
      </c>
      <c r="J28" s="69">
        <f t="shared" si="6"/>
        <v>0</v>
      </c>
      <c r="K28" s="68">
        <f>IFERROR(SUMIF(#REF!,B28,#REF!)*((#REF!-#REF!)/#REF!),0)</f>
        <v>0</v>
      </c>
      <c r="L28" s="69">
        <f t="shared" si="7"/>
        <v>0</v>
      </c>
      <c r="M28" s="68">
        <f>IFERROR(SUMIF(体外式膜型人工肺!$C$30:$C$74,B28,体外式膜型人工肺!$N$30:$N$74)*((体外式膜型人工肺!$H$3-体外式膜型人工肺!$I$3)/体外式膜型人工肺!$H$3),0)</f>
        <v>0</v>
      </c>
      <c r="N28" s="69">
        <f t="shared" si="8"/>
        <v>0</v>
      </c>
      <c r="O28" s="69">
        <f t="shared" si="9"/>
        <v>0</v>
      </c>
      <c r="P28" s="69">
        <f t="shared" si="10"/>
        <v>0</v>
      </c>
      <c r="Q28" s="68">
        <f>IFERROR(SUMIF(紫外線照射装置!$C$30:$C$74,B28,紫外線照射装置!$N$30:$N$74)*((紫外線照射装置!$H$3-紫外線照射装置!$I$3)/紫外線照射装置!$H$3),0)</f>
        <v>0</v>
      </c>
      <c r="R28" s="69">
        <f t="shared" si="11"/>
        <v>0</v>
      </c>
      <c r="S28" s="102">
        <f t="shared" si="12"/>
        <v>0</v>
      </c>
      <c r="T28" s="68">
        <f>IFERROR(SUMIF(超音波画像診断装置!$C$30:$C$74,B28,超音波画像診断装置!$K$30:$K$74)*((超音波画像診断装置!$H$3-超音波画像診断装置!$I$3)/超音波画像診断装置!$H$3),0)</f>
        <v>0</v>
      </c>
      <c r="U28" s="69">
        <f t="shared" si="13"/>
        <v>0</v>
      </c>
      <c r="V28" s="68">
        <f>IFERROR(SUMIF(血液浄化装置!$C$30:$C$74,B28,血液浄化装置!$K$30:$K$74)*((血液浄化装置!$H$3-血液浄化装置!$I$3)/血液浄化装置!$H$3),0)</f>
        <v>0</v>
      </c>
      <c r="W28" s="69">
        <f t="shared" si="14"/>
        <v>0</v>
      </c>
      <c r="X28" s="68">
        <f>IFERROR(SUMIF(気管支鏡!$C$30:$C$74,B28,気管支鏡!$K$30:$K$74)*((気管支鏡!$H$3-気管支鏡!$I$3)/気管支鏡!$H$3),0)</f>
        <v>0</v>
      </c>
      <c r="Y28" s="69">
        <f t="shared" si="0"/>
        <v>0</v>
      </c>
      <c r="Z28" s="68">
        <f>IFERROR(SUMIF(CT撮影装置!$C$30:$C$74,B28,CT撮影装置!$K$30:$K$74)*((CT撮影装置!$H$3-CT撮影装置!$I$3)/CT撮影装置!$H$3),0)</f>
        <v>0</v>
      </c>
      <c r="AA28" s="69">
        <f t="shared" si="15"/>
        <v>0</v>
      </c>
      <c r="AB28" s="68">
        <f>IFERROR(SUMIF(生体情報モニタ!$C$30:$C$74,B28,生体情報モニタ!$K$30:$K$74)*((生体情報モニタ!$H$3-生体情報モニタ!$I$3)/生体情報モニタ!$H$3),0)</f>
        <v>0</v>
      </c>
      <c r="AC28" s="69">
        <f t="shared" si="1"/>
        <v>0</v>
      </c>
      <c r="AD28" s="68">
        <f>IFERROR(SUMIF(分娩監視装置!$C$30:$C$74,B28,分娩監視装置!$K$30:$K$74)*((分娩監視装置!$H$3-分娩監視装置!$I$3)/分娩監視装置!$H$3),0)</f>
        <v>0</v>
      </c>
      <c r="AE28" s="69">
        <f t="shared" si="16"/>
        <v>0</v>
      </c>
      <c r="AF28" s="68">
        <f>IFERROR(SUMIF(新生児モニタ!$C$30:$C$74,B28,新生児モニタ!$K$30:$K$74)*((新生児モニタ!$H$3-新生児モニタ!$I$3)/新生児モニタ!$H$3),0)</f>
        <v>0</v>
      </c>
      <c r="AG28" s="69">
        <f t="shared" si="17"/>
        <v>0</v>
      </c>
    </row>
    <row r="29" spans="2:33">
      <c r="B29" s="65" t="s">
        <v>698</v>
      </c>
      <c r="C29" s="68">
        <f>IFERROR(SUMIF(初度設備!$C$30:$C$74,B29,初度設備!$N$30:$N$74)*((初度設備!$H$3-初度設備!$I$3)/初度設備!$H$3),0)</f>
        <v>0</v>
      </c>
      <c r="D29" s="69">
        <f t="shared" si="2"/>
        <v>0</v>
      </c>
      <c r="E29" s="68">
        <f>IFERROR(SUMIF(人工呼吸器!$C$30:$C$74,B29,人工呼吸器!$N$30:$N$74)*((人工呼吸器!$H$3-人工呼吸器!$I$3)/人工呼吸器!$H$3),0)</f>
        <v>0</v>
      </c>
      <c r="F29" s="69">
        <f t="shared" si="3"/>
        <v>0</v>
      </c>
      <c r="G29" s="69">
        <f t="shared" si="4"/>
        <v>0</v>
      </c>
      <c r="H29" s="69">
        <f t="shared" si="5"/>
        <v>0</v>
      </c>
      <c r="I29" s="68">
        <f>IFERROR(SUMIF(簡易陰圧装置!$C$30:$C$74,B29,簡易陰圧装置!$N$30:$N$74)*((簡易陰圧装置!$H$3-簡易陰圧装置!$I$3)/簡易陰圧装置!$H$3),0)</f>
        <v>0</v>
      </c>
      <c r="J29" s="69">
        <f t="shared" si="6"/>
        <v>0</v>
      </c>
      <c r="K29" s="68">
        <f>IFERROR(SUMIF(#REF!,B29,#REF!)*((#REF!-#REF!)/#REF!),0)</f>
        <v>0</v>
      </c>
      <c r="L29" s="69">
        <f t="shared" si="7"/>
        <v>0</v>
      </c>
      <c r="M29" s="68">
        <f>IFERROR(SUMIF(体外式膜型人工肺!$C$30:$C$74,B29,体外式膜型人工肺!$N$30:$N$74)*((体外式膜型人工肺!$H$3-体外式膜型人工肺!$I$3)/体外式膜型人工肺!$H$3),0)</f>
        <v>0</v>
      </c>
      <c r="N29" s="69">
        <f t="shared" si="8"/>
        <v>0</v>
      </c>
      <c r="O29" s="69">
        <f t="shared" si="9"/>
        <v>0</v>
      </c>
      <c r="P29" s="69">
        <f t="shared" si="10"/>
        <v>0</v>
      </c>
      <c r="Q29" s="68">
        <f>IFERROR(SUMIF(紫外線照射装置!$C$30:$C$74,B29,紫外線照射装置!$N$30:$N$74)*((紫外線照射装置!$H$3-紫外線照射装置!$I$3)/紫外線照射装置!$H$3),0)</f>
        <v>0</v>
      </c>
      <c r="R29" s="69">
        <f t="shared" si="11"/>
        <v>0</v>
      </c>
      <c r="S29" s="102">
        <f t="shared" si="12"/>
        <v>0</v>
      </c>
      <c r="T29" s="68">
        <f>IFERROR(SUMIF(超音波画像診断装置!$C$30:$C$74,B29,超音波画像診断装置!$K$30:$K$74)*((超音波画像診断装置!$H$3-超音波画像診断装置!$I$3)/超音波画像診断装置!$H$3),0)</f>
        <v>0</v>
      </c>
      <c r="U29" s="69">
        <f t="shared" si="13"/>
        <v>0</v>
      </c>
      <c r="V29" s="68">
        <f>IFERROR(SUMIF(血液浄化装置!$C$30:$C$74,B29,血液浄化装置!$K$30:$K$74)*((血液浄化装置!$H$3-血液浄化装置!$I$3)/血液浄化装置!$H$3),0)</f>
        <v>0</v>
      </c>
      <c r="W29" s="69">
        <f t="shared" si="14"/>
        <v>0</v>
      </c>
      <c r="X29" s="68">
        <f>IFERROR(SUMIF(気管支鏡!$C$30:$C$74,B29,気管支鏡!$K$30:$K$74)*((気管支鏡!$H$3-気管支鏡!$I$3)/気管支鏡!$H$3),0)</f>
        <v>0</v>
      </c>
      <c r="Y29" s="69">
        <f t="shared" si="0"/>
        <v>0</v>
      </c>
      <c r="Z29" s="68">
        <f>IFERROR(SUMIF(CT撮影装置!$C$30:$C$74,B29,CT撮影装置!$K$30:$K$74)*((CT撮影装置!$H$3-CT撮影装置!$I$3)/CT撮影装置!$H$3),0)</f>
        <v>0</v>
      </c>
      <c r="AA29" s="69">
        <f t="shared" si="15"/>
        <v>0</v>
      </c>
      <c r="AB29" s="68">
        <f>IFERROR(SUMIF(生体情報モニタ!$C$30:$C$74,B29,生体情報モニタ!$K$30:$K$74)*((生体情報モニタ!$H$3-生体情報モニタ!$I$3)/生体情報モニタ!$H$3),0)</f>
        <v>0</v>
      </c>
      <c r="AC29" s="69">
        <f t="shared" si="1"/>
        <v>0</v>
      </c>
      <c r="AD29" s="68">
        <f>IFERROR(SUMIF(分娩監視装置!$C$30:$C$74,B29,分娩監視装置!$K$30:$K$74)*((分娩監視装置!$H$3-分娩監視装置!$I$3)/分娩監視装置!$H$3),0)</f>
        <v>0</v>
      </c>
      <c r="AE29" s="69">
        <f t="shared" si="16"/>
        <v>0</v>
      </c>
      <c r="AF29" s="68">
        <f>IFERROR(SUMIF(新生児モニタ!$C$30:$C$74,B29,新生児モニタ!$K$30:$K$74)*((新生児モニタ!$H$3-新生児モニタ!$I$3)/新生児モニタ!$H$3),0)</f>
        <v>0</v>
      </c>
      <c r="AG29" s="69">
        <f t="shared" si="17"/>
        <v>0</v>
      </c>
    </row>
    <row r="30" spans="2:33">
      <c r="B30" s="65" t="s">
        <v>699</v>
      </c>
      <c r="C30" s="68">
        <f>IFERROR(SUMIF(初度設備!$C$30:$C$74,B30,初度設備!$N$30:$N$74)*((初度設備!$H$3-初度設備!$I$3)/初度設備!$H$3),0)</f>
        <v>0</v>
      </c>
      <c r="D30" s="69">
        <f t="shared" si="2"/>
        <v>0</v>
      </c>
      <c r="E30" s="68">
        <f>IFERROR(SUMIF(人工呼吸器!$C$30:$C$74,B30,人工呼吸器!$N$30:$N$74)*((人工呼吸器!$H$3-人工呼吸器!$I$3)/人工呼吸器!$H$3),0)</f>
        <v>0</v>
      </c>
      <c r="F30" s="69">
        <f t="shared" si="3"/>
        <v>0</v>
      </c>
      <c r="G30" s="69">
        <f t="shared" si="4"/>
        <v>0</v>
      </c>
      <c r="H30" s="69">
        <f t="shared" si="5"/>
        <v>0</v>
      </c>
      <c r="I30" s="68">
        <f>IFERROR(SUMIF(簡易陰圧装置!$C$30:$C$74,B30,簡易陰圧装置!$N$30:$N$74)*((簡易陰圧装置!$H$3-簡易陰圧装置!$I$3)/簡易陰圧装置!$H$3),0)</f>
        <v>0</v>
      </c>
      <c r="J30" s="69">
        <f t="shared" si="6"/>
        <v>0</v>
      </c>
      <c r="K30" s="68">
        <f>IFERROR(SUMIF(#REF!,B30,#REF!)*((#REF!-#REF!)/#REF!),0)</f>
        <v>0</v>
      </c>
      <c r="L30" s="69">
        <f t="shared" si="7"/>
        <v>0</v>
      </c>
      <c r="M30" s="68">
        <f>IFERROR(SUMIF(体外式膜型人工肺!$C$30:$C$74,B30,体外式膜型人工肺!$N$30:$N$74)*((体外式膜型人工肺!$H$3-体外式膜型人工肺!$I$3)/体外式膜型人工肺!$H$3),0)</f>
        <v>0</v>
      </c>
      <c r="N30" s="69">
        <f t="shared" si="8"/>
        <v>0</v>
      </c>
      <c r="O30" s="69">
        <f t="shared" si="9"/>
        <v>0</v>
      </c>
      <c r="P30" s="69">
        <f t="shared" si="10"/>
        <v>0</v>
      </c>
      <c r="Q30" s="68">
        <f>IFERROR(SUMIF(紫外線照射装置!$C$30:$C$74,B30,紫外線照射装置!$N$30:$N$74)*((紫外線照射装置!$H$3-紫外線照射装置!$I$3)/紫外線照射装置!$H$3),0)</f>
        <v>0</v>
      </c>
      <c r="R30" s="69">
        <f t="shared" si="11"/>
        <v>0</v>
      </c>
      <c r="S30" s="102">
        <f t="shared" si="12"/>
        <v>0</v>
      </c>
      <c r="T30" s="68">
        <f>IFERROR(SUMIF(超音波画像診断装置!$C$30:$C$74,B30,超音波画像診断装置!$K$30:$K$74)*((超音波画像診断装置!$H$3-超音波画像診断装置!$I$3)/超音波画像診断装置!$H$3),0)</f>
        <v>0</v>
      </c>
      <c r="U30" s="69">
        <f t="shared" si="13"/>
        <v>0</v>
      </c>
      <c r="V30" s="68">
        <f>IFERROR(SUMIF(血液浄化装置!$C$30:$C$74,B30,血液浄化装置!$K$30:$K$74)*((血液浄化装置!$H$3-血液浄化装置!$I$3)/血液浄化装置!$H$3),0)</f>
        <v>0</v>
      </c>
      <c r="W30" s="69">
        <f t="shared" si="14"/>
        <v>0</v>
      </c>
      <c r="X30" s="68">
        <f>IFERROR(SUMIF(気管支鏡!$C$30:$C$74,B30,気管支鏡!$K$30:$K$74)*((気管支鏡!$H$3-気管支鏡!$I$3)/気管支鏡!$H$3),0)</f>
        <v>0</v>
      </c>
      <c r="Y30" s="69">
        <f t="shared" si="0"/>
        <v>0</v>
      </c>
      <c r="Z30" s="68">
        <f>IFERROR(SUMIF(CT撮影装置!$C$30:$C$74,B30,CT撮影装置!$K$30:$K$74)*((CT撮影装置!$H$3-CT撮影装置!$I$3)/CT撮影装置!$H$3),0)</f>
        <v>0</v>
      </c>
      <c r="AA30" s="69">
        <f t="shared" si="15"/>
        <v>0</v>
      </c>
      <c r="AB30" s="68">
        <f>IFERROR(SUMIF(生体情報モニタ!$C$30:$C$74,B30,生体情報モニタ!$K$30:$K$74)*((生体情報モニタ!$H$3-生体情報モニタ!$I$3)/生体情報モニタ!$H$3),0)</f>
        <v>0</v>
      </c>
      <c r="AC30" s="69">
        <f t="shared" si="1"/>
        <v>0</v>
      </c>
      <c r="AD30" s="68">
        <f>IFERROR(SUMIF(分娩監視装置!$C$30:$C$74,B30,分娩監視装置!$K$30:$K$74)*((分娩監視装置!$H$3-分娩監視装置!$I$3)/分娩監視装置!$H$3),0)</f>
        <v>0</v>
      </c>
      <c r="AE30" s="69">
        <f t="shared" si="16"/>
        <v>0</v>
      </c>
      <c r="AF30" s="68">
        <f>IFERROR(SUMIF(新生児モニタ!$C$30:$C$74,B30,新生児モニタ!$K$30:$K$74)*((新生児モニタ!$H$3-新生児モニタ!$I$3)/新生児モニタ!$H$3),0)</f>
        <v>0</v>
      </c>
      <c r="AG30" s="69">
        <f t="shared" si="17"/>
        <v>0</v>
      </c>
    </row>
    <row r="31" spans="2:33">
      <c r="B31" s="65" t="s">
        <v>700</v>
      </c>
      <c r="C31" s="68">
        <f>IFERROR(SUMIF(初度設備!$C$30:$C$74,B31,初度設備!$N$30:$N$74)*((初度設備!$H$3-初度設備!$I$3)/初度設備!$H$3),0)</f>
        <v>0</v>
      </c>
      <c r="D31" s="69">
        <f t="shared" si="2"/>
        <v>0</v>
      </c>
      <c r="E31" s="68">
        <f>IFERROR(SUMIF(人工呼吸器!$C$30:$C$74,B31,人工呼吸器!$N$30:$N$74)*((人工呼吸器!$H$3-人工呼吸器!$I$3)/人工呼吸器!$H$3),0)</f>
        <v>0</v>
      </c>
      <c r="F31" s="69">
        <f t="shared" si="3"/>
        <v>0</v>
      </c>
      <c r="G31" s="69">
        <f t="shared" si="4"/>
        <v>0</v>
      </c>
      <c r="H31" s="69">
        <f t="shared" si="5"/>
        <v>0</v>
      </c>
      <c r="I31" s="68">
        <f>IFERROR(SUMIF(簡易陰圧装置!$C$30:$C$74,B31,簡易陰圧装置!$N$30:$N$74)*((簡易陰圧装置!$H$3-簡易陰圧装置!$I$3)/簡易陰圧装置!$H$3),0)</f>
        <v>0</v>
      </c>
      <c r="J31" s="69">
        <f t="shared" si="6"/>
        <v>0</v>
      </c>
      <c r="K31" s="68">
        <f>IFERROR(SUMIF(#REF!,B31,#REF!)*((#REF!-#REF!)/#REF!),0)</f>
        <v>0</v>
      </c>
      <c r="L31" s="69">
        <f t="shared" si="7"/>
        <v>0</v>
      </c>
      <c r="M31" s="68">
        <f>IFERROR(SUMIF(体外式膜型人工肺!$C$30:$C$74,B31,体外式膜型人工肺!$N$30:$N$74)*((体外式膜型人工肺!$H$3-体外式膜型人工肺!$I$3)/体外式膜型人工肺!$H$3),0)</f>
        <v>0</v>
      </c>
      <c r="N31" s="69">
        <f t="shared" si="8"/>
        <v>0</v>
      </c>
      <c r="O31" s="69">
        <f t="shared" si="9"/>
        <v>0</v>
      </c>
      <c r="P31" s="69">
        <f t="shared" si="10"/>
        <v>0</v>
      </c>
      <c r="Q31" s="68">
        <f>IFERROR(SUMIF(紫外線照射装置!$C$30:$C$74,B31,紫外線照射装置!$N$30:$N$74)*((紫外線照射装置!$H$3-紫外線照射装置!$I$3)/紫外線照射装置!$H$3),0)</f>
        <v>0</v>
      </c>
      <c r="R31" s="69">
        <f t="shared" si="11"/>
        <v>0</v>
      </c>
      <c r="S31" s="102">
        <f t="shared" si="12"/>
        <v>0</v>
      </c>
      <c r="T31" s="68">
        <f>IFERROR(SUMIF(超音波画像診断装置!$C$30:$C$74,B31,超音波画像診断装置!$K$30:$K$74)*((超音波画像診断装置!$H$3-超音波画像診断装置!$I$3)/超音波画像診断装置!$H$3),0)</f>
        <v>0</v>
      </c>
      <c r="U31" s="69">
        <f t="shared" si="13"/>
        <v>0</v>
      </c>
      <c r="V31" s="68">
        <f>IFERROR(SUMIF(血液浄化装置!$C$30:$C$74,B31,血液浄化装置!$K$30:$K$74)*((血液浄化装置!$H$3-血液浄化装置!$I$3)/血液浄化装置!$H$3),0)</f>
        <v>0</v>
      </c>
      <c r="W31" s="69">
        <f t="shared" si="14"/>
        <v>0</v>
      </c>
      <c r="X31" s="68">
        <f>IFERROR(SUMIF(気管支鏡!$C$30:$C$74,B31,気管支鏡!$K$30:$K$74)*((気管支鏡!$H$3-気管支鏡!$I$3)/気管支鏡!$H$3),0)</f>
        <v>0</v>
      </c>
      <c r="Y31" s="69">
        <f t="shared" si="0"/>
        <v>0</v>
      </c>
      <c r="Z31" s="68">
        <f>IFERROR(SUMIF(CT撮影装置!$C$30:$C$74,B31,CT撮影装置!$K$30:$K$74)*((CT撮影装置!$H$3-CT撮影装置!$I$3)/CT撮影装置!$H$3),0)</f>
        <v>0</v>
      </c>
      <c r="AA31" s="69">
        <f t="shared" si="15"/>
        <v>0</v>
      </c>
      <c r="AB31" s="68">
        <f>IFERROR(SUMIF(生体情報モニタ!$C$30:$C$74,B31,生体情報モニタ!$K$30:$K$74)*((生体情報モニタ!$H$3-生体情報モニタ!$I$3)/生体情報モニタ!$H$3),0)</f>
        <v>0</v>
      </c>
      <c r="AC31" s="69">
        <f t="shared" si="1"/>
        <v>0</v>
      </c>
      <c r="AD31" s="68">
        <f>IFERROR(SUMIF(分娩監視装置!$C$30:$C$74,B31,分娩監視装置!$K$30:$K$74)*((分娩監視装置!$H$3-分娩監視装置!$I$3)/分娩監視装置!$H$3),0)</f>
        <v>0</v>
      </c>
      <c r="AE31" s="69">
        <f t="shared" si="16"/>
        <v>0</v>
      </c>
      <c r="AF31" s="68">
        <f>IFERROR(SUMIF(新生児モニタ!$C$30:$C$74,B31,新生児モニタ!$K$30:$K$74)*((新生児モニタ!$H$3-新生児モニタ!$I$3)/新生児モニタ!$H$3),0)</f>
        <v>0</v>
      </c>
      <c r="AG31" s="69">
        <f t="shared" si="17"/>
        <v>0</v>
      </c>
    </row>
    <row r="32" spans="2:33">
      <c r="B32" s="65" t="s">
        <v>701</v>
      </c>
      <c r="C32" s="68">
        <f>IFERROR(SUMIF(初度設備!$C$30:$C$74,B32,初度設備!$N$30:$N$74)*((初度設備!$H$3-初度設備!$I$3)/初度設備!$H$3),0)</f>
        <v>0</v>
      </c>
      <c r="D32" s="69">
        <f t="shared" si="2"/>
        <v>0</v>
      </c>
      <c r="E32" s="68">
        <f>IFERROR(SUMIF(人工呼吸器!$C$30:$C$74,B32,人工呼吸器!$N$30:$N$74)*((人工呼吸器!$H$3-人工呼吸器!$I$3)/人工呼吸器!$H$3),0)</f>
        <v>0</v>
      </c>
      <c r="F32" s="69">
        <f t="shared" si="3"/>
        <v>0</v>
      </c>
      <c r="G32" s="69">
        <f t="shared" si="4"/>
        <v>0</v>
      </c>
      <c r="H32" s="69">
        <f t="shared" si="5"/>
        <v>0</v>
      </c>
      <c r="I32" s="68">
        <f>IFERROR(SUMIF(簡易陰圧装置!$C$30:$C$74,B32,簡易陰圧装置!$N$30:$N$74)*((簡易陰圧装置!$H$3-簡易陰圧装置!$I$3)/簡易陰圧装置!$H$3),0)</f>
        <v>0</v>
      </c>
      <c r="J32" s="69">
        <f t="shared" si="6"/>
        <v>0</v>
      </c>
      <c r="K32" s="68">
        <f>IFERROR(SUMIF(#REF!,B32,#REF!)*((#REF!-#REF!)/#REF!),0)</f>
        <v>0</v>
      </c>
      <c r="L32" s="69">
        <f t="shared" si="7"/>
        <v>0</v>
      </c>
      <c r="M32" s="68">
        <f>IFERROR(SUMIF(体外式膜型人工肺!$C$30:$C$74,B32,体外式膜型人工肺!$N$30:$N$74)*((体外式膜型人工肺!$H$3-体外式膜型人工肺!$I$3)/体外式膜型人工肺!$H$3),0)</f>
        <v>0</v>
      </c>
      <c r="N32" s="69">
        <f t="shared" si="8"/>
        <v>0</v>
      </c>
      <c r="O32" s="69">
        <f t="shared" si="9"/>
        <v>0</v>
      </c>
      <c r="P32" s="69">
        <f t="shared" si="10"/>
        <v>0</v>
      </c>
      <c r="Q32" s="68">
        <f>IFERROR(SUMIF(紫外線照射装置!$C$30:$C$74,B32,紫外線照射装置!$N$30:$N$74)*((紫外線照射装置!$H$3-紫外線照射装置!$I$3)/紫外線照射装置!$H$3),0)</f>
        <v>0</v>
      </c>
      <c r="R32" s="69">
        <f t="shared" si="11"/>
        <v>0</v>
      </c>
      <c r="S32" s="102">
        <f t="shared" si="12"/>
        <v>0</v>
      </c>
      <c r="T32" s="68">
        <f>IFERROR(SUMIF(超音波画像診断装置!$C$30:$C$74,B32,超音波画像診断装置!$K$30:$K$74)*((超音波画像診断装置!$H$3-超音波画像診断装置!$I$3)/超音波画像診断装置!$H$3),0)</f>
        <v>0</v>
      </c>
      <c r="U32" s="69">
        <f t="shared" si="13"/>
        <v>0</v>
      </c>
      <c r="V32" s="68">
        <f>IFERROR(SUMIF(血液浄化装置!$C$30:$C$74,B32,血液浄化装置!$K$30:$K$74)*((血液浄化装置!$H$3-血液浄化装置!$I$3)/血液浄化装置!$H$3),0)</f>
        <v>0</v>
      </c>
      <c r="W32" s="69">
        <f t="shared" si="14"/>
        <v>0</v>
      </c>
      <c r="X32" s="68">
        <f>IFERROR(SUMIF(気管支鏡!$C$30:$C$74,B32,気管支鏡!$K$30:$K$74)*((気管支鏡!$H$3-気管支鏡!$I$3)/気管支鏡!$H$3),0)</f>
        <v>0</v>
      </c>
      <c r="Y32" s="69">
        <f t="shared" si="0"/>
        <v>0</v>
      </c>
      <c r="Z32" s="68">
        <f>IFERROR(SUMIF(CT撮影装置!$C$30:$C$74,B32,CT撮影装置!$K$30:$K$74)*((CT撮影装置!$H$3-CT撮影装置!$I$3)/CT撮影装置!$H$3),0)</f>
        <v>0</v>
      </c>
      <c r="AA32" s="69">
        <f t="shared" si="15"/>
        <v>0</v>
      </c>
      <c r="AB32" s="68">
        <f>IFERROR(SUMIF(生体情報モニタ!$C$30:$C$74,B32,生体情報モニタ!$K$30:$K$74)*((生体情報モニタ!$H$3-生体情報モニタ!$I$3)/生体情報モニタ!$H$3),0)</f>
        <v>0</v>
      </c>
      <c r="AC32" s="69">
        <f t="shared" si="1"/>
        <v>0</v>
      </c>
      <c r="AD32" s="68">
        <f>IFERROR(SUMIF(分娩監視装置!$C$30:$C$74,B32,分娩監視装置!$K$30:$K$74)*((分娩監視装置!$H$3-分娩監視装置!$I$3)/分娩監視装置!$H$3),0)</f>
        <v>0</v>
      </c>
      <c r="AE32" s="69">
        <f t="shared" si="16"/>
        <v>0</v>
      </c>
      <c r="AF32" s="68">
        <f>IFERROR(SUMIF(新生児モニタ!$C$30:$C$74,B32,新生児モニタ!$K$30:$K$74)*((新生児モニタ!$H$3-新生児モニタ!$I$3)/新生児モニタ!$H$3),0)</f>
        <v>0</v>
      </c>
      <c r="AG32" s="69">
        <f t="shared" si="17"/>
        <v>0</v>
      </c>
    </row>
    <row r="33" spans="2:33">
      <c r="B33" s="65" t="s">
        <v>702</v>
      </c>
      <c r="C33" s="68">
        <f>IFERROR(SUMIF(初度設備!$C$30:$C$74,B33,初度設備!$N$30:$N$74)*((初度設備!$H$3-初度設備!$I$3)/初度設備!$H$3),0)</f>
        <v>0</v>
      </c>
      <c r="D33" s="69">
        <f t="shared" si="2"/>
        <v>0</v>
      </c>
      <c r="E33" s="68">
        <f>IFERROR(SUMIF(人工呼吸器!$C$30:$C$74,B33,人工呼吸器!$N$30:$N$74)*((人工呼吸器!$H$3-人工呼吸器!$I$3)/人工呼吸器!$H$3),0)</f>
        <v>0</v>
      </c>
      <c r="F33" s="69">
        <f t="shared" si="3"/>
        <v>0</v>
      </c>
      <c r="G33" s="69">
        <f t="shared" si="4"/>
        <v>0</v>
      </c>
      <c r="H33" s="69">
        <f t="shared" si="5"/>
        <v>0</v>
      </c>
      <c r="I33" s="68">
        <f>IFERROR(SUMIF(簡易陰圧装置!$C$30:$C$74,B33,簡易陰圧装置!$N$30:$N$74)*((簡易陰圧装置!$H$3-簡易陰圧装置!$I$3)/簡易陰圧装置!$H$3),0)</f>
        <v>0</v>
      </c>
      <c r="J33" s="69">
        <f t="shared" si="6"/>
        <v>0</v>
      </c>
      <c r="K33" s="68">
        <f>IFERROR(SUMIF(#REF!,B33,#REF!)*((#REF!-#REF!)/#REF!),0)</f>
        <v>0</v>
      </c>
      <c r="L33" s="69">
        <f t="shared" si="7"/>
        <v>0</v>
      </c>
      <c r="M33" s="68">
        <f>IFERROR(SUMIF(体外式膜型人工肺!$C$30:$C$74,B33,体外式膜型人工肺!$N$30:$N$74)*((体外式膜型人工肺!$H$3-体外式膜型人工肺!$I$3)/体外式膜型人工肺!$H$3),0)</f>
        <v>0</v>
      </c>
      <c r="N33" s="69">
        <f t="shared" si="8"/>
        <v>0</v>
      </c>
      <c r="O33" s="69">
        <f t="shared" si="9"/>
        <v>0</v>
      </c>
      <c r="P33" s="69">
        <f t="shared" si="10"/>
        <v>0</v>
      </c>
      <c r="Q33" s="68">
        <f>IFERROR(SUMIF(紫外線照射装置!$C$30:$C$74,B33,紫外線照射装置!$N$30:$N$74)*((紫外線照射装置!$H$3-紫外線照射装置!$I$3)/紫外線照射装置!$H$3),0)</f>
        <v>0</v>
      </c>
      <c r="R33" s="69">
        <f t="shared" si="11"/>
        <v>0</v>
      </c>
      <c r="S33" s="102">
        <f t="shared" si="12"/>
        <v>0</v>
      </c>
      <c r="T33" s="68">
        <f>IFERROR(SUMIF(超音波画像診断装置!$C$30:$C$74,B33,超音波画像診断装置!$K$30:$K$74)*((超音波画像診断装置!$H$3-超音波画像診断装置!$I$3)/超音波画像診断装置!$H$3),0)</f>
        <v>0</v>
      </c>
      <c r="U33" s="69">
        <f t="shared" si="13"/>
        <v>0</v>
      </c>
      <c r="V33" s="68">
        <f>IFERROR(SUMIF(血液浄化装置!$C$30:$C$74,B33,血液浄化装置!$K$30:$K$74)*((血液浄化装置!$H$3-血液浄化装置!$I$3)/血液浄化装置!$H$3),0)</f>
        <v>0</v>
      </c>
      <c r="W33" s="69">
        <f t="shared" si="14"/>
        <v>0</v>
      </c>
      <c r="X33" s="68">
        <f>IFERROR(SUMIF(気管支鏡!$C$30:$C$74,B33,気管支鏡!$K$30:$K$74)*((気管支鏡!$H$3-気管支鏡!$I$3)/気管支鏡!$H$3),0)</f>
        <v>0</v>
      </c>
      <c r="Y33" s="69">
        <f t="shared" si="0"/>
        <v>0</v>
      </c>
      <c r="Z33" s="68">
        <f>IFERROR(SUMIF(CT撮影装置!$C$30:$C$74,B33,CT撮影装置!$K$30:$K$74)*((CT撮影装置!$H$3-CT撮影装置!$I$3)/CT撮影装置!$H$3),0)</f>
        <v>0</v>
      </c>
      <c r="AA33" s="69">
        <f t="shared" si="15"/>
        <v>0</v>
      </c>
      <c r="AB33" s="68">
        <f>IFERROR(SUMIF(生体情報モニタ!$C$30:$C$74,B33,生体情報モニタ!$K$30:$K$74)*((生体情報モニタ!$H$3-生体情報モニタ!$I$3)/生体情報モニタ!$H$3),0)</f>
        <v>0</v>
      </c>
      <c r="AC33" s="69">
        <f t="shared" si="1"/>
        <v>0</v>
      </c>
      <c r="AD33" s="68">
        <f>IFERROR(SUMIF(分娩監視装置!$C$30:$C$74,B33,分娩監視装置!$K$30:$K$74)*((分娩監視装置!$H$3-分娩監視装置!$I$3)/分娩監視装置!$H$3),0)</f>
        <v>0</v>
      </c>
      <c r="AE33" s="69">
        <f t="shared" si="16"/>
        <v>0</v>
      </c>
      <c r="AF33" s="68">
        <f>IFERROR(SUMIF(新生児モニタ!$C$30:$C$74,B33,新生児モニタ!$K$30:$K$74)*((新生児モニタ!$H$3-新生児モニタ!$I$3)/新生児モニタ!$H$3),0)</f>
        <v>0</v>
      </c>
      <c r="AG33" s="69">
        <f t="shared" si="17"/>
        <v>0</v>
      </c>
    </row>
    <row r="34" spans="2:33">
      <c r="B34" s="65" t="s">
        <v>703</v>
      </c>
      <c r="C34" s="68">
        <f>IFERROR(SUMIF(初度設備!$C$30:$C$74,B34,初度設備!$N$30:$N$74)*((初度設備!$H$3-初度設備!$I$3)/初度設備!$H$3),0)</f>
        <v>0</v>
      </c>
      <c r="D34" s="69">
        <f t="shared" si="2"/>
        <v>0</v>
      </c>
      <c r="E34" s="68">
        <f>IFERROR(SUMIF(人工呼吸器!$C$30:$C$74,B34,人工呼吸器!$N$30:$N$74)*((人工呼吸器!$H$3-人工呼吸器!$I$3)/人工呼吸器!$H$3),0)</f>
        <v>0</v>
      </c>
      <c r="F34" s="69">
        <f t="shared" si="3"/>
        <v>0</v>
      </c>
      <c r="G34" s="69">
        <f t="shared" si="4"/>
        <v>0</v>
      </c>
      <c r="H34" s="69">
        <f t="shared" si="5"/>
        <v>0</v>
      </c>
      <c r="I34" s="68">
        <f>IFERROR(SUMIF(簡易陰圧装置!$C$30:$C$74,B34,簡易陰圧装置!$N$30:$N$74)*((簡易陰圧装置!$H$3-簡易陰圧装置!$I$3)/簡易陰圧装置!$H$3),0)</f>
        <v>0</v>
      </c>
      <c r="J34" s="69">
        <f t="shared" si="6"/>
        <v>0</v>
      </c>
      <c r="K34" s="68">
        <f>IFERROR(SUMIF(#REF!,B34,#REF!)*((#REF!-#REF!)/#REF!),0)</f>
        <v>0</v>
      </c>
      <c r="L34" s="69">
        <f t="shared" si="7"/>
        <v>0</v>
      </c>
      <c r="M34" s="68">
        <f>IFERROR(SUMIF(体外式膜型人工肺!$C$30:$C$74,B34,体外式膜型人工肺!$N$30:$N$74)*((体外式膜型人工肺!$H$3-体外式膜型人工肺!$I$3)/体外式膜型人工肺!$H$3),0)</f>
        <v>0</v>
      </c>
      <c r="N34" s="69">
        <f t="shared" si="8"/>
        <v>0</v>
      </c>
      <c r="O34" s="69">
        <f t="shared" si="9"/>
        <v>0</v>
      </c>
      <c r="P34" s="69">
        <f t="shared" si="10"/>
        <v>0</v>
      </c>
      <c r="Q34" s="68">
        <f>IFERROR(SUMIF(紫外線照射装置!$C$30:$C$74,B34,紫外線照射装置!$N$30:$N$74)*((紫外線照射装置!$H$3-紫外線照射装置!$I$3)/紫外線照射装置!$H$3),0)</f>
        <v>0</v>
      </c>
      <c r="R34" s="69">
        <f t="shared" si="11"/>
        <v>0</v>
      </c>
      <c r="S34" s="102">
        <f t="shared" si="12"/>
        <v>0</v>
      </c>
      <c r="T34" s="68">
        <f>IFERROR(SUMIF(超音波画像診断装置!$C$30:$C$74,B34,超音波画像診断装置!$K$30:$K$74)*((超音波画像診断装置!$H$3-超音波画像診断装置!$I$3)/超音波画像診断装置!$H$3),0)</f>
        <v>0</v>
      </c>
      <c r="U34" s="69">
        <f t="shared" si="13"/>
        <v>0</v>
      </c>
      <c r="V34" s="68">
        <f>IFERROR(SUMIF(血液浄化装置!$C$30:$C$74,B34,血液浄化装置!$K$30:$K$74)*((血液浄化装置!$H$3-血液浄化装置!$I$3)/血液浄化装置!$H$3),0)</f>
        <v>0</v>
      </c>
      <c r="W34" s="69">
        <f t="shared" si="14"/>
        <v>0</v>
      </c>
      <c r="X34" s="68">
        <f>IFERROR(SUMIF(気管支鏡!$C$30:$C$74,B34,気管支鏡!$K$30:$K$74)*((気管支鏡!$H$3-気管支鏡!$I$3)/気管支鏡!$H$3),0)</f>
        <v>0</v>
      </c>
      <c r="Y34" s="69">
        <f t="shared" si="0"/>
        <v>0</v>
      </c>
      <c r="Z34" s="68">
        <f>IFERROR(SUMIF(CT撮影装置!$C$30:$C$74,B34,CT撮影装置!$K$30:$K$74)*((CT撮影装置!$H$3-CT撮影装置!$I$3)/CT撮影装置!$H$3),0)</f>
        <v>0</v>
      </c>
      <c r="AA34" s="69">
        <f t="shared" si="15"/>
        <v>0</v>
      </c>
      <c r="AB34" s="68">
        <f>IFERROR(SUMIF(生体情報モニタ!$C$30:$C$74,B34,生体情報モニタ!$K$30:$K$74)*((生体情報モニタ!$H$3-生体情報モニタ!$I$3)/生体情報モニタ!$H$3),0)</f>
        <v>0</v>
      </c>
      <c r="AC34" s="69">
        <f t="shared" si="1"/>
        <v>0</v>
      </c>
      <c r="AD34" s="68">
        <f>IFERROR(SUMIF(分娩監視装置!$C$30:$C$74,B34,分娩監視装置!$K$30:$K$74)*((分娩監視装置!$H$3-分娩監視装置!$I$3)/分娩監視装置!$H$3),0)</f>
        <v>0</v>
      </c>
      <c r="AE34" s="69">
        <f t="shared" si="16"/>
        <v>0</v>
      </c>
      <c r="AF34" s="68">
        <f>IFERROR(SUMIF(新生児モニタ!$C$30:$C$74,B34,新生児モニタ!$K$30:$K$74)*((新生児モニタ!$H$3-新生児モニタ!$I$3)/新生児モニタ!$H$3),0)</f>
        <v>0</v>
      </c>
      <c r="AG34" s="69">
        <f t="shared" si="17"/>
        <v>0</v>
      </c>
    </row>
    <row r="35" spans="2:33">
      <c r="B35" s="65" t="s">
        <v>704</v>
      </c>
      <c r="C35" s="68">
        <f>IFERROR(SUMIF(初度設備!$C$30:$C$74,B35,初度設備!$N$30:$N$74)*((初度設備!$H$3-初度設備!$I$3)/初度設備!$H$3),0)</f>
        <v>0</v>
      </c>
      <c r="D35" s="69">
        <f t="shared" si="2"/>
        <v>0</v>
      </c>
      <c r="E35" s="68">
        <f>IFERROR(SUMIF(人工呼吸器!$C$30:$C$74,B35,人工呼吸器!$N$30:$N$74)*((人工呼吸器!$H$3-人工呼吸器!$I$3)/人工呼吸器!$H$3),0)</f>
        <v>0</v>
      </c>
      <c r="F35" s="69">
        <f t="shared" si="3"/>
        <v>0</v>
      </c>
      <c r="G35" s="69">
        <f t="shared" si="4"/>
        <v>0</v>
      </c>
      <c r="H35" s="69">
        <f t="shared" si="5"/>
        <v>0</v>
      </c>
      <c r="I35" s="68">
        <f>IFERROR(SUMIF(簡易陰圧装置!$C$30:$C$74,B35,簡易陰圧装置!$N$30:$N$74)*((簡易陰圧装置!$H$3-簡易陰圧装置!$I$3)/簡易陰圧装置!$H$3),0)</f>
        <v>0</v>
      </c>
      <c r="J35" s="69">
        <f t="shared" si="6"/>
        <v>0</v>
      </c>
      <c r="K35" s="68">
        <f>IFERROR(SUMIF(#REF!,B35,#REF!)*((#REF!-#REF!)/#REF!),0)</f>
        <v>0</v>
      </c>
      <c r="L35" s="69">
        <f t="shared" si="7"/>
        <v>0</v>
      </c>
      <c r="M35" s="68">
        <f>IFERROR(SUMIF(体外式膜型人工肺!$C$30:$C$74,B35,体外式膜型人工肺!$N$30:$N$74)*((体外式膜型人工肺!$H$3-体外式膜型人工肺!$I$3)/体外式膜型人工肺!$H$3),0)</f>
        <v>0</v>
      </c>
      <c r="N35" s="69">
        <f t="shared" si="8"/>
        <v>0</v>
      </c>
      <c r="O35" s="69">
        <f t="shared" si="9"/>
        <v>0</v>
      </c>
      <c r="P35" s="69">
        <f t="shared" si="10"/>
        <v>0</v>
      </c>
      <c r="Q35" s="68">
        <f>IFERROR(SUMIF(紫外線照射装置!$C$30:$C$74,B35,紫外線照射装置!$N$30:$N$74)*((紫外線照射装置!$H$3-紫外線照射装置!$I$3)/紫外線照射装置!$H$3),0)</f>
        <v>0</v>
      </c>
      <c r="R35" s="69">
        <f t="shared" si="11"/>
        <v>0</v>
      </c>
      <c r="S35" s="102">
        <f t="shared" si="12"/>
        <v>0</v>
      </c>
      <c r="T35" s="68">
        <f>IFERROR(SUMIF(超音波画像診断装置!$C$30:$C$74,B35,超音波画像診断装置!$K$30:$K$74)*((超音波画像診断装置!$H$3-超音波画像診断装置!$I$3)/超音波画像診断装置!$H$3),0)</f>
        <v>0</v>
      </c>
      <c r="U35" s="69">
        <f t="shared" si="13"/>
        <v>0</v>
      </c>
      <c r="V35" s="68">
        <f>IFERROR(SUMIF(血液浄化装置!$C$30:$C$74,B35,血液浄化装置!$K$30:$K$74)*((血液浄化装置!$H$3-血液浄化装置!$I$3)/血液浄化装置!$H$3),0)</f>
        <v>0</v>
      </c>
      <c r="W35" s="69">
        <f t="shared" si="14"/>
        <v>0</v>
      </c>
      <c r="X35" s="68">
        <f>IFERROR(SUMIF(気管支鏡!$C$30:$C$74,B35,気管支鏡!$K$30:$K$74)*((気管支鏡!$H$3-気管支鏡!$I$3)/気管支鏡!$H$3),0)</f>
        <v>0</v>
      </c>
      <c r="Y35" s="69">
        <f t="shared" si="0"/>
        <v>0</v>
      </c>
      <c r="Z35" s="68">
        <f>IFERROR(SUMIF(CT撮影装置!$C$30:$C$74,B35,CT撮影装置!$K$30:$K$74)*((CT撮影装置!$H$3-CT撮影装置!$I$3)/CT撮影装置!$H$3),0)</f>
        <v>0</v>
      </c>
      <c r="AA35" s="69">
        <f t="shared" si="15"/>
        <v>0</v>
      </c>
      <c r="AB35" s="68">
        <f>IFERROR(SUMIF(生体情報モニタ!$C$30:$C$74,B35,生体情報モニタ!$K$30:$K$74)*((生体情報モニタ!$H$3-生体情報モニタ!$I$3)/生体情報モニタ!$H$3),0)</f>
        <v>0</v>
      </c>
      <c r="AC35" s="69">
        <f t="shared" si="1"/>
        <v>0</v>
      </c>
      <c r="AD35" s="68">
        <f>IFERROR(SUMIF(分娩監視装置!$C$30:$C$74,B35,分娩監視装置!$K$30:$K$74)*((分娩監視装置!$H$3-分娩監視装置!$I$3)/分娩監視装置!$H$3),0)</f>
        <v>0</v>
      </c>
      <c r="AE35" s="69">
        <f t="shared" si="16"/>
        <v>0</v>
      </c>
      <c r="AF35" s="68">
        <f>IFERROR(SUMIF(新生児モニタ!$C$30:$C$74,B35,新生児モニタ!$K$30:$K$74)*((新生児モニタ!$H$3-新生児モニタ!$I$3)/新生児モニタ!$H$3),0)</f>
        <v>0</v>
      </c>
      <c r="AG35" s="69">
        <f t="shared" si="17"/>
        <v>0</v>
      </c>
    </row>
    <row r="36" spans="2:33">
      <c r="B36" s="65" t="s">
        <v>705</v>
      </c>
      <c r="C36" s="68">
        <f>IFERROR(SUMIF(初度設備!$C$30:$C$74,B36,初度設備!$N$30:$N$74)*((初度設備!$H$3-初度設備!$I$3)/初度設備!$H$3),0)</f>
        <v>0</v>
      </c>
      <c r="D36" s="69">
        <f t="shared" si="2"/>
        <v>0</v>
      </c>
      <c r="E36" s="68">
        <f>IFERROR(SUMIF(人工呼吸器!$C$30:$C$74,B36,人工呼吸器!$N$30:$N$74)*((人工呼吸器!$H$3-人工呼吸器!$I$3)/人工呼吸器!$H$3),0)</f>
        <v>0</v>
      </c>
      <c r="F36" s="69">
        <f t="shared" si="3"/>
        <v>0</v>
      </c>
      <c r="G36" s="69">
        <f t="shared" si="4"/>
        <v>0</v>
      </c>
      <c r="H36" s="69">
        <f t="shared" si="5"/>
        <v>0</v>
      </c>
      <c r="I36" s="68">
        <f>IFERROR(SUMIF(簡易陰圧装置!$C$30:$C$74,B36,簡易陰圧装置!$N$30:$N$74)*((簡易陰圧装置!$H$3-簡易陰圧装置!$I$3)/簡易陰圧装置!$H$3),0)</f>
        <v>0</v>
      </c>
      <c r="J36" s="69">
        <f t="shared" si="6"/>
        <v>0</v>
      </c>
      <c r="K36" s="68">
        <f>IFERROR(SUMIF(#REF!,B36,#REF!)*((#REF!-#REF!)/#REF!),0)</f>
        <v>0</v>
      </c>
      <c r="L36" s="69">
        <f t="shared" si="7"/>
        <v>0</v>
      </c>
      <c r="M36" s="68">
        <f>IFERROR(SUMIF(体外式膜型人工肺!$C$30:$C$74,B36,体外式膜型人工肺!$N$30:$N$74)*((体外式膜型人工肺!$H$3-体外式膜型人工肺!$I$3)/体外式膜型人工肺!$H$3),0)</f>
        <v>0</v>
      </c>
      <c r="N36" s="69">
        <f t="shared" si="8"/>
        <v>0</v>
      </c>
      <c r="O36" s="69">
        <f t="shared" si="9"/>
        <v>0</v>
      </c>
      <c r="P36" s="69">
        <f t="shared" si="10"/>
        <v>0</v>
      </c>
      <c r="Q36" s="68">
        <f>IFERROR(SUMIF(紫外線照射装置!$C$30:$C$74,B36,紫外線照射装置!$N$30:$N$74)*((紫外線照射装置!$H$3-紫外線照射装置!$I$3)/紫外線照射装置!$H$3),0)</f>
        <v>0</v>
      </c>
      <c r="R36" s="69">
        <f t="shared" si="11"/>
        <v>0</v>
      </c>
      <c r="S36" s="102">
        <f t="shared" si="12"/>
        <v>0</v>
      </c>
      <c r="T36" s="68">
        <f>IFERROR(SUMIF(超音波画像診断装置!$C$30:$C$74,B36,超音波画像診断装置!$K$30:$K$74)*((超音波画像診断装置!$H$3-超音波画像診断装置!$I$3)/超音波画像診断装置!$H$3),0)</f>
        <v>0</v>
      </c>
      <c r="U36" s="69">
        <f t="shared" si="13"/>
        <v>0</v>
      </c>
      <c r="V36" s="68">
        <f>IFERROR(SUMIF(血液浄化装置!$C$30:$C$74,B36,血液浄化装置!$K$30:$K$74)*((血液浄化装置!$H$3-血液浄化装置!$I$3)/血液浄化装置!$H$3),0)</f>
        <v>0</v>
      </c>
      <c r="W36" s="69">
        <f t="shared" si="14"/>
        <v>0</v>
      </c>
      <c r="X36" s="68">
        <f>IFERROR(SUMIF(気管支鏡!$C$30:$C$74,B36,気管支鏡!$K$30:$K$74)*((気管支鏡!$H$3-気管支鏡!$I$3)/気管支鏡!$H$3),0)</f>
        <v>0</v>
      </c>
      <c r="Y36" s="69">
        <f t="shared" si="0"/>
        <v>0</v>
      </c>
      <c r="Z36" s="68">
        <f>IFERROR(SUMIF(CT撮影装置!$C$30:$C$74,B36,CT撮影装置!$K$30:$K$74)*((CT撮影装置!$H$3-CT撮影装置!$I$3)/CT撮影装置!$H$3),0)</f>
        <v>0</v>
      </c>
      <c r="AA36" s="69">
        <f t="shared" si="15"/>
        <v>0</v>
      </c>
      <c r="AB36" s="68">
        <f>IFERROR(SUMIF(生体情報モニタ!$C$30:$C$74,B36,生体情報モニタ!$K$30:$K$74)*((生体情報モニタ!$H$3-生体情報モニタ!$I$3)/生体情報モニタ!$H$3),0)</f>
        <v>0</v>
      </c>
      <c r="AC36" s="69">
        <f t="shared" si="1"/>
        <v>0</v>
      </c>
      <c r="AD36" s="68">
        <f>IFERROR(SUMIF(分娩監視装置!$C$30:$C$74,B36,分娩監視装置!$K$30:$K$74)*((分娩監視装置!$H$3-分娩監視装置!$I$3)/分娩監視装置!$H$3),0)</f>
        <v>0</v>
      </c>
      <c r="AE36" s="69">
        <f t="shared" si="16"/>
        <v>0</v>
      </c>
      <c r="AF36" s="68">
        <f>IFERROR(SUMIF(新生児モニタ!$C$30:$C$74,B36,新生児モニタ!$K$30:$K$74)*((新生児モニタ!$H$3-新生児モニタ!$I$3)/新生児モニタ!$H$3),0)</f>
        <v>0</v>
      </c>
      <c r="AG36" s="69">
        <f t="shared" si="17"/>
        <v>0</v>
      </c>
    </row>
    <row r="37" spans="2:33">
      <c r="B37" s="65" t="s">
        <v>706</v>
      </c>
      <c r="C37" s="68">
        <f>IFERROR(SUMIF(初度設備!$C$30:$C$74,B37,初度設備!$N$30:$N$74)*((初度設備!$H$3-初度設備!$I$3)/初度設備!$H$3),0)</f>
        <v>0</v>
      </c>
      <c r="D37" s="69">
        <f t="shared" si="2"/>
        <v>0</v>
      </c>
      <c r="E37" s="68">
        <f>IFERROR(SUMIF(人工呼吸器!$C$30:$C$74,B37,人工呼吸器!$N$30:$N$74)*((人工呼吸器!$H$3-人工呼吸器!$I$3)/人工呼吸器!$H$3),0)</f>
        <v>0</v>
      </c>
      <c r="F37" s="69">
        <f t="shared" si="3"/>
        <v>0</v>
      </c>
      <c r="G37" s="69">
        <f t="shared" si="4"/>
        <v>0</v>
      </c>
      <c r="H37" s="69">
        <f t="shared" si="5"/>
        <v>0</v>
      </c>
      <c r="I37" s="68">
        <f>IFERROR(SUMIF(簡易陰圧装置!$C$30:$C$74,B37,簡易陰圧装置!$N$30:$N$74)*((簡易陰圧装置!$H$3-簡易陰圧装置!$I$3)/簡易陰圧装置!$H$3),0)</f>
        <v>0</v>
      </c>
      <c r="J37" s="69">
        <f t="shared" si="6"/>
        <v>0</v>
      </c>
      <c r="K37" s="68">
        <f>IFERROR(SUMIF(#REF!,B37,#REF!)*((#REF!-#REF!)/#REF!),0)</f>
        <v>0</v>
      </c>
      <c r="L37" s="69">
        <f t="shared" si="7"/>
        <v>0</v>
      </c>
      <c r="M37" s="68">
        <f>IFERROR(SUMIF(体外式膜型人工肺!$C$30:$C$74,B37,体外式膜型人工肺!$N$30:$N$74)*((体外式膜型人工肺!$H$3-体外式膜型人工肺!$I$3)/体外式膜型人工肺!$H$3),0)</f>
        <v>0</v>
      </c>
      <c r="N37" s="69">
        <f t="shared" si="8"/>
        <v>0</v>
      </c>
      <c r="O37" s="69">
        <f t="shared" si="9"/>
        <v>0</v>
      </c>
      <c r="P37" s="69">
        <f t="shared" si="10"/>
        <v>0</v>
      </c>
      <c r="Q37" s="68">
        <f>IFERROR(SUMIF(紫外線照射装置!$C$30:$C$74,B37,紫外線照射装置!$N$30:$N$74)*((紫外線照射装置!$H$3-紫外線照射装置!$I$3)/紫外線照射装置!$H$3),0)</f>
        <v>0</v>
      </c>
      <c r="R37" s="69">
        <f t="shared" si="11"/>
        <v>0</v>
      </c>
      <c r="S37" s="102">
        <f t="shared" si="12"/>
        <v>0</v>
      </c>
      <c r="T37" s="68">
        <f>IFERROR(SUMIF(超音波画像診断装置!$C$30:$C$74,B37,超音波画像診断装置!$K$30:$K$74)*((超音波画像診断装置!$H$3-超音波画像診断装置!$I$3)/超音波画像診断装置!$H$3),0)</f>
        <v>0</v>
      </c>
      <c r="U37" s="69">
        <f t="shared" si="13"/>
        <v>0</v>
      </c>
      <c r="V37" s="68">
        <f>IFERROR(SUMIF(血液浄化装置!$C$30:$C$74,B37,血液浄化装置!$K$30:$K$74)*((血液浄化装置!$H$3-血液浄化装置!$I$3)/血液浄化装置!$H$3),0)</f>
        <v>0</v>
      </c>
      <c r="W37" s="69">
        <f t="shared" si="14"/>
        <v>0</v>
      </c>
      <c r="X37" s="68">
        <f>IFERROR(SUMIF(気管支鏡!$C$30:$C$74,B37,気管支鏡!$K$30:$K$74)*((気管支鏡!$H$3-気管支鏡!$I$3)/気管支鏡!$H$3),0)</f>
        <v>0</v>
      </c>
      <c r="Y37" s="69">
        <f t="shared" si="0"/>
        <v>0</v>
      </c>
      <c r="Z37" s="68">
        <f>IFERROR(SUMIF(CT撮影装置!$C$30:$C$74,B37,CT撮影装置!$K$30:$K$74)*((CT撮影装置!$H$3-CT撮影装置!$I$3)/CT撮影装置!$H$3),0)</f>
        <v>0</v>
      </c>
      <c r="AA37" s="69">
        <f t="shared" si="15"/>
        <v>0</v>
      </c>
      <c r="AB37" s="68">
        <f>IFERROR(SUMIF(生体情報モニタ!$C$30:$C$74,B37,生体情報モニタ!$K$30:$K$74)*((生体情報モニタ!$H$3-生体情報モニタ!$I$3)/生体情報モニタ!$H$3),0)</f>
        <v>0</v>
      </c>
      <c r="AC37" s="69">
        <f t="shared" si="1"/>
        <v>0</v>
      </c>
      <c r="AD37" s="68">
        <f>IFERROR(SUMIF(分娩監視装置!$C$30:$C$74,B37,分娩監視装置!$K$30:$K$74)*((分娩監視装置!$H$3-分娩監視装置!$I$3)/分娩監視装置!$H$3),0)</f>
        <v>0</v>
      </c>
      <c r="AE37" s="69">
        <f t="shared" si="16"/>
        <v>0</v>
      </c>
      <c r="AF37" s="68">
        <f>IFERROR(SUMIF(新生児モニタ!$C$30:$C$74,B37,新生児モニタ!$K$30:$K$74)*((新生児モニタ!$H$3-新生児モニタ!$I$3)/新生児モニタ!$H$3),0)</f>
        <v>0</v>
      </c>
      <c r="AG37" s="69">
        <f t="shared" si="17"/>
        <v>0</v>
      </c>
    </row>
    <row r="38" spans="2:33">
      <c r="B38" s="65" t="s">
        <v>707</v>
      </c>
      <c r="C38" s="68">
        <f>IFERROR(SUMIF(初度設備!$C$30:$C$74,B38,初度設備!$N$30:$N$74)*((初度設備!$H$3-初度設備!$I$3)/初度設備!$H$3),0)</f>
        <v>0</v>
      </c>
      <c r="D38" s="69">
        <f t="shared" si="2"/>
        <v>0</v>
      </c>
      <c r="E38" s="68">
        <f>IFERROR(SUMIF(人工呼吸器!$C$30:$C$74,B38,人工呼吸器!$N$30:$N$74)*((人工呼吸器!$H$3-人工呼吸器!$I$3)/人工呼吸器!$H$3),0)</f>
        <v>0</v>
      </c>
      <c r="F38" s="69">
        <f t="shared" si="3"/>
        <v>0</v>
      </c>
      <c r="G38" s="69">
        <f t="shared" si="4"/>
        <v>0</v>
      </c>
      <c r="H38" s="69">
        <f t="shared" si="5"/>
        <v>0</v>
      </c>
      <c r="I38" s="68">
        <f>IFERROR(SUMIF(簡易陰圧装置!$C$30:$C$74,B38,簡易陰圧装置!$N$30:$N$74)*((簡易陰圧装置!$H$3-簡易陰圧装置!$I$3)/簡易陰圧装置!$H$3),0)</f>
        <v>0</v>
      </c>
      <c r="J38" s="69">
        <f t="shared" si="6"/>
        <v>0</v>
      </c>
      <c r="K38" s="68">
        <f>IFERROR(SUMIF(#REF!,B38,#REF!)*((#REF!-#REF!)/#REF!),0)</f>
        <v>0</v>
      </c>
      <c r="L38" s="69">
        <f t="shared" si="7"/>
        <v>0</v>
      </c>
      <c r="M38" s="68">
        <f>IFERROR(SUMIF(体外式膜型人工肺!$C$30:$C$74,B38,体外式膜型人工肺!$N$30:$N$74)*((体外式膜型人工肺!$H$3-体外式膜型人工肺!$I$3)/体外式膜型人工肺!$H$3),0)</f>
        <v>0</v>
      </c>
      <c r="N38" s="69">
        <f t="shared" si="8"/>
        <v>0</v>
      </c>
      <c r="O38" s="69">
        <f t="shared" si="9"/>
        <v>0</v>
      </c>
      <c r="P38" s="69">
        <f t="shared" si="10"/>
        <v>0</v>
      </c>
      <c r="Q38" s="68">
        <f>IFERROR(SUMIF(紫外線照射装置!$C$30:$C$74,B38,紫外線照射装置!$N$30:$N$74)*((紫外線照射装置!$H$3-紫外線照射装置!$I$3)/紫外線照射装置!$H$3),0)</f>
        <v>0</v>
      </c>
      <c r="R38" s="69">
        <f t="shared" si="11"/>
        <v>0</v>
      </c>
      <c r="S38" s="102">
        <f t="shared" si="12"/>
        <v>0</v>
      </c>
      <c r="T38" s="68">
        <f>IFERROR(SUMIF(超音波画像診断装置!$C$30:$C$74,B38,超音波画像診断装置!$K$30:$K$74)*((超音波画像診断装置!$H$3-超音波画像診断装置!$I$3)/超音波画像診断装置!$H$3),0)</f>
        <v>0</v>
      </c>
      <c r="U38" s="69">
        <f t="shared" si="13"/>
        <v>0</v>
      </c>
      <c r="V38" s="68">
        <f>IFERROR(SUMIF(血液浄化装置!$C$30:$C$74,B38,血液浄化装置!$K$30:$K$74)*((血液浄化装置!$H$3-血液浄化装置!$I$3)/血液浄化装置!$H$3),0)</f>
        <v>0</v>
      </c>
      <c r="W38" s="69">
        <f t="shared" si="14"/>
        <v>0</v>
      </c>
      <c r="X38" s="68">
        <f>IFERROR(SUMIF(気管支鏡!$C$30:$C$74,B38,気管支鏡!$K$30:$K$74)*((気管支鏡!$H$3-気管支鏡!$I$3)/気管支鏡!$H$3),0)</f>
        <v>0</v>
      </c>
      <c r="Y38" s="69">
        <f t="shared" si="0"/>
        <v>0</v>
      </c>
      <c r="Z38" s="68">
        <f>IFERROR(SUMIF(CT撮影装置!$C$30:$C$74,B38,CT撮影装置!$K$30:$K$74)*((CT撮影装置!$H$3-CT撮影装置!$I$3)/CT撮影装置!$H$3),0)</f>
        <v>0</v>
      </c>
      <c r="AA38" s="69">
        <f t="shared" si="15"/>
        <v>0</v>
      </c>
      <c r="AB38" s="68">
        <f>IFERROR(SUMIF(生体情報モニタ!$C$30:$C$74,B38,生体情報モニタ!$K$30:$K$74)*((生体情報モニタ!$H$3-生体情報モニタ!$I$3)/生体情報モニタ!$H$3),0)</f>
        <v>0</v>
      </c>
      <c r="AC38" s="69">
        <f t="shared" si="1"/>
        <v>0</v>
      </c>
      <c r="AD38" s="68">
        <f>IFERROR(SUMIF(分娩監視装置!$C$30:$C$74,B38,分娩監視装置!$K$30:$K$74)*((分娩監視装置!$H$3-分娩監視装置!$I$3)/分娩監視装置!$H$3),0)</f>
        <v>0</v>
      </c>
      <c r="AE38" s="69">
        <f t="shared" si="16"/>
        <v>0</v>
      </c>
      <c r="AF38" s="68">
        <f>IFERROR(SUMIF(新生児モニタ!$C$30:$C$74,B38,新生児モニタ!$K$30:$K$74)*((新生児モニタ!$H$3-新生児モニタ!$I$3)/新生児モニタ!$H$3),0)</f>
        <v>0</v>
      </c>
      <c r="AG38" s="69">
        <f t="shared" si="17"/>
        <v>0</v>
      </c>
    </row>
    <row r="39" spans="2:33">
      <c r="B39" s="65" t="s">
        <v>708</v>
      </c>
      <c r="C39" s="68">
        <f>IFERROR(SUMIF(初度設備!$C$30:$C$74,B39,初度設備!$N$30:$N$74)*((初度設備!$H$3-初度設備!$I$3)/初度設備!$H$3),0)</f>
        <v>0</v>
      </c>
      <c r="D39" s="69">
        <f t="shared" si="2"/>
        <v>0</v>
      </c>
      <c r="E39" s="68">
        <f>IFERROR(SUMIF(人工呼吸器!$C$30:$C$74,B39,人工呼吸器!$N$30:$N$74)*((人工呼吸器!$H$3-人工呼吸器!$I$3)/人工呼吸器!$H$3),0)</f>
        <v>0</v>
      </c>
      <c r="F39" s="69">
        <f t="shared" si="3"/>
        <v>0</v>
      </c>
      <c r="G39" s="69">
        <f t="shared" si="4"/>
        <v>0</v>
      </c>
      <c r="H39" s="69">
        <f t="shared" si="5"/>
        <v>0</v>
      </c>
      <c r="I39" s="68">
        <f>IFERROR(SUMIF(簡易陰圧装置!$C$30:$C$74,B39,簡易陰圧装置!$N$30:$N$74)*((簡易陰圧装置!$H$3-簡易陰圧装置!$I$3)/簡易陰圧装置!$H$3),0)</f>
        <v>0</v>
      </c>
      <c r="J39" s="69">
        <f t="shared" si="6"/>
        <v>0</v>
      </c>
      <c r="K39" s="68">
        <f>IFERROR(SUMIF(#REF!,B39,#REF!)*((#REF!-#REF!)/#REF!),0)</f>
        <v>0</v>
      </c>
      <c r="L39" s="69">
        <f t="shared" si="7"/>
        <v>0</v>
      </c>
      <c r="M39" s="68">
        <f>IFERROR(SUMIF(体外式膜型人工肺!$C$30:$C$74,B39,体外式膜型人工肺!$N$30:$N$74)*((体外式膜型人工肺!$H$3-体外式膜型人工肺!$I$3)/体外式膜型人工肺!$H$3),0)</f>
        <v>0</v>
      </c>
      <c r="N39" s="69">
        <f t="shared" si="8"/>
        <v>0</v>
      </c>
      <c r="O39" s="69">
        <f t="shared" si="9"/>
        <v>0</v>
      </c>
      <c r="P39" s="69">
        <f t="shared" si="10"/>
        <v>0</v>
      </c>
      <c r="Q39" s="68">
        <f>IFERROR(SUMIF(紫外線照射装置!$C$30:$C$74,B39,紫外線照射装置!$N$30:$N$74)*((紫外線照射装置!$H$3-紫外線照射装置!$I$3)/紫外線照射装置!$H$3),0)</f>
        <v>0</v>
      </c>
      <c r="R39" s="69">
        <f t="shared" si="11"/>
        <v>0</v>
      </c>
      <c r="S39" s="102">
        <f t="shared" si="12"/>
        <v>0</v>
      </c>
      <c r="T39" s="68">
        <f>IFERROR(SUMIF(超音波画像診断装置!$C$30:$C$74,B39,超音波画像診断装置!$K$30:$K$74)*((超音波画像診断装置!$H$3-超音波画像診断装置!$I$3)/超音波画像診断装置!$H$3),0)</f>
        <v>0</v>
      </c>
      <c r="U39" s="69">
        <f t="shared" si="13"/>
        <v>0</v>
      </c>
      <c r="V39" s="68">
        <f>IFERROR(SUMIF(血液浄化装置!$C$30:$C$74,B39,血液浄化装置!$K$30:$K$74)*((血液浄化装置!$H$3-血液浄化装置!$I$3)/血液浄化装置!$H$3),0)</f>
        <v>0</v>
      </c>
      <c r="W39" s="69">
        <f t="shared" si="14"/>
        <v>0</v>
      </c>
      <c r="X39" s="68">
        <f>IFERROR(SUMIF(気管支鏡!$C$30:$C$74,B39,気管支鏡!$K$30:$K$74)*((気管支鏡!$H$3-気管支鏡!$I$3)/気管支鏡!$H$3),0)</f>
        <v>0</v>
      </c>
      <c r="Y39" s="69">
        <f t="shared" si="0"/>
        <v>0</v>
      </c>
      <c r="Z39" s="68">
        <f>IFERROR(SUMIF(CT撮影装置!$C$30:$C$74,B39,CT撮影装置!$K$30:$K$74)*((CT撮影装置!$H$3-CT撮影装置!$I$3)/CT撮影装置!$H$3),0)</f>
        <v>0</v>
      </c>
      <c r="AA39" s="69">
        <f t="shared" si="15"/>
        <v>0</v>
      </c>
      <c r="AB39" s="68">
        <f>IFERROR(SUMIF(生体情報モニタ!$C$30:$C$74,B39,生体情報モニタ!$K$30:$K$74)*((生体情報モニタ!$H$3-生体情報モニタ!$I$3)/生体情報モニタ!$H$3),0)</f>
        <v>0</v>
      </c>
      <c r="AC39" s="69">
        <f t="shared" si="1"/>
        <v>0</v>
      </c>
      <c r="AD39" s="68">
        <f>IFERROR(SUMIF(分娩監視装置!$C$30:$C$74,B39,分娩監視装置!$K$30:$K$74)*((分娩監視装置!$H$3-分娩監視装置!$I$3)/分娩監視装置!$H$3),0)</f>
        <v>0</v>
      </c>
      <c r="AE39" s="69">
        <f t="shared" si="16"/>
        <v>0</v>
      </c>
      <c r="AF39" s="68">
        <f>IFERROR(SUMIF(新生児モニタ!$C$30:$C$74,B39,新生児モニタ!$K$30:$K$74)*((新生児モニタ!$H$3-新生児モニタ!$I$3)/新生児モニタ!$H$3),0)</f>
        <v>0</v>
      </c>
      <c r="AG39" s="69">
        <f t="shared" si="17"/>
        <v>0</v>
      </c>
    </row>
    <row r="40" spans="2:33">
      <c r="B40" s="65" t="s">
        <v>709</v>
      </c>
      <c r="C40" s="68">
        <f>IFERROR(SUMIF(初度設備!$C$30:$C$74,B40,初度設備!$N$30:$N$74)*((初度設備!$H$3-初度設備!$I$3)/初度設備!$H$3),0)</f>
        <v>0</v>
      </c>
      <c r="D40" s="69">
        <f t="shared" si="2"/>
        <v>0</v>
      </c>
      <c r="E40" s="68">
        <f>IFERROR(SUMIF(人工呼吸器!$C$30:$C$74,B40,人工呼吸器!$N$30:$N$74)*((人工呼吸器!$H$3-人工呼吸器!$I$3)/人工呼吸器!$H$3),0)</f>
        <v>0</v>
      </c>
      <c r="F40" s="69">
        <f t="shared" si="3"/>
        <v>0</v>
      </c>
      <c r="G40" s="69">
        <f t="shared" si="4"/>
        <v>0</v>
      </c>
      <c r="H40" s="69">
        <f t="shared" si="5"/>
        <v>0</v>
      </c>
      <c r="I40" s="68">
        <f>IFERROR(SUMIF(簡易陰圧装置!$C$30:$C$74,B40,簡易陰圧装置!$N$30:$N$74)*((簡易陰圧装置!$H$3-簡易陰圧装置!$I$3)/簡易陰圧装置!$H$3),0)</f>
        <v>0</v>
      </c>
      <c r="J40" s="69">
        <f t="shared" si="6"/>
        <v>0</v>
      </c>
      <c r="K40" s="68">
        <f>IFERROR(SUMIF(#REF!,B40,#REF!)*((#REF!-#REF!)/#REF!),0)</f>
        <v>0</v>
      </c>
      <c r="L40" s="69">
        <f t="shared" si="7"/>
        <v>0</v>
      </c>
      <c r="M40" s="68">
        <f>IFERROR(SUMIF(体外式膜型人工肺!$C$30:$C$74,B40,体外式膜型人工肺!$N$30:$N$74)*((体外式膜型人工肺!$H$3-体外式膜型人工肺!$I$3)/体外式膜型人工肺!$H$3),0)</f>
        <v>0</v>
      </c>
      <c r="N40" s="69">
        <f t="shared" si="8"/>
        <v>0</v>
      </c>
      <c r="O40" s="69">
        <f t="shared" si="9"/>
        <v>0</v>
      </c>
      <c r="P40" s="69">
        <f t="shared" si="10"/>
        <v>0</v>
      </c>
      <c r="Q40" s="68">
        <f>IFERROR(SUMIF(紫外線照射装置!$C$30:$C$74,B40,紫外線照射装置!$N$30:$N$74)*((紫外線照射装置!$H$3-紫外線照射装置!$I$3)/紫外線照射装置!$H$3),0)</f>
        <v>0</v>
      </c>
      <c r="R40" s="69">
        <f t="shared" si="11"/>
        <v>0</v>
      </c>
      <c r="S40" s="102">
        <f t="shared" si="12"/>
        <v>0</v>
      </c>
      <c r="T40" s="68">
        <f>IFERROR(SUMIF(超音波画像診断装置!$C$30:$C$74,B40,超音波画像診断装置!$K$30:$K$74)*((超音波画像診断装置!$H$3-超音波画像診断装置!$I$3)/超音波画像診断装置!$H$3),0)</f>
        <v>0</v>
      </c>
      <c r="U40" s="69">
        <f t="shared" si="13"/>
        <v>0</v>
      </c>
      <c r="V40" s="68">
        <f>IFERROR(SUMIF(血液浄化装置!$C$30:$C$74,B40,血液浄化装置!$K$30:$K$74)*((血液浄化装置!$H$3-血液浄化装置!$I$3)/血液浄化装置!$H$3),0)</f>
        <v>0</v>
      </c>
      <c r="W40" s="69">
        <f t="shared" si="14"/>
        <v>0</v>
      </c>
      <c r="X40" s="68">
        <f>IFERROR(SUMIF(気管支鏡!$C$30:$C$74,B40,気管支鏡!$K$30:$K$74)*((気管支鏡!$H$3-気管支鏡!$I$3)/気管支鏡!$H$3),0)</f>
        <v>0</v>
      </c>
      <c r="Y40" s="69">
        <f t="shared" si="0"/>
        <v>0</v>
      </c>
      <c r="Z40" s="68">
        <f>IFERROR(SUMIF(CT撮影装置!$C$30:$C$74,B40,CT撮影装置!$K$30:$K$74)*((CT撮影装置!$H$3-CT撮影装置!$I$3)/CT撮影装置!$H$3),0)</f>
        <v>0</v>
      </c>
      <c r="AA40" s="69">
        <f t="shared" si="15"/>
        <v>0</v>
      </c>
      <c r="AB40" s="68">
        <f>IFERROR(SUMIF(生体情報モニタ!$C$30:$C$74,B40,生体情報モニタ!$K$30:$K$74)*((生体情報モニタ!$H$3-生体情報モニタ!$I$3)/生体情報モニタ!$H$3),0)</f>
        <v>0</v>
      </c>
      <c r="AC40" s="69">
        <f t="shared" si="1"/>
        <v>0</v>
      </c>
      <c r="AD40" s="68">
        <f>IFERROR(SUMIF(分娩監視装置!$C$30:$C$74,B40,分娩監視装置!$K$30:$K$74)*((分娩監視装置!$H$3-分娩監視装置!$I$3)/分娩監視装置!$H$3),0)</f>
        <v>0</v>
      </c>
      <c r="AE40" s="69">
        <f t="shared" si="16"/>
        <v>0</v>
      </c>
      <c r="AF40" s="68">
        <f>IFERROR(SUMIF(新生児モニタ!$C$30:$C$74,B40,新生児モニタ!$K$30:$K$74)*((新生児モニタ!$H$3-新生児モニタ!$I$3)/新生児モニタ!$H$3),0)</f>
        <v>0</v>
      </c>
      <c r="AG40" s="69">
        <f t="shared" si="17"/>
        <v>0</v>
      </c>
    </row>
    <row r="41" spans="2:33">
      <c r="B41" s="65" t="s">
        <v>710</v>
      </c>
      <c r="C41" s="68">
        <f>IFERROR(SUMIF(初度設備!$C$30:$C$74,B41,初度設備!$N$30:$N$74)*((初度設備!$H$3-初度設備!$I$3)/初度設備!$H$3),0)</f>
        <v>0</v>
      </c>
      <c r="D41" s="69">
        <f t="shared" si="2"/>
        <v>0</v>
      </c>
      <c r="E41" s="68">
        <f>IFERROR(SUMIF(人工呼吸器!$C$30:$C$74,B41,人工呼吸器!$N$30:$N$74)*((人工呼吸器!$H$3-人工呼吸器!$I$3)/人工呼吸器!$H$3),0)</f>
        <v>0</v>
      </c>
      <c r="F41" s="69">
        <f t="shared" si="3"/>
        <v>0</v>
      </c>
      <c r="G41" s="69">
        <f t="shared" si="4"/>
        <v>0</v>
      </c>
      <c r="H41" s="69">
        <f t="shared" si="5"/>
        <v>0</v>
      </c>
      <c r="I41" s="68">
        <f>IFERROR(SUMIF(簡易陰圧装置!$C$30:$C$74,B41,簡易陰圧装置!$N$30:$N$74)*((簡易陰圧装置!$H$3-簡易陰圧装置!$I$3)/簡易陰圧装置!$H$3),0)</f>
        <v>0</v>
      </c>
      <c r="J41" s="69">
        <f t="shared" si="6"/>
        <v>0</v>
      </c>
      <c r="K41" s="68">
        <f>IFERROR(SUMIF(#REF!,B41,#REF!)*((#REF!-#REF!)/#REF!),0)</f>
        <v>0</v>
      </c>
      <c r="L41" s="69">
        <f t="shared" si="7"/>
        <v>0</v>
      </c>
      <c r="M41" s="68">
        <f>IFERROR(SUMIF(体外式膜型人工肺!$C$30:$C$74,B41,体外式膜型人工肺!$N$30:$N$74)*((体外式膜型人工肺!$H$3-体外式膜型人工肺!$I$3)/体外式膜型人工肺!$H$3),0)</f>
        <v>0</v>
      </c>
      <c r="N41" s="69">
        <f t="shared" si="8"/>
        <v>0</v>
      </c>
      <c r="O41" s="69">
        <f t="shared" si="9"/>
        <v>0</v>
      </c>
      <c r="P41" s="69">
        <f t="shared" si="10"/>
        <v>0</v>
      </c>
      <c r="Q41" s="68">
        <f>IFERROR(SUMIF(紫外線照射装置!$C$30:$C$74,B41,紫外線照射装置!$N$30:$N$74)*((紫外線照射装置!$H$3-紫外線照射装置!$I$3)/紫外線照射装置!$H$3),0)</f>
        <v>0</v>
      </c>
      <c r="R41" s="69">
        <f t="shared" si="11"/>
        <v>0</v>
      </c>
      <c r="S41" s="102">
        <f t="shared" si="12"/>
        <v>0</v>
      </c>
      <c r="T41" s="68">
        <f>IFERROR(SUMIF(超音波画像診断装置!$C$30:$C$74,B41,超音波画像診断装置!$K$30:$K$74)*((超音波画像診断装置!$H$3-超音波画像診断装置!$I$3)/超音波画像診断装置!$H$3),0)</f>
        <v>0</v>
      </c>
      <c r="U41" s="69">
        <f t="shared" si="13"/>
        <v>0</v>
      </c>
      <c r="V41" s="68">
        <f>IFERROR(SUMIF(血液浄化装置!$C$30:$C$74,B41,血液浄化装置!$K$30:$K$74)*((血液浄化装置!$H$3-血液浄化装置!$I$3)/血液浄化装置!$H$3),0)</f>
        <v>0</v>
      </c>
      <c r="W41" s="69">
        <f t="shared" si="14"/>
        <v>0</v>
      </c>
      <c r="X41" s="68">
        <f>IFERROR(SUMIF(気管支鏡!$C$30:$C$74,B41,気管支鏡!$K$30:$K$74)*((気管支鏡!$H$3-気管支鏡!$I$3)/気管支鏡!$H$3),0)</f>
        <v>0</v>
      </c>
      <c r="Y41" s="69">
        <f t="shared" si="0"/>
        <v>0</v>
      </c>
      <c r="Z41" s="68">
        <f>IFERROR(SUMIF(CT撮影装置!$C$30:$C$74,B41,CT撮影装置!$K$30:$K$74)*((CT撮影装置!$H$3-CT撮影装置!$I$3)/CT撮影装置!$H$3),0)</f>
        <v>0</v>
      </c>
      <c r="AA41" s="69">
        <f t="shared" si="15"/>
        <v>0</v>
      </c>
      <c r="AB41" s="68">
        <f>IFERROR(SUMIF(生体情報モニタ!$C$30:$C$74,B41,生体情報モニタ!$K$30:$K$74)*((生体情報モニタ!$H$3-生体情報モニタ!$I$3)/生体情報モニタ!$H$3),0)</f>
        <v>0</v>
      </c>
      <c r="AC41" s="69">
        <f t="shared" si="1"/>
        <v>0</v>
      </c>
      <c r="AD41" s="68">
        <f>IFERROR(SUMIF(分娩監視装置!$C$30:$C$74,B41,分娩監視装置!$K$30:$K$74)*((分娩監視装置!$H$3-分娩監視装置!$I$3)/分娩監視装置!$H$3),0)</f>
        <v>0</v>
      </c>
      <c r="AE41" s="69">
        <f t="shared" si="16"/>
        <v>0</v>
      </c>
      <c r="AF41" s="68">
        <f>IFERROR(SUMIF(新生児モニタ!$C$30:$C$74,B41,新生児モニタ!$K$30:$K$74)*((新生児モニタ!$H$3-新生児モニタ!$I$3)/新生児モニタ!$H$3),0)</f>
        <v>0</v>
      </c>
      <c r="AG41" s="69">
        <f t="shared" si="17"/>
        <v>0</v>
      </c>
    </row>
    <row r="42" spans="2:33">
      <c r="B42" s="65" t="s">
        <v>711</v>
      </c>
      <c r="C42" s="68">
        <f>IFERROR(SUMIF(初度設備!$C$30:$C$74,B42,初度設備!$N$30:$N$74)*((初度設備!$H$3-初度設備!$I$3)/初度設備!$H$3),0)</f>
        <v>0</v>
      </c>
      <c r="D42" s="69">
        <f t="shared" si="2"/>
        <v>0</v>
      </c>
      <c r="E42" s="68">
        <f>IFERROR(SUMIF(人工呼吸器!$C$30:$C$74,B42,人工呼吸器!$N$30:$N$74)*((人工呼吸器!$H$3-人工呼吸器!$I$3)/人工呼吸器!$H$3),0)</f>
        <v>0</v>
      </c>
      <c r="F42" s="69">
        <f t="shared" si="3"/>
        <v>0</v>
      </c>
      <c r="G42" s="69">
        <f t="shared" si="4"/>
        <v>0</v>
      </c>
      <c r="H42" s="69">
        <f t="shared" si="5"/>
        <v>0</v>
      </c>
      <c r="I42" s="68">
        <f>IFERROR(SUMIF(簡易陰圧装置!$C$30:$C$74,B42,簡易陰圧装置!$N$30:$N$74)*((簡易陰圧装置!$H$3-簡易陰圧装置!$I$3)/簡易陰圧装置!$H$3),0)</f>
        <v>0</v>
      </c>
      <c r="J42" s="69">
        <f t="shared" si="6"/>
        <v>0</v>
      </c>
      <c r="K42" s="68">
        <f>IFERROR(SUMIF(#REF!,B42,#REF!)*((#REF!-#REF!)/#REF!),0)</f>
        <v>0</v>
      </c>
      <c r="L42" s="69">
        <f t="shared" si="7"/>
        <v>0</v>
      </c>
      <c r="M42" s="68">
        <f>IFERROR(SUMIF(体外式膜型人工肺!$C$30:$C$74,B42,体外式膜型人工肺!$N$30:$N$74)*((体外式膜型人工肺!$H$3-体外式膜型人工肺!$I$3)/体外式膜型人工肺!$H$3),0)</f>
        <v>0</v>
      </c>
      <c r="N42" s="69">
        <f t="shared" si="8"/>
        <v>0</v>
      </c>
      <c r="O42" s="69">
        <f t="shared" si="9"/>
        <v>0</v>
      </c>
      <c r="P42" s="69">
        <f t="shared" si="10"/>
        <v>0</v>
      </c>
      <c r="Q42" s="68">
        <f>IFERROR(SUMIF(紫外線照射装置!$C$30:$C$74,B42,紫外線照射装置!$N$30:$N$74)*((紫外線照射装置!$H$3-紫外線照射装置!$I$3)/紫外線照射装置!$H$3),0)</f>
        <v>0</v>
      </c>
      <c r="R42" s="69">
        <f t="shared" si="11"/>
        <v>0</v>
      </c>
      <c r="S42" s="102">
        <f t="shared" si="12"/>
        <v>0</v>
      </c>
      <c r="T42" s="68">
        <f>IFERROR(SUMIF(超音波画像診断装置!$C$30:$C$74,B42,超音波画像診断装置!$K$30:$K$74)*((超音波画像診断装置!$H$3-超音波画像診断装置!$I$3)/超音波画像診断装置!$H$3),0)</f>
        <v>0</v>
      </c>
      <c r="U42" s="69">
        <f t="shared" si="13"/>
        <v>0</v>
      </c>
      <c r="V42" s="68">
        <f>IFERROR(SUMIF(血液浄化装置!$C$30:$C$74,B42,血液浄化装置!$K$30:$K$74)*((血液浄化装置!$H$3-血液浄化装置!$I$3)/血液浄化装置!$H$3),0)</f>
        <v>0</v>
      </c>
      <c r="W42" s="69">
        <f t="shared" si="14"/>
        <v>0</v>
      </c>
      <c r="X42" s="68">
        <f>IFERROR(SUMIF(気管支鏡!$C$30:$C$74,B42,気管支鏡!$K$30:$K$74)*((気管支鏡!$H$3-気管支鏡!$I$3)/気管支鏡!$H$3),0)</f>
        <v>0</v>
      </c>
      <c r="Y42" s="69">
        <f t="shared" si="0"/>
        <v>0</v>
      </c>
      <c r="Z42" s="68">
        <f>IFERROR(SUMIF(CT撮影装置!$C$30:$C$74,B42,CT撮影装置!$K$30:$K$74)*((CT撮影装置!$H$3-CT撮影装置!$I$3)/CT撮影装置!$H$3),0)</f>
        <v>0</v>
      </c>
      <c r="AA42" s="69">
        <f t="shared" si="15"/>
        <v>0</v>
      </c>
      <c r="AB42" s="68">
        <f>IFERROR(SUMIF(生体情報モニタ!$C$30:$C$74,B42,生体情報モニタ!$K$30:$K$74)*((生体情報モニタ!$H$3-生体情報モニタ!$I$3)/生体情報モニタ!$H$3),0)</f>
        <v>0</v>
      </c>
      <c r="AC42" s="69">
        <f t="shared" si="1"/>
        <v>0</v>
      </c>
      <c r="AD42" s="68">
        <f>IFERROR(SUMIF(分娩監視装置!$C$30:$C$74,B42,分娩監視装置!$K$30:$K$74)*((分娩監視装置!$H$3-分娩監視装置!$I$3)/分娩監視装置!$H$3),0)</f>
        <v>0</v>
      </c>
      <c r="AE42" s="69">
        <f t="shared" si="16"/>
        <v>0</v>
      </c>
      <c r="AF42" s="68">
        <f>IFERROR(SUMIF(新生児モニタ!$C$30:$C$74,B42,新生児モニタ!$K$30:$K$74)*((新生児モニタ!$H$3-新生児モニタ!$I$3)/新生児モニタ!$H$3),0)</f>
        <v>0</v>
      </c>
      <c r="AG42" s="69">
        <f t="shared" si="17"/>
        <v>0</v>
      </c>
    </row>
    <row r="43" spans="2:33">
      <c r="B43" s="65" t="s">
        <v>712</v>
      </c>
      <c r="C43" s="68">
        <f>IFERROR(SUMIF(初度設備!$C$30:$C$74,B43,初度設備!$N$30:$N$74)*((初度設備!$H$3-初度設備!$I$3)/初度設備!$H$3),0)</f>
        <v>0</v>
      </c>
      <c r="D43" s="69">
        <f t="shared" si="2"/>
        <v>0</v>
      </c>
      <c r="E43" s="68">
        <f>IFERROR(SUMIF(人工呼吸器!$C$30:$C$74,B43,人工呼吸器!$N$30:$N$74)*((人工呼吸器!$H$3-人工呼吸器!$I$3)/人工呼吸器!$H$3),0)</f>
        <v>0</v>
      </c>
      <c r="F43" s="69">
        <f t="shared" si="3"/>
        <v>0</v>
      </c>
      <c r="G43" s="69">
        <f t="shared" si="4"/>
        <v>0</v>
      </c>
      <c r="H43" s="69">
        <f t="shared" si="5"/>
        <v>0</v>
      </c>
      <c r="I43" s="68">
        <f>IFERROR(SUMIF(簡易陰圧装置!$C$30:$C$74,B43,簡易陰圧装置!$N$30:$N$74)*((簡易陰圧装置!$H$3-簡易陰圧装置!$I$3)/簡易陰圧装置!$H$3),0)</f>
        <v>0</v>
      </c>
      <c r="J43" s="69">
        <f t="shared" si="6"/>
        <v>0</v>
      </c>
      <c r="K43" s="68">
        <f>IFERROR(SUMIF(#REF!,B43,#REF!)*((#REF!-#REF!)/#REF!),0)</f>
        <v>0</v>
      </c>
      <c r="L43" s="69">
        <f t="shared" si="7"/>
        <v>0</v>
      </c>
      <c r="M43" s="68">
        <f>IFERROR(SUMIF(体外式膜型人工肺!$C$30:$C$74,B43,体外式膜型人工肺!$N$30:$N$74)*((体外式膜型人工肺!$H$3-体外式膜型人工肺!$I$3)/体外式膜型人工肺!$H$3),0)</f>
        <v>0</v>
      </c>
      <c r="N43" s="69">
        <f t="shared" si="8"/>
        <v>0</v>
      </c>
      <c r="O43" s="69">
        <f t="shared" si="9"/>
        <v>0</v>
      </c>
      <c r="P43" s="69">
        <f t="shared" si="10"/>
        <v>0</v>
      </c>
      <c r="Q43" s="68">
        <f>IFERROR(SUMIF(紫外線照射装置!$C$30:$C$74,B43,紫外線照射装置!$N$30:$N$74)*((紫外線照射装置!$H$3-紫外線照射装置!$I$3)/紫外線照射装置!$H$3),0)</f>
        <v>0</v>
      </c>
      <c r="R43" s="69">
        <f t="shared" si="11"/>
        <v>0</v>
      </c>
      <c r="S43" s="102">
        <f t="shared" si="12"/>
        <v>0</v>
      </c>
      <c r="T43" s="68">
        <f>IFERROR(SUMIF(超音波画像診断装置!$C$30:$C$74,B43,超音波画像診断装置!$K$30:$K$74)*((超音波画像診断装置!$H$3-超音波画像診断装置!$I$3)/超音波画像診断装置!$H$3),0)</f>
        <v>0</v>
      </c>
      <c r="U43" s="69">
        <f t="shared" si="13"/>
        <v>0</v>
      </c>
      <c r="V43" s="68">
        <f>IFERROR(SUMIF(血液浄化装置!$C$30:$C$74,B43,血液浄化装置!$K$30:$K$74)*((血液浄化装置!$H$3-血液浄化装置!$I$3)/血液浄化装置!$H$3),0)</f>
        <v>0</v>
      </c>
      <c r="W43" s="69">
        <f t="shared" si="14"/>
        <v>0</v>
      </c>
      <c r="X43" s="68">
        <f>IFERROR(SUMIF(気管支鏡!$C$30:$C$74,B43,気管支鏡!$K$30:$K$74)*((気管支鏡!$H$3-気管支鏡!$I$3)/気管支鏡!$H$3),0)</f>
        <v>0</v>
      </c>
      <c r="Y43" s="69">
        <f t="shared" si="0"/>
        <v>0</v>
      </c>
      <c r="Z43" s="68">
        <f>IFERROR(SUMIF(CT撮影装置!$C$30:$C$74,B43,CT撮影装置!$K$30:$K$74)*((CT撮影装置!$H$3-CT撮影装置!$I$3)/CT撮影装置!$H$3),0)</f>
        <v>0</v>
      </c>
      <c r="AA43" s="69">
        <f t="shared" si="15"/>
        <v>0</v>
      </c>
      <c r="AB43" s="68">
        <f>IFERROR(SUMIF(生体情報モニタ!$C$30:$C$74,B43,生体情報モニタ!$K$30:$K$74)*((生体情報モニタ!$H$3-生体情報モニタ!$I$3)/生体情報モニタ!$H$3),0)</f>
        <v>0</v>
      </c>
      <c r="AC43" s="69">
        <f t="shared" si="1"/>
        <v>0</v>
      </c>
      <c r="AD43" s="68">
        <f>IFERROR(SUMIF(分娩監視装置!$C$30:$C$74,B43,分娩監視装置!$K$30:$K$74)*((分娩監視装置!$H$3-分娩監視装置!$I$3)/分娩監視装置!$H$3),0)</f>
        <v>0</v>
      </c>
      <c r="AE43" s="69">
        <f t="shared" si="16"/>
        <v>0</v>
      </c>
      <c r="AF43" s="68">
        <f>IFERROR(SUMIF(新生児モニタ!$C$30:$C$74,B43,新生児モニタ!$K$30:$K$74)*((新生児モニタ!$H$3-新生児モニタ!$I$3)/新生児モニタ!$H$3),0)</f>
        <v>0</v>
      </c>
      <c r="AG43" s="69">
        <f t="shared" si="17"/>
        <v>0</v>
      </c>
    </row>
    <row r="44" spans="2:33">
      <c r="B44" s="65" t="s">
        <v>713</v>
      </c>
      <c r="C44" s="68">
        <f>IFERROR(SUMIF(初度設備!$C$30:$C$74,B44,初度設備!$N$30:$N$74)*((初度設備!$H$3-初度設備!$I$3)/初度設備!$H$3),0)</f>
        <v>0</v>
      </c>
      <c r="D44" s="69">
        <f t="shared" si="2"/>
        <v>0</v>
      </c>
      <c r="E44" s="68">
        <f>IFERROR(SUMIF(人工呼吸器!$C$30:$C$74,B44,人工呼吸器!$N$30:$N$74)*((人工呼吸器!$H$3-人工呼吸器!$I$3)/人工呼吸器!$H$3),0)</f>
        <v>0</v>
      </c>
      <c r="F44" s="69">
        <f t="shared" si="3"/>
        <v>0</v>
      </c>
      <c r="G44" s="69">
        <f t="shared" si="4"/>
        <v>0</v>
      </c>
      <c r="H44" s="69">
        <f t="shared" si="5"/>
        <v>0</v>
      </c>
      <c r="I44" s="68">
        <f>IFERROR(SUMIF(簡易陰圧装置!$C$30:$C$74,B44,簡易陰圧装置!$N$30:$N$74)*((簡易陰圧装置!$H$3-簡易陰圧装置!$I$3)/簡易陰圧装置!$H$3),0)</f>
        <v>0</v>
      </c>
      <c r="J44" s="69">
        <f t="shared" si="6"/>
        <v>0</v>
      </c>
      <c r="K44" s="68">
        <f>IFERROR(SUMIF(#REF!,B44,#REF!)*((#REF!-#REF!)/#REF!),0)</f>
        <v>0</v>
      </c>
      <c r="L44" s="69">
        <f t="shared" si="7"/>
        <v>0</v>
      </c>
      <c r="M44" s="68">
        <f>IFERROR(SUMIF(体外式膜型人工肺!$C$30:$C$74,B44,体外式膜型人工肺!$N$30:$N$74)*((体外式膜型人工肺!$H$3-体外式膜型人工肺!$I$3)/体外式膜型人工肺!$H$3),0)</f>
        <v>0</v>
      </c>
      <c r="N44" s="69">
        <f t="shared" si="8"/>
        <v>0</v>
      </c>
      <c r="O44" s="69">
        <f t="shared" si="9"/>
        <v>0</v>
      </c>
      <c r="P44" s="69">
        <f t="shared" si="10"/>
        <v>0</v>
      </c>
      <c r="Q44" s="68">
        <f>IFERROR(SUMIF(紫外線照射装置!$C$30:$C$74,B44,紫外線照射装置!$N$30:$N$74)*((紫外線照射装置!$H$3-紫外線照射装置!$I$3)/紫外線照射装置!$H$3),0)</f>
        <v>0</v>
      </c>
      <c r="R44" s="69">
        <f t="shared" si="11"/>
        <v>0</v>
      </c>
      <c r="S44" s="102">
        <f t="shared" si="12"/>
        <v>0</v>
      </c>
      <c r="T44" s="68">
        <f>IFERROR(SUMIF(超音波画像診断装置!$C$30:$C$74,B44,超音波画像診断装置!$K$30:$K$74)*((超音波画像診断装置!$H$3-超音波画像診断装置!$I$3)/超音波画像診断装置!$H$3),0)</f>
        <v>0</v>
      </c>
      <c r="U44" s="69">
        <f t="shared" si="13"/>
        <v>0</v>
      </c>
      <c r="V44" s="68">
        <f>IFERROR(SUMIF(血液浄化装置!$C$30:$C$74,B44,血液浄化装置!$K$30:$K$74)*((血液浄化装置!$H$3-血液浄化装置!$I$3)/血液浄化装置!$H$3),0)</f>
        <v>0</v>
      </c>
      <c r="W44" s="69">
        <f t="shared" si="14"/>
        <v>0</v>
      </c>
      <c r="X44" s="68">
        <f>IFERROR(SUMIF(気管支鏡!$C$30:$C$74,B44,気管支鏡!$K$30:$K$74)*((気管支鏡!$H$3-気管支鏡!$I$3)/気管支鏡!$H$3),0)</f>
        <v>0</v>
      </c>
      <c r="Y44" s="69">
        <f t="shared" si="0"/>
        <v>0</v>
      </c>
      <c r="Z44" s="68">
        <f>IFERROR(SUMIF(CT撮影装置!$C$30:$C$74,B44,CT撮影装置!$K$30:$K$74)*((CT撮影装置!$H$3-CT撮影装置!$I$3)/CT撮影装置!$H$3),0)</f>
        <v>0</v>
      </c>
      <c r="AA44" s="69">
        <f t="shared" si="15"/>
        <v>0</v>
      </c>
      <c r="AB44" s="68">
        <f>IFERROR(SUMIF(生体情報モニタ!$C$30:$C$74,B44,生体情報モニタ!$K$30:$K$74)*((生体情報モニタ!$H$3-生体情報モニタ!$I$3)/生体情報モニタ!$H$3),0)</f>
        <v>0</v>
      </c>
      <c r="AC44" s="69">
        <f t="shared" si="1"/>
        <v>0</v>
      </c>
      <c r="AD44" s="68">
        <f>IFERROR(SUMIF(分娩監視装置!$C$30:$C$74,B44,分娩監視装置!$K$30:$K$74)*((分娩監視装置!$H$3-分娩監視装置!$I$3)/分娩監視装置!$H$3),0)</f>
        <v>0</v>
      </c>
      <c r="AE44" s="69">
        <f t="shared" si="16"/>
        <v>0</v>
      </c>
      <c r="AF44" s="68">
        <f>IFERROR(SUMIF(新生児モニタ!$C$30:$C$74,B44,新生児モニタ!$K$30:$K$74)*((新生児モニタ!$H$3-新生児モニタ!$I$3)/新生児モニタ!$H$3),0)</f>
        <v>0</v>
      </c>
      <c r="AG44" s="69">
        <f t="shared" si="17"/>
        <v>0</v>
      </c>
    </row>
    <row r="45" spans="2:33">
      <c r="B45" s="65" t="s">
        <v>714</v>
      </c>
      <c r="C45" s="68">
        <f>IFERROR(SUMIF(初度設備!$C$30:$C$74,B45,初度設備!$N$30:$N$74)*((初度設備!$H$3-初度設備!$I$3)/初度設備!$H$3),0)</f>
        <v>0</v>
      </c>
      <c r="D45" s="69">
        <f t="shared" si="2"/>
        <v>0</v>
      </c>
      <c r="E45" s="68">
        <f>IFERROR(SUMIF(人工呼吸器!$C$30:$C$74,B45,人工呼吸器!$N$30:$N$74)*((人工呼吸器!$H$3-人工呼吸器!$I$3)/人工呼吸器!$H$3),0)</f>
        <v>0</v>
      </c>
      <c r="F45" s="69">
        <f t="shared" si="3"/>
        <v>0</v>
      </c>
      <c r="G45" s="69">
        <f t="shared" si="4"/>
        <v>0</v>
      </c>
      <c r="H45" s="69">
        <f t="shared" si="5"/>
        <v>0</v>
      </c>
      <c r="I45" s="68">
        <f>IFERROR(SUMIF(簡易陰圧装置!$C$30:$C$74,B45,簡易陰圧装置!$N$30:$N$74)*((簡易陰圧装置!$H$3-簡易陰圧装置!$I$3)/簡易陰圧装置!$H$3),0)</f>
        <v>0</v>
      </c>
      <c r="J45" s="69">
        <f t="shared" si="6"/>
        <v>0</v>
      </c>
      <c r="K45" s="68">
        <f>IFERROR(SUMIF(#REF!,B45,#REF!)*((#REF!-#REF!)/#REF!),0)</f>
        <v>0</v>
      </c>
      <c r="L45" s="69">
        <f t="shared" si="7"/>
        <v>0</v>
      </c>
      <c r="M45" s="68">
        <f>IFERROR(SUMIF(体外式膜型人工肺!$C$30:$C$74,B45,体外式膜型人工肺!$N$30:$N$74)*((体外式膜型人工肺!$H$3-体外式膜型人工肺!$I$3)/体外式膜型人工肺!$H$3),0)</f>
        <v>0</v>
      </c>
      <c r="N45" s="69">
        <f t="shared" si="8"/>
        <v>0</v>
      </c>
      <c r="O45" s="69">
        <f t="shared" si="9"/>
        <v>0</v>
      </c>
      <c r="P45" s="69">
        <f t="shared" si="10"/>
        <v>0</v>
      </c>
      <c r="Q45" s="68">
        <f>IFERROR(SUMIF(紫外線照射装置!$C$30:$C$74,B45,紫外線照射装置!$N$30:$N$74)*((紫外線照射装置!$H$3-紫外線照射装置!$I$3)/紫外線照射装置!$H$3),0)</f>
        <v>0</v>
      </c>
      <c r="R45" s="69">
        <f t="shared" si="11"/>
        <v>0</v>
      </c>
      <c r="S45" s="102">
        <f t="shared" si="12"/>
        <v>0</v>
      </c>
      <c r="T45" s="68">
        <f>IFERROR(SUMIF(超音波画像診断装置!$C$30:$C$74,B45,超音波画像診断装置!$K$30:$K$74)*((超音波画像診断装置!$H$3-超音波画像診断装置!$I$3)/超音波画像診断装置!$H$3),0)</f>
        <v>0</v>
      </c>
      <c r="U45" s="69">
        <f t="shared" si="13"/>
        <v>0</v>
      </c>
      <c r="V45" s="68">
        <f>IFERROR(SUMIF(血液浄化装置!$C$30:$C$74,B45,血液浄化装置!$K$30:$K$74)*((血液浄化装置!$H$3-血液浄化装置!$I$3)/血液浄化装置!$H$3),0)</f>
        <v>0</v>
      </c>
      <c r="W45" s="69">
        <f t="shared" si="14"/>
        <v>0</v>
      </c>
      <c r="X45" s="68">
        <f>IFERROR(SUMIF(気管支鏡!$C$30:$C$74,B45,気管支鏡!$K$30:$K$74)*((気管支鏡!$H$3-気管支鏡!$I$3)/気管支鏡!$H$3),0)</f>
        <v>0</v>
      </c>
      <c r="Y45" s="69">
        <f t="shared" si="0"/>
        <v>0</v>
      </c>
      <c r="Z45" s="68">
        <f>IFERROR(SUMIF(CT撮影装置!$C$30:$C$74,B45,CT撮影装置!$K$30:$K$74)*((CT撮影装置!$H$3-CT撮影装置!$I$3)/CT撮影装置!$H$3),0)</f>
        <v>0</v>
      </c>
      <c r="AA45" s="69">
        <f t="shared" si="15"/>
        <v>0</v>
      </c>
      <c r="AB45" s="68">
        <f>IFERROR(SUMIF(生体情報モニタ!$C$30:$C$74,B45,生体情報モニタ!$K$30:$K$74)*((生体情報モニタ!$H$3-生体情報モニタ!$I$3)/生体情報モニタ!$H$3),0)</f>
        <v>0</v>
      </c>
      <c r="AC45" s="69">
        <f t="shared" si="1"/>
        <v>0</v>
      </c>
      <c r="AD45" s="68">
        <f>IFERROR(SUMIF(分娩監視装置!$C$30:$C$74,B45,分娩監視装置!$K$30:$K$74)*((分娩監視装置!$H$3-分娩監視装置!$I$3)/分娩監視装置!$H$3),0)</f>
        <v>0</v>
      </c>
      <c r="AE45" s="69">
        <f t="shared" si="16"/>
        <v>0</v>
      </c>
      <c r="AF45" s="68">
        <f>IFERROR(SUMIF(新生児モニタ!$C$30:$C$74,B45,新生児モニタ!$K$30:$K$74)*((新生児モニタ!$H$3-新生児モニタ!$I$3)/新生児モニタ!$H$3),0)</f>
        <v>0</v>
      </c>
      <c r="AG45" s="69">
        <f t="shared" si="17"/>
        <v>0</v>
      </c>
    </row>
    <row r="46" spans="2:33">
      <c r="B46" s="65" t="s">
        <v>715</v>
      </c>
      <c r="C46" s="68">
        <f>IFERROR(SUMIF(初度設備!$C$30:$C$74,B46,初度設備!$N$30:$N$74)*((初度設備!$H$3-初度設備!$I$3)/初度設備!$H$3),0)</f>
        <v>0</v>
      </c>
      <c r="D46" s="69">
        <f t="shared" si="2"/>
        <v>0</v>
      </c>
      <c r="E46" s="68">
        <f>IFERROR(SUMIF(人工呼吸器!$C$30:$C$74,B46,人工呼吸器!$N$30:$N$74)*((人工呼吸器!$H$3-人工呼吸器!$I$3)/人工呼吸器!$H$3),0)</f>
        <v>0</v>
      </c>
      <c r="F46" s="69">
        <f t="shared" si="3"/>
        <v>0</v>
      </c>
      <c r="G46" s="69">
        <f t="shared" si="4"/>
        <v>0</v>
      </c>
      <c r="H46" s="69">
        <f t="shared" si="5"/>
        <v>0</v>
      </c>
      <c r="I46" s="68">
        <f>IFERROR(SUMIF(簡易陰圧装置!$C$30:$C$74,B46,簡易陰圧装置!$N$30:$N$74)*((簡易陰圧装置!$H$3-簡易陰圧装置!$I$3)/簡易陰圧装置!$H$3),0)</f>
        <v>0</v>
      </c>
      <c r="J46" s="69">
        <f t="shared" si="6"/>
        <v>0</v>
      </c>
      <c r="K46" s="68">
        <f>IFERROR(SUMIF(#REF!,B46,#REF!)*((#REF!-#REF!)/#REF!),0)</f>
        <v>0</v>
      </c>
      <c r="L46" s="69">
        <f t="shared" si="7"/>
        <v>0</v>
      </c>
      <c r="M46" s="68">
        <f>IFERROR(SUMIF(体外式膜型人工肺!$C$30:$C$74,B46,体外式膜型人工肺!$N$30:$N$74)*((体外式膜型人工肺!$H$3-体外式膜型人工肺!$I$3)/体外式膜型人工肺!$H$3),0)</f>
        <v>0</v>
      </c>
      <c r="N46" s="69">
        <f t="shared" si="8"/>
        <v>0</v>
      </c>
      <c r="O46" s="69">
        <f t="shared" si="9"/>
        <v>0</v>
      </c>
      <c r="P46" s="69">
        <f t="shared" si="10"/>
        <v>0</v>
      </c>
      <c r="Q46" s="68">
        <f>IFERROR(SUMIF(紫外線照射装置!$C$30:$C$74,B46,紫外線照射装置!$N$30:$N$74)*((紫外線照射装置!$H$3-紫外線照射装置!$I$3)/紫外線照射装置!$H$3),0)</f>
        <v>0</v>
      </c>
      <c r="R46" s="69">
        <f t="shared" si="11"/>
        <v>0</v>
      </c>
      <c r="S46" s="102">
        <f t="shared" si="12"/>
        <v>0</v>
      </c>
      <c r="T46" s="68">
        <f>IFERROR(SUMIF(超音波画像診断装置!$C$30:$C$74,B46,超音波画像診断装置!$K$30:$K$74)*((超音波画像診断装置!$H$3-超音波画像診断装置!$I$3)/超音波画像診断装置!$H$3),0)</f>
        <v>0</v>
      </c>
      <c r="U46" s="69">
        <f t="shared" si="13"/>
        <v>0</v>
      </c>
      <c r="V46" s="68">
        <f>IFERROR(SUMIF(血液浄化装置!$C$30:$C$74,B46,血液浄化装置!$K$30:$K$74)*((血液浄化装置!$H$3-血液浄化装置!$I$3)/血液浄化装置!$H$3),0)</f>
        <v>0</v>
      </c>
      <c r="W46" s="69">
        <f t="shared" si="14"/>
        <v>0</v>
      </c>
      <c r="X46" s="68">
        <f>IFERROR(SUMIF(気管支鏡!$C$30:$C$74,B46,気管支鏡!$K$30:$K$74)*((気管支鏡!$H$3-気管支鏡!$I$3)/気管支鏡!$H$3),0)</f>
        <v>0</v>
      </c>
      <c r="Y46" s="69">
        <f t="shared" si="0"/>
        <v>0</v>
      </c>
      <c r="Z46" s="68">
        <f>IFERROR(SUMIF(CT撮影装置!$C$30:$C$74,B46,CT撮影装置!$K$30:$K$74)*((CT撮影装置!$H$3-CT撮影装置!$I$3)/CT撮影装置!$H$3),0)</f>
        <v>0</v>
      </c>
      <c r="AA46" s="69">
        <f t="shared" si="15"/>
        <v>0</v>
      </c>
      <c r="AB46" s="68">
        <f>IFERROR(SUMIF(生体情報モニタ!$C$30:$C$74,B46,生体情報モニタ!$K$30:$K$74)*((生体情報モニタ!$H$3-生体情報モニタ!$I$3)/生体情報モニタ!$H$3),0)</f>
        <v>0</v>
      </c>
      <c r="AC46" s="69">
        <f t="shared" si="1"/>
        <v>0</v>
      </c>
      <c r="AD46" s="68">
        <f>IFERROR(SUMIF(分娩監視装置!$C$30:$C$74,B46,分娩監視装置!$K$30:$K$74)*((分娩監視装置!$H$3-分娩監視装置!$I$3)/分娩監視装置!$H$3),0)</f>
        <v>0</v>
      </c>
      <c r="AE46" s="69">
        <f t="shared" si="16"/>
        <v>0</v>
      </c>
      <c r="AF46" s="68">
        <f>IFERROR(SUMIF(新生児モニタ!$C$30:$C$74,B46,新生児モニタ!$K$30:$K$74)*((新生児モニタ!$H$3-新生児モニタ!$I$3)/新生児モニタ!$H$3),0)</f>
        <v>0</v>
      </c>
      <c r="AG46" s="69">
        <f t="shared" si="17"/>
        <v>0</v>
      </c>
    </row>
    <row r="47" spans="2:33">
      <c r="B47" s="65" t="s">
        <v>716</v>
      </c>
      <c r="C47" s="68">
        <f>IFERROR(SUMIF(初度設備!$C$30:$C$74,B47,初度設備!$N$30:$N$74)*((初度設備!$H$3-初度設備!$I$3)/初度設備!$H$3),0)</f>
        <v>0</v>
      </c>
      <c r="D47" s="69">
        <f t="shared" si="2"/>
        <v>0</v>
      </c>
      <c r="E47" s="68">
        <f>IFERROR(SUMIF(人工呼吸器!$C$30:$C$74,B47,人工呼吸器!$N$30:$N$74)*((人工呼吸器!$H$3-人工呼吸器!$I$3)/人工呼吸器!$H$3),0)</f>
        <v>0</v>
      </c>
      <c r="F47" s="69">
        <f t="shared" si="3"/>
        <v>0</v>
      </c>
      <c r="G47" s="69">
        <f t="shared" si="4"/>
        <v>0</v>
      </c>
      <c r="H47" s="69">
        <f t="shared" si="5"/>
        <v>0</v>
      </c>
      <c r="I47" s="68">
        <f>IFERROR(SUMIF(簡易陰圧装置!$C$30:$C$74,B47,簡易陰圧装置!$N$30:$N$74)*((簡易陰圧装置!$H$3-簡易陰圧装置!$I$3)/簡易陰圧装置!$H$3),0)</f>
        <v>0</v>
      </c>
      <c r="J47" s="69">
        <f t="shared" si="6"/>
        <v>0</v>
      </c>
      <c r="K47" s="68">
        <f>IFERROR(SUMIF(#REF!,B47,#REF!)*((#REF!-#REF!)/#REF!),0)</f>
        <v>0</v>
      </c>
      <c r="L47" s="69">
        <f t="shared" si="7"/>
        <v>0</v>
      </c>
      <c r="M47" s="68">
        <f>IFERROR(SUMIF(体外式膜型人工肺!$C$30:$C$74,B47,体外式膜型人工肺!$N$30:$N$74)*((体外式膜型人工肺!$H$3-体外式膜型人工肺!$I$3)/体外式膜型人工肺!$H$3),0)</f>
        <v>0</v>
      </c>
      <c r="N47" s="69">
        <f t="shared" si="8"/>
        <v>0</v>
      </c>
      <c r="O47" s="69">
        <f t="shared" si="9"/>
        <v>0</v>
      </c>
      <c r="P47" s="69">
        <f t="shared" si="10"/>
        <v>0</v>
      </c>
      <c r="Q47" s="68">
        <f>IFERROR(SUMIF(紫外線照射装置!$C$30:$C$74,B47,紫外線照射装置!$N$30:$N$74)*((紫外線照射装置!$H$3-紫外線照射装置!$I$3)/紫外線照射装置!$H$3),0)</f>
        <v>0</v>
      </c>
      <c r="R47" s="69">
        <f t="shared" si="11"/>
        <v>0</v>
      </c>
      <c r="S47" s="102">
        <f t="shared" si="12"/>
        <v>0</v>
      </c>
      <c r="T47" s="68">
        <f>IFERROR(SUMIF(超音波画像診断装置!$C$30:$C$74,B47,超音波画像診断装置!$K$30:$K$74)*((超音波画像診断装置!$H$3-超音波画像診断装置!$I$3)/超音波画像診断装置!$H$3),0)</f>
        <v>0</v>
      </c>
      <c r="U47" s="69">
        <f t="shared" si="13"/>
        <v>0</v>
      </c>
      <c r="V47" s="68">
        <f>IFERROR(SUMIF(血液浄化装置!$C$30:$C$74,B47,血液浄化装置!$K$30:$K$74)*((血液浄化装置!$H$3-血液浄化装置!$I$3)/血液浄化装置!$H$3),0)</f>
        <v>0</v>
      </c>
      <c r="W47" s="69">
        <f t="shared" si="14"/>
        <v>0</v>
      </c>
      <c r="X47" s="68">
        <f>IFERROR(SUMIF(気管支鏡!$C$30:$C$74,B47,気管支鏡!$K$30:$K$74)*((気管支鏡!$H$3-気管支鏡!$I$3)/気管支鏡!$H$3),0)</f>
        <v>0</v>
      </c>
      <c r="Y47" s="69">
        <f t="shared" si="0"/>
        <v>0</v>
      </c>
      <c r="Z47" s="68">
        <f>IFERROR(SUMIF(CT撮影装置!$C$30:$C$74,B47,CT撮影装置!$K$30:$K$74)*((CT撮影装置!$H$3-CT撮影装置!$I$3)/CT撮影装置!$H$3),0)</f>
        <v>0</v>
      </c>
      <c r="AA47" s="69">
        <f t="shared" si="15"/>
        <v>0</v>
      </c>
      <c r="AB47" s="68">
        <f>IFERROR(SUMIF(生体情報モニタ!$C$30:$C$74,B47,生体情報モニタ!$K$30:$K$74)*((生体情報モニタ!$H$3-生体情報モニタ!$I$3)/生体情報モニタ!$H$3),0)</f>
        <v>0</v>
      </c>
      <c r="AC47" s="69">
        <f t="shared" si="1"/>
        <v>0</v>
      </c>
      <c r="AD47" s="68">
        <f>IFERROR(SUMIF(分娩監視装置!$C$30:$C$74,B47,分娩監視装置!$K$30:$K$74)*((分娩監視装置!$H$3-分娩監視装置!$I$3)/分娩監視装置!$H$3),0)</f>
        <v>0</v>
      </c>
      <c r="AE47" s="69">
        <f t="shared" si="16"/>
        <v>0</v>
      </c>
      <c r="AF47" s="68">
        <f>IFERROR(SUMIF(新生児モニタ!$C$30:$C$74,B47,新生児モニタ!$K$30:$K$74)*((新生児モニタ!$H$3-新生児モニタ!$I$3)/新生児モニタ!$H$3),0)</f>
        <v>0</v>
      </c>
      <c r="AG47" s="69">
        <f t="shared" si="17"/>
        <v>0</v>
      </c>
    </row>
    <row r="48" spans="2:33">
      <c r="B48" s="65" t="s">
        <v>717</v>
      </c>
      <c r="C48" s="68">
        <f>IFERROR(SUMIF(初度設備!$C$30:$C$74,B48,初度設備!$N$30:$N$74)*((初度設備!$H$3-初度設備!$I$3)/初度設備!$H$3),0)</f>
        <v>0</v>
      </c>
      <c r="D48" s="69">
        <f t="shared" si="2"/>
        <v>0</v>
      </c>
      <c r="E48" s="68">
        <f>IFERROR(SUMIF(人工呼吸器!$C$30:$C$74,B48,人工呼吸器!$N$30:$N$74)*((人工呼吸器!$H$3-人工呼吸器!$I$3)/人工呼吸器!$H$3),0)</f>
        <v>0</v>
      </c>
      <c r="F48" s="69">
        <f t="shared" si="3"/>
        <v>0</v>
      </c>
      <c r="G48" s="69">
        <f t="shared" si="4"/>
        <v>0</v>
      </c>
      <c r="H48" s="69">
        <f t="shared" si="5"/>
        <v>0</v>
      </c>
      <c r="I48" s="68">
        <f>IFERROR(SUMIF(簡易陰圧装置!$C$30:$C$74,B48,簡易陰圧装置!$N$30:$N$74)*((簡易陰圧装置!$H$3-簡易陰圧装置!$I$3)/簡易陰圧装置!$H$3),0)</f>
        <v>0</v>
      </c>
      <c r="J48" s="69">
        <f t="shared" si="6"/>
        <v>0</v>
      </c>
      <c r="K48" s="68">
        <f>IFERROR(SUMIF(#REF!,B48,#REF!)*((#REF!-#REF!)/#REF!),0)</f>
        <v>0</v>
      </c>
      <c r="L48" s="69">
        <f t="shared" si="7"/>
        <v>0</v>
      </c>
      <c r="M48" s="68">
        <f>IFERROR(SUMIF(体外式膜型人工肺!$C$30:$C$74,B48,体外式膜型人工肺!$N$30:$N$74)*((体外式膜型人工肺!$H$3-体外式膜型人工肺!$I$3)/体外式膜型人工肺!$H$3),0)</f>
        <v>0</v>
      </c>
      <c r="N48" s="69">
        <f t="shared" si="8"/>
        <v>0</v>
      </c>
      <c r="O48" s="69">
        <f t="shared" si="9"/>
        <v>0</v>
      </c>
      <c r="P48" s="69">
        <f t="shared" si="10"/>
        <v>0</v>
      </c>
      <c r="Q48" s="68">
        <f>IFERROR(SUMIF(紫外線照射装置!$C$30:$C$74,B48,紫外線照射装置!$N$30:$N$74)*((紫外線照射装置!$H$3-紫外線照射装置!$I$3)/紫外線照射装置!$H$3),0)</f>
        <v>0</v>
      </c>
      <c r="R48" s="69">
        <f t="shared" si="11"/>
        <v>0</v>
      </c>
      <c r="S48" s="102">
        <f t="shared" si="12"/>
        <v>0</v>
      </c>
      <c r="T48" s="68">
        <f>IFERROR(SUMIF(超音波画像診断装置!$C$30:$C$74,B48,超音波画像診断装置!$K$30:$K$74)*((超音波画像診断装置!$H$3-超音波画像診断装置!$I$3)/超音波画像診断装置!$H$3),0)</f>
        <v>0</v>
      </c>
      <c r="U48" s="69">
        <f t="shared" si="13"/>
        <v>0</v>
      </c>
      <c r="V48" s="68">
        <f>IFERROR(SUMIF(血液浄化装置!$C$30:$C$74,B48,血液浄化装置!$K$30:$K$74)*((血液浄化装置!$H$3-血液浄化装置!$I$3)/血液浄化装置!$H$3),0)</f>
        <v>0</v>
      </c>
      <c r="W48" s="69">
        <f t="shared" si="14"/>
        <v>0</v>
      </c>
      <c r="X48" s="68">
        <f>IFERROR(SUMIF(気管支鏡!$C$30:$C$74,B48,気管支鏡!$K$30:$K$74)*((気管支鏡!$H$3-気管支鏡!$I$3)/気管支鏡!$H$3),0)</f>
        <v>0</v>
      </c>
      <c r="Y48" s="69">
        <f t="shared" si="0"/>
        <v>0</v>
      </c>
      <c r="Z48" s="68">
        <f>IFERROR(SUMIF(CT撮影装置!$C$30:$C$74,B48,CT撮影装置!$K$30:$K$74)*((CT撮影装置!$H$3-CT撮影装置!$I$3)/CT撮影装置!$H$3),0)</f>
        <v>0</v>
      </c>
      <c r="AA48" s="69">
        <f t="shared" si="15"/>
        <v>0</v>
      </c>
      <c r="AB48" s="68">
        <f>IFERROR(SUMIF(生体情報モニタ!$C$30:$C$74,B48,生体情報モニタ!$K$30:$K$74)*((生体情報モニタ!$H$3-生体情報モニタ!$I$3)/生体情報モニタ!$H$3),0)</f>
        <v>0</v>
      </c>
      <c r="AC48" s="69">
        <f t="shared" si="1"/>
        <v>0</v>
      </c>
      <c r="AD48" s="68">
        <f>IFERROR(SUMIF(分娩監視装置!$C$30:$C$74,B48,分娩監視装置!$K$30:$K$74)*((分娩監視装置!$H$3-分娩監視装置!$I$3)/分娩監視装置!$H$3),0)</f>
        <v>0</v>
      </c>
      <c r="AE48" s="69">
        <f t="shared" si="16"/>
        <v>0</v>
      </c>
      <c r="AF48" s="68">
        <f>IFERROR(SUMIF(新生児モニタ!$C$30:$C$74,B48,新生児モニタ!$K$30:$K$74)*((新生児モニタ!$H$3-新生児モニタ!$I$3)/新生児モニタ!$H$3),0)</f>
        <v>0</v>
      </c>
      <c r="AG48" s="69">
        <f t="shared" si="17"/>
        <v>0</v>
      </c>
    </row>
    <row r="49" spans="2:33">
      <c r="B49" s="65" t="s">
        <v>718</v>
      </c>
      <c r="C49" s="68">
        <f>IFERROR(SUMIF(初度設備!$C$30:$C$74,B49,初度設備!$N$30:$N$74)*((初度設備!$H$3-初度設備!$I$3)/初度設備!$H$3),0)</f>
        <v>0</v>
      </c>
      <c r="D49" s="69">
        <f t="shared" si="2"/>
        <v>0</v>
      </c>
      <c r="E49" s="68">
        <f>IFERROR(SUMIF(人工呼吸器!$C$30:$C$74,B49,人工呼吸器!$N$30:$N$74)*((人工呼吸器!$H$3-人工呼吸器!$I$3)/人工呼吸器!$H$3),0)</f>
        <v>0</v>
      </c>
      <c r="F49" s="69">
        <f t="shared" si="3"/>
        <v>0</v>
      </c>
      <c r="G49" s="69">
        <f t="shared" si="4"/>
        <v>0</v>
      </c>
      <c r="H49" s="69">
        <f t="shared" si="5"/>
        <v>0</v>
      </c>
      <c r="I49" s="68">
        <f>IFERROR(SUMIF(簡易陰圧装置!$C$30:$C$74,B49,簡易陰圧装置!$N$30:$N$74)*((簡易陰圧装置!$H$3-簡易陰圧装置!$I$3)/簡易陰圧装置!$H$3),0)</f>
        <v>0</v>
      </c>
      <c r="J49" s="69">
        <f t="shared" si="6"/>
        <v>0</v>
      </c>
      <c r="K49" s="68">
        <f>IFERROR(SUMIF(#REF!,B49,#REF!)*((#REF!-#REF!)/#REF!),0)</f>
        <v>0</v>
      </c>
      <c r="L49" s="69">
        <f t="shared" si="7"/>
        <v>0</v>
      </c>
      <c r="M49" s="68">
        <f>IFERROR(SUMIF(体外式膜型人工肺!$C$30:$C$74,B49,体外式膜型人工肺!$N$30:$N$74)*((体外式膜型人工肺!$H$3-体外式膜型人工肺!$I$3)/体外式膜型人工肺!$H$3),0)</f>
        <v>0</v>
      </c>
      <c r="N49" s="69">
        <f t="shared" si="8"/>
        <v>0</v>
      </c>
      <c r="O49" s="69">
        <f t="shared" si="9"/>
        <v>0</v>
      </c>
      <c r="P49" s="69">
        <f t="shared" si="10"/>
        <v>0</v>
      </c>
      <c r="Q49" s="68">
        <f>IFERROR(SUMIF(紫外線照射装置!$C$30:$C$74,B49,紫外線照射装置!$N$30:$N$74)*((紫外線照射装置!$H$3-紫外線照射装置!$I$3)/紫外線照射装置!$H$3),0)</f>
        <v>0</v>
      </c>
      <c r="R49" s="69">
        <f t="shared" si="11"/>
        <v>0</v>
      </c>
      <c r="S49" s="102">
        <f t="shared" si="12"/>
        <v>0</v>
      </c>
      <c r="T49" s="68">
        <f>IFERROR(SUMIF(超音波画像診断装置!$C$30:$C$74,B49,超音波画像診断装置!$K$30:$K$74)*((超音波画像診断装置!$H$3-超音波画像診断装置!$I$3)/超音波画像診断装置!$H$3),0)</f>
        <v>0</v>
      </c>
      <c r="U49" s="69">
        <f t="shared" si="13"/>
        <v>0</v>
      </c>
      <c r="V49" s="68">
        <f>IFERROR(SUMIF(血液浄化装置!$C$30:$C$74,B49,血液浄化装置!$K$30:$K$74)*((血液浄化装置!$H$3-血液浄化装置!$I$3)/血液浄化装置!$H$3),0)</f>
        <v>0</v>
      </c>
      <c r="W49" s="69">
        <f t="shared" si="14"/>
        <v>0</v>
      </c>
      <c r="X49" s="68">
        <f>IFERROR(SUMIF(気管支鏡!$C$30:$C$74,B49,気管支鏡!$K$30:$K$74)*((気管支鏡!$H$3-気管支鏡!$I$3)/気管支鏡!$H$3),0)</f>
        <v>0</v>
      </c>
      <c r="Y49" s="69">
        <f t="shared" si="0"/>
        <v>0</v>
      </c>
      <c r="Z49" s="68">
        <f>IFERROR(SUMIF(CT撮影装置!$C$30:$C$74,B49,CT撮影装置!$K$30:$K$74)*((CT撮影装置!$H$3-CT撮影装置!$I$3)/CT撮影装置!$H$3),0)</f>
        <v>0</v>
      </c>
      <c r="AA49" s="69">
        <f t="shared" si="15"/>
        <v>0</v>
      </c>
      <c r="AB49" s="68">
        <f>IFERROR(SUMIF(生体情報モニタ!$C$30:$C$74,B49,生体情報モニタ!$K$30:$K$74)*((生体情報モニタ!$H$3-生体情報モニタ!$I$3)/生体情報モニタ!$H$3),0)</f>
        <v>0</v>
      </c>
      <c r="AC49" s="69">
        <f t="shared" si="1"/>
        <v>0</v>
      </c>
      <c r="AD49" s="68">
        <f>IFERROR(SUMIF(分娩監視装置!$C$30:$C$74,B49,分娩監視装置!$K$30:$K$74)*((分娩監視装置!$H$3-分娩監視装置!$I$3)/分娩監視装置!$H$3),0)</f>
        <v>0</v>
      </c>
      <c r="AE49" s="69">
        <f t="shared" si="16"/>
        <v>0</v>
      </c>
      <c r="AF49" s="68">
        <f>IFERROR(SUMIF(新生児モニタ!$C$30:$C$74,B49,新生児モニタ!$K$30:$K$74)*((新生児モニタ!$H$3-新生児モニタ!$I$3)/新生児モニタ!$H$3),0)</f>
        <v>0</v>
      </c>
      <c r="AG49" s="69">
        <f t="shared" si="17"/>
        <v>0</v>
      </c>
    </row>
    <row r="50" spans="2:33">
      <c r="B50" s="65" t="s">
        <v>719</v>
      </c>
      <c r="C50" s="68">
        <f>IFERROR(SUMIF(初度設備!$C$30:$C$74,B50,初度設備!$N$30:$N$74)*((初度設備!$H$3-初度設備!$I$3)/初度設備!$H$3),0)</f>
        <v>0</v>
      </c>
      <c r="D50" s="69">
        <f t="shared" si="2"/>
        <v>0</v>
      </c>
      <c r="E50" s="68">
        <f>IFERROR(SUMIF(人工呼吸器!$C$30:$C$74,B50,人工呼吸器!$N$30:$N$74)*((人工呼吸器!$H$3-人工呼吸器!$I$3)/人工呼吸器!$H$3),0)</f>
        <v>0</v>
      </c>
      <c r="F50" s="69">
        <f t="shared" si="3"/>
        <v>0</v>
      </c>
      <c r="G50" s="69">
        <f t="shared" si="4"/>
        <v>0</v>
      </c>
      <c r="H50" s="69">
        <f t="shared" si="5"/>
        <v>0</v>
      </c>
      <c r="I50" s="68">
        <f>IFERROR(SUMIF(簡易陰圧装置!$C$30:$C$74,B50,簡易陰圧装置!$N$30:$N$74)*((簡易陰圧装置!$H$3-簡易陰圧装置!$I$3)/簡易陰圧装置!$H$3),0)</f>
        <v>0</v>
      </c>
      <c r="J50" s="69">
        <f t="shared" si="6"/>
        <v>0</v>
      </c>
      <c r="K50" s="68">
        <f>IFERROR(SUMIF(#REF!,B50,#REF!)*((#REF!-#REF!)/#REF!),0)</f>
        <v>0</v>
      </c>
      <c r="L50" s="69">
        <f t="shared" si="7"/>
        <v>0</v>
      </c>
      <c r="M50" s="68">
        <f>IFERROR(SUMIF(体外式膜型人工肺!$C$30:$C$74,B50,体外式膜型人工肺!$N$30:$N$74)*((体外式膜型人工肺!$H$3-体外式膜型人工肺!$I$3)/体外式膜型人工肺!$H$3),0)</f>
        <v>0</v>
      </c>
      <c r="N50" s="69">
        <f t="shared" si="8"/>
        <v>0</v>
      </c>
      <c r="O50" s="69">
        <f t="shared" si="9"/>
        <v>0</v>
      </c>
      <c r="P50" s="69">
        <f t="shared" si="10"/>
        <v>0</v>
      </c>
      <c r="Q50" s="68">
        <f>IFERROR(SUMIF(紫外線照射装置!$C$30:$C$74,B50,紫外線照射装置!$N$30:$N$74)*((紫外線照射装置!$H$3-紫外線照射装置!$I$3)/紫外線照射装置!$H$3),0)</f>
        <v>0</v>
      </c>
      <c r="R50" s="69">
        <f t="shared" si="11"/>
        <v>0</v>
      </c>
      <c r="S50" s="102">
        <f t="shared" si="12"/>
        <v>0</v>
      </c>
      <c r="T50" s="68">
        <f>IFERROR(SUMIF(超音波画像診断装置!$C$30:$C$74,B50,超音波画像診断装置!$K$30:$K$74)*((超音波画像診断装置!$H$3-超音波画像診断装置!$I$3)/超音波画像診断装置!$H$3),0)</f>
        <v>0</v>
      </c>
      <c r="U50" s="69">
        <f t="shared" si="13"/>
        <v>0</v>
      </c>
      <c r="V50" s="68">
        <f>IFERROR(SUMIF(血液浄化装置!$C$30:$C$74,B50,血液浄化装置!$K$30:$K$74)*((血液浄化装置!$H$3-血液浄化装置!$I$3)/血液浄化装置!$H$3),0)</f>
        <v>0</v>
      </c>
      <c r="W50" s="69">
        <f t="shared" si="14"/>
        <v>0</v>
      </c>
      <c r="X50" s="68">
        <f>IFERROR(SUMIF(気管支鏡!$C$30:$C$74,B50,気管支鏡!$K$30:$K$74)*((気管支鏡!$H$3-気管支鏡!$I$3)/気管支鏡!$H$3),0)</f>
        <v>0</v>
      </c>
      <c r="Y50" s="69">
        <f t="shared" si="0"/>
        <v>0</v>
      </c>
      <c r="Z50" s="68">
        <f>IFERROR(SUMIF(CT撮影装置!$C$30:$C$74,B50,CT撮影装置!$K$30:$K$74)*((CT撮影装置!$H$3-CT撮影装置!$I$3)/CT撮影装置!$H$3),0)</f>
        <v>0</v>
      </c>
      <c r="AA50" s="69">
        <f t="shared" si="15"/>
        <v>0</v>
      </c>
      <c r="AB50" s="68">
        <f>IFERROR(SUMIF(生体情報モニタ!$C$30:$C$74,B50,生体情報モニタ!$K$30:$K$74)*((生体情報モニタ!$H$3-生体情報モニタ!$I$3)/生体情報モニタ!$H$3),0)</f>
        <v>0</v>
      </c>
      <c r="AC50" s="69">
        <f t="shared" si="1"/>
        <v>0</v>
      </c>
      <c r="AD50" s="68">
        <f>IFERROR(SUMIF(分娩監視装置!$C$30:$C$74,B50,分娩監視装置!$K$30:$K$74)*((分娩監視装置!$H$3-分娩監視装置!$I$3)/分娩監視装置!$H$3),0)</f>
        <v>0</v>
      </c>
      <c r="AE50" s="69">
        <f t="shared" si="16"/>
        <v>0</v>
      </c>
      <c r="AF50" s="68">
        <f>IFERROR(SUMIF(新生児モニタ!$C$30:$C$74,B50,新生児モニタ!$K$30:$K$74)*((新生児モニタ!$H$3-新生児モニタ!$I$3)/新生児モニタ!$H$3),0)</f>
        <v>0</v>
      </c>
      <c r="AG50" s="69">
        <f t="shared" si="17"/>
        <v>0</v>
      </c>
    </row>
    <row r="51" spans="2:33">
      <c r="B51" s="65" t="s">
        <v>720</v>
      </c>
      <c r="C51" s="68">
        <f>IFERROR(SUMIF(初度設備!$C$30:$C$74,B51,初度設備!$N$30:$N$74)*((初度設備!$H$3-初度設備!$I$3)/初度設備!$H$3),0)</f>
        <v>0</v>
      </c>
      <c r="D51" s="69">
        <f t="shared" si="2"/>
        <v>0</v>
      </c>
      <c r="E51" s="68">
        <f>IFERROR(SUMIF(人工呼吸器!$C$30:$C$74,B51,人工呼吸器!$N$30:$N$74)*((人工呼吸器!$H$3-人工呼吸器!$I$3)/人工呼吸器!$H$3),0)</f>
        <v>0</v>
      </c>
      <c r="F51" s="69">
        <f t="shared" si="3"/>
        <v>0</v>
      </c>
      <c r="G51" s="69">
        <f t="shared" si="4"/>
        <v>0</v>
      </c>
      <c r="H51" s="69">
        <f t="shared" si="5"/>
        <v>0</v>
      </c>
      <c r="I51" s="68">
        <f>IFERROR(SUMIF(簡易陰圧装置!$C$30:$C$74,B51,簡易陰圧装置!$N$30:$N$74)*((簡易陰圧装置!$H$3-簡易陰圧装置!$I$3)/簡易陰圧装置!$H$3),0)</f>
        <v>0</v>
      </c>
      <c r="J51" s="69">
        <f t="shared" si="6"/>
        <v>0</v>
      </c>
      <c r="K51" s="68">
        <f>IFERROR(SUMIF(#REF!,B51,#REF!)*((#REF!-#REF!)/#REF!),0)</f>
        <v>0</v>
      </c>
      <c r="L51" s="69">
        <f t="shared" si="7"/>
        <v>0</v>
      </c>
      <c r="M51" s="68">
        <f>IFERROR(SUMIF(体外式膜型人工肺!$C$30:$C$74,B51,体外式膜型人工肺!$N$30:$N$74)*((体外式膜型人工肺!$H$3-体外式膜型人工肺!$I$3)/体外式膜型人工肺!$H$3),0)</f>
        <v>0</v>
      </c>
      <c r="N51" s="69">
        <f t="shared" si="8"/>
        <v>0</v>
      </c>
      <c r="O51" s="69">
        <f t="shared" si="9"/>
        <v>0</v>
      </c>
      <c r="P51" s="69">
        <f t="shared" si="10"/>
        <v>0</v>
      </c>
      <c r="Q51" s="68">
        <f>IFERROR(SUMIF(紫外線照射装置!$C$30:$C$74,B51,紫外線照射装置!$N$30:$N$74)*((紫外線照射装置!$H$3-紫外線照射装置!$I$3)/紫外線照射装置!$H$3),0)</f>
        <v>0</v>
      </c>
      <c r="R51" s="69">
        <f t="shared" si="11"/>
        <v>0</v>
      </c>
      <c r="S51" s="102">
        <f t="shared" si="12"/>
        <v>0</v>
      </c>
      <c r="T51" s="68">
        <f>IFERROR(SUMIF(超音波画像診断装置!$C$30:$C$74,B51,超音波画像診断装置!$K$30:$K$74)*((超音波画像診断装置!$H$3-超音波画像診断装置!$I$3)/超音波画像診断装置!$H$3),0)</f>
        <v>0</v>
      </c>
      <c r="U51" s="69">
        <f t="shared" si="13"/>
        <v>0</v>
      </c>
      <c r="V51" s="68">
        <f>IFERROR(SUMIF(血液浄化装置!$C$30:$C$74,B51,血液浄化装置!$K$30:$K$74)*((血液浄化装置!$H$3-血液浄化装置!$I$3)/血液浄化装置!$H$3),0)</f>
        <v>0</v>
      </c>
      <c r="W51" s="69">
        <f t="shared" si="14"/>
        <v>0</v>
      </c>
      <c r="X51" s="68">
        <f>IFERROR(SUMIF(気管支鏡!$C$30:$C$74,B51,気管支鏡!$K$30:$K$74)*((気管支鏡!$H$3-気管支鏡!$I$3)/気管支鏡!$H$3),0)</f>
        <v>0</v>
      </c>
      <c r="Y51" s="69">
        <f t="shared" si="0"/>
        <v>0</v>
      </c>
      <c r="Z51" s="68">
        <f>IFERROR(SUMIF(CT撮影装置!$C$30:$C$74,B51,CT撮影装置!$K$30:$K$74)*((CT撮影装置!$H$3-CT撮影装置!$I$3)/CT撮影装置!$H$3),0)</f>
        <v>0</v>
      </c>
      <c r="AA51" s="69">
        <f t="shared" si="15"/>
        <v>0</v>
      </c>
      <c r="AB51" s="68">
        <f>IFERROR(SUMIF(生体情報モニタ!$C$30:$C$74,B51,生体情報モニタ!$K$30:$K$74)*((生体情報モニタ!$H$3-生体情報モニタ!$I$3)/生体情報モニタ!$H$3),0)</f>
        <v>0</v>
      </c>
      <c r="AC51" s="69">
        <f t="shared" si="1"/>
        <v>0</v>
      </c>
      <c r="AD51" s="68">
        <f>IFERROR(SUMIF(分娩監視装置!$C$30:$C$74,B51,分娩監視装置!$K$30:$K$74)*((分娩監視装置!$H$3-分娩監視装置!$I$3)/分娩監視装置!$H$3),0)</f>
        <v>0</v>
      </c>
      <c r="AE51" s="69">
        <f t="shared" si="16"/>
        <v>0</v>
      </c>
      <c r="AF51" s="68">
        <f>IFERROR(SUMIF(新生児モニタ!$C$30:$C$74,B51,新生児モニタ!$K$30:$K$74)*((新生児モニタ!$H$3-新生児モニタ!$I$3)/新生児モニタ!$H$3),0)</f>
        <v>0</v>
      </c>
      <c r="AG51" s="69">
        <f t="shared" si="17"/>
        <v>0</v>
      </c>
    </row>
    <row r="52" spans="2:33">
      <c r="B52" s="65" t="s">
        <v>721</v>
      </c>
      <c r="C52" s="68">
        <f>IFERROR(SUMIF(初度設備!$C$30:$C$74,B52,初度設備!$N$30:$N$74)*((初度設備!$H$3-初度設備!$I$3)/初度設備!$H$3),0)</f>
        <v>0</v>
      </c>
      <c r="D52" s="69">
        <f t="shared" si="2"/>
        <v>0</v>
      </c>
      <c r="E52" s="68">
        <f>IFERROR(SUMIF(人工呼吸器!$C$30:$C$74,B52,人工呼吸器!$N$30:$N$74)*((人工呼吸器!$H$3-人工呼吸器!$I$3)/人工呼吸器!$H$3),0)</f>
        <v>0</v>
      </c>
      <c r="F52" s="69">
        <f t="shared" si="3"/>
        <v>0</v>
      </c>
      <c r="G52" s="69">
        <f t="shared" si="4"/>
        <v>0</v>
      </c>
      <c r="H52" s="69">
        <f t="shared" si="5"/>
        <v>0</v>
      </c>
      <c r="I52" s="68">
        <f>IFERROR(SUMIF(簡易陰圧装置!$C$30:$C$74,B52,簡易陰圧装置!$N$30:$N$74)*((簡易陰圧装置!$H$3-簡易陰圧装置!$I$3)/簡易陰圧装置!$H$3),0)</f>
        <v>0</v>
      </c>
      <c r="J52" s="69">
        <f t="shared" si="6"/>
        <v>0</v>
      </c>
      <c r="K52" s="68">
        <f>IFERROR(SUMIF(#REF!,B52,#REF!)*((#REF!-#REF!)/#REF!),0)</f>
        <v>0</v>
      </c>
      <c r="L52" s="69">
        <f t="shared" si="7"/>
        <v>0</v>
      </c>
      <c r="M52" s="68">
        <f>IFERROR(SUMIF(体外式膜型人工肺!$C$30:$C$74,B52,体外式膜型人工肺!$N$30:$N$74)*((体外式膜型人工肺!$H$3-体外式膜型人工肺!$I$3)/体外式膜型人工肺!$H$3),0)</f>
        <v>0</v>
      </c>
      <c r="N52" s="69">
        <f t="shared" si="8"/>
        <v>0</v>
      </c>
      <c r="O52" s="69">
        <f t="shared" si="9"/>
        <v>0</v>
      </c>
      <c r="P52" s="69">
        <f t="shared" si="10"/>
        <v>0</v>
      </c>
      <c r="Q52" s="68">
        <f>IFERROR(SUMIF(紫外線照射装置!$C$30:$C$74,B52,紫外線照射装置!$N$30:$N$74)*((紫外線照射装置!$H$3-紫外線照射装置!$I$3)/紫外線照射装置!$H$3),0)</f>
        <v>0</v>
      </c>
      <c r="R52" s="69">
        <f t="shared" si="11"/>
        <v>0</v>
      </c>
      <c r="S52" s="102">
        <f t="shared" si="12"/>
        <v>0</v>
      </c>
      <c r="T52" s="68">
        <f>IFERROR(SUMIF(超音波画像診断装置!$C$30:$C$74,B52,超音波画像診断装置!$K$30:$K$74)*((超音波画像診断装置!$H$3-超音波画像診断装置!$I$3)/超音波画像診断装置!$H$3),0)</f>
        <v>0</v>
      </c>
      <c r="U52" s="69">
        <f t="shared" si="13"/>
        <v>0</v>
      </c>
      <c r="V52" s="68">
        <f>IFERROR(SUMIF(血液浄化装置!$C$30:$C$74,B52,血液浄化装置!$K$30:$K$74)*((血液浄化装置!$H$3-血液浄化装置!$I$3)/血液浄化装置!$H$3),0)</f>
        <v>0</v>
      </c>
      <c r="W52" s="69">
        <f t="shared" si="14"/>
        <v>0</v>
      </c>
      <c r="X52" s="68">
        <f>IFERROR(SUMIF(気管支鏡!$C$30:$C$74,B52,気管支鏡!$K$30:$K$74)*((気管支鏡!$H$3-気管支鏡!$I$3)/気管支鏡!$H$3),0)</f>
        <v>0</v>
      </c>
      <c r="Y52" s="69">
        <f t="shared" si="0"/>
        <v>0</v>
      </c>
      <c r="Z52" s="68">
        <f>IFERROR(SUMIF(CT撮影装置!$C$30:$C$74,B52,CT撮影装置!$K$30:$K$74)*((CT撮影装置!$H$3-CT撮影装置!$I$3)/CT撮影装置!$H$3),0)</f>
        <v>0</v>
      </c>
      <c r="AA52" s="69">
        <f t="shared" si="15"/>
        <v>0</v>
      </c>
      <c r="AB52" s="68">
        <f>IFERROR(SUMIF(生体情報モニタ!$C$30:$C$74,B52,生体情報モニタ!$K$30:$K$74)*((生体情報モニタ!$H$3-生体情報モニタ!$I$3)/生体情報モニタ!$H$3),0)</f>
        <v>0</v>
      </c>
      <c r="AC52" s="69">
        <f t="shared" si="1"/>
        <v>0</v>
      </c>
      <c r="AD52" s="68">
        <f>IFERROR(SUMIF(分娩監視装置!$C$30:$C$74,B52,分娩監視装置!$K$30:$K$74)*((分娩監視装置!$H$3-分娩監視装置!$I$3)/分娩監視装置!$H$3),0)</f>
        <v>0</v>
      </c>
      <c r="AE52" s="69">
        <f t="shared" si="16"/>
        <v>0</v>
      </c>
      <c r="AF52" s="68">
        <f>IFERROR(SUMIF(新生児モニタ!$C$30:$C$74,B52,新生児モニタ!$K$30:$K$74)*((新生児モニタ!$H$3-新生児モニタ!$I$3)/新生児モニタ!$H$3),0)</f>
        <v>0</v>
      </c>
      <c r="AG52" s="69">
        <f t="shared" si="17"/>
        <v>0</v>
      </c>
    </row>
    <row r="53" spans="2:33">
      <c r="B53" s="65" t="s">
        <v>722</v>
      </c>
      <c r="C53" s="68">
        <f>IFERROR(SUMIF(初度設備!$C$30:$C$74,B53,初度設備!$N$30:$N$74)*((初度設備!$H$3-初度設備!$I$3)/初度設備!$H$3),0)</f>
        <v>0</v>
      </c>
      <c r="D53" s="69">
        <f t="shared" si="2"/>
        <v>0</v>
      </c>
      <c r="E53" s="68">
        <f>IFERROR(SUMIF(人工呼吸器!$C$30:$C$74,B53,人工呼吸器!$N$30:$N$74)*((人工呼吸器!$H$3-人工呼吸器!$I$3)/人工呼吸器!$H$3),0)</f>
        <v>0</v>
      </c>
      <c r="F53" s="69">
        <f t="shared" si="3"/>
        <v>0</v>
      </c>
      <c r="G53" s="69">
        <f t="shared" si="4"/>
        <v>0</v>
      </c>
      <c r="H53" s="69">
        <f t="shared" si="5"/>
        <v>0</v>
      </c>
      <c r="I53" s="68">
        <f>IFERROR(SUMIF(簡易陰圧装置!$C$30:$C$74,B53,簡易陰圧装置!$N$30:$N$74)*((簡易陰圧装置!$H$3-簡易陰圧装置!$I$3)/簡易陰圧装置!$H$3),0)</f>
        <v>0</v>
      </c>
      <c r="J53" s="69">
        <f t="shared" si="6"/>
        <v>0</v>
      </c>
      <c r="K53" s="68">
        <f>IFERROR(SUMIF(#REF!,B53,#REF!)*((#REF!-#REF!)/#REF!),0)</f>
        <v>0</v>
      </c>
      <c r="L53" s="69">
        <f t="shared" si="7"/>
        <v>0</v>
      </c>
      <c r="M53" s="68">
        <f>IFERROR(SUMIF(体外式膜型人工肺!$C$30:$C$74,B53,体外式膜型人工肺!$N$30:$N$74)*((体外式膜型人工肺!$H$3-体外式膜型人工肺!$I$3)/体外式膜型人工肺!$H$3),0)</f>
        <v>0</v>
      </c>
      <c r="N53" s="69">
        <f t="shared" si="8"/>
        <v>0</v>
      </c>
      <c r="O53" s="69">
        <f t="shared" si="9"/>
        <v>0</v>
      </c>
      <c r="P53" s="69">
        <f t="shared" si="10"/>
        <v>0</v>
      </c>
      <c r="Q53" s="68">
        <f>IFERROR(SUMIF(紫外線照射装置!$C$30:$C$74,B53,紫外線照射装置!$N$30:$N$74)*((紫外線照射装置!$H$3-紫外線照射装置!$I$3)/紫外線照射装置!$H$3),0)</f>
        <v>0</v>
      </c>
      <c r="R53" s="69">
        <f t="shared" si="11"/>
        <v>0</v>
      </c>
      <c r="S53" s="102">
        <f t="shared" si="12"/>
        <v>0</v>
      </c>
      <c r="T53" s="68">
        <f>IFERROR(SUMIF(超音波画像診断装置!$C$30:$C$74,B53,超音波画像診断装置!$K$30:$K$74)*((超音波画像診断装置!$H$3-超音波画像診断装置!$I$3)/超音波画像診断装置!$H$3),0)</f>
        <v>0</v>
      </c>
      <c r="U53" s="69">
        <f t="shared" si="13"/>
        <v>0</v>
      </c>
      <c r="V53" s="68">
        <f>IFERROR(SUMIF(血液浄化装置!$C$30:$C$74,B53,血液浄化装置!$K$30:$K$74)*((血液浄化装置!$H$3-血液浄化装置!$I$3)/血液浄化装置!$H$3),0)</f>
        <v>0</v>
      </c>
      <c r="W53" s="69">
        <f t="shared" si="14"/>
        <v>0</v>
      </c>
      <c r="X53" s="68">
        <f>IFERROR(SUMIF(気管支鏡!$C$30:$C$74,B53,気管支鏡!$K$30:$K$74)*((気管支鏡!$H$3-気管支鏡!$I$3)/気管支鏡!$H$3),0)</f>
        <v>0</v>
      </c>
      <c r="Y53" s="69">
        <f t="shared" si="0"/>
        <v>0</v>
      </c>
      <c r="Z53" s="68">
        <f>IFERROR(SUMIF(CT撮影装置!$C$30:$C$74,B53,CT撮影装置!$K$30:$K$74)*((CT撮影装置!$H$3-CT撮影装置!$I$3)/CT撮影装置!$H$3),0)</f>
        <v>0</v>
      </c>
      <c r="AA53" s="69">
        <f t="shared" si="15"/>
        <v>0</v>
      </c>
      <c r="AB53" s="68">
        <f>IFERROR(SUMIF(生体情報モニタ!$C$30:$C$74,B53,生体情報モニタ!$K$30:$K$74)*((生体情報モニタ!$H$3-生体情報モニタ!$I$3)/生体情報モニタ!$H$3),0)</f>
        <v>0</v>
      </c>
      <c r="AC53" s="69">
        <f t="shared" si="1"/>
        <v>0</v>
      </c>
      <c r="AD53" s="68">
        <f>IFERROR(SUMIF(分娩監視装置!$C$30:$C$74,B53,分娩監視装置!$K$30:$K$74)*((分娩監視装置!$H$3-分娩監視装置!$I$3)/分娩監視装置!$H$3),0)</f>
        <v>0</v>
      </c>
      <c r="AE53" s="69">
        <f t="shared" si="16"/>
        <v>0</v>
      </c>
      <c r="AF53" s="68">
        <f>IFERROR(SUMIF(新生児モニタ!$C$30:$C$74,B53,新生児モニタ!$K$30:$K$74)*((新生児モニタ!$H$3-新生児モニタ!$I$3)/新生児モニタ!$H$3),0)</f>
        <v>0</v>
      </c>
      <c r="AG53" s="69">
        <f t="shared" si="17"/>
        <v>0</v>
      </c>
    </row>
    <row r="54" spans="2:33">
      <c r="B54" s="65" t="s">
        <v>723</v>
      </c>
      <c r="C54" s="68">
        <f>IFERROR(SUMIF(初度設備!$C$30:$C$74,B54,初度設備!$N$30:$N$74)*((初度設備!$H$3-初度設備!$I$3)/初度設備!$H$3),0)</f>
        <v>0</v>
      </c>
      <c r="D54" s="69">
        <f t="shared" si="2"/>
        <v>0</v>
      </c>
      <c r="E54" s="68">
        <f>IFERROR(SUMIF(人工呼吸器!$C$30:$C$74,B54,人工呼吸器!$N$30:$N$74)*((人工呼吸器!$H$3-人工呼吸器!$I$3)/人工呼吸器!$H$3),0)</f>
        <v>0</v>
      </c>
      <c r="F54" s="69">
        <f t="shared" si="3"/>
        <v>0</v>
      </c>
      <c r="G54" s="69">
        <f t="shared" si="4"/>
        <v>0</v>
      </c>
      <c r="H54" s="69">
        <f t="shared" si="5"/>
        <v>0</v>
      </c>
      <c r="I54" s="68">
        <f>IFERROR(SUMIF(簡易陰圧装置!$C$30:$C$74,B54,簡易陰圧装置!$N$30:$N$74)*((簡易陰圧装置!$H$3-簡易陰圧装置!$I$3)/簡易陰圧装置!$H$3),0)</f>
        <v>0</v>
      </c>
      <c r="J54" s="69">
        <f t="shared" si="6"/>
        <v>0</v>
      </c>
      <c r="K54" s="68">
        <f>IFERROR(SUMIF(#REF!,B54,#REF!)*((#REF!-#REF!)/#REF!),0)</f>
        <v>0</v>
      </c>
      <c r="L54" s="69">
        <f t="shared" si="7"/>
        <v>0</v>
      </c>
      <c r="M54" s="68">
        <f>IFERROR(SUMIF(体外式膜型人工肺!$C$30:$C$74,B54,体外式膜型人工肺!$N$30:$N$74)*((体外式膜型人工肺!$H$3-体外式膜型人工肺!$I$3)/体外式膜型人工肺!$H$3),0)</f>
        <v>0</v>
      </c>
      <c r="N54" s="69">
        <f t="shared" si="8"/>
        <v>0</v>
      </c>
      <c r="O54" s="69">
        <f t="shared" si="9"/>
        <v>0</v>
      </c>
      <c r="P54" s="69">
        <f t="shared" si="10"/>
        <v>0</v>
      </c>
      <c r="Q54" s="68">
        <f>IFERROR(SUMIF(紫外線照射装置!$C$30:$C$74,B54,紫外線照射装置!$N$30:$N$74)*((紫外線照射装置!$H$3-紫外線照射装置!$I$3)/紫外線照射装置!$H$3),0)</f>
        <v>0</v>
      </c>
      <c r="R54" s="69">
        <f t="shared" si="11"/>
        <v>0</v>
      </c>
      <c r="S54" s="102">
        <f t="shared" si="12"/>
        <v>0</v>
      </c>
      <c r="T54" s="68">
        <f>IFERROR(SUMIF(超音波画像診断装置!$C$30:$C$74,B54,超音波画像診断装置!$K$30:$K$74)*((超音波画像診断装置!$H$3-超音波画像診断装置!$I$3)/超音波画像診断装置!$H$3),0)</f>
        <v>0</v>
      </c>
      <c r="U54" s="69">
        <f t="shared" si="13"/>
        <v>0</v>
      </c>
      <c r="V54" s="68">
        <f>IFERROR(SUMIF(血液浄化装置!$C$30:$C$74,B54,血液浄化装置!$K$30:$K$74)*((血液浄化装置!$H$3-血液浄化装置!$I$3)/血液浄化装置!$H$3),0)</f>
        <v>0</v>
      </c>
      <c r="W54" s="69">
        <f t="shared" si="14"/>
        <v>0</v>
      </c>
      <c r="X54" s="68">
        <f>IFERROR(SUMIF(気管支鏡!$C$30:$C$74,B54,気管支鏡!$K$30:$K$74)*((気管支鏡!$H$3-気管支鏡!$I$3)/気管支鏡!$H$3),0)</f>
        <v>0</v>
      </c>
      <c r="Y54" s="69">
        <f t="shared" si="0"/>
        <v>0</v>
      </c>
      <c r="Z54" s="68">
        <f>IFERROR(SUMIF(CT撮影装置!$C$30:$C$74,B54,CT撮影装置!$K$30:$K$74)*((CT撮影装置!$H$3-CT撮影装置!$I$3)/CT撮影装置!$H$3),0)</f>
        <v>0</v>
      </c>
      <c r="AA54" s="69">
        <f t="shared" si="15"/>
        <v>0</v>
      </c>
      <c r="AB54" s="68">
        <f>IFERROR(SUMIF(生体情報モニタ!$C$30:$C$74,B54,生体情報モニタ!$K$30:$K$74)*((生体情報モニタ!$H$3-生体情報モニタ!$I$3)/生体情報モニタ!$H$3),0)</f>
        <v>0</v>
      </c>
      <c r="AC54" s="69">
        <f t="shared" si="1"/>
        <v>0</v>
      </c>
      <c r="AD54" s="68">
        <f>IFERROR(SUMIF(分娩監視装置!$C$30:$C$74,B54,分娩監視装置!$K$30:$K$74)*((分娩監視装置!$H$3-分娩監視装置!$I$3)/分娩監視装置!$H$3),0)</f>
        <v>0</v>
      </c>
      <c r="AE54" s="69">
        <f t="shared" si="16"/>
        <v>0</v>
      </c>
      <c r="AF54" s="68">
        <f>IFERROR(SUMIF(新生児モニタ!$C$30:$C$74,B54,新生児モニタ!$K$30:$K$74)*((新生児モニタ!$H$3-新生児モニタ!$I$3)/新生児モニタ!$H$3),0)</f>
        <v>0</v>
      </c>
      <c r="AG54" s="69">
        <f t="shared" si="17"/>
        <v>0</v>
      </c>
    </row>
    <row r="55" spans="2:33">
      <c r="B55" s="65" t="s">
        <v>724</v>
      </c>
      <c r="C55" s="68">
        <f>IFERROR(SUMIF(初度設備!$C$30:$C$74,B55,初度設備!$N$30:$N$74)*((初度設備!$H$3-初度設備!$I$3)/初度設備!$H$3),0)</f>
        <v>0</v>
      </c>
      <c r="D55" s="69">
        <f t="shared" si="2"/>
        <v>0</v>
      </c>
      <c r="E55" s="68">
        <f>IFERROR(SUMIF(人工呼吸器!$C$30:$C$74,B55,人工呼吸器!$N$30:$N$74)*((人工呼吸器!$H$3-人工呼吸器!$I$3)/人工呼吸器!$H$3),0)</f>
        <v>0</v>
      </c>
      <c r="F55" s="69">
        <f t="shared" si="3"/>
        <v>0</v>
      </c>
      <c r="G55" s="69">
        <f t="shared" si="4"/>
        <v>0</v>
      </c>
      <c r="H55" s="69">
        <f t="shared" si="5"/>
        <v>0</v>
      </c>
      <c r="I55" s="68">
        <f>IFERROR(SUMIF(簡易陰圧装置!$C$30:$C$74,B55,簡易陰圧装置!$N$30:$N$74)*((簡易陰圧装置!$H$3-簡易陰圧装置!$I$3)/簡易陰圧装置!$H$3),0)</f>
        <v>0</v>
      </c>
      <c r="J55" s="69">
        <f t="shared" si="6"/>
        <v>0</v>
      </c>
      <c r="K55" s="68">
        <f>IFERROR(SUMIF(#REF!,B55,#REF!)*((#REF!-#REF!)/#REF!),0)</f>
        <v>0</v>
      </c>
      <c r="L55" s="69">
        <f t="shared" si="7"/>
        <v>0</v>
      </c>
      <c r="M55" s="68">
        <f>IFERROR(SUMIF(体外式膜型人工肺!$C$30:$C$74,B55,体外式膜型人工肺!$N$30:$N$74)*((体外式膜型人工肺!$H$3-体外式膜型人工肺!$I$3)/体外式膜型人工肺!$H$3),0)</f>
        <v>0</v>
      </c>
      <c r="N55" s="69">
        <f t="shared" si="8"/>
        <v>0</v>
      </c>
      <c r="O55" s="69">
        <f t="shared" si="9"/>
        <v>0</v>
      </c>
      <c r="P55" s="69">
        <f t="shared" si="10"/>
        <v>0</v>
      </c>
      <c r="Q55" s="68">
        <f>IFERROR(SUMIF(紫外線照射装置!$C$30:$C$74,B55,紫外線照射装置!$N$30:$N$74)*((紫外線照射装置!$H$3-紫外線照射装置!$I$3)/紫外線照射装置!$H$3),0)</f>
        <v>0</v>
      </c>
      <c r="R55" s="69">
        <f t="shared" si="11"/>
        <v>0</v>
      </c>
      <c r="S55" s="102">
        <f t="shared" si="12"/>
        <v>0</v>
      </c>
      <c r="T55" s="68">
        <f>IFERROR(SUMIF(超音波画像診断装置!$C$30:$C$74,B55,超音波画像診断装置!$K$30:$K$74)*((超音波画像診断装置!$H$3-超音波画像診断装置!$I$3)/超音波画像診断装置!$H$3),0)</f>
        <v>0</v>
      </c>
      <c r="U55" s="69">
        <f t="shared" si="13"/>
        <v>0</v>
      </c>
      <c r="V55" s="68">
        <f>IFERROR(SUMIF(血液浄化装置!$C$30:$C$74,B55,血液浄化装置!$K$30:$K$74)*((血液浄化装置!$H$3-血液浄化装置!$I$3)/血液浄化装置!$H$3),0)</f>
        <v>0</v>
      </c>
      <c r="W55" s="69">
        <f t="shared" si="14"/>
        <v>0</v>
      </c>
      <c r="X55" s="68">
        <f>IFERROR(SUMIF(気管支鏡!$C$30:$C$74,B55,気管支鏡!$K$30:$K$74)*((気管支鏡!$H$3-気管支鏡!$I$3)/気管支鏡!$H$3),0)</f>
        <v>0</v>
      </c>
      <c r="Y55" s="69">
        <f t="shared" si="0"/>
        <v>0</v>
      </c>
      <c r="Z55" s="68">
        <f>IFERROR(SUMIF(CT撮影装置!$C$30:$C$74,B55,CT撮影装置!$K$30:$K$74)*((CT撮影装置!$H$3-CT撮影装置!$I$3)/CT撮影装置!$H$3),0)</f>
        <v>0</v>
      </c>
      <c r="AA55" s="69">
        <f t="shared" si="15"/>
        <v>0</v>
      </c>
      <c r="AB55" s="68">
        <f>IFERROR(SUMIF(生体情報モニタ!$C$30:$C$74,B55,生体情報モニタ!$K$30:$K$74)*((生体情報モニタ!$H$3-生体情報モニタ!$I$3)/生体情報モニタ!$H$3),0)</f>
        <v>0</v>
      </c>
      <c r="AC55" s="69">
        <f t="shared" si="1"/>
        <v>0</v>
      </c>
      <c r="AD55" s="68">
        <f>IFERROR(SUMIF(分娩監視装置!$C$30:$C$74,B55,分娩監視装置!$K$30:$K$74)*((分娩監視装置!$H$3-分娩監視装置!$I$3)/分娩監視装置!$H$3),0)</f>
        <v>0</v>
      </c>
      <c r="AE55" s="69">
        <f t="shared" si="16"/>
        <v>0</v>
      </c>
      <c r="AF55" s="68">
        <f>IFERROR(SUMIF(新生児モニタ!$C$30:$C$74,B55,新生児モニタ!$K$30:$K$74)*((新生児モニタ!$H$3-新生児モニタ!$I$3)/新生児モニタ!$H$3),0)</f>
        <v>0</v>
      </c>
      <c r="AG55" s="69">
        <f t="shared" si="17"/>
        <v>0</v>
      </c>
    </row>
    <row r="56" spans="2:33">
      <c r="B56" s="65" t="s">
        <v>725</v>
      </c>
      <c r="C56" s="68">
        <f>IFERROR(SUMIF(初度設備!$C$30:$C$74,B56,初度設備!$N$30:$N$74)*((初度設備!$H$3-初度設備!$I$3)/初度設備!$H$3),0)</f>
        <v>0</v>
      </c>
      <c r="D56" s="69">
        <f t="shared" si="2"/>
        <v>0</v>
      </c>
      <c r="E56" s="68">
        <f>IFERROR(SUMIF(人工呼吸器!$C$30:$C$74,B56,人工呼吸器!$N$30:$N$74)*((人工呼吸器!$H$3-人工呼吸器!$I$3)/人工呼吸器!$H$3),0)</f>
        <v>0</v>
      </c>
      <c r="F56" s="69">
        <f t="shared" si="3"/>
        <v>0</v>
      </c>
      <c r="G56" s="69">
        <f t="shared" si="4"/>
        <v>0</v>
      </c>
      <c r="H56" s="69">
        <f t="shared" si="5"/>
        <v>0</v>
      </c>
      <c r="I56" s="68">
        <f>IFERROR(SUMIF(簡易陰圧装置!$C$30:$C$74,B56,簡易陰圧装置!$N$30:$N$74)*((簡易陰圧装置!$H$3-簡易陰圧装置!$I$3)/簡易陰圧装置!$H$3),0)</f>
        <v>0</v>
      </c>
      <c r="J56" s="69">
        <f t="shared" si="6"/>
        <v>0</v>
      </c>
      <c r="K56" s="68">
        <f>IFERROR(SUMIF(#REF!,B56,#REF!)*((#REF!-#REF!)/#REF!),0)</f>
        <v>0</v>
      </c>
      <c r="L56" s="69">
        <f t="shared" si="7"/>
        <v>0</v>
      </c>
      <c r="M56" s="68">
        <f>IFERROR(SUMIF(体外式膜型人工肺!$C$30:$C$74,B56,体外式膜型人工肺!$N$30:$N$74)*((体外式膜型人工肺!$H$3-体外式膜型人工肺!$I$3)/体外式膜型人工肺!$H$3),0)</f>
        <v>0</v>
      </c>
      <c r="N56" s="69">
        <f t="shared" si="8"/>
        <v>0</v>
      </c>
      <c r="O56" s="69">
        <f t="shared" si="9"/>
        <v>0</v>
      </c>
      <c r="P56" s="69">
        <f t="shared" si="10"/>
        <v>0</v>
      </c>
      <c r="Q56" s="68">
        <f>IFERROR(SUMIF(紫外線照射装置!$C$30:$C$74,B56,紫外線照射装置!$N$30:$N$74)*((紫外線照射装置!$H$3-紫外線照射装置!$I$3)/紫外線照射装置!$H$3),0)</f>
        <v>0</v>
      </c>
      <c r="R56" s="69">
        <f t="shared" si="11"/>
        <v>0</v>
      </c>
      <c r="S56" s="102">
        <f t="shared" si="12"/>
        <v>0</v>
      </c>
      <c r="T56" s="68">
        <f>IFERROR(SUMIF(超音波画像診断装置!$C$30:$C$74,B56,超音波画像診断装置!$K$30:$K$74)*((超音波画像診断装置!$H$3-超音波画像診断装置!$I$3)/超音波画像診断装置!$H$3),0)</f>
        <v>0</v>
      </c>
      <c r="U56" s="69">
        <f t="shared" si="13"/>
        <v>0</v>
      </c>
      <c r="V56" s="68">
        <f>IFERROR(SUMIF(血液浄化装置!$C$30:$C$74,B56,血液浄化装置!$K$30:$K$74)*((血液浄化装置!$H$3-血液浄化装置!$I$3)/血液浄化装置!$H$3),0)</f>
        <v>0</v>
      </c>
      <c r="W56" s="69">
        <f t="shared" si="14"/>
        <v>0</v>
      </c>
      <c r="X56" s="68">
        <f>IFERROR(SUMIF(気管支鏡!$C$30:$C$74,B56,気管支鏡!$K$30:$K$74)*((気管支鏡!$H$3-気管支鏡!$I$3)/気管支鏡!$H$3),0)</f>
        <v>0</v>
      </c>
      <c r="Y56" s="69">
        <f t="shared" si="0"/>
        <v>0</v>
      </c>
      <c r="Z56" s="68">
        <f>IFERROR(SUMIF(CT撮影装置!$C$30:$C$74,B56,CT撮影装置!$K$30:$K$74)*((CT撮影装置!$H$3-CT撮影装置!$I$3)/CT撮影装置!$H$3),0)</f>
        <v>0</v>
      </c>
      <c r="AA56" s="69">
        <f t="shared" si="15"/>
        <v>0</v>
      </c>
      <c r="AB56" s="68">
        <f>IFERROR(SUMIF(生体情報モニタ!$C$30:$C$74,B56,生体情報モニタ!$K$30:$K$74)*((生体情報モニタ!$H$3-生体情報モニタ!$I$3)/生体情報モニタ!$H$3),0)</f>
        <v>0</v>
      </c>
      <c r="AC56" s="69">
        <f t="shared" si="1"/>
        <v>0</v>
      </c>
      <c r="AD56" s="68">
        <f>IFERROR(SUMIF(分娩監視装置!$C$30:$C$74,B56,分娩監視装置!$K$30:$K$74)*((分娩監視装置!$H$3-分娩監視装置!$I$3)/分娩監視装置!$H$3),0)</f>
        <v>0</v>
      </c>
      <c r="AE56" s="69">
        <f t="shared" si="16"/>
        <v>0</v>
      </c>
      <c r="AF56" s="68">
        <f>IFERROR(SUMIF(新生児モニタ!$C$30:$C$74,B56,新生児モニタ!$K$30:$K$74)*((新生児モニタ!$H$3-新生児モニタ!$I$3)/新生児モニタ!$H$3),0)</f>
        <v>0</v>
      </c>
      <c r="AG56" s="69">
        <f t="shared" si="17"/>
        <v>0</v>
      </c>
    </row>
    <row r="57" spans="2:33">
      <c r="B57" s="65" t="s">
        <v>726</v>
      </c>
      <c r="C57" s="68">
        <f>IFERROR(SUMIF(初度設備!$C$30:$C$74,B57,初度設備!$N$30:$N$74)*((初度設備!$H$3-初度設備!$I$3)/初度設備!$H$3),0)</f>
        <v>0</v>
      </c>
      <c r="D57" s="69">
        <f t="shared" si="2"/>
        <v>0</v>
      </c>
      <c r="E57" s="68">
        <f>IFERROR(SUMIF(人工呼吸器!$C$30:$C$74,B57,人工呼吸器!$N$30:$N$74)*((人工呼吸器!$H$3-人工呼吸器!$I$3)/人工呼吸器!$H$3),0)</f>
        <v>0</v>
      </c>
      <c r="F57" s="69">
        <f t="shared" si="3"/>
        <v>0</v>
      </c>
      <c r="G57" s="69">
        <f t="shared" si="4"/>
        <v>0</v>
      </c>
      <c r="H57" s="69">
        <f t="shared" si="5"/>
        <v>0</v>
      </c>
      <c r="I57" s="68">
        <f>IFERROR(SUMIF(簡易陰圧装置!$C$30:$C$74,B57,簡易陰圧装置!$N$30:$N$74)*((簡易陰圧装置!$H$3-簡易陰圧装置!$I$3)/簡易陰圧装置!$H$3),0)</f>
        <v>0</v>
      </c>
      <c r="J57" s="69">
        <f t="shared" si="6"/>
        <v>0</v>
      </c>
      <c r="K57" s="68">
        <f>IFERROR(SUMIF(#REF!,B57,#REF!)*((#REF!-#REF!)/#REF!),0)</f>
        <v>0</v>
      </c>
      <c r="L57" s="69">
        <f t="shared" si="7"/>
        <v>0</v>
      </c>
      <c r="M57" s="68">
        <f>IFERROR(SUMIF(体外式膜型人工肺!$C$30:$C$74,B57,体外式膜型人工肺!$N$30:$N$74)*((体外式膜型人工肺!$H$3-体外式膜型人工肺!$I$3)/体外式膜型人工肺!$H$3),0)</f>
        <v>0</v>
      </c>
      <c r="N57" s="69">
        <f t="shared" si="8"/>
        <v>0</v>
      </c>
      <c r="O57" s="69">
        <f t="shared" si="9"/>
        <v>0</v>
      </c>
      <c r="P57" s="69">
        <f t="shared" si="10"/>
        <v>0</v>
      </c>
      <c r="Q57" s="68">
        <f>IFERROR(SUMIF(紫外線照射装置!$C$30:$C$74,B57,紫外線照射装置!$N$30:$N$74)*((紫外線照射装置!$H$3-紫外線照射装置!$I$3)/紫外線照射装置!$H$3),0)</f>
        <v>0</v>
      </c>
      <c r="R57" s="69">
        <f t="shared" si="11"/>
        <v>0</v>
      </c>
      <c r="S57" s="102">
        <f t="shared" si="12"/>
        <v>0</v>
      </c>
      <c r="T57" s="68">
        <f>IFERROR(SUMIF(超音波画像診断装置!$C$30:$C$74,B57,超音波画像診断装置!$K$30:$K$74)*((超音波画像診断装置!$H$3-超音波画像診断装置!$I$3)/超音波画像診断装置!$H$3),0)</f>
        <v>0</v>
      </c>
      <c r="U57" s="69">
        <f t="shared" si="13"/>
        <v>0</v>
      </c>
      <c r="V57" s="68">
        <f>IFERROR(SUMIF(血液浄化装置!$C$30:$C$74,B57,血液浄化装置!$K$30:$K$74)*((血液浄化装置!$H$3-血液浄化装置!$I$3)/血液浄化装置!$H$3),0)</f>
        <v>0</v>
      </c>
      <c r="W57" s="69">
        <f t="shared" si="14"/>
        <v>0</v>
      </c>
      <c r="X57" s="68">
        <f>IFERROR(SUMIF(気管支鏡!$C$30:$C$74,B57,気管支鏡!$K$30:$K$74)*((気管支鏡!$H$3-気管支鏡!$I$3)/気管支鏡!$H$3),0)</f>
        <v>0</v>
      </c>
      <c r="Y57" s="69">
        <f t="shared" si="0"/>
        <v>0</v>
      </c>
      <c r="Z57" s="68">
        <f>IFERROR(SUMIF(CT撮影装置!$C$30:$C$74,B57,CT撮影装置!$K$30:$K$74)*((CT撮影装置!$H$3-CT撮影装置!$I$3)/CT撮影装置!$H$3),0)</f>
        <v>0</v>
      </c>
      <c r="AA57" s="69">
        <f t="shared" si="15"/>
        <v>0</v>
      </c>
      <c r="AB57" s="68">
        <f>IFERROR(SUMIF(生体情報モニタ!$C$30:$C$74,B57,生体情報モニタ!$K$30:$K$74)*((生体情報モニタ!$H$3-生体情報モニタ!$I$3)/生体情報モニタ!$H$3),0)</f>
        <v>0</v>
      </c>
      <c r="AC57" s="69">
        <f t="shared" si="1"/>
        <v>0</v>
      </c>
      <c r="AD57" s="68">
        <f>IFERROR(SUMIF(分娩監視装置!$C$30:$C$74,B57,分娩監視装置!$K$30:$K$74)*((分娩監視装置!$H$3-分娩監視装置!$I$3)/分娩監視装置!$H$3),0)</f>
        <v>0</v>
      </c>
      <c r="AE57" s="69">
        <f t="shared" si="16"/>
        <v>0</v>
      </c>
      <c r="AF57" s="68">
        <f>IFERROR(SUMIF(新生児モニタ!$C$30:$C$74,B57,新生児モニタ!$K$30:$K$74)*((新生児モニタ!$H$3-新生児モニタ!$I$3)/新生児モニタ!$H$3),0)</f>
        <v>0</v>
      </c>
      <c r="AG57" s="69">
        <f t="shared" si="17"/>
        <v>0</v>
      </c>
    </row>
    <row r="58" spans="2:33">
      <c r="B58" s="65" t="s">
        <v>727</v>
      </c>
      <c r="C58" s="68">
        <f>IFERROR(SUMIF(初度設備!$C$30:$C$74,B58,初度設備!$N$30:$N$74)*((初度設備!$H$3-初度設備!$I$3)/初度設備!$H$3),0)</f>
        <v>0</v>
      </c>
      <c r="D58" s="69">
        <f t="shared" si="2"/>
        <v>0</v>
      </c>
      <c r="E58" s="68">
        <f>IFERROR(SUMIF(人工呼吸器!$C$30:$C$74,B58,人工呼吸器!$N$30:$N$74)*((人工呼吸器!$H$3-人工呼吸器!$I$3)/人工呼吸器!$H$3),0)</f>
        <v>0</v>
      </c>
      <c r="F58" s="69">
        <f t="shared" si="3"/>
        <v>0</v>
      </c>
      <c r="G58" s="69">
        <f t="shared" si="4"/>
        <v>0</v>
      </c>
      <c r="H58" s="69">
        <f t="shared" si="5"/>
        <v>0</v>
      </c>
      <c r="I58" s="68">
        <f>IFERROR(SUMIF(簡易陰圧装置!$C$30:$C$74,B58,簡易陰圧装置!$N$30:$N$74)*((簡易陰圧装置!$H$3-簡易陰圧装置!$I$3)/簡易陰圧装置!$H$3),0)</f>
        <v>0</v>
      </c>
      <c r="J58" s="69">
        <f t="shared" si="6"/>
        <v>0</v>
      </c>
      <c r="K58" s="68">
        <f>IFERROR(SUMIF(#REF!,B58,#REF!)*((#REF!-#REF!)/#REF!),0)</f>
        <v>0</v>
      </c>
      <c r="L58" s="69">
        <f t="shared" si="7"/>
        <v>0</v>
      </c>
      <c r="M58" s="68">
        <f>IFERROR(SUMIF(体外式膜型人工肺!$C$30:$C$74,B58,体外式膜型人工肺!$N$30:$N$74)*((体外式膜型人工肺!$H$3-体外式膜型人工肺!$I$3)/体外式膜型人工肺!$H$3),0)</f>
        <v>0</v>
      </c>
      <c r="N58" s="69">
        <f t="shared" si="8"/>
        <v>0</v>
      </c>
      <c r="O58" s="69">
        <f t="shared" si="9"/>
        <v>0</v>
      </c>
      <c r="P58" s="69">
        <f t="shared" si="10"/>
        <v>0</v>
      </c>
      <c r="Q58" s="68">
        <f>IFERROR(SUMIF(紫外線照射装置!$C$30:$C$74,B58,紫外線照射装置!$N$30:$N$74)*((紫外線照射装置!$H$3-紫外線照射装置!$I$3)/紫外線照射装置!$H$3),0)</f>
        <v>0</v>
      </c>
      <c r="R58" s="69">
        <f t="shared" si="11"/>
        <v>0</v>
      </c>
      <c r="S58" s="102">
        <f t="shared" si="12"/>
        <v>0</v>
      </c>
      <c r="T58" s="68">
        <f>IFERROR(SUMIF(超音波画像診断装置!$C$30:$C$74,B58,超音波画像診断装置!$K$30:$K$74)*((超音波画像診断装置!$H$3-超音波画像診断装置!$I$3)/超音波画像診断装置!$H$3),0)</f>
        <v>0</v>
      </c>
      <c r="U58" s="69">
        <f t="shared" si="13"/>
        <v>0</v>
      </c>
      <c r="V58" s="68">
        <f>IFERROR(SUMIF(血液浄化装置!$C$30:$C$74,B58,血液浄化装置!$K$30:$K$74)*((血液浄化装置!$H$3-血液浄化装置!$I$3)/血液浄化装置!$H$3),0)</f>
        <v>0</v>
      </c>
      <c r="W58" s="69">
        <f t="shared" si="14"/>
        <v>0</v>
      </c>
      <c r="X58" s="68">
        <f>IFERROR(SUMIF(気管支鏡!$C$30:$C$74,B58,気管支鏡!$K$30:$K$74)*((気管支鏡!$H$3-気管支鏡!$I$3)/気管支鏡!$H$3),0)</f>
        <v>0</v>
      </c>
      <c r="Y58" s="69">
        <f t="shared" si="0"/>
        <v>0</v>
      </c>
      <c r="Z58" s="68">
        <f>IFERROR(SUMIF(CT撮影装置!$C$30:$C$74,B58,CT撮影装置!$K$30:$K$74)*((CT撮影装置!$H$3-CT撮影装置!$I$3)/CT撮影装置!$H$3),0)</f>
        <v>0</v>
      </c>
      <c r="AA58" s="69">
        <f t="shared" si="15"/>
        <v>0</v>
      </c>
      <c r="AB58" s="68">
        <f>IFERROR(SUMIF(生体情報モニタ!$C$30:$C$74,B58,生体情報モニタ!$K$30:$K$74)*((生体情報モニタ!$H$3-生体情報モニタ!$I$3)/生体情報モニタ!$H$3),0)</f>
        <v>0</v>
      </c>
      <c r="AC58" s="69">
        <f t="shared" si="1"/>
        <v>0</v>
      </c>
      <c r="AD58" s="68">
        <f>IFERROR(SUMIF(分娩監視装置!$C$30:$C$74,B58,分娩監視装置!$K$30:$K$74)*((分娩監視装置!$H$3-分娩監視装置!$I$3)/分娩監視装置!$H$3),0)</f>
        <v>0</v>
      </c>
      <c r="AE58" s="69">
        <f t="shared" si="16"/>
        <v>0</v>
      </c>
      <c r="AF58" s="68">
        <f>IFERROR(SUMIF(新生児モニタ!$C$30:$C$74,B58,新生児モニタ!$K$30:$K$74)*((新生児モニタ!$H$3-新生児モニタ!$I$3)/新生児モニタ!$H$3),0)</f>
        <v>0</v>
      </c>
      <c r="AG58" s="69">
        <f t="shared" si="17"/>
        <v>0</v>
      </c>
    </row>
    <row r="59" spans="2:33">
      <c r="B59" s="65" t="s">
        <v>728</v>
      </c>
      <c r="C59" s="68">
        <f>IFERROR(SUMIF(初度設備!$C$30:$C$74,B59,初度設備!$N$30:$N$74)*((初度設備!$H$3-初度設備!$I$3)/初度設備!$H$3),0)</f>
        <v>0</v>
      </c>
      <c r="D59" s="69">
        <f t="shared" si="2"/>
        <v>0</v>
      </c>
      <c r="E59" s="68">
        <f>IFERROR(SUMIF(人工呼吸器!$C$30:$C$74,B59,人工呼吸器!$N$30:$N$74)*((人工呼吸器!$H$3-人工呼吸器!$I$3)/人工呼吸器!$H$3),0)</f>
        <v>0</v>
      </c>
      <c r="F59" s="69">
        <f t="shared" si="3"/>
        <v>0</v>
      </c>
      <c r="G59" s="69">
        <f t="shared" si="4"/>
        <v>0</v>
      </c>
      <c r="H59" s="69">
        <f t="shared" si="5"/>
        <v>0</v>
      </c>
      <c r="I59" s="68">
        <f>IFERROR(SUMIF(簡易陰圧装置!$C$30:$C$74,B59,簡易陰圧装置!$N$30:$N$74)*((簡易陰圧装置!$H$3-簡易陰圧装置!$I$3)/簡易陰圧装置!$H$3),0)</f>
        <v>0</v>
      </c>
      <c r="J59" s="69">
        <f t="shared" si="6"/>
        <v>0</v>
      </c>
      <c r="K59" s="68">
        <f>IFERROR(SUMIF(#REF!,B59,#REF!)*((#REF!-#REF!)/#REF!),0)</f>
        <v>0</v>
      </c>
      <c r="L59" s="69">
        <f t="shared" si="7"/>
        <v>0</v>
      </c>
      <c r="M59" s="68">
        <f>IFERROR(SUMIF(体外式膜型人工肺!$C$30:$C$74,B59,体外式膜型人工肺!$N$30:$N$74)*((体外式膜型人工肺!$H$3-体外式膜型人工肺!$I$3)/体外式膜型人工肺!$H$3),0)</f>
        <v>0</v>
      </c>
      <c r="N59" s="69">
        <f t="shared" si="8"/>
        <v>0</v>
      </c>
      <c r="O59" s="69">
        <f t="shared" si="9"/>
        <v>0</v>
      </c>
      <c r="P59" s="69">
        <f t="shared" si="10"/>
        <v>0</v>
      </c>
      <c r="Q59" s="68">
        <f>IFERROR(SUMIF(紫外線照射装置!$C$30:$C$74,B59,紫外線照射装置!$N$30:$N$74)*((紫外線照射装置!$H$3-紫外線照射装置!$I$3)/紫外線照射装置!$H$3),0)</f>
        <v>0</v>
      </c>
      <c r="R59" s="69">
        <f t="shared" si="11"/>
        <v>0</v>
      </c>
      <c r="S59" s="102">
        <f t="shared" si="12"/>
        <v>0</v>
      </c>
      <c r="T59" s="68">
        <f>IFERROR(SUMIF(超音波画像診断装置!$C$30:$C$74,B59,超音波画像診断装置!$K$30:$K$74)*((超音波画像診断装置!$H$3-超音波画像診断装置!$I$3)/超音波画像診断装置!$H$3),0)</f>
        <v>0</v>
      </c>
      <c r="U59" s="69">
        <f t="shared" si="13"/>
        <v>0</v>
      </c>
      <c r="V59" s="68">
        <f>IFERROR(SUMIF(血液浄化装置!$C$30:$C$74,B59,血液浄化装置!$K$30:$K$74)*((血液浄化装置!$H$3-血液浄化装置!$I$3)/血液浄化装置!$H$3),0)</f>
        <v>0</v>
      </c>
      <c r="W59" s="69">
        <f t="shared" si="14"/>
        <v>0</v>
      </c>
      <c r="X59" s="68">
        <f>IFERROR(SUMIF(気管支鏡!$C$30:$C$74,B59,気管支鏡!$K$30:$K$74)*((気管支鏡!$H$3-気管支鏡!$I$3)/気管支鏡!$H$3),0)</f>
        <v>0</v>
      </c>
      <c r="Y59" s="69">
        <f t="shared" si="0"/>
        <v>0</v>
      </c>
      <c r="Z59" s="68">
        <f>IFERROR(SUMIF(CT撮影装置!$C$30:$C$74,B59,CT撮影装置!$K$30:$K$74)*((CT撮影装置!$H$3-CT撮影装置!$I$3)/CT撮影装置!$H$3),0)</f>
        <v>0</v>
      </c>
      <c r="AA59" s="69">
        <f t="shared" si="15"/>
        <v>0</v>
      </c>
      <c r="AB59" s="68">
        <f>IFERROR(SUMIF(生体情報モニタ!$C$30:$C$74,B59,生体情報モニタ!$K$30:$K$74)*((生体情報モニタ!$H$3-生体情報モニタ!$I$3)/生体情報モニタ!$H$3),0)</f>
        <v>0</v>
      </c>
      <c r="AC59" s="69">
        <f t="shared" si="1"/>
        <v>0</v>
      </c>
      <c r="AD59" s="68">
        <f>IFERROR(SUMIF(分娩監視装置!$C$30:$C$74,B59,分娩監視装置!$K$30:$K$74)*((分娩監視装置!$H$3-分娩監視装置!$I$3)/分娩監視装置!$H$3),0)</f>
        <v>0</v>
      </c>
      <c r="AE59" s="69">
        <f t="shared" si="16"/>
        <v>0</v>
      </c>
      <c r="AF59" s="68">
        <f>IFERROR(SUMIF(新生児モニタ!$C$30:$C$74,B59,新生児モニタ!$K$30:$K$74)*((新生児モニタ!$H$3-新生児モニタ!$I$3)/新生児モニタ!$H$3),0)</f>
        <v>0</v>
      </c>
      <c r="AG59" s="69">
        <f t="shared" si="17"/>
        <v>0</v>
      </c>
    </row>
    <row r="60" spans="2:33">
      <c r="B60" s="65" t="s">
        <v>729</v>
      </c>
      <c r="C60" s="68">
        <f>IFERROR(SUMIF(初度設備!$C$30:$C$74,B60,初度設備!$N$30:$N$74)*((初度設備!$H$3-初度設備!$I$3)/初度設備!$H$3),0)</f>
        <v>0</v>
      </c>
      <c r="D60" s="69">
        <f t="shared" si="2"/>
        <v>0</v>
      </c>
      <c r="E60" s="68">
        <f>IFERROR(SUMIF(人工呼吸器!$C$30:$C$74,B60,人工呼吸器!$N$30:$N$74)*((人工呼吸器!$H$3-人工呼吸器!$I$3)/人工呼吸器!$H$3),0)</f>
        <v>0</v>
      </c>
      <c r="F60" s="69">
        <f t="shared" si="3"/>
        <v>0</v>
      </c>
      <c r="G60" s="69">
        <f t="shared" si="4"/>
        <v>0</v>
      </c>
      <c r="H60" s="69">
        <f t="shared" si="5"/>
        <v>0</v>
      </c>
      <c r="I60" s="68">
        <f>IFERROR(SUMIF(簡易陰圧装置!$C$30:$C$74,B60,簡易陰圧装置!$N$30:$N$74)*((簡易陰圧装置!$H$3-簡易陰圧装置!$I$3)/簡易陰圧装置!$H$3),0)</f>
        <v>0</v>
      </c>
      <c r="J60" s="69">
        <f t="shared" si="6"/>
        <v>0</v>
      </c>
      <c r="K60" s="68">
        <f>IFERROR(SUMIF(#REF!,B60,#REF!)*((#REF!-#REF!)/#REF!),0)</f>
        <v>0</v>
      </c>
      <c r="L60" s="69">
        <f t="shared" si="7"/>
        <v>0</v>
      </c>
      <c r="M60" s="68">
        <f>IFERROR(SUMIF(体外式膜型人工肺!$C$30:$C$74,B60,体外式膜型人工肺!$N$30:$N$74)*((体外式膜型人工肺!$H$3-体外式膜型人工肺!$I$3)/体外式膜型人工肺!$H$3),0)</f>
        <v>0</v>
      </c>
      <c r="N60" s="69">
        <f t="shared" si="8"/>
        <v>0</v>
      </c>
      <c r="O60" s="69">
        <f t="shared" si="9"/>
        <v>0</v>
      </c>
      <c r="P60" s="69">
        <f t="shared" si="10"/>
        <v>0</v>
      </c>
      <c r="Q60" s="68">
        <f>IFERROR(SUMIF(紫外線照射装置!$C$30:$C$74,B60,紫外線照射装置!$N$30:$N$74)*((紫外線照射装置!$H$3-紫外線照射装置!$I$3)/紫外線照射装置!$H$3),0)</f>
        <v>0</v>
      </c>
      <c r="R60" s="69">
        <f t="shared" si="11"/>
        <v>0</v>
      </c>
      <c r="S60" s="102">
        <f t="shared" si="12"/>
        <v>0</v>
      </c>
      <c r="T60" s="68">
        <f>IFERROR(SUMIF(超音波画像診断装置!$C$30:$C$74,B60,超音波画像診断装置!$K$30:$K$74)*((超音波画像診断装置!$H$3-超音波画像診断装置!$I$3)/超音波画像診断装置!$H$3),0)</f>
        <v>0</v>
      </c>
      <c r="U60" s="69">
        <f t="shared" si="13"/>
        <v>0</v>
      </c>
      <c r="V60" s="68">
        <f>IFERROR(SUMIF(血液浄化装置!$C$30:$C$74,B60,血液浄化装置!$K$30:$K$74)*((血液浄化装置!$H$3-血液浄化装置!$I$3)/血液浄化装置!$H$3),0)</f>
        <v>0</v>
      </c>
      <c r="W60" s="69">
        <f t="shared" si="14"/>
        <v>0</v>
      </c>
      <c r="X60" s="68">
        <f>IFERROR(SUMIF(気管支鏡!$C$30:$C$74,B60,気管支鏡!$K$30:$K$74)*((気管支鏡!$H$3-気管支鏡!$I$3)/気管支鏡!$H$3),0)</f>
        <v>0</v>
      </c>
      <c r="Y60" s="69">
        <f t="shared" si="0"/>
        <v>0</v>
      </c>
      <c r="Z60" s="68">
        <f>IFERROR(SUMIF(CT撮影装置!$C$30:$C$74,B60,CT撮影装置!$K$30:$K$74)*((CT撮影装置!$H$3-CT撮影装置!$I$3)/CT撮影装置!$H$3),0)</f>
        <v>0</v>
      </c>
      <c r="AA60" s="69">
        <f t="shared" si="15"/>
        <v>0</v>
      </c>
      <c r="AB60" s="68">
        <f>IFERROR(SUMIF(生体情報モニタ!$C$30:$C$74,B60,生体情報モニタ!$K$30:$K$74)*((生体情報モニタ!$H$3-生体情報モニタ!$I$3)/生体情報モニタ!$H$3),0)</f>
        <v>0</v>
      </c>
      <c r="AC60" s="69">
        <f t="shared" si="1"/>
        <v>0</v>
      </c>
      <c r="AD60" s="68">
        <f>IFERROR(SUMIF(分娩監視装置!$C$30:$C$74,B60,分娩監視装置!$K$30:$K$74)*((分娩監視装置!$H$3-分娩監視装置!$I$3)/分娩監視装置!$H$3),0)</f>
        <v>0</v>
      </c>
      <c r="AE60" s="69">
        <f t="shared" si="16"/>
        <v>0</v>
      </c>
      <c r="AF60" s="68">
        <f>IFERROR(SUMIF(新生児モニタ!$C$30:$C$74,B60,新生児モニタ!$K$30:$K$74)*((新生児モニタ!$H$3-新生児モニタ!$I$3)/新生児モニタ!$H$3),0)</f>
        <v>0</v>
      </c>
      <c r="AG60" s="69">
        <f t="shared" si="17"/>
        <v>0</v>
      </c>
    </row>
    <row r="61" spans="2:33">
      <c r="B61" s="65" t="s">
        <v>730</v>
      </c>
      <c r="C61" s="68">
        <f>IFERROR(SUMIF(初度設備!$C$30:$C$74,B61,初度設備!$N$30:$N$74)*((初度設備!$H$3-初度設備!$I$3)/初度設備!$H$3),0)</f>
        <v>0</v>
      </c>
      <c r="D61" s="69">
        <f t="shared" si="2"/>
        <v>0</v>
      </c>
      <c r="E61" s="68">
        <f>IFERROR(SUMIF(人工呼吸器!$C$30:$C$74,B61,人工呼吸器!$N$30:$N$74)*((人工呼吸器!$H$3-人工呼吸器!$I$3)/人工呼吸器!$H$3),0)</f>
        <v>0</v>
      </c>
      <c r="F61" s="69">
        <f t="shared" si="3"/>
        <v>0</v>
      </c>
      <c r="G61" s="69">
        <f t="shared" si="4"/>
        <v>0</v>
      </c>
      <c r="H61" s="69">
        <f t="shared" si="5"/>
        <v>0</v>
      </c>
      <c r="I61" s="68">
        <f>IFERROR(SUMIF(簡易陰圧装置!$C$30:$C$74,B61,簡易陰圧装置!$N$30:$N$74)*((簡易陰圧装置!$H$3-簡易陰圧装置!$I$3)/簡易陰圧装置!$H$3),0)</f>
        <v>0</v>
      </c>
      <c r="J61" s="69">
        <f t="shared" si="6"/>
        <v>0</v>
      </c>
      <c r="K61" s="68">
        <f>IFERROR(SUMIF(#REF!,B61,#REF!)*((#REF!-#REF!)/#REF!),0)</f>
        <v>0</v>
      </c>
      <c r="L61" s="69">
        <f t="shared" si="7"/>
        <v>0</v>
      </c>
      <c r="M61" s="68">
        <f>IFERROR(SUMIF(体外式膜型人工肺!$C$30:$C$74,B61,体外式膜型人工肺!$N$30:$N$74)*((体外式膜型人工肺!$H$3-体外式膜型人工肺!$I$3)/体外式膜型人工肺!$H$3),0)</f>
        <v>0</v>
      </c>
      <c r="N61" s="69">
        <f t="shared" si="8"/>
        <v>0</v>
      </c>
      <c r="O61" s="69">
        <f t="shared" si="9"/>
        <v>0</v>
      </c>
      <c r="P61" s="69">
        <f t="shared" si="10"/>
        <v>0</v>
      </c>
      <c r="Q61" s="68">
        <f>IFERROR(SUMIF(紫外線照射装置!$C$30:$C$74,B61,紫外線照射装置!$N$30:$N$74)*((紫外線照射装置!$H$3-紫外線照射装置!$I$3)/紫外線照射装置!$H$3),0)</f>
        <v>0</v>
      </c>
      <c r="R61" s="69">
        <f t="shared" si="11"/>
        <v>0</v>
      </c>
      <c r="S61" s="102">
        <f t="shared" si="12"/>
        <v>0</v>
      </c>
      <c r="T61" s="68">
        <f>IFERROR(SUMIF(超音波画像診断装置!$C$30:$C$74,B61,超音波画像診断装置!$K$30:$K$74)*((超音波画像診断装置!$H$3-超音波画像診断装置!$I$3)/超音波画像診断装置!$H$3),0)</f>
        <v>0</v>
      </c>
      <c r="U61" s="69">
        <f t="shared" si="13"/>
        <v>0</v>
      </c>
      <c r="V61" s="68">
        <f>IFERROR(SUMIF(血液浄化装置!$C$30:$C$74,B61,血液浄化装置!$K$30:$K$74)*((血液浄化装置!$H$3-血液浄化装置!$I$3)/血液浄化装置!$H$3),0)</f>
        <v>0</v>
      </c>
      <c r="W61" s="69">
        <f t="shared" si="14"/>
        <v>0</v>
      </c>
      <c r="X61" s="68">
        <f>IFERROR(SUMIF(気管支鏡!$C$30:$C$74,B61,気管支鏡!$K$30:$K$74)*((気管支鏡!$H$3-気管支鏡!$I$3)/気管支鏡!$H$3),0)</f>
        <v>0</v>
      </c>
      <c r="Y61" s="69">
        <f t="shared" si="0"/>
        <v>0</v>
      </c>
      <c r="Z61" s="68">
        <f>IFERROR(SUMIF(CT撮影装置!$C$30:$C$74,B61,CT撮影装置!$K$30:$K$74)*((CT撮影装置!$H$3-CT撮影装置!$I$3)/CT撮影装置!$H$3),0)</f>
        <v>0</v>
      </c>
      <c r="AA61" s="69">
        <f t="shared" si="15"/>
        <v>0</v>
      </c>
      <c r="AB61" s="68">
        <f>IFERROR(SUMIF(生体情報モニタ!$C$30:$C$74,B61,生体情報モニタ!$K$30:$K$74)*((生体情報モニタ!$H$3-生体情報モニタ!$I$3)/生体情報モニタ!$H$3),0)</f>
        <v>0</v>
      </c>
      <c r="AC61" s="69">
        <f t="shared" si="1"/>
        <v>0</v>
      </c>
      <c r="AD61" s="68">
        <f>IFERROR(SUMIF(分娩監視装置!$C$30:$C$74,B61,分娩監視装置!$K$30:$K$74)*((分娩監視装置!$H$3-分娩監視装置!$I$3)/分娩監視装置!$H$3),0)</f>
        <v>0</v>
      </c>
      <c r="AE61" s="69">
        <f t="shared" si="16"/>
        <v>0</v>
      </c>
      <c r="AF61" s="68">
        <f>IFERROR(SUMIF(新生児モニタ!$C$30:$C$74,B61,新生児モニタ!$K$30:$K$74)*((新生児モニタ!$H$3-新生児モニタ!$I$3)/新生児モニタ!$H$3),0)</f>
        <v>0</v>
      </c>
      <c r="AG61" s="69">
        <f t="shared" si="17"/>
        <v>0</v>
      </c>
    </row>
    <row r="62" spans="2:33">
      <c r="B62" s="65" t="s">
        <v>731</v>
      </c>
      <c r="C62" s="68">
        <f>IFERROR(SUMIF(初度設備!$C$30:$C$74,B62,初度設備!$N$30:$N$74)*((初度設備!$H$3-初度設備!$I$3)/初度設備!$H$3),0)</f>
        <v>0</v>
      </c>
      <c r="D62" s="69">
        <f t="shared" si="2"/>
        <v>0</v>
      </c>
      <c r="E62" s="68">
        <f>IFERROR(SUMIF(人工呼吸器!$C$30:$C$74,B62,人工呼吸器!$N$30:$N$74)*((人工呼吸器!$H$3-人工呼吸器!$I$3)/人工呼吸器!$H$3),0)</f>
        <v>0</v>
      </c>
      <c r="F62" s="69">
        <f t="shared" si="3"/>
        <v>0</v>
      </c>
      <c r="G62" s="69">
        <f t="shared" si="4"/>
        <v>0</v>
      </c>
      <c r="H62" s="69">
        <f t="shared" si="5"/>
        <v>0</v>
      </c>
      <c r="I62" s="68">
        <f>IFERROR(SUMIF(簡易陰圧装置!$C$30:$C$74,B62,簡易陰圧装置!$N$30:$N$74)*((簡易陰圧装置!$H$3-簡易陰圧装置!$I$3)/簡易陰圧装置!$H$3),0)</f>
        <v>0</v>
      </c>
      <c r="J62" s="69">
        <f t="shared" si="6"/>
        <v>0</v>
      </c>
      <c r="K62" s="68">
        <f>IFERROR(SUMIF(#REF!,B62,#REF!)*((#REF!-#REF!)/#REF!),0)</f>
        <v>0</v>
      </c>
      <c r="L62" s="69">
        <f t="shared" si="7"/>
        <v>0</v>
      </c>
      <c r="M62" s="68">
        <f>IFERROR(SUMIF(体外式膜型人工肺!$C$30:$C$74,B62,体外式膜型人工肺!$N$30:$N$74)*((体外式膜型人工肺!$H$3-体外式膜型人工肺!$I$3)/体外式膜型人工肺!$H$3),0)</f>
        <v>0</v>
      </c>
      <c r="N62" s="69">
        <f t="shared" si="8"/>
        <v>0</v>
      </c>
      <c r="O62" s="69">
        <f t="shared" si="9"/>
        <v>0</v>
      </c>
      <c r="P62" s="69">
        <f t="shared" si="10"/>
        <v>0</v>
      </c>
      <c r="Q62" s="68">
        <f>IFERROR(SUMIF(紫外線照射装置!$C$30:$C$74,B62,紫外線照射装置!$N$30:$N$74)*((紫外線照射装置!$H$3-紫外線照射装置!$I$3)/紫外線照射装置!$H$3),0)</f>
        <v>0</v>
      </c>
      <c r="R62" s="69">
        <f t="shared" si="11"/>
        <v>0</v>
      </c>
      <c r="S62" s="102">
        <f t="shared" si="12"/>
        <v>0</v>
      </c>
      <c r="T62" s="68">
        <f>IFERROR(SUMIF(超音波画像診断装置!$C$30:$C$74,B62,超音波画像診断装置!$K$30:$K$74)*((超音波画像診断装置!$H$3-超音波画像診断装置!$I$3)/超音波画像診断装置!$H$3),0)</f>
        <v>0</v>
      </c>
      <c r="U62" s="69">
        <f t="shared" si="13"/>
        <v>0</v>
      </c>
      <c r="V62" s="68">
        <f>IFERROR(SUMIF(血液浄化装置!$C$30:$C$74,B62,血液浄化装置!$K$30:$K$74)*((血液浄化装置!$H$3-血液浄化装置!$I$3)/血液浄化装置!$H$3),0)</f>
        <v>0</v>
      </c>
      <c r="W62" s="69">
        <f t="shared" si="14"/>
        <v>0</v>
      </c>
      <c r="X62" s="68">
        <f>IFERROR(SUMIF(気管支鏡!$C$30:$C$74,B62,気管支鏡!$K$30:$K$74)*((気管支鏡!$H$3-気管支鏡!$I$3)/気管支鏡!$H$3),0)</f>
        <v>0</v>
      </c>
      <c r="Y62" s="69">
        <f t="shared" si="0"/>
        <v>0</v>
      </c>
      <c r="Z62" s="68">
        <f>IFERROR(SUMIF(CT撮影装置!$C$30:$C$74,B62,CT撮影装置!$K$30:$K$74)*((CT撮影装置!$H$3-CT撮影装置!$I$3)/CT撮影装置!$H$3),0)</f>
        <v>0</v>
      </c>
      <c r="AA62" s="69">
        <f t="shared" si="15"/>
        <v>0</v>
      </c>
      <c r="AB62" s="68">
        <f>IFERROR(SUMIF(生体情報モニタ!$C$30:$C$74,B62,生体情報モニタ!$K$30:$K$74)*((生体情報モニタ!$H$3-生体情報モニタ!$I$3)/生体情報モニタ!$H$3),0)</f>
        <v>0</v>
      </c>
      <c r="AC62" s="69">
        <f t="shared" si="1"/>
        <v>0</v>
      </c>
      <c r="AD62" s="68">
        <f>IFERROR(SUMIF(分娩監視装置!$C$30:$C$74,B62,分娩監視装置!$K$30:$K$74)*((分娩監視装置!$H$3-分娩監視装置!$I$3)/分娩監視装置!$H$3),0)</f>
        <v>0</v>
      </c>
      <c r="AE62" s="69">
        <f t="shared" si="16"/>
        <v>0</v>
      </c>
      <c r="AF62" s="68">
        <f>IFERROR(SUMIF(新生児モニタ!$C$30:$C$74,B62,新生児モニタ!$K$30:$K$74)*((新生児モニタ!$H$3-新生児モニタ!$I$3)/新生児モニタ!$H$3),0)</f>
        <v>0</v>
      </c>
      <c r="AG62" s="69">
        <f t="shared" si="17"/>
        <v>0</v>
      </c>
    </row>
    <row r="63" spans="2:33">
      <c r="B63" s="65" t="s">
        <v>732</v>
      </c>
      <c r="C63" s="68">
        <f>IFERROR(SUMIF(初度設備!$C$30:$C$74,B63,初度設備!$N$30:$N$74)*((初度設備!$H$3-初度設備!$I$3)/初度設備!$H$3),0)</f>
        <v>0</v>
      </c>
      <c r="D63" s="69">
        <f t="shared" si="2"/>
        <v>0</v>
      </c>
      <c r="E63" s="68">
        <f>IFERROR(SUMIF(人工呼吸器!$C$30:$C$74,B63,人工呼吸器!$N$30:$N$74)*((人工呼吸器!$H$3-人工呼吸器!$I$3)/人工呼吸器!$H$3),0)</f>
        <v>0</v>
      </c>
      <c r="F63" s="69">
        <f t="shared" si="3"/>
        <v>0</v>
      </c>
      <c r="G63" s="69">
        <f t="shared" si="4"/>
        <v>0</v>
      </c>
      <c r="H63" s="69">
        <f t="shared" si="5"/>
        <v>0</v>
      </c>
      <c r="I63" s="68">
        <f>IFERROR(SUMIF(簡易陰圧装置!$C$30:$C$74,B63,簡易陰圧装置!$N$30:$N$74)*((簡易陰圧装置!$H$3-簡易陰圧装置!$I$3)/簡易陰圧装置!$H$3),0)</f>
        <v>0</v>
      </c>
      <c r="J63" s="69">
        <f t="shared" si="6"/>
        <v>0</v>
      </c>
      <c r="K63" s="68">
        <f>IFERROR(SUMIF(#REF!,B63,#REF!)*((#REF!-#REF!)/#REF!),0)</f>
        <v>0</v>
      </c>
      <c r="L63" s="69">
        <f t="shared" si="7"/>
        <v>0</v>
      </c>
      <c r="M63" s="68">
        <f>IFERROR(SUMIF(体外式膜型人工肺!$C$30:$C$74,B63,体外式膜型人工肺!$N$30:$N$74)*((体外式膜型人工肺!$H$3-体外式膜型人工肺!$I$3)/体外式膜型人工肺!$H$3),0)</f>
        <v>0</v>
      </c>
      <c r="N63" s="69">
        <f t="shared" si="8"/>
        <v>0</v>
      </c>
      <c r="O63" s="69">
        <f t="shared" si="9"/>
        <v>0</v>
      </c>
      <c r="P63" s="69">
        <f t="shared" si="10"/>
        <v>0</v>
      </c>
      <c r="Q63" s="68">
        <f>IFERROR(SUMIF(紫外線照射装置!$C$30:$C$74,B63,紫外線照射装置!$N$30:$N$74)*((紫外線照射装置!$H$3-紫外線照射装置!$I$3)/紫外線照射装置!$H$3),0)</f>
        <v>0</v>
      </c>
      <c r="R63" s="69">
        <f t="shared" si="11"/>
        <v>0</v>
      </c>
      <c r="S63" s="102">
        <f t="shared" si="12"/>
        <v>0</v>
      </c>
      <c r="T63" s="68">
        <f>IFERROR(SUMIF(超音波画像診断装置!$C$30:$C$74,B63,超音波画像診断装置!$K$30:$K$74)*((超音波画像診断装置!$H$3-超音波画像診断装置!$I$3)/超音波画像診断装置!$H$3),0)</f>
        <v>0</v>
      </c>
      <c r="U63" s="69">
        <f t="shared" si="13"/>
        <v>0</v>
      </c>
      <c r="V63" s="68">
        <f>IFERROR(SUMIF(血液浄化装置!$C$30:$C$74,B63,血液浄化装置!$K$30:$K$74)*((血液浄化装置!$H$3-血液浄化装置!$I$3)/血液浄化装置!$H$3),0)</f>
        <v>0</v>
      </c>
      <c r="W63" s="69">
        <f t="shared" si="14"/>
        <v>0</v>
      </c>
      <c r="X63" s="68">
        <f>IFERROR(SUMIF(気管支鏡!$C$30:$C$74,B63,気管支鏡!$K$30:$K$74)*((気管支鏡!$H$3-気管支鏡!$I$3)/気管支鏡!$H$3),0)</f>
        <v>0</v>
      </c>
      <c r="Y63" s="69">
        <f t="shared" si="0"/>
        <v>0</v>
      </c>
      <c r="Z63" s="68">
        <f>IFERROR(SUMIF(CT撮影装置!$C$30:$C$74,B63,CT撮影装置!$K$30:$K$74)*((CT撮影装置!$H$3-CT撮影装置!$I$3)/CT撮影装置!$H$3),0)</f>
        <v>0</v>
      </c>
      <c r="AA63" s="69">
        <f t="shared" si="15"/>
        <v>0</v>
      </c>
      <c r="AB63" s="68">
        <f>IFERROR(SUMIF(生体情報モニタ!$C$30:$C$74,B63,生体情報モニタ!$K$30:$K$74)*((生体情報モニタ!$H$3-生体情報モニタ!$I$3)/生体情報モニタ!$H$3),0)</f>
        <v>0</v>
      </c>
      <c r="AC63" s="69">
        <f t="shared" si="1"/>
        <v>0</v>
      </c>
      <c r="AD63" s="68">
        <f>IFERROR(SUMIF(分娩監視装置!$C$30:$C$74,B63,分娩監視装置!$K$30:$K$74)*((分娩監視装置!$H$3-分娩監視装置!$I$3)/分娩監視装置!$H$3),0)</f>
        <v>0</v>
      </c>
      <c r="AE63" s="69">
        <f t="shared" si="16"/>
        <v>0</v>
      </c>
      <c r="AF63" s="68">
        <f>IFERROR(SUMIF(新生児モニタ!$C$30:$C$74,B63,新生児モニタ!$K$30:$K$74)*((新生児モニタ!$H$3-新生児モニタ!$I$3)/新生児モニタ!$H$3),0)</f>
        <v>0</v>
      </c>
      <c r="AG63" s="69">
        <f t="shared" si="17"/>
        <v>0</v>
      </c>
    </row>
    <row r="64" spans="2:33">
      <c r="B64" s="65" t="s">
        <v>733</v>
      </c>
      <c r="C64" s="68">
        <f>IFERROR(SUMIF(初度設備!$C$30:$C$74,B64,初度設備!$N$30:$N$74)*((初度設備!$H$3-初度設備!$I$3)/初度設備!$H$3),0)</f>
        <v>0</v>
      </c>
      <c r="D64" s="69">
        <f t="shared" si="2"/>
        <v>0</v>
      </c>
      <c r="E64" s="68">
        <f>IFERROR(SUMIF(人工呼吸器!$C$30:$C$74,B64,人工呼吸器!$N$30:$N$74)*((人工呼吸器!$H$3-人工呼吸器!$I$3)/人工呼吸器!$H$3),0)</f>
        <v>0</v>
      </c>
      <c r="F64" s="69">
        <f t="shared" si="3"/>
        <v>0</v>
      </c>
      <c r="G64" s="69">
        <f t="shared" si="4"/>
        <v>0</v>
      </c>
      <c r="H64" s="69">
        <f t="shared" si="5"/>
        <v>0</v>
      </c>
      <c r="I64" s="68">
        <f>IFERROR(SUMIF(簡易陰圧装置!$C$30:$C$74,B64,簡易陰圧装置!$N$30:$N$74)*((簡易陰圧装置!$H$3-簡易陰圧装置!$I$3)/簡易陰圧装置!$H$3),0)</f>
        <v>0</v>
      </c>
      <c r="J64" s="69">
        <f t="shared" si="6"/>
        <v>0</v>
      </c>
      <c r="K64" s="68">
        <f>IFERROR(SUMIF(#REF!,B64,#REF!)*((#REF!-#REF!)/#REF!),0)</f>
        <v>0</v>
      </c>
      <c r="L64" s="69">
        <f t="shared" si="7"/>
        <v>0</v>
      </c>
      <c r="M64" s="68">
        <f>IFERROR(SUMIF(体外式膜型人工肺!$C$30:$C$74,B64,体外式膜型人工肺!$N$30:$N$74)*((体外式膜型人工肺!$H$3-体外式膜型人工肺!$I$3)/体外式膜型人工肺!$H$3),0)</f>
        <v>0</v>
      </c>
      <c r="N64" s="69">
        <f t="shared" si="8"/>
        <v>0</v>
      </c>
      <c r="O64" s="69">
        <f t="shared" si="9"/>
        <v>0</v>
      </c>
      <c r="P64" s="69">
        <f t="shared" si="10"/>
        <v>0</v>
      </c>
      <c r="Q64" s="68">
        <f>IFERROR(SUMIF(紫外線照射装置!$C$30:$C$74,B64,紫外線照射装置!$N$30:$N$74)*((紫外線照射装置!$H$3-紫外線照射装置!$I$3)/紫外線照射装置!$H$3),0)</f>
        <v>0</v>
      </c>
      <c r="R64" s="69">
        <f t="shared" si="11"/>
        <v>0</v>
      </c>
      <c r="S64" s="102">
        <f t="shared" si="12"/>
        <v>0</v>
      </c>
      <c r="T64" s="68">
        <f>IFERROR(SUMIF(超音波画像診断装置!$C$30:$C$74,B64,超音波画像診断装置!$K$30:$K$74)*((超音波画像診断装置!$H$3-超音波画像診断装置!$I$3)/超音波画像診断装置!$H$3),0)</f>
        <v>0</v>
      </c>
      <c r="U64" s="69">
        <f t="shared" si="13"/>
        <v>0</v>
      </c>
      <c r="V64" s="68">
        <f>IFERROR(SUMIF(血液浄化装置!$C$30:$C$74,B64,血液浄化装置!$K$30:$K$74)*((血液浄化装置!$H$3-血液浄化装置!$I$3)/血液浄化装置!$H$3),0)</f>
        <v>0</v>
      </c>
      <c r="W64" s="69">
        <f t="shared" si="14"/>
        <v>0</v>
      </c>
      <c r="X64" s="68">
        <f>IFERROR(SUMIF(気管支鏡!$C$30:$C$74,B64,気管支鏡!$K$30:$K$74)*((気管支鏡!$H$3-気管支鏡!$I$3)/気管支鏡!$H$3),0)</f>
        <v>0</v>
      </c>
      <c r="Y64" s="69">
        <f t="shared" si="0"/>
        <v>0</v>
      </c>
      <c r="Z64" s="68">
        <f>IFERROR(SUMIF(CT撮影装置!$C$30:$C$74,B64,CT撮影装置!$K$30:$K$74)*((CT撮影装置!$H$3-CT撮影装置!$I$3)/CT撮影装置!$H$3),0)</f>
        <v>0</v>
      </c>
      <c r="AA64" s="69">
        <f t="shared" si="15"/>
        <v>0</v>
      </c>
      <c r="AB64" s="68">
        <f>IFERROR(SUMIF(生体情報モニタ!$C$30:$C$74,B64,生体情報モニタ!$K$30:$K$74)*((生体情報モニタ!$H$3-生体情報モニタ!$I$3)/生体情報モニタ!$H$3),0)</f>
        <v>0</v>
      </c>
      <c r="AC64" s="69">
        <f t="shared" si="1"/>
        <v>0</v>
      </c>
      <c r="AD64" s="68">
        <f>IFERROR(SUMIF(分娩監視装置!$C$30:$C$74,B64,分娩監視装置!$K$30:$K$74)*((分娩監視装置!$H$3-分娩監視装置!$I$3)/分娩監視装置!$H$3),0)</f>
        <v>0</v>
      </c>
      <c r="AE64" s="69">
        <f t="shared" si="16"/>
        <v>0</v>
      </c>
      <c r="AF64" s="68">
        <f>IFERROR(SUMIF(新生児モニタ!$C$30:$C$74,B64,新生児モニタ!$K$30:$K$74)*((新生児モニタ!$H$3-新生児モニタ!$I$3)/新生児モニタ!$H$3),0)</f>
        <v>0</v>
      </c>
      <c r="AG64" s="69">
        <f t="shared" si="17"/>
        <v>0</v>
      </c>
    </row>
    <row r="65" spans="2:33">
      <c r="B65" s="65" t="s">
        <v>734</v>
      </c>
      <c r="C65" s="68">
        <f>IFERROR(SUMIF(初度設備!$C$30:$C$74,B65,初度設備!$N$30:$N$74)*((初度設備!$H$3-初度設備!$I$3)/初度設備!$H$3),0)</f>
        <v>0</v>
      </c>
      <c r="D65" s="69">
        <f t="shared" si="2"/>
        <v>0</v>
      </c>
      <c r="E65" s="68">
        <f>IFERROR(SUMIF(人工呼吸器!$C$30:$C$74,B65,人工呼吸器!$N$30:$N$74)*((人工呼吸器!$H$3-人工呼吸器!$I$3)/人工呼吸器!$H$3),0)</f>
        <v>0</v>
      </c>
      <c r="F65" s="69">
        <f t="shared" si="3"/>
        <v>0</v>
      </c>
      <c r="G65" s="69">
        <f t="shared" si="4"/>
        <v>0</v>
      </c>
      <c r="H65" s="69">
        <f t="shared" si="5"/>
        <v>0</v>
      </c>
      <c r="I65" s="68">
        <f>IFERROR(SUMIF(簡易陰圧装置!$C$30:$C$74,B65,簡易陰圧装置!$N$30:$N$74)*((簡易陰圧装置!$H$3-簡易陰圧装置!$I$3)/簡易陰圧装置!$H$3),0)</f>
        <v>0</v>
      </c>
      <c r="J65" s="69">
        <f t="shared" si="6"/>
        <v>0</v>
      </c>
      <c r="K65" s="68">
        <f>IFERROR(SUMIF(#REF!,B65,#REF!)*((#REF!-#REF!)/#REF!),0)</f>
        <v>0</v>
      </c>
      <c r="L65" s="69">
        <f t="shared" si="7"/>
        <v>0</v>
      </c>
      <c r="M65" s="68">
        <f>IFERROR(SUMIF(体外式膜型人工肺!$C$30:$C$74,B65,体外式膜型人工肺!$N$30:$N$74)*((体外式膜型人工肺!$H$3-体外式膜型人工肺!$I$3)/体外式膜型人工肺!$H$3),0)</f>
        <v>0</v>
      </c>
      <c r="N65" s="69">
        <f t="shared" si="8"/>
        <v>0</v>
      </c>
      <c r="O65" s="69">
        <f t="shared" si="9"/>
        <v>0</v>
      </c>
      <c r="P65" s="69">
        <f t="shared" si="10"/>
        <v>0</v>
      </c>
      <c r="Q65" s="68">
        <f>IFERROR(SUMIF(紫外線照射装置!$C$30:$C$74,B65,紫外線照射装置!$N$30:$N$74)*((紫外線照射装置!$H$3-紫外線照射装置!$I$3)/紫外線照射装置!$H$3),0)</f>
        <v>0</v>
      </c>
      <c r="R65" s="69">
        <f t="shared" si="11"/>
        <v>0</v>
      </c>
      <c r="S65" s="102">
        <f t="shared" si="12"/>
        <v>0</v>
      </c>
      <c r="T65" s="68">
        <f>IFERROR(SUMIF(超音波画像診断装置!$C$30:$C$74,B65,超音波画像診断装置!$K$30:$K$74)*((超音波画像診断装置!$H$3-超音波画像診断装置!$I$3)/超音波画像診断装置!$H$3),0)</f>
        <v>0</v>
      </c>
      <c r="U65" s="69">
        <f t="shared" si="13"/>
        <v>0</v>
      </c>
      <c r="V65" s="68">
        <f>IFERROR(SUMIF(血液浄化装置!$C$30:$C$74,B65,血液浄化装置!$K$30:$K$74)*((血液浄化装置!$H$3-血液浄化装置!$I$3)/血液浄化装置!$H$3),0)</f>
        <v>0</v>
      </c>
      <c r="W65" s="69">
        <f t="shared" si="14"/>
        <v>0</v>
      </c>
      <c r="X65" s="68">
        <f>IFERROR(SUMIF(気管支鏡!$C$30:$C$74,B65,気管支鏡!$K$30:$K$74)*((気管支鏡!$H$3-気管支鏡!$I$3)/気管支鏡!$H$3),0)</f>
        <v>0</v>
      </c>
      <c r="Y65" s="69">
        <f t="shared" si="0"/>
        <v>0</v>
      </c>
      <c r="Z65" s="68">
        <f>IFERROR(SUMIF(CT撮影装置!$C$30:$C$74,B65,CT撮影装置!$K$30:$K$74)*((CT撮影装置!$H$3-CT撮影装置!$I$3)/CT撮影装置!$H$3),0)</f>
        <v>0</v>
      </c>
      <c r="AA65" s="69">
        <f t="shared" si="15"/>
        <v>0</v>
      </c>
      <c r="AB65" s="68">
        <f>IFERROR(SUMIF(生体情報モニタ!$C$30:$C$74,B65,生体情報モニタ!$K$30:$K$74)*((生体情報モニタ!$H$3-生体情報モニタ!$I$3)/生体情報モニタ!$H$3),0)</f>
        <v>0</v>
      </c>
      <c r="AC65" s="69">
        <f t="shared" si="1"/>
        <v>0</v>
      </c>
      <c r="AD65" s="68">
        <f>IFERROR(SUMIF(分娩監視装置!$C$30:$C$74,B65,分娩監視装置!$K$30:$K$74)*((分娩監視装置!$H$3-分娩監視装置!$I$3)/分娩監視装置!$H$3),0)</f>
        <v>0</v>
      </c>
      <c r="AE65" s="69">
        <f t="shared" si="16"/>
        <v>0</v>
      </c>
      <c r="AF65" s="68">
        <f>IFERROR(SUMIF(新生児モニタ!$C$30:$C$74,B65,新生児モニタ!$K$30:$K$74)*((新生児モニタ!$H$3-新生児モニタ!$I$3)/新生児モニタ!$H$3),0)</f>
        <v>0</v>
      </c>
      <c r="AG65" s="69">
        <f t="shared" si="17"/>
        <v>0</v>
      </c>
    </row>
    <row r="66" spans="2:33">
      <c r="B66" s="65" t="s">
        <v>735</v>
      </c>
      <c r="C66" s="68">
        <f>IFERROR(SUMIF(初度設備!$C$30:$C$74,B66,初度設備!$N$30:$N$74)*((初度設備!$H$3-初度設備!$I$3)/初度設備!$H$3),0)</f>
        <v>0</v>
      </c>
      <c r="D66" s="69">
        <f t="shared" si="2"/>
        <v>0</v>
      </c>
      <c r="E66" s="68">
        <f>IFERROR(SUMIF(人工呼吸器!$C$30:$C$74,B66,人工呼吸器!$N$30:$N$74)*((人工呼吸器!$H$3-人工呼吸器!$I$3)/人工呼吸器!$H$3),0)</f>
        <v>0</v>
      </c>
      <c r="F66" s="69">
        <f t="shared" si="3"/>
        <v>0</v>
      </c>
      <c r="G66" s="69">
        <f t="shared" si="4"/>
        <v>0</v>
      </c>
      <c r="H66" s="69">
        <f t="shared" si="5"/>
        <v>0</v>
      </c>
      <c r="I66" s="68">
        <f>IFERROR(SUMIF(簡易陰圧装置!$C$30:$C$74,B66,簡易陰圧装置!$N$30:$N$74)*((簡易陰圧装置!$H$3-簡易陰圧装置!$I$3)/簡易陰圧装置!$H$3),0)</f>
        <v>0</v>
      </c>
      <c r="J66" s="69">
        <f t="shared" si="6"/>
        <v>0</v>
      </c>
      <c r="K66" s="68">
        <f>IFERROR(SUMIF(#REF!,B66,#REF!)*((#REF!-#REF!)/#REF!),0)</f>
        <v>0</v>
      </c>
      <c r="L66" s="69">
        <f t="shared" si="7"/>
        <v>0</v>
      </c>
      <c r="M66" s="68">
        <f>IFERROR(SUMIF(体外式膜型人工肺!$C$30:$C$74,B66,体外式膜型人工肺!$N$30:$N$74)*((体外式膜型人工肺!$H$3-体外式膜型人工肺!$I$3)/体外式膜型人工肺!$H$3),0)</f>
        <v>0</v>
      </c>
      <c r="N66" s="69">
        <f t="shared" si="8"/>
        <v>0</v>
      </c>
      <c r="O66" s="69">
        <f t="shared" si="9"/>
        <v>0</v>
      </c>
      <c r="P66" s="69">
        <f t="shared" si="10"/>
        <v>0</v>
      </c>
      <c r="Q66" s="68">
        <f>IFERROR(SUMIF(紫外線照射装置!$C$30:$C$74,B66,紫外線照射装置!$N$30:$N$74)*((紫外線照射装置!$H$3-紫外線照射装置!$I$3)/紫外線照射装置!$H$3),0)</f>
        <v>0</v>
      </c>
      <c r="R66" s="69">
        <f t="shared" si="11"/>
        <v>0</v>
      </c>
      <c r="S66" s="102">
        <f t="shared" si="12"/>
        <v>0</v>
      </c>
      <c r="T66" s="68">
        <f>IFERROR(SUMIF(超音波画像診断装置!$C$30:$C$74,B66,超音波画像診断装置!$K$30:$K$74)*((超音波画像診断装置!$H$3-超音波画像診断装置!$I$3)/超音波画像診断装置!$H$3),0)</f>
        <v>0</v>
      </c>
      <c r="U66" s="69">
        <f t="shared" si="13"/>
        <v>0</v>
      </c>
      <c r="V66" s="68">
        <f>IFERROR(SUMIF(血液浄化装置!$C$30:$C$74,B66,血液浄化装置!$K$30:$K$74)*((血液浄化装置!$H$3-血液浄化装置!$I$3)/血液浄化装置!$H$3),0)</f>
        <v>0</v>
      </c>
      <c r="W66" s="69">
        <f t="shared" si="14"/>
        <v>0</v>
      </c>
      <c r="X66" s="68">
        <f>IFERROR(SUMIF(気管支鏡!$C$30:$C$74,B66,気管支鏡!$K$30:$K$74)*((気管支鏡!$H$3-気管支鏡!$I$3)/気管支鏡!$H$3),0)</f>
        <v>0</v>
      </c>
      <c r="Y66" s="69">
        <f t="shared" si="0"/>
        <v>0</v>
      </c>
      <c r="Z66" s="68">
        <f>IFERROR(SUMIF(CT撮影装置!$C$30:$C$74,B66,CT撮影装置!$K$30:$K$74)*((CT撮影装置!$H$3-CT撮影装置!$I$3)/CT撮影装置!$H$3),0)</f>
        <v>0</v>
      </c>
      <c r="AA66" s="69">
        <f t="shared" si="15"/>
        <v>0</v>
      </c>
      <c r="AB66" s="68">
        <f>IFERROR(SUMIF(生体情報モニタ!$C$30:$C$74,B66,生体情報モニタ!$K$30:$K$74)*((生体情報モニタ!$H$3-生体情報モニタ!$I$3)/生体情報モニタ!$H$3),0)</f>
        <v>0</v>
      </c>
      <c r="AC66" s="69">
        <f t="shared" si="1"/>
        <v>0</v>
      </c>
      <c r="AD66" s="68">
        <f>IFERROR(SUMIF(分娩監視装置!$C$30:$C$74,B66,分娩監視装置!$K$30:$K$74)*((分娩監視装置!$H$3-分娩監視装置!$I$3)/分娩監視装置!$H$3),0)</f>
        <v>0</v>
      </c>
      <c r="AE66" s="69">
        <f t="shared" si="16"/>
        <v>0</v>
      </c>
      <c r="AF66" s="68">
        <f>IFERROR(SUMIF(新生児モニタ!$C$30:$C$74,B66,新生児モニタ!$K$30:$K$74)*((新生児モニタ!$H$3-新生児モニタ!$I$3)/新生児モニタ!$H$3),0)</f>
        <v>0</v>
      </c>
      <c r="AG66" s="69">
        <f t="shared" si="17"/>
        <v>0</v>
      </c>
    </row>
    <row r="67" spans="2:33">
      <c r="B67" s="65" t="s">
        <v>736</v>
      </c>
      <c r="C67" s="68">
        <f>IFERROR(SUMIF(初度設備!$C$30:$C$74,B67,初度設備!$N$30:$N$74)*((初度設備!$H$3-初度設備!$I$3)/初度設備!$H$3),0)</f>
        <v>0</v>
      </c>
      <c r="D67" s="69">
        <f t="shared" si="2"/>
        <v>0</v>
      </c>
      <c r="E67" s="68">
        <f>IFERROR(SUMIF(人工呼吸器!$C$30:$C$74,B67,人工呼吸器!$N$30:$N$74)*((人工呼吸器!$H$3-人工呼吸器!$I$3)/人工呼吸器!$H$3),0)</f>
        <v>0</v>
      </c>
      <c r="F67" s="69">
        <f t="shared" si="3"/>
        <v>0</v>
      </c>
      <c r="G67" s="69">
        <f t="shared" si="4"/>
        <v>0</v>
      </c>
      <c r="H67" s="69">
        <f t="shared" si="5"/>
        <v>0</v>
      </c>
      <c r="I67" s="68">
        <f>IFERROR(SUMIF(簡易陰圧装置!$C$30:$C$74,B67,簡易陰圧装置!$N$30:$N$74)*((簡易陰圧装置!$H$3-簡易陰圧装置!$I$3)/簡易陰圧装置!$H$3),0)</f>
        <v>0</v>
      </c>
      <c r="J67" s="69">
        <f t="shared" si="6"/>
        <v>0</v>
      </c>
      <c r="K67" s="68">
        <f>IFERROR(SUMIF(#REF!,B67,#REF!)*((#REF!-#REF!)/#REF!),0)</f>
        <v>0</v>
      </c>
      <c r="L67" s="69">
        <f t="shared" si="7"/>
        <v>0</v>
      </c>
      <c r="M67" s="68">
        <f>IFERROR(SUMIF(体外式膜型人工肺!$C$30:$C$74,B67,体外式膜型人工肺!$N$30:$N$74)*((体外式膜型人工肺!$H$3-体外式膜型人工肺!$I$3)/体外式膜型人工肺!$H$3),0)</f>
        <v>0</v>
      </c>
      <c r="N67" s="69">
        <f t="shared" si="8"/>
        <v>0</v>
      </c>
      <c r="O67" s="69">
        <f t="shared" si="9"/>
        <v>0</v>
      </c>
      <c r="P67" s="69">
        <f t="shared" si="10"/>
        <v>0</v>
      </c>
      <c r="Q67" s="68">
        <f>IFERROR(SUMIF(紫外線照射装置!$C$30:$C$74,B67,紫外線照射装置!$N$30:$N$74)*((紫外線照射装置!$H$3-紫外線照射装置!$I$3)/紫外線照射装置!$H$3),0)</f>
        <v>0</v>
      </c>
      <c r="R67" s="69">
        <f t="shared" si="11"/>
        <v>0</v>
      </c>
      <c r="S67" s="102">
        <f t="shared" si="12"/>
        <v>0</v>
      </c>
      <c r="T67" s="68">
        <f>IFERROR(SUMIF(超音波画像診断装置!$C$30:$C$74,B67,超音波画像診断装置!$K$30:$K$74)*((超音波画像診断装置!$H$3-超音波画像診断装置!$I$3)/超音波画像診断装置!$H$3),0)</f>
        <v>0</v>
      </c>
      <c r="U67" s="69">
        <f t="shared" si="13"/>
        <v>0</v>
      </c>
      <c r="V67" s="68">
        <f>IFERROR(SUMIF(血液浄化装置!$C$30:$C$74,B67,血液浄化装置!$K$30:$K$74)*((血液浄化装置!$H$3-血液浄化装置!$I$3)/血液浄化装置!$H$3),0)</f>
        <v>0</v>
      </c>
      <c r="W67" s="69">
        <f t="shared" si="14"/>
        <v>0</v>
      </c>
      <c r="X67" s="68">
        <f>IFERROR(SUMIF(気管支鏡!$C$30:$C$74,B67,気管支鏡!$K$30:$K$74)*((気管支鏡!$H$3-気管支鏡!$I$3)/気管支鏡!$H$3),0)</f>
        <v>0</v>
      </c>
      <c r="Y67" s="69">
        <f t="shared" si="0"/>
        <v>0</v>
      </c>
      <c r="Z67" s="68">
        <f>IFERROR(SUMIF(CT撮影装置!$C$30:$C$74,B67,CT撮影装置!$K$30:$K$74)*((CT撮影装置!$H$3-CT撮影装置!$I$3)/CT撮影装置!$H$3),0)</f>
        <v>0</v>
      </c>
      <c r="AA67" s="69">
        <f t="shared" si="15"/>
        <v>0</v>
      </c>
      <c r="AB67" s="68">
        <f>IFERROR(SUMIF(生体情報モニタ!$C$30:$C$74,B67,生体情報モニタ!$K$30:$K$74)*((生体情報モニタ!$H$3-生体情報モニタ!$I$3)/生体情報モニタ!$H$3),0)</f>
        <v>0</v>
      </c>
      <c r="AC67" s="69">
        <f t="shared" si="1"/>
        <v>0</v>
      </c>
      <c r="AD67" s="68">
        <f>IFERROR(SUMIF(分娩監視装置!$C$30:$C$74,B67,分娩監視装置!$K$30:$K$74)*((分娩監視装置!$H$3-分娩監視装置!$I$3)/分娩監視装置!$H$3),0)</f>
        <v>0</v>
      </c>
      <c r="AE67" s="69">
        <f t="shared" si="16"/>
        <v>0</v>
      </c>
      <c r="AF67" s="68">
        <f>IFERROR(SUMIF(新生児モニタ!$C$30:$C$74,B67,新生児モニタ!$K$30:$K$74)*((新生児モニタ!$H$3-新生児モニタ!$I$3)/新生児モニタ!$H$3),0)</f>
        <v>0</v>
      </c>
      <c r="AG67" s="69">
        <f t="shared" si="17"/>
        <v>0</v>
      </c>
    </row>
    <row r="68" spans="2:33">
      <c r="B68" s="65" t="s">
        <v>737</v>
      </c>
      <c r="C68" s="68">
        <f>IFERROR(SUMIF(初度設備!$C$30:$C$74,B68,初度設備!$N$30:$N$74)*((初度設備!$H$3-初度設備!$I$3)/初度設備!$H$3),0)</f>
        <v>0</v>
      </c>
      <c r="D68" s="69">
        <f t="shared" si="2"/>
        <v>0</v>
      </c>
      <c r="E68" s="68">
        <f>IFERROR(SUMIF(人工呼吸器!$C$30:$C$74,B68,人工呼吸器!$N$30:$N$74)*((人工呼吸器!$H$3-人工呼吸器!$I$3)/人工呼吸器!$H$3),0)</f>
        <v>0</v>
      </c>
      <c r="F68" s="69">
        <f t="shared" si="3"/>
        <v>0</v>
      </c>
      <c r="G68" s="69">
        <f t="shared" si="4"/>
        <v>0</v>
      </c>
      <c r="H68" s="69">
        <f t="shared" si="5"/>
        <v>0</v>
      </c>
      <c r="I68" s="68">
        <f>IFERROR(SUMIF(簡易陰圧装置!$C$30:$C$74,B68,簡易陰圧装置!$N$30:$N$74)*((簡易陰圧装置!$H$3-簡易陰圧装置!$I$3)/簡易陰圧装置!$H$3),0)</f>
        <v>0</v>
      </c>
      <c r="J68" s="69">
        <f t="shared" si="6"/>
        <v>0</v>
      </c>
      <c r="K68" s="68">
        <f>IFERROR(SUMIF(#REF!,B68,#REF!)*((#REF!-#REF!)/#REF!),0)</f>
        <v>0</v>
      </c>
      <c r="L68" s="69">
        <f t="shared" si="7"/>
        <v>0</v>
      </c>
      <c r="M68" s="68">
        <f>IFERROR(SUMIF(体外式膜型人工肺!$C$30:$C$74,B68,体外式膜型人工肺!$N$30:$N$74)*((体外式膜型人工肺!$H$3-体外式膜型人工肺!$I$3)/体外式膜型人工肺!$H$3),0)</f>
        <v>0</v>
      </c>
      <c r="N68" s="69">
        <f t="shared" si="8"/>
        <v>0</v>
      </c>
      <c r="O68" s="69">
        <f t="shared" si="9"/>
        <v>0</v>
      </c>
      <c r="P68" s="69">
        <f t="shared" si="10"/>
        <v>0</v>
      </c>
      <c r="Q68" s="68">
        <f>IFERROR(SUMIF(紫外線照射装置!$C$30:$C$74,B68,紫外線照射装置!$N$30:$N$74)*((紫外線照射装置!$H$3-紫外線照射装置!$I$3)/紫外線照射装置!$H$3),0)</f>
        <v>0</v>
      </c>
      <c r="R68" s="69">
        <f t="shared" si="11"/>
        <v>0</v>
      </c>
      <c r="S68" s="102">
        <f t="shared" si="12"/>
        <v>0</v>
      </c>
      <c r="T68" s="68">
        <f>IFERROR(SUMIF(超音波画像診断装置!$C$30:$C$74,B68,超音波画像診断装置!$K$30:$K$74)*((超音波画像診断装置!$H$3-超音波画像診断装置!$I$3)/超音波画像診断装置!$H$3),0)</f>
        <v>0</v>
      </c>
      <c r="U68" s="69">
        <f t="shared" si="13"/>
        <v>0</v>
      </c>
      <c r="V68" s="68">
        <f>IFERROR(SUMIF(血液浄化装置!$C$30:$C$74,B68,血液浄化装置!$K$30:$K$74)*((血液浄化装置!$H$3-血液浄化装置!$I$3)/血液浄化装置!$H$3),0)</f>
        <v>0</v>
      </c>
      <c r="W68" s="69">
        <f t="shared" si="14"/>
        <v>0</v>
      </c>
      <c r="X68" s="68">
        <f>IFERROR(SUMIF(気管支鏡!$C$30:$C$74,B68,気管支鏡!$K$30:$K$74)*((気管支鏡!$H$3-気管支鏡!$I$3)/気管支鏡!$H$3),0)</f>
        <v>0</v>
      </c>
      <c r="Y68" s="69">
        <f t="shared" si="0"/>
        <v>0</v>
      </c>
      <c r="Z68" s="68">
        <f>IFERROR(SUMIF(CT撮影装置!$C$30:$C$74,B68,CT撮影装置!$K$30:$K$74)*((CT撮影装置!$H$3-CT撮影装置!$I$3)/CT撮影装置!$H$3),0)</f>
        <v>0</v>
      </c>
      <c r="AA68" s="69">
        <f t="shared" si="15"/>
        <v>0</v>
      </c>
      <c r="AB68" s="68">
        <f>IFERROR(SUMIF(生体情報モニタ!$C$30:$C$74,B68,生体情報モニタ!$K$30:$K$74)*((生体情報モニタ!$H$3-生体情報モニタ!$I$3)/生体情報モニタ!$H$3),0)</f>
        <v>0</v>
      </c>
      <c r="AC68" s="69">
        <f t="shared" si="1"/>
        <v>0</v>
      </c>
      <c r="AD68" s="68">
        <f>IFERROR(SUMIF(分娩監視装置!$C$30:$C$74,B68,分娩監視装置!$K$30:$K$74)*((分娩監視装置!$H$3-分娩監視装置!$I$3)/分娩監視装置!$H$3),0)</f>
        <v>0</v>
      </c>
      <c r="AE68" s="69">
        <f t="shared" si="16"/>
        <v>0</v>
      </c>
      <c r="AF68" s="68">
        <f>IFERROR(SUMIF(新生児モニタ!$C$30:$C$74,B68,新生児モニタ!$K$30:$K$74)*((新生児モニタ!$H$3-新生児モニタ!$I$3)/新生児モニタ!$H$3),0)</f>
        <v>0</v>
      </c>
      <c r="AG68" s="69">
        <f t="shared" si="17"/>
        <v>0</v>
      </c>
    </row>
    <row r="69" spans="2:33">
      <c r="B69" s="65" t="s">
        <v>738</v>
      </c>
      <c r="C69" s="68">
        <f>IFERROR(SUMIF(初度設備!$C$30:$C$74,B69,初度設備!$N$30:$N$74)*((初度設備!$H$3-初度設備!$I$3)/初度設備!$H$3),0)</f>
        <v>0</v>
      </c>
      <c r="D69" s="69">
        <f t="shared" si="2"/>
        <v>0</v>
      </c>
      <c r="E69" s="68">
        <f>IFERROR(SUMIF(人工呼吸器!$C$30:$C$74,B69,人工呼吸器!$N$30:$N$74)*((人工呼吸器!$H$3-人工呼吸器!$I$3)/人工呼吸器!$H$3),0)</f>
        <v>0</v>
      </c>
      <c r="F69" s="69">
        <f t="shared" si="3"/>
        <v>0</v>
      </c>
      <c r="G69" s="69">
        <f t="shared" si="4"/>
        <v>0</v>
      </c>
      <c r="H69" s="69">
        <f t="shared" si="5"/>
        <v>0</v>
      </c>
      <c r="I69" s="68">
        <f>IFERROR(SUMIF(簡易陰圧装置!$C$30:$C$74,B69,簡易陰圧装置!$N$30:$N$74)*((簡易陰圧装置!$H$3-簡易陰圧装置!$I$3)/簡易陰圧装置!$H$3),0)</f>
        <v>0</v>
      </c>
      <c r="J69" s="69">
        <f t="shared" si="6"/>
        <v>0</v>
      </c>
      <c r="K69" s="68">
        <f>IFERROR(SUMIF(#REF!,B69,#REF!)*((#REF!-#REF!)/#REF!),0)</f>
        <v>0</v>
      </c>
      <c r="L69" s="69">
        <f t="shared" si="7"/>
        <v>0</v>
      </c>
      <c r="M69" s="68">
        <f>IFERROR(SUMIF(体外式膜型人工肺!$C$30:$C$74,B69,体外式膜型人工肺!$N$30:$N$74)*((体外式膜型人工肺!$H$3-体外式膜型人工肺!$I$3)/体外式膜型人工肺!$H$3),0)</f>
        <v>0</v>
      </c>
      <c r="N69" s="69">
        <f t="shared" si="8"/>
        <v>0</v>
      </c>
      <c r="O69" s="69">
        <f t="shared" si="9"/>
        <v>0</v>
      </c>
      <c r="P69" s="69">
        <f t="shared" si="10"/>
        <v>0</v>
      </c>
      <c r="Q69" s="68">
        <f>IFERROR(SUMIF(紫外線照射装置!$C$30:$C$74,B69,紫外線照射装置!$N$30:$N$74)*((紫外線照射装置!$H$3-紫外線照射装置!$I$3)/紫外線照射装置!$H$3),0)</f>
        <v>0</v>
      </c>
      <c r="R69" s="69">
        <f t="shared" si="11"/>
        <v>0</v>
      </c>
      <c r="S69" s="102">
        <f t="shared" si="12"/>
        <v>0</v>
      </c>
      <c r="T69" s="68">
        <f>IFERROR(SUMIF(超音波画像診断装置!$C$30:$C$74,B69,超音波画像診断装置!$K$30:$K$74)*((超音波画像診断装置!$H$3-超音波画像診断装置!$I$3)/超音波画像診断装置!$H$3),0)</f>
        <v>0</v>
      </c>
      <c r="U69" s="69">
        <f t="shared" si="13"/>
        <v>0</v>
      </c>
      <c r="V69" s="68">
        <f>IFERROR(SUMIF(血液浄化装置!$C$30:$C$74,B69,血液浄化装置!$K$30:$K$74)*((血液浄化装置!$H$3-血液浄化装置!$I$3)/血液浄化装置!$H$3),0)</f>
        <v>0</v>
      </c>
      <c r="W69" s="69">
        <f t="shared" si="14"/>
        <v>0</v>
      </c>
      <c r="X69" s="68">
        <f>IFERROR(SUMIF(気管支鏡!$C$30:$C$74,B69,気管支鏡!$K$30:$K$74)*((気管支鏡!$H$3-気管支鏡!$I$3)/気管支鏡!$H$3),0)</f>
        <v>0</v>
      </c>
      <c r="Y69" s="69">
        <f t="shared" si="0"/>
        <v>0</v>
      </c>
      <c r="Z69" s="68">
        <f>IFERROR(SUMIF(CT撮影装置!$C$30:$C$74,B69,CT撮影装置!$K$30:$K$74)*((CT撮影装置!$H$3-CT撮影装置!$I$3)/CT撮影装置!$H$3),0)</f>
        <v>0</v>
      </c>
      <c r="AA69" s="69">
        <f t="shared" si="15"/>
        <v>0</v>
      </c>
      <c r="AB69" s="68">
        <f>IFERROR(SUMIF(生体情報モニタ!$C$30:$C$74,B69,生体情報モニタ!$K$30:$K$74)*((生体情報モニタ!$H$3-生体情報モニタ!$I$3)/生体情報モニタ!$H$3),0)</f>
        <v>0</v>
      </c>
      <c r="AC69" s="69">
        <f t="shared" si="1"/>
        <v>0</v>
      </c>
      <c r="AD69" s="68">
        <f>IFERROR(SUMIF(分娩監視装置!$C$30:$C$74,B69,分娩監視装置!$K$30:$K$74)*((分娩監視装置!$H$3-分娩監視装置!$I$3)/分娩監視装置!$H$3),0)</f>
        <v>0</v>
      </c>
      <c r="AE69" s="69">
        <f t="shared" si="16"/>
        <v>0</v>
      </c>
      <c r="AF69" s="68">
        <f>IFERROR(SUMIF(新生児モニタ!$C$30:$C$74,B69,新生児モニタ!$K$30:$K$74)*((新生児モニタ!$H$3-新生児モニタ!$I$3)/新生児モニタ!$H$3),0)</f>
        <v>0</v>
      </c>
      <c r="AG69" s="69">
        <f t="shared" si="17"/>
        <v>0</v>
      </c>
    </row>
    <row r="70" spans="2:33">
      <c r="B70" s="65" t="s">
        <v>739</v>
      </c>
      <c r="C70" s="68">
        <f>IFERROR(SUMIF(初度設備!$C$30:$C$74,B70,初度設備!$N$30:$N$74)*((初度設備!$H$3-初度設備!$I$3)/初度設備!$H$3),0)</f>
        <v>0</v>
      </c>
      <c r="D70" s="69">
        <f t="shared" si="2"/>
        <v>0</v>
      </c>
      <c r="E70" s="68">
        <f>IFERROR(SUMIF(人工呼吸器!$C$30:$C$74,B70,人工呼吸器!$N$30:$N$74)*((人工呼吸器!$H$3-人工呼吸器!$I$3)/人工呼吸器!$H$3),0)</f>
        <v>0</v>
      </c>
      <c r="F70" s="69">
        <f t="shared" si="3"/>
        <v>0</v>
      </c>
      <c r="G70" s="69">
        <f t="shared" si="4"/>
        <v>0</v>
      </c>
      <c r="H70" s="69">
        <f t="shared" si="5"/>
        <v>0</v>
      </c>
      <c r="I70" s="68">
        <f>IFERROR(SUMIF(簡易陰圧装置!$C$30:$C$74,B70,簡易陰圧装置!$N$30:$N$74)*((簡易陰圧装置!$H$3-簡易陰圧装置!$I$3)/簡易陰圧装置!$H$3),0)</f>
        <v>0</v>
      </c>
      <c r="J70" s="69">
        <f t="shared" si="6"/>
        <v>0</v>
      </c>
      <c r="K70" s="68">
        <f>IFERROR(SUMIF(#REF!,B70,#REF!)*((#REF!-#REF!)/#REF!),0)</f>
        <v>0</v>
      </c>
      <c r="L70" s="69">
        <f t="shared" si="7"/>
        <v>0</v>
      </c>
      <c r="M70" s="68">
        <f>IFERROR(SUMIF(体外式膜型人工肺!$C$30:$C$74,B70,体外式膜型人工肺!$N$30:$N$74)*((体外式膜型人工肺!$H$3-体外式膜型人工肺!$I$3)/体外式膜型人工肺!$H$3),0)</f>
        <v>0</v>
      </c>
      <c r="N70" s="69">
        <f t="shared" si="8"/>
        <v>0</v>
      </c>
      <c r="O70" s="69">
        <f t="shared" si="9"/>
        <v>0</v>
      </c>
      <c r="P70" s="69">
        <f t="shared" si="10"/>
        <v>0</v>
      </c>
      <c r="Q70" s="68">
        <f>IFERROR(SUMIF(紫外線照射装置!$C$30:$C$74,B70,紫外線照射装置!$N$30:$N$74)*((紫外線照射装置!$H$3-紫外線照射装置!$I$3)/紫外線照射装置!$H$3),0)</f>
        <v>0</v>
      </c>
      <c r="R70" s="69">
        <f t="shared" si="11"/>
        <v>0</v>
      </c>
      <c r="S70" s="102">
        <f t="shared" si="12"/>
        <v>0</v>
      </c>
      <c r="T70" s="68">
        <f>IFERROR(SUMIF(超音波画像診断装置!$C$30:$C$74,B70,超音波画像診断装置!$K$30:$K$74)*((超音波画像診断装置!$H$3-超音波画像診断装置!$I$3)/超音波画像診断装置!$H$3),0)</f>
        <v>0</v>
      </c>
      <c r="U70" s="69">
        <f t="shared" si="13"/>
        <v>0</v>
      </c>
      <c r="V70" s="68">
        <f>IFERROR(SUMIF(血液浄化装置!$C$30:$C$74,B70,血液浄化装置!$K$30:$K$74)*((血液浄化装置!$H$3-血液浄化装置!$I$3)/血液浄化装置!$H$3),0)</f>
        <v>0</v>
      </c>
      <c r="W70" s="69">
        <f t="shared" si="14"/>
        <v>0</v>
      </c>
      <c r="X70" s="68">
        <f>IFERROR(SUMIF(気管支鏡!$C$30:$C$74,B70,気管支鏡!$K$30:$K$74)*((気管支鏡!$H$3-気管支鏡!$I$3)/気管支鏡!$H$3),0)</f>
        <v>0</v>
      </c>
      <c r="Y70" s="69">
        <f t="shared" si="0"/>
        <v>0</v>
      </c>
      <c r="Z70" s="68">
        <f>IFERROR(SUMIF(CT撮影装置!$C$30:$C$74,B70,CT撮影装置!$K$30:$K$74)*((CT撮影装置!$H$3-CT撮影装置!$I$3)/CT撮影装置!$H$3),0)</f>
        <v>0</v>
      </c>
      <c r="AA70" s="69">
        <f t="shared" si="15"/>
        <v>0</v>
      </c>
      <c r="AB70" s="68">
        <f>IFERROR(SUMIF(生体情報モニタ!$C$30:$C$74,B70,生体情報モニタ!$K$30:$K$74)*((生体情報モニタ!$H$3-生体情報モニタ!$I$3)/生体情報モニタ!$H$3),0)</f>
        <v>0</v>
      </c>
      <c r="AC70" s="69">
        <f t="shared" si="1"/>
        <v>0</v>
      </c>
      <c r="AD70" s="68">
        <f>IFERROR(SUMIF(分娩監視装置!$C$30:$C$74,B70,分娩監視装置!$K$30:$K$74)*((分娩監視装置!$H$3-分娩監視装置!$I$3)/分娩監視装置!$H$3),0)</f>
        <v>0</v>
      </c>
      <c r="AE70" s="69">
        <f t="shared" si="16"/>
        <v>0</v>
      </c>
      <c r="AF70" s="68">
        <f>IFERROR(SUMIF(新生児モニタ!$C$30:$C$74,B70,新生児モニタ!$K$30:$K$74)*((新生児モニタ!$H$3-新生児モニタ!$I$3)/新生児モニタ!$H$3),0)</f>
        <v>0</v>
      </c>
      <c r="AG70" s="69">
        <f t="shared" si="17"/>
        <v>0</v>
      </c>
    </row>
    <row r="71" spans="2:33">
      <c r="B71" s="65" t="s">
        <v>740</v>
      </c>
      <c r="C71" s="68">
        <f>IFERROR(SUMIF(初度設備!$C$30:$C$74,B71,初度設備!$N$30:$N$74)*((初度設備!$H$3-初度設備!$I$3)/初度設備!$H$3),0)</f>
        <v>0</v>
      </c>
      <c r="D71" s="69">
        <f t="shared" si="2"/>
        <v>0</v>
      </c>
      <c r="E71" s="68">
        <f>IFERROR(SUMIF(人工呼吸器!$C$30:$C$74,B71,人工呼吸器!$N$30:$N$74)*((人工呼吸器!$H$3-人工呼吸器!$I$3)/人工呼吸器!$H$3),0)</f>
        <v>0</v>
      </c>
      <c r="F71" s="69">
        <f t="shared" si="3"/>
        <v>0</v>
      </c>
      <c r="G71" s="69">
        <f t="shared" si="4"/>
        <v>0</v>
      </c>
      <c r="H71" s="69">
        <f t="shared" si="5"/>
        <v>0</v>
      </c>
      <c r="I71" s="68">
        <f>IFERROR(SUMIF(簡易陰圧装置!$C$30:$C$74,B71,簡易陰圧装置!$N$30:$N$74)*((簡易陰圧装置!$H$3-簡易陰圧装置!$I$3)/簡易陰圧装置!$H$3),0)</f>
        <v>0</v>
      </c>
      <c r="J71" s="69">
        <f t="shared" si="6"/>
        <v>0</v>
      </c>
      <c r="K71" s="68">
        <f>IFERROR(SUMIF(#REF!,B71,#REF!)*((#REF!-#REF!)/#REF!),0)</f>
        <v>0</v>
      </c>
      <c r="L71" s="69">
        <f t="shared" si="7"/>
        <v>0</v>
      </c>
      <c r="M71" s="68">
        <f>IFERROR(SUMIF(体外式膜型人工肺!$C$30:$C$74,B71,体外式膜型人工肺!$N$30:$N$74)*((体外式膜型人工肺!$H$3-体外式膜型人工肺!$I$3)/体外式膜型人工肺!$H$3),0)</f>
        <v>0</v>
      </c>
      <c r="N71" s="69">
        <f t="shared" si="8"/>
        <v>0</v>
      </c>
      <c r="O71" s="69">
        <f t="shared" si="9"/>
        <v>0</v>
      </c>
      <c r="P71" s="69">
        <f t="shared" si="10"/>
        <v>0</v>
      </c>
      <c r="Q71" s="68">
        <f>IFERROR(SUMIF(紫外線照射装置!$C$30:$C$74,B71,紫外線照射装置!$N$30:$N$74)*((紫外線照射装置!$H$3-紫外線照射装置!$I$3)/紫外線照射装置!$H$3),0)</f>
        <v>0</v>
      </c>
      <c r="R71" s="69">
        <f t="shared" si="11"/>
        <v>0</v>
      </c>
      <c r="S71" s="102">
        <f t="shared" si="12"/>
        <v>0</v>
      </c>
      <c r="T71" s="68">
        <f>IFERROR(SUMIF(超音波画像診断装置!$C$30:$C$74,B71,超音波画像診断装置!$K$30:$K$74)*((超音波画像診断装置!$H$3-超音波画像診断装置!$I$3)/超音波画像診断装置!$H$3),0)</f>
        <v>0</v>
      </c>
      <c r="U71" s="69">
        <f t="shared" si="13"/>
        <v>0</v>
      </c>
      <c r="V71" s="68">
        <f>IFERROR(SUMIF(血液浄化装置!$C$30:$C$74,B71,血液浄化装置!$K$30:$K$74)*((血液浄化装置!$H$3-血液浄化装置!$I$3)/血液浄化装置!$H$3),0)</f>
        <v>0</v>
      </c>
      <c r="W71" s="69">
        <f t="shared" si="14"/>
        <v>0</v>
      </c>
      <c r="X71" s="68">
        <f>IFERROR(SUMIF(気管支鏡!$C$30:$C$74,B71,気管支鏡!$K$30:$K$74)*((気管支鏡!$H$3-気管支鏡!$I$3)/気管支鏡!$H$3),0)</f>
        <v>0</v>
      </c>
      <c r="Y71" s="69">
        <f t="shared" si="0"/>
        <v>0</v>
      </c>
      <c r="Z71" s="68">
        <f>IFERROR(SUMIF(CT撮影装置!$C$30:$C$74,B71,CT撮影装置!$K$30:$K$74)*((CT撮影装置!$H$3-CT撮影装置!$I$3)/CT撮影装置!$H$3),0)</f>
        <v>0</v>
      </c>
      <c r="AA71" s="69">
        <f t="shared" si="15"/>
        <v>0</v>
      </c>
      <c r="AB71" s="68">
        <f>IFERROR(SUMIF(生体情報モニタ!$C$30:$C$74,B71,生体情報モニタ!$K$30:$K$74)*((生体情報モニタ!$H$3-生体情報モニタ!$I$3)/生体情報モニタ!$H$3),0)</f>
        <v>0</v>
      </c>
      <c r="AC71" s="69">
        <f t="shared" si="1"/>
        <v>0</v>
      </c>
      <c r="AD71" s="68">
        <f>IFERROR(SUMIF(分娩監視装置!$C$30:$C$74,B71,分娩監視装置!$K$30:$K$74)*((分娩監視装置!$H$3-分娩監視装置!$I$3)/分娩監視装置!$H$3),0)</f>
        <v>0</v>
      </c>
      <c r="AE71" s="69">
        <f t="shared" si="16"/>
        <v>0</v>
      </c>
      <c r="AF71" s="68">
        <f>IFERROR(SUMIF(新生児モニタ!$C$30:$C$74,B71,新生児モニタ!$K$30:$K$74)*((新生児モニタ!$H$3-新生児モニタ!$I$3)/新生児モニタ!$H$3),0)</f>
        <v>0</v>
      </c>
      <c r="AG71" s="69">
        <f t="shared" si="17"/>
        <v>0</v>
      </c>
    </row>
    <row r="72" spans="2:33">
      <c r="B72" s="65" t="s">
        <v>741</v>
      </c>
      <c r="C72" s="68">
        <f>IFERROR(SUMIF(初度設備!$C$30:$C$74,B72,初度設備!$N$30:$N$74)*((初度設備!$H$3-初度設備!$I$3)/初度設備!$H$3),0)</f>
        <v>0</v>
      </c>
      <c r="D72" s="69">
        <f t="shared" si="2"/>
        <v>0</v>
      </c>
      <c r="E72" s="68">
        <f>IFERROR(SUMIF(人工呼吸器!$C$30:$C$74,B72,人工呼吸器!$N$30:$N$74)*((人工呼吸器!$H$3-人工呼吸器!$I$3)/人工呼吸器!$H$3),0)</f>
        <v>0</v>
      </c>
      <c r="F72" s="69">
        <f t="shared" si="3"/>
        <v>0</v>
      </c>
      <c r="G72" s="69">
        <f t="shared" si="4"/>
        <v>0</v>
      </c>
      <c r="H72" s="69">
        <f t="shared" si="5"/>
        <v>0</v>
      </c>
      <c r="I72" s="68">
        <f>IFERROR(SUMIF(簡易陰圧装置!$C$30:$C$74,B72,簡易陰圧装置!$N$30:$N$74)*((簡易陰圧装置!$H$3-簡易陰圧装置!$I$3)/簡易陰圧装置!$H$3),0)</f>
        <v>0</v>
      </c>
      <c r="J72" s="69">
        <f t="shared" si="6"/>
        <v>0</v>
      </c>
      <c r="K72" s="68">
        <f>IFERROR(SUMIF(#REF!,B72,#REF!)*((#REF!-#REF!)/#REF!),0)</f>
        <v>0</v>
      </c>
      <c r="L72" s="69">
        <f t="shared" si="7"/>
        <v>0</v>
      </c>
      <c r="M72" s="68">
        <f>IFERROR(SUMIF(体外式膜型人工肺!$C$30:$C$74,B72,体外式膜型人工肺!$N$30:$N$74)*((体外式膜型人工肺!$H$3-体外式膜型人工肺!$I$3)/体外式膜型人工肺!$H$3),0)</f>
        <v>0</v>
      </c>
      <c r="N72" s="69">
        <f t="shared" si="8"/>
        <v>0</v>
      </c>
      <c r="O72" s="69">
        <f t="shared" si="9"/>
        <v>0</v>
      </c>
      <c r="P72" s="69">
        <f t="shared" si="10"/>
        <v>0</v>
      </c>
      <c r="Q72" s="68">
        <f>IFERROR(SUMIF(紫外線照射装置!$C$30:$C$74,B72,紫外線照射装置!$N$30:$N$74)*((紫外線照射装置!$H$3-紫外線照射装置!$I$3)/紫外線照射装置!$H$3),0)</f>
        <v>0</v>
      </c>
      <c r="R72" s="69">
        <f t="shared" si="11"/>
        <v>0</v>
      </c>
      <c r="S72" s="102">
        <f t="shared" si="12"/>
        <v>0</v>
      </c>
      <c r="T72" s="68">
        <f>IFERROR(SUMIF(超音波画像診断装置!$C$30:$C$74,B72,超音波画像診断装置!$K$30:$K$74)*((超音波画像診断装置!$H$3-超音波画像診断装置!$I$3)/超音波画像診断装置!$H$3),0)</f>
        <v>0</v>
      </c>
      <c r="U72" s="69">
        <f t="shared" si="13"/>
        <v>0</v>
      </c>
      <c r="V72" s="68">
        <f>IFERROR(SUMIF(血液浄化装置!$C$30:$C$74,B72,血液浄化装置!$K$30:$K$74)*((血液浄化装置!$H$3-血液浄化装置!$I$3)/血液浄化装置!$H$3),0)</f>
        <v>0</v>
      </c>
      <c r="W72" s="69">
        <f t="shared" si="14"/>
        <v>0</v>
      </c>
      <c r="X72" s="68">
        <f>IFERROR(SUMIF(気管支鏡!$C$30:$C$74,B72,気管支鏡!$K$30:$K$74)*((気管支鏡!$H$3-気管支鏡!$I$3)/気管支鏡!$H$3),0)</f>
        <v>0</v>
      </c>
      <c r="Y72" s="69">
        <f t="shared" si="0"/>
        <v>0</v>
      </c>
      <c r="Z72" s="68">
        <f>IFERROR(SUMIF(CT撮影装置!$C$30:$C$74,B72,CT撮影装置!$K$30:$K$74)*((CT撮影装置!$H$3-CT撮影装置!$I$3)/CT撮影装置!$H$3),0)</f>
        <v>0</v>
      </c>
      <c r="AA72" s="69">
        <f t="shared" si="15"/>
        <v>0</v>
      </c>
      <c r="AB72" s="68">
        <f>IFERROR(SUMIF(生体情報モニタ!$C$30:$C$74,B72,生体情報モニタ!$K$30:$K$74)*((生体情報モニタ!$H$3-生体情報モニタ!$I$3)/生体情報モニタ!$H$3),0)</f>
        <v>0</v>
      </c>
      <c r="AC72" s="69">
        <f t="shared" si="1"/>
        <v>0</v>
      </c>
      <c r="AD72" s="68">
        <f>IFERROR(SUMIF(分娩監視装置!$C$30:$C$74,B72,分娩監視装置!$K$30:$K$74)*((分娩監視装置!$H$3-分娩監視装置!$I$3)/分娩監視装置!$H$3),0)</f>
        <v>0</v>
      </c>
      <c r="AE72" s="69">
        <f t="shared" si="16"/>
        <v>0</v>
      </c>
      <c r="AF72" s="68">
        <f>IFERROR(SUMIF(新生児モニタ!$C$30:$C$74,B72,新生児モニタ!$K$30:$K$74)*((新生児モニタ!$H$3-新生児モニタ!$I$3)/新生児モニタ!$H$3),0)</f>
        <v>0</v>
      </c>
      <c r="AG72" s="69">
        <f t="shared" si="17"/>
        <v>0</v>
      </c>
    </row>
    <row r="73" spans="2:33">
      <c r="B73" s="65" t="s">
        <v>742</v>
      </c>
      <c r="C73" s="68">
        <f>IFERROR(SUMIF(初度設備!$C$30:$C$74,B73,初度設備!$N$30:$N$74)*((初度設備!$H$3-初度設備!$I$3)/初度設備!$H$3),0)</f>
        <v>0</v>
      </c>
      <c r="D73" s="69">
        <f t="shared" si="2"/>
        <v>0</v>
      </c>
      <c r="E73" s="68">
        <f>IFERROR(SUMIF(人工呼吸器!$C$30:$C$74,B73,人工呼吸器!$N$30:$N$74)*((人工呼吸器!$H$3-人工呼吸器!$I$3)/人工呼吸器!$H$3),0)</f>
        <v>0</v>
      </c>
      <c r="F73" s="69">
        <f t="shared" si="3"/>
        <v>0</v>
      </c>
      <c r="G73" s="69">
        <f t="shared" si="4"/>
        <v>0</v>
      </c>
      <c r="H73" s="69">
        <f t="shared" si="5"/>
        <v>0</v>
      </c>
      <c r="I73" s="68">
        <f>IFERROR(SUMIF(簡易陰圧装置!$C$30:$C$74,B73,簡易陰圧装置!$N$30:$N$74)*((簡易陰圧装置!$H$3-簡易陰圧装置!$I$3)/簡易陰圧装置!$H$3),0)</f>
        <v>0</v>
      </c>
      <c r="J73" s="69">
        <f t="shared" si="6"/>
        <v>0</v>
      </c>
      <c r="K73" s="68">
        <f>IFERROR(SUMIF(#REF!,B73,#REF!)*((#REF!-#REF!)/#REF!),0)</f>
        <v>0</v>
      </c>
      <c r="L73" s="69">
        <f t="shared" si="7"/>
        <v>0</v>
      </c>
      <c r="M73" s="68">
        <f>IFERROR(SUMIF(体外式膜型人工肺!$C$30:$C$74,B73,体外式膜型人工肺!$N$30:$N$74)*((体外式膜型人工肺!$H$3-体外式膜型人工肺!$I$3)/体外式膜型人工肺!$H$3),0)</f>
        <v>0</v>
      </c>
      <c r="N73" s="69">
        <f t="shared" si="8"/>
        <v>0</v>
      </c>
      <c r="O73" s="69">
        <f t="shared" si="9"/>
        <v>0</v>
      </c>
      <c r="P73" s="69">
        <f t="shared" si="10"/>
        <v>0</v>
      </c>
      <c r="Q73" s="68">
        <f>IFERROR(SUMIF(紫外線照射装置!$C$30:$C$74,B73,紫外線照射装置!$N$30:$N$74)*((紫外線照射装置!$H$3-紫外線照射装置!$I$3)/紫外線照射装置!$H$3),0)</f>
        <v>0</v>
      </c>
      <c r="R73" s="69">
        <f t="shared" si="11"/>
        <v>0</v>
      </c>
      <c r="S73" s="102">
        <f t="shared" si="12"/>
        <v>0</v>
      </c>
      <c r="T73" s="68">
        <f>IFERROR(SUMIF(超音波画像診断装置!$C$30:$C$74,B73,超音波画像診断装置!$K$30:$K$74)*((超音波画像診断装置!$H$3-超音波画像診断装置!$I$3)/超音波画像診断装置!$H$3),0)</f>
        <v>0</v>
      </c>
      <c r="U73" s="69">
        <f t="shared" si="13"/>
        <v>0</v>
      </c>
      <c r="V73" s="68">
        <f>IFERROR(SUMIF(血液浄化装置!$C$30:$C$74,B73,血液浄化装置!$K$30:$K$74)*((血液浄化装置!$H$3-血液浄化装置!$I$3)/血液浄化装置!$H$3),0)</f>
        <v>0</v>
      </c>
      <c r="W73" s="69">
        <f t="shared" si="14"/>
        <v>0</v>
      </c>
      <c r="X73" s="68">
        <f>IFERROR(SUMIF(気管支鏡!$C$30:$C$74,B73,気管支鏡!$K$30:$K$74)*((気管支鏡!$H$3-気管支鏡!$I$3)/気管支鏡!$H$3),0)</f>
        <v>0</v>
      </c>
      <c r="Y73" s="69">
        <f t="shared" si="0"/>
        <v>0</v>
      </c>
      <c r="Z73" s="68">
        <f>IFERROR(SUMIF(CT撮影装置!$C$30:$C$74,B73,CT撮影装置!$K$30:$K$74)*((CT撮影装置!$H$3-CT撮影装置!$I$3)/CT撮影装置!$H$3),0)</f>
        <v>0</v>
      </c>
      <c r="AA73" s="69">
        <f t="shared" si="15"/>
        <v>0</v>
      </c>
      <c r="AB73" s="68">
        <f>IFERROR(SUMIF(生体情報モニタ!$C$30:$C$74,B73,生体情報モニタ!$K$30:$K$74)*((生体情報モニタ!$H$3-生体情報モニタ!$I$3)/生体情報モニタ!$H$3),0)</f>
        <v>0</v>
      </c>
      <c r="AC73" s="69">
        <f t="shared" si="1"/>
        <v>0</v>
      </c>
      <c r="AD73" s="68">
        <f>IFERROR(SUMIF(分娩監視装置!$C$30:$C$74,B73,分娩監視装置!$K$30:$K$74)*((分娩監視装置!$H$3-分娩監視装置!$I$3)/分娩監視装置!$H$3),0)</f>
        <v>0</v>
      </c>
      <c r="AE73" s="69">
        <f t="shared" si="16"/>
        <v>0</v>
      </c>
      <c r="AF73" s="68">
        <f>IFERROR(SUMIF(新生児モニタ!$C$30:$C$74,B73,新生児モニタ!$K$30:$K$74)*((新生児モニタ!$H$3-新生児モニタ!$I$3)/新生児モニタ!$H$3),0)</f>
        <v>0</v>
      </c>
      <c r="AG73" s="69">
        <f t="shared" si="17"/>
        <v>0</v>
      </c>
    </row>
    <row r="74" spans="2:33">
      <c r="B74" s="65" t="s">
        <v>743</v>
      </c>
      <c r="C74" s="68">
        <f>IFERROR(SUMIF(初度設備!$C$30:$C$74,B74,初度設備!$N$30:$N$74)*((初度設備!$H$3-初度設備!$I$3)/初度設備!$H$3),0)</f>
        <v>0</v>
      </c>
      <c r="D74" s="69">
        <f t="shared" si="2"/>
        <v>0</v>
      </c>
      <c r="E74" s="68">
        <f>IFERROR(SUMIF(人工呼吸器!$C$30:$C$74,B74,人工呼吸器!$N$30:$N$74)*((人工呼吸器!$H$3-人工呼吸器!$I$3)/人工呼吸器!$H$3),0)</f>
        <v>0</v>
      </c>
      <c r="F74" s="69">
        <f t="shared" si="3"/>
        <v>0</v>
      </c>
      <c r="G74" s="69">
        <f t="shared" si="4"/>
        <v>0</v>
      </c>
      <c r="H74" s="69">
        <f t="shared" si="5"/>
        <v>0</v>
      </c>
      <c r="I74" s="68">
        <f>IFERROR(SUMIF(簡易陰圧装置!$C$30:$C$74,B74,簡易陰圧装置!$N$30:$N$74)*((簡易陰圧装置!$H$3-簡易陰圧装置!$I$3)/簡易陰圧装置!$H$3),0)</f>
        <v>0</v>
      </c>
      <c r="J74" s="69">
        <f t="shared" si="6"/>
        <v>0</v>
      </c>
      <c r="K74" s="68">
        <f>IFERROR(SUMIF(#REF!,B74,#REF!)*((#REF!-#REF!)/#REF!),0)</f>
        <v>0</v>
      </c>
      <c r="L74" s="69">
        <f t="shared" si="7"/>
        <v>0</v>
      </c>
      <c r="M74" s="68">
        <f>IFERROR(SUMIF(体外式膜型人工肺!$C$30:$C$74,B74,体外式膜型人工肺!$N$30:$N$74)*((体外式膜型人工肺!$H$3-体外式膜型人工肺!$I$3)/体外式膜型人工肺!$H$3),0)</f>
        <v>0</v>
      </c>
      <c r="N74" s="69">
        <f t="shared" si="8"/>
        <v>0</v>
      </c>
      <c r="O74" s="69">
        <f t="shared" si="9"/>
        <v>0</v>
      </c>
      <c r="P74" s="69">
        <f t="shared" si="10"/>
        <v>0</v>
      </c>
      <c r="Q74" s="68">
        <f>IFERROR(SUMIF(紫外線照射装置!$C$30:$C$74,B74,紫外線照射装置!$N$30:$N$74)*((紫外線照射装置!$H$3-紫外線照射装置!$I$3)/紫外線照射装置!$H$3),0)</f>
        <v>0</v>
      </c>
      <c r="R74" s="69">
        <f t="shared" si="11"/>
        <v>0</v>
      </c>
      <c r="S74" s="102">
        <f t="shared" si="12"/>
        <v>0</v>
      </c>
      <c r="T74" s="68">
        <f>IFERROR(SUMIF(超音波画像診断装置!$C$30:$C$74,B74,超音波画像診断装置!$K$30:$K$74)*((超音波画像診断装置!$H$3-超音波画像診断装置!$I$3)/超音波画像診断装置!$H$3),0)</f>
        <v>0</v>
      </c>
      <c r="U74" s="69">
        <f t="shared" si="13"/>
        <v>0</v>
      </c>
      <c r="V74" s="68">
        <f>IFERROR(SUMIF(血液浄化装置!$C$30:$C$74,B74,血液浄化装置!$K$30:$K$74)*((血液浄化装置!$H$3-血液浄化装置!$I$3)/血液浄化装置!$H$3),0)</f>
        <v>0</v>
      </c>
      <c r="W74" s="69">
        <f t="shared" si="14"/>
        <v>0</v>
      </c>
      <c r="X74" s="68">
        <f>IFERROR(SUMIF(気管支鏡!$C$30:$C$74,B74,気管支鏡!$K$30:$K$74)*((気管支鏡!$H$3-気管支鏡!$I$3)/気管支鏡!$H$3),0)</f>
        <v>0</v>
      </c>
      <c r="Y74" s="69">
        <f t="shared" si="0"/>
        <v>0</v>
      </c>
      <c r="Z74" s="68">
        <f>IFERROR(SUMIF(CT撮影装置!$C$30:$C$74,B74,CT撮影装置!$K$30:$K$74)*((CT撮影装置!$H$3-CT撮影装置!$I$3)/CT撮影装置!$H$3),0)</f>
        <v>0</v>
      </c>
      <c r="AA74" s="69">
        <f t="shared" si="15"/>
        <v>0</v>
      </c>
      <c r="AB74" s="68">
        <f>IFERROR(SUMIF(生体情報モニタ!$C$30:$C$74,B74,生体情報モニタ!$K$30:$K$74)*((生体情報モニタ!$H$3-生体情報モニタ!$I$3)/生体情報モニタ!$H$3),0)</f>
        <v>0</v>
      </c>
      <c r="AC74" s="69">
        <f t="shared" si="1"/>
        <v>0</v>
      </c>
      <c r="AD74" s="68">
        <f>IFERROR(SUMIF(分娩監視装置!$C$30:$C$74,B74,分娩監視装置!$K$30:$K$74)*((分娩監視装置!$H$3-分娩監視装置!$I$3)/分娩監視装置!$H$3),0)</f>
        <v>0</v>
      </c>
      <c r="AE74" s="69">
        <f t="shared" si="16"/>
        <v>0</v>
      </c>
      <c r="AF74" s="68">
        <f>IFERROR(SUMIF(新生児モニタ!$C$30:$C$74,B74,新生児モニタ!$K$30:$K$74)*((新生児モニタ!$H$3-新生児モニタ!$I$3)/新生児モニタ!$H$3),0)</f>
        <v>0</v>
      </c>
      <c r="AG74" s="69">
        <f t="shared" si="17"/>
        <v>0</v>
      </c>
    </row>
    <row r="75" spans="2:33">
      <c r="B75" s="65" t="s">
        <v>744</v>
      </c>
      <c r="C75" s="68">
        <f>IFERROR(SUMIF(初度設備!$C$30:$C$74,B75,初度設備!$N$30:$N$74)*((初度設備!$H$3-初度設備!$I$3)/初度設備!$H$3),0)</f>
        <v>0</v>
      </c>
      <c r="D75" s="69">
        <f t="shared" si="2"/>
        <v>0</v>
      </c>
      <c r="E75" s="68">
        <f>IFERROR(SUMIF(人工呼吸器!$C$30:$C$74,B75,人工呼吸器!$N$30:$N$74)*((人工呼吸器!$H$3-人工呼吸器!$I$3)/人工呼吸器!$H$3),0)</f>
        <v>0</v>
      </c>
      <c r="F75" s="69">
        <f t="shared" si="3"/>
        <v>0</v>
      </c>
      <c r="G75" s="69">
        <f t="shared" si="4"/>
        <v>0</v>
      </c>
      <c r="H75" s="69">
        <f t="shared" si="5"/>
        <v>0</v>
      </c>
      <c r="I75" s="68">
        <f>IFERROR(SUMIF(簡易陰圧装置!$C$30:$C$74,B75,簡易陰圧装置!$N$30:$N$74)*((簡易陰圧装置!$H$3-簡易陰圧装置!$I$3)/簡易陰圧装置!$H$3),0)</f>
        <v>0</v>
      </c>
      <c r="J75" s="69">
        <f t="shared" si="6"/>
        <v>0</v>
      </c>
      <c r="K75" s="68">
        <f>IFERROR(SUMIF(#REF!,B75,#REF!)*((#REF!-#REF!)/#REF!),0)</f>
        <v>0</v>
      </c>
      <c r="L75" s="69">
        <f t="shared" si="7"/>
        <v>0</v>
      </c>
      <c r="M75" s="68">
        <f>IFERROR(SUMIF(体外式膜型人工肺!$C$30:$C$74,B75,体外式膜型人工肺!$N$30:$N$74)*((体外式膜型人工肺!$H$3-体外式膜型人工肺!$I$3)/体外式膜型人工肺!$H$3),0)</f>
        <v>0</v>
      </c>
      <c r="N75" s="69">
        <f t="shared" si="8"/>
        <v>0</v>
      </c>
      <c r="O75" s="69">
        <f t="shared" si="9"/>
        <v>0</v>
      </c>
      <c r="P75" s="69">
        <f t="shared" si="10"/>
        <v>0</v>
      </c>
      <c r="Q75" s="68">
        <f>IFERROR(SUMIF(紫外線照射装置!$C$30:$C$74,B75,紫外線照射装置!$N$30:$N$74)*((紫外線照射装置!$H$3-紫外線照射装置!$I$3)/紫外線照射装置!$H$3),0)</f>
        <v>0</v>
      </c>
      <c r="R75" s="69">
        <f t="shared" si="11"/>
        <v>0</v>
      </c>
      <c r="S75" s="102">
        <f t="shared" si="12"/>
        <v>0</v>
      </c>
      <c r="T75" s="68">
        <f>IFERROR(SUMIF(超音波画像診断装置!$C$30:$C$74,B75,超音波画像診断装置!$K$30:$K$74)*((超音波画像診断装置!$H$3-超音波画像診断装置!$I$3)/超音波画像診断装置!$H$3),0)</f>
        <v>0</v>
      </c>
      <c r="U75" s="69">
        <f t="shared" si="13"/>
        <v>0</v>
      </c>
      <c r="V75" s="68">
        <f>IFERROR(SUMIF(血液浄化装置!$C$30:$C$74,B75,血液浄化装置!$K$30:$K$74)*((血液浄化装置!$H$3-血液浄化装置!$I$3)/血液浄化装置!$H$3),0)</f>
        <v>0</v>
      </c>
      <c r="W75" s="69">
        <f t="shared" si="14"/>
        <v>0</v>
      </c>
      <c r="X75" s="68">
        <f>IFERROR(SUMIF(気管支鏡!$C$30:$C$74,B75,気管支鏡!$K$30:$K$74)*((気管支鏡!$H$3-気管支鏡!$I$3)/気管支鏡!$H$3),0)</f>
        <v>0</v>
      </c>
      <c r="Y75" s="69">
        <f t="shared" si="0"/>
        <v>0</v>
      </c>
      <c r="Z75" s="68">
        <f>IFERROR(SUMIF(CT撮影装置!$C$30:$C$74,B75,CT撮影装置!$K$30:$K$74)*((CT撮影装置!$H$3-CT撮影装置!$I$3)/CT撮影装置!$H$3),0)</f>
        <v>0</v>
      </c>
      <c r="AA75" s="69">
        <f t="shared" si="15"/>
        <v>0</v>
      </c>
      <c r="AB75" s="68">
        <f>IFERROR(SUMIF(生体情報モニタ!$C$30:$C$74,B75,生体情報モニタ!$K$30:$K$74)*((生体情報モニタ!$H$3-生体情報モニタ!$I$3)/生体情報モニタ!$H$3),0)</f>
        <v>0</v>
      </c>
      <c r="AC75" s="69">
        <f t="shared" si="1"/>
        <v>0</v>
      </c>
      <c r="AD75" s="68">
        <f>IFERROR(SUMIF(分娩監視装置!$C$30:$C$74,B75,分娩監視装置!$K$30:$K$74)*((分娩監視装置!$H$3-分娩監視装置!$I$3)/分娩監視装置!$H$3),0)</f>
        <v>0</v>
      </c>
      <c r="AE75" s="69">
        <f t="shared" si="16"/>
        <v>0</v>
      </c>
      <c r="AF75" s="68">
        <f>IFERROR(SUMIF(新生児モニタ!$C$30:$C$74,B75,新生児モニタ!$K$30:$K$74)*((新生児モニタ!$H$3-新生児モニタ!$I$3)/新生児モニタ!$H$3),0)</f>
        <v>0</v>
      </c>
      <c r="AG75" s="69">
        <f t="shared" si="17"/>
        <v>0</v>
      </c>
    </row>
    <row r="76" spans="2:33">
      <c r="B76" s="65" t="s">
        <v>745</v>
      </c>
      <c r="C76" s="68">
        <f>IFERROR(SUMIF(初度設備!$C$30:$C$74,B76,初度設備!$N$30:$N$74)*((初度設備!$H$3-初度設備!$I$3)/初度設備!$H$3),0)</f>
        <v>0</v>
      </c>
      <c r="D76" s="69">
        <f t="shared" si="2"/>
        <v>0</v>
      </c>
      <c r="E76" s="68">
        <f>IFERROR(SUMIF(人工呼吸器!$C$30:$C$74,B76,人工呼吸器!$N$30:$N$74)*((人工呼吸器!$H$3-人工呼吸器!$I$3)/人工呼吸器!$H$3),0)</f>
        <v>0</v>
      </c>
      <c r="F76" s="69">
        <f t="shared" si="3"/>
        <v>0</v>
      </c>
      <c r="G76" s="69">
        <f t="shared" si="4"/>
        <v>0</v>
      </c>
      <c r="H76" s="69">
        <f t="shared" si="5"/>
        <v>0</v>
      </c>
      <c r="I76" s="68">
        <f>IFERROR(SUMIF(簡易陰圧装置!$C$30:$C$74,B76,簡易陰圧装置!$N$30:$N$74)*((簡易陰圧装置!$H$3-簡易陰圧装置!$I$3)/簡易陰圧装置!$H$3),0)</f>
        <v>0</v>
      </c>
      <c r="J76" s="69">
        <f t="shared" si="6"/>
        <v>0</v>
      </c>
      <c r="K76" s="68">
        <f>IFERROR(SUMIF(#REF!,B76,#REF!)*((#REF!-#REF!)/#REF!),0)</f>
        <v>0</v>
      </c>
      <c r="L76" s="69">
        <f t="shared" si="7"/>
        <v>0</v>
      </c>
      <c r="M76" s="68">
        <f>IFERROR(SUMIF(体外式膜型人工肺!$C$30:$C$74,B76,体外式膜型人工肺!$N$30:$N$74)*((体外式膜型人工肺!$H$3-体外式膜型人工肺!$I$3)/体外式膜型人工肺!$H$3),0)</f>
        <v>0</v>
      </c>
      <c r="N76" s="69">
        <f t="shared" si="8"/>
        <v>0</v>
      </c>
      <c r="O76" s="69">
        <f t="shared" si="9"/>
        <v>0</v>
      </c>
      <c r="P76" s="69">
        <f t="shared" si="10"/>
        <v>0</v>
      </c>
      <c r="Q76" s="68">
        <f>IFERROR(SUMIF(紫外線照射装置!$C$30:$C$74,B76,紫外線照射装置!$N$30:$N$74)*((紫外線照射装置!$H$3-紫外線照射装置!$I$3)/紫外線照射装置!$H$3),0)</f>
        <v>0</v>
      </c>
      <c r="R76" s="69">
        <f t="shared" si="11"/>
        <v>0</v>
      </c>
      <c r="S76" s="102">
        <f t="shared" si="12"/>
        <v>0</v>
      </c>
      <c r="T76" s="68">
        <f>IFERROR(SUMIF(超音波画像診断装置!$C$30:$C$74,B76,超音波画像診断装置!$K$30:$K$74)*((超音波画像診断装置!$H$3-超音波画像診断装置!$I$3)/超音波画像診断装置!$H$3),0)</f>
        <v>0</v>
      </c>
      <c r="U76" s="69">
        <f t="shared" si="13"/>
        <v>0</v>
      </c>
      <c r="V76" s="68">
        <f>IFERROR(SUMIF(血液浄化装置!$C$30:$C$74,B76,血液浄化装置!$K$30:$K$74)*((血液浄化装置!$H$3-血液浄化装置!$I$3)/血液浄化装置!$H$3),0)</f>
        <v>0</v>
      </c>
      <c r="W76" s="69">
        <f t="shared" si="14"/>
        <v>0</v>
      </c>
      <c r="X76" s="68">
        <f>IFERROR(SUMIF(気管支鏡!$C$30:$C$74,B76,気管支鏡!$K$30:$K$74)*((気管支鏡!$H$3-気管支鏡!$I$3)/気管支鏡!$H$3),0)</f>
        <v>0</v>
      </c>
      <c r="Y76" s="69">
        <f t="shared" si="0"/>
        <v>0</v>
      </c>
      <c r="Z76" s="68">
        <f>IFERROR(SUMIF(CT撮影装置!$C$30:$C$74,B76,CT撮影装置!$K$30:$K$74)*((CT撮影装置!$H$3-CT撮影装置!$I$3)/CT撮影装置!$H$3),0)</f>
        <v>0</v>
      </c>
      <c r="AA76" s="69">
        <f t="shared" si="15"/>
        <v>0</v>
      </c>
      <c r="AB76" s="68">
        <f>IFERROR(SUMIF(生体情報モニタ!$C$30:$C$74,B76,生体情報モニタ!$K$30:$K$74)*((生体情報モニタ!$H$3-生体情報モニタ!$I$3)/生体情報モニタ!$H$3),0)</f>
        <v>0</v>
      </c>
      <c r="AC76" s="69">
        <f t="shared" si="1"/>
        <v>0</v>
      </c>
      <c r="AD76" s="68">
        <f>IFERROR(SUMIF(分娩監視装置!$C$30:$C$74,B76,分娩監視装置!$K$30:$K$74)*((分娩監視装置!$H$3-分娩監視装置!$I$3)/分娩監視装置!$H$3),0)</f>
        <v>0</v>
      </c>
      <c r="AE76" s="69">
        <f t="shared" si="16"/>
        <v>0</v>
      </c>
      <c r="AF76" s="68">
        <f>IFERROR(SUMIF(新生児モニタ!$C$30:$C$74,B76,新生児モニタ!$K$30:$K$74)*((新生児モニタ!$H$3-新生児モニタ!$I$3)/新生児モニタ!$H$3),0)</f>
        <v>0</v>
      </c>
      <c r="AG76" s="69">
        <f t="shared" si="17"/>
        <v>0</v>
      </c>
    </row>
    <row r="77" spans="2:33">
      <c r="B77" s="65" t="s">
        <v>746</v>
      </c>
      <c r="C77" s="68">
        <f>IFERROR(SUMIF(初度設備!$C$30:$C$74,B77,初度設備!$N$30:$N$74)*((初度設備!$H$3-初度設備!$I$3)/初度設備!$H$3),0)</f>
        <v>0</v>
      </c>
      <c r="D77" s="69">
        <f t="shared" si="2"/>
        <v>0</v>
      </c>
      <c r="E77" s="68">
        <f>IFERROR(SUMIF(人工呼吸器!$C$30:$C$74,B77,人工呼吸器!$N$30:$N$74)*((人工呼吸器!$H$3-人工呼吸器!$I$3)/人工呼吸器!$H$3),0)</f>
        <v>0</v>
      </c>
      <c r="F77" s="69">
        <f t="shared" si="3"/>
        <v>0</v>
      </c>
      <c r="G77" s="69">
        <f t="shared" si="4"/>
        <v>0</v>
      </c>
      <c r="H77" s="69">
        <f t="shared" si="5"/>
        <v>0</v>
      </c>
      <c r="I77" s="68">
        <f>IFERROR(SUMIF(簡易陰圧装置!$C$30:$C$74,B77,簡易陰圧装置!$N$30:$N$74)*((簡易陰圧装置!$H$3-簡易陰圧装置!$I$3)/簡易陰圧装置!$H$3),0)</f>
        <v>0</v>
      </c>
      <c r="J77" s="69">
        <f t="shared" si="6"/>
        <v>0</v>
      </c>
      <c r="K77" s="68">
        <f>IFERROR(SUMIF(#REF!,B77,#REF!)*((#REF!-#REF!)/#REF!),0)</f>
        <v>0</v>
      </c>
      <c r="L77" s="69">
        <f t="shared" si="7"/>
        <v>0</v>
      </c>
      <c r="M77" s="68">
        <f>IFERROR(SUMIF(体外式膜型人工肺!$C$30:$C$74,B77,体外式膜型人工肺!$N$30:$N$74)*((体外式膜型人工肺!$H$3-体外式膜型人工肺!$I$3)/体外式膜型人工肺!$H$3),0)</f>
        <v>0</v>
      </c>
      <c r="N77" s="69">
        <f t="shared" si="8"/>
        <v>0</v>
      </c>
      <c r="O77" s="69">
        <f t="shared" si="9"/>
        <v>0</v>
      </c>
      <c r="P77" s="69">
        <f t="shared" si="10"/>
        <v>0</v>
      </c>
      <c r="Q77" s="68">
        <f>IFERROR(SUMIF(紫外線照射装置!$C$30:$C$74,B77,紫外線照射装置!$N$30:$N$74)*((紫外線照射装置!$H$3-紫外線照射装置!$I$3)/紫外線照射装置!$H$3),0)</f>
        <v>0</v>
      </c>
      <c r="R77" s="69">
        <f t="shared" si="11"/>
        <v>0</v>
      </c>
      <c r="S77" s="102">
        <f t="shared" si="12"/>
        <v>0</v>
      </c>
      <c r="T77" s="68">
        <f>IFERROR(SUMIF(超音波画像診断装置!$C$30:$C$74,B77,超音波画像診断装置!$K$30:$K$74)*((超音波画像診断装置!$H$3-超音波画像診断装置!$I$3)/超音波画像診断装置!$H$3),0)</f>
        <v>0</v>
      </c>
      <c r="U77" s="69">
        <f t="shared" si="13"/>
        <v>0</v>
      </c>
      <c r="V77" s="68">
        <f>IFERROR(SUMIF(血液浄化装置!$C$30:$C$74,B77,血液浄化装置!$K$30:$K$74)*((血液浄化装置!$H$3-血液浄化装置!$I$3)/血液浄化装置!$H$3),0)</f>
        <v>0</v>
      </c>
      <c r="W77" s="69">
        <f t="shared" si="14"/>
        <v>0</v>
      </c>
      <c r="X77" s="68">
        <f>IFERROR(SUMIF(気管支鏡!$C$30:$C$74,B77,気管支鏡!$K$30:$K$74)*((気管支鏡!$H$3-気管支鏡!$I$3)/気管支鏡!$H$3),0)</f>
        <v>0</v>
      </c>
      <c r="Y77" s="69">
        <f t="shared" si="0"/>
        <v>0</v>
      </c>
      <c r="Z77" s="68">
        <f>IFERROR(SUMIF(CT撮影装置!$C$30:$C$74,B77,CT撮影装置!$K$30:$K$74)*((CT撮影装置!$H$3-CT撮影装置!$I$3)/CT撮影装置!$H$3),0)</f>
        <v>0</v>
      </c>
      <c r="AA77" s="69">
        <f t="shared" si="15"/>
        <v>0</v>
      </c>
      <c r="AB77" s="68">
        <f>IFERROR(SUMIF(生体情報モニタ!$C$30:$C$74,B77,生体情報モニタ!$K$30:$K$74)*((生体情報モニタ!$H$3-生体情報モニタ!$I$3)/生体情報モニタ!$H$3),0)</f>
        <v>0</v>
      </c>
      <c r="AC77" s="69">
        <f t="shared" si="1"/>
        <v>0</v>
      </c>
      <c r="AD77" s="68">
        <f>IFERROR(SUMIF(分娩監視装置!$C$30:$C$74,B77,分娩監視装置!$K$30:$K$74)*((分娩監視装置!$H$3-分娩監視装置!$I$3)/分娩監視装置!$H$3),0)</f>
        <v>0</v>
      </c>
      <c r="AE77" s="69">
        <f t="shared" si="16"/>
        <v>0</v>
      </c>
      <c r="AF77" s="68">
        <f>IFERROR(SUMIF(新生児モニタ!$C$30:$C$74,B77,新生児モニタ!$K$30:$K$74)*((新生児モニタ!$H$3-新生児モニタ!$I$3)/新生児モニタ!$H$3),0)</f>
        <v>0</v>
      </c>
      <c r="AG77" s="69">
        <f t="shared" si="17"/>
        <v>0</v>
      </c>
    </row>
    <row r="78" spans="2:33">
      <c r="B78" s="65" t="s">
        <v>747</v>
      </c>
      <c r="C78" s="68">
        <f>IFERROR(SUMIF(初度設備!$C$30:$C$74,B78,初度設備!$N$30:$N$74)*((初度設備!$H$3-初度設備!$I$3)/初度設備!$H$3),0)</f>
        <v>0</v>
      </c>
      <c r="D78" s="69">
        <f t="shared" si="2"/>
        <v>0</v>
      </c>
      <c r="E78" s="68">
        <f>IFERROR(SUMIF(人工呼吸器!$C$30:$C$74,B78,人工呼吸器!$N$30:$N$74)*((人工呼吸器!$H$3-人工呼吸器!$I$3)/人工呼吸器!$H$3),0)</f>
        <v>0</v>
      </c>
      <c r="F78" s="69">
        <f t="shared" si="3"/>
        <v>0</v>
      </c>
      <c r="G78" s="69">
        <f t="shared" si="4"/>
        <v>0</v>
      </c>
      <c r="H78" s="69">
        <f t="shared" si="5"/>
        <v>0</v>
      </c>
      <c r="I78" s="68">
        <f>IFERROR(SUMIF(簡易陰圧装置!$C$30:$C$74,B78,簡易陰圧装置!$N$30:$N$74)*((簡易陰圧装置!$H$3-簡易陰圧装置!$I$3)/簡易陰圧装置!$H$3),0)</f>
        <v>0</v>
      </c>
      <c r="J78" s="69">
        <f t="shared" si="6"/>
        <v>0</v>
      </c>
      <c r="K78" s="68">
        <f>IFERROR(SUMIF(#REF!,B78,#REF!)*((#REF!-#REF!)/#REF!),0)</f>
        <v>0</v>
      </c>
      <c r="L78" s="69">
        <f t="shared" si="7"/>
        <v>0</v>
      </c>
      <c r="M78" s="68">
        <f>IFERROR(SUMIF(体外式膜型人工肺!$C$30:$C$74,B78,体外式膜型人工肺!$N$30:$N$74)*((体外式膜型人工肺!$H$3-体外式膜型人工肺!$I$3)/体外式膜型人工肺!$H$3),0)</f>
        <v>0</v>
      </c>
      <c r="N78" s="69">
        <f t="shared" si="8"/>
        <v>0</v>
      </c>
      <c r="O78" s="69">
        <f t="shared" si="9"/>
        <v>0</v>
      </c>
      <c r="P78" s="69">
        <f t="shared" si="10"/>
        <v>0</v>
      </c>
      <c r="Q78" s="68">
        <f>IFERROR(SUMIF(紫外線照射装置!$C$30:$C$74,B78,紫外線照射装置!$N$30:$N$74)*((紫外線照射装置!$H$3-紫外線照射装置!$I$3)/紫外線照射装置!$H$3),0)</f>
        <v>0</v>
      </c>
      <c r="R78" s="69">
        <f t="shared" si="11"/>
        <v>0</v>
      </c>
      <c r="S78" s="102">
        <f t="shared" si="12"/>
        <v>0</v>
      </c>
      <c r="T78" s="68">
        <f>IFERROR(SUMIF(超音波画像診断装置!$C$30:$C$74,B78,超音波画像診断装置!$K$30:$K$74)*((超音波画像診断装置!$H$3-超音波画像診断装置!$I$3)/超音波画像診断装置!$H$3),0)</f>
        <v>0</v>
      </c>
      <c r="U78" s="69">
        <f t="shared" si="13"/>
        <v>0</v>
      </c>
      <c r="V78" s="68">
        <f>IFERROR(SUMIF(血液浄化装置!$C$30:$C$74,B78,血液浄化装置!$K$30:$K$74)*((血液浄化装置!$H$3-血液浄化装置!$I$3)/血液浄化装置!$H$3),0)</f>
        <v>0</v>
      </c>
      <c r="W78" s="69">
        <f t="shared" si="14"/>
        <v>0</v>
      </c>
      <c r="X78" s="68">
        <f>IFERROR(SUMIF(気管支鏡!$C$30:$C$74,B78,気管支鏡!$K$30:$K$74)*((気管支鏡!$H$3-気管支鏡!$I$3)/気管支鏡!$H$3),0)</f>
        <v>0</v>
      </c>
      <c r="Y78" s="69">
        <f t="shared" si="0"/>
        <v>0</v>
      </c>
      <c r="Z78" s="68">
        <f>IFERROR(SUMIF(CT撮影装置!$C$30:$C$74,B78,CT撮影装置!$K$30:$K$74)*((CT撮影装置!$H$3-CT撮影装置!$I$3)/CT撮影装置!$H$3),0)</f>
        <v>0</v>
      </c>
      <c r="AA78" s="69">
        <f t="shared" si="15"/>
        <v>0</v>
      </c>
      <c r="AB78" s="68">
        <f>IFERROR(SUMIF(生体情報モニタ!$C$30:$C$74,B78,生体情報モニタ!$K$30:$K$74)*((生体情報モニタ!$H$3-生体情報モニタ!$I$3)/生体情報モニタ!$H$3),0)</f>
        <v>0</v>
      </c>
      <c r="AC78" s="69">
        <f t="shared" si="1"/>
        <v>0</v>
      </c>
      <c r="AD78" s="68">
        <f>IFERROR(SUMIF(分娩監視装置!$C$30:$C$74,B78,分娩監視装置!$K$30:$K$74)*((分娩監視装置!$H$3-分娩監視装置!$I$3)/分娩監視装置!$H$3),0)</f>
        <v>0</v>
      </c>
      <c r="AE78" s="69">
        <f t="shared" si="16"/>
        <v>0</v>
      </c>
      <c r="AF78" s="68">
        <f>IFERROR(SUMIF(新生児モニタ!$C$30:$C$74,B78,新生児モニタ!$K$30:$K$74)*((新生児モニタ!$H$3-新生児モニタ!$I$3)/新生児モニタ!$H$3),0)</f>
        <v>0</v>
      </c>
      <c r="AG78" s="69">
        <f t="shared" si="17"/>
        <v>0</v>
      </c>
    </row>
    <row r="79" spans="2:33">
      <c r="B79" s="65" t="s">
        <v>748</v>
      </c>
      <c r="C79" s="68">
        <f>IFERROR(SUMIF(初度設備!$C$30:$C$74,B79,初度設備!$N$30:$N$74)*((初度設備!$H$3-初度設備!$I$3)/初度設備!$H$3),0)</f>
        <v>0</v>
      </c>
      <c r="D79" s="69">
        <f t="shared" si="2"/>
        <v>0</v>
      </c>
      <c r="E79" s="68">
        <f>IFERROR(SUMIF(人工呼吸器!$C$30:$C$74,B79,人工呼吸器!$N$30:$N$74)*((人工呼吸器!$H$3-人工呼吸器!$I$3)/人工呼吸器!$H$3),0)</f>
        <v>0</v>
      </c>
      <c r="F79" s="69">
        <f t="shared" si="3"/>
        <v>0</v>
      </c>
      <c r="G79" s="69">
        <f t="shared" si="4"/>
        <v>0</v>
      </c>
      <c r="H79" s="69">
        <f t="shared" si="5"/>
        <v>0</v>
      </c>
      <c r="I79" s="68">
        <f>IFERROR(SUMIF(簡易陰圧装置!$C$30:$C$74,B79,簡易陰圧装置!$N$30:$N$74)*((簡易陰圧装置!$H$3-簡易陰圧装置!$I$3)/簡易陰圧装置!$H$3),0)</f>
        <v>0</v>
      </c>
      <c r="J79" s="69">
        <f t="shared" si="6"/>
        <v>0</v>
      </c>
      <c r="K79" s="68">
        <f>IFERROR(SUMIF(#REF!,B79,#REF!)*((#REF!-#REF!)/#REF!),0)</f>
        <v>0</v>
      </c>
      <c r="L79" s="69">
        <f t="shared" si="7"/>
        <v>0</v>
      </c>
      <c r="M79" s="68">
        <f>IFERROR(SUMIF(体外式膜型人工肺!$C$30:$C$74,B79,体外式膜型人工肺!$N$30:$N$74)*((体外式膜型人工肺!$H$3-体外式膜型人工肺!$I$3)/体外式膜型人工肺!$H$3),0)</f>
        <v>0</v>
      </c>
      <c r="N79" s="69">
        <f t="shared" si="8"/>
        <v>0</v>
      </c>
      <c r="O79" s="69">
        <f t="shared" si="9"/>
        <v>0</v>
      </c>
      <c r="P79" s="69">
        <f t="shared" si="10"/>
        <v>0</v>
      </c>
      <c r="Q79" s="68">
        <f>IFERROR(SUMIF(紫外線照射装置!$C$30:$C$74,B79,紫外線照射装置!$N$30:$N$74)*((紫外線照射装置!$H$3-紫外線照射装置!$I$3)/紫外線照射装置!$H$3),0)</f>
        <v>0</v>
      </c>
      <c r="R79" s="69">
        <f t="shared" si="11"/>
        <v>0</v>
      </c>
      <c r="S79" s="102">
        <f t="shared" si="12"/>
        <v>0</v>
      </c>
      <c r="T79" s="68">
        <f>IFERROR(SUMIF(超音波画像診断装置!$C$30:$C$74,B79,超音波画像診断装置!$K$30:$K$74)*((超音波画像診断装置!$H$3-超音波画像診断装置!$I$3)/超音波画像診断装置!$H$3),0)</f>
        <v>0</v>
      </c>
      <c r="U79" s="69">
        <f t="shared" si="13"/>
        <v>0</v>
      </c>
      <c r="V79" s="68">
        <f>IFERROR(SUMIF(血液浄化装置!$C$30:$C$74,B79,血液浄化装置!$K$30:$K$74)*((血液浄化装置!$H$3-血液浄化装置!$I$3)/血液浄化装置!$H$3),0)</f>
        <v>0</v>
      </c>
      <c r="W79" s="69">
        <f t="shared" si="14"/>
        <v>0</v>
      </c>
      <c r="X79" s="68">
        <f>IFERROR(SUMIF(気管支鏡!$C$30:$C$74,B79,気管支鏡!$K$30:$K$74)*((気管支鏡!$H$3-気管支鏡!$I$3)/気管支鏡!$H$3),0)</f>
        <v>0</v>
      </c>
      <c r="Y79" s="69">
        <f t="shared" si="0"/>
        <v>0</v>
      </c>
      <c r="Z79" s="68">
        <f>IFERROR(SUMIF(CT撮影装置!$C$30:$C$74,B79,CT撮影装置!$K$30:$K$74)*((CT撮影装置!$H$3-CT撮影装置!$I$3)/CT撮影装置!$H$3),0)</f>
        <v>0</v>
      </c>
      <c r="AA79" s="69">
        <f t="shared" si="15"/>
        <v>0</v>
      </c>
      <c r="AB79" s="68">
        <f>IFERROR(SUMIF(生体情報モニタ!$C$30:$C$74,B79,生体情報モニタ!$K$30:$K$74)*((生体情報モニタ!$H$3-生体情報モニタ!$I$3)/生体情報モニタ!$H$3),0)</f>
        <v>0</v>
      </c>
      <c r="AC79" s="69">
        <f t="shared" si="1"/>
        <v>0</v>
      </c>
      <c r="AD79" s="68">
        <f>IFERROR(SUMIF(分娩監視装置!$C$30:$C$74,B79,分娩監視装置!$K$30:$K$74)*((分娩監視装置!$H$3-分娩監視装置!$I$3)/分娩監視装置!$H$3),0)</f>
        <v>0</v>
      </c>
      <c r="AE79" s="69">
        <f t="shared" si="16"/>
        <v>0</v>
      </c>
      <c r="AF79" s="68">
        <f>IFERROR(SUMIF(新生児モニタ!$C$30:$C$74,B79,新生児モニタ!$K$30:$K$74)*((新生児モニタ!$H$3-新生児モニタ!$I$3)/新生児モニタ!$H$3),0)</f>
        <v>0</v>
      </c>
      <c r="AG79" s="69">
        <f t="shared" si="17"/>
        <v>0</v>
      </c>
    </row>
    <row r="80" spans="2:33">
      <c r="B80" s="65" t="s">
        <v>749</v>
      </c>
      <c r="C80" s="68">
        <f>IFERROR(SUMIF(初度設備!$C$30:$C$74,B80,初度設備!$N$30:$N$74)*((初度設備!$H$3-初度設備!$I$3)/初度設備!$H$3),0)</f>
        <v>0</v>
      </c>
      <c r="D80" s="69">
        <f t="shared" si="2"/>
        <v>0</v>
      </c>
      <c r="E80" s="68">
        <f>IFERROR(SUMIF(人工呼吸器!$C$30:$C$74,B80,人工呼吸器!$N$30:$N$74)*((人工呼吸器!$H$3-人工呼吸器!$I$3)/人工呼吸器!$H$3),0)</f>
        <v>0</v>
      </c>
      <c r="F80" s="69">
        <f t="shared" si="3"/>
        <v>0</v>
      </c>
      <c r="G80" s="69">
        <f t="shared" si="4"/>
        <v>0</v>
      </c>
      <c r="H80" s="69">
        <f t="shared" si="5"/>
        <v>0</v>
      </c>
      <c r="I80" s="68">
        <f>IFERROR(SUMIF(簡易陰圧装置!$C$30:$C$74,B80,簡易陰圧装置!$N$30:$N$74)*((簡易陰圧装置!$H$3-簡易陰圧装置!$I$3)/簡易陰圧装置!$H$3),0)</f>
        <v>0</v>
      </c>
      <c r="J80" s="69">
        <f t="shared" si="6"/>
        <v>0</v>
      </c>
      <c r="K80" s="68">
        <f>IFERROR(SUMIF(#REF!,B80,#REF!)*((#REF!-#REF!)/#REF!),0)</f>
        <v>0</v>
      </c>
      <c r="L80" s="69">
        <f t="shared" si="7"/>
        <v>0</v>
      </c>
      <c r="M80" s="68">
        <f>IFERROR(SUMIF(体外式膜型人工肺!$C$30:$C$74,B80,体外式膜型人工肺!$N$30:$N$74)*((体外式膜型人工肺!$H$3-体外式膜型人工肺!$I$3)/体外式膜型人工肺!$H$3),0)</f>
        <v>0</v>
      </c>
      <c r="N80" s="69">
        <f t="shared" si="8"/>
        <v>0</v>
      </c>
      <c r="O80" s="69">
        <f t="shared" si="9"/>
        <v>0</v>
      </c>
      <c r="P80" s="69">
        <f t="shared" si="10"/>
        <v>0</v>
      </c>
      <c r="Q80" s="68">
        <f>IFERROR(SUMIF(紫外線照射装置!$C$30:$C$74,B80,紫外線照射装置!$N$30:$N$74)*((紫外線照射装置!$H$3-紫外線照射装置!$I$3)/紫外線照射装置!$H$3),0)</f>
        <v>0</v>
      </c>
      <c r="R80" s="69">
        <f t="shared" si="11"/>
        <v>0</v>
      </c>
      <c r="S80" s="102">
        <f t="shared" si="12"/>
        <v>0</v>
      </c>
      <c r="T80" s="68">
        <f>IFERROR(SUMIF(超音波画像診断装置!$C$30:$C$74,B80,超音波画像診断装置!$K$30:$K$74)*((超音波画像診断装置!$H$3-超音波画像診断装置!$I$3)/超音波画像診断装置!$H$3),0)</f>
        <v>0</v>
      </c>
      <c r="U80" s="69">
        <f t="shared" si="13"/>
        <v>0</v>
      </c>
      <c r="V80" s="68">
        <f>IFERROR(SUMIF(血液浄化装置!$C$30:$C$74,B80,血液浄化装置!$K$30:$K$74)*((血液浄化装置!$H$3-血液浄化装置!$I$3)/血液浄化装置!$H$3),0)</f>
        <v>0</v>
      </c>
      <c r="W80" s="69">
        <f t="shared" si="14"/>
        <v>0</v>
      </c>
      <c r="X80" s="68">
        <f>IFERROR(SUMIF(気管支鏡!$C$30:$C$74,B80,気管支鏡!$K$30:$K$74)*((気管支鏡!$H$3-気管支鏡!$I$3)/気管支鏡!$H$3),0)</f>
        <v>0</v>
      </c>
      <c r="Y80" s="69">
        <f t="shared" si="0"/>
        <v>0</v>
      </c>
      <c r="Z80" s="68">
        <f>IFERROR(SUMIF(CT撮影装置!$C$30:$C$74,B80,CT撮影装置!$K$30:$K$74)*((CT撮影装置!$H$3-CT撮影装置!$I$3)/CT撮影装置!$H$3),0)</f>
        <v>0</v>
      </c>
      <c r="AA80" s="69">
        <f t="shared" si="15"/>
        <v>0</v>
      </c>
      <c r="AB80" s="68">
        <f>IFERROR(SUMIF(生体情報モニタ!$C$30:$C$74,B80,生体情報モニタ!$K$30:$K$74)*((生体情報モニタ!$H$3-生体情報モニタ!$I$3)/生体情報モニタ!$H$3),0)</f>
        <v>0</v>
      </c>
      <c r="AC80" s="69">
        <f t="shared" si="1"/>
        <v>0</v>
      </c>
      <c r="AD80" s="68">
        <f>IFERROR(SUMIF(分娩監視装置!$C$30:$C$74,B80,分娩監視装置!$K$30:$K$74)*((分娩監視装置!$H$3-分娩監視装置!$I$3)/分娩監視装置!$H$3),0)</f>
        <v>0</v>
      </c>
      <c r="AE80" s="69">
        <f t="shared" si="16"/>
        <v>0</v>
      </c>
      <c r="AF80" s="68">
        <f>IFERROR(SUMIF(新生児モニタ!$C$30:$C$74,B80,新生児モニタ!$K$30:$K$74)*((新生児モニタ!$H$3-新生児モニタ!$I$3)/新生児モニタ!$H$3),0)</f>
        <v>0</v>
      </c>
      <c r="AG80" s="69">
        <f t="shared" si="17"/>
        <v>0</v>
      </c>
    </row>
    <row r="81" spans="2:33">
      <c r="B81" s="65" t="s">
        <v>750</v>
      </c>
      <c r="C81" s="68">
        <f>IFERROR(SUMIF(初度設備!$C$30:$C$74,B81,初度設備!$N$30:$N$74)*((初度設備!$H$3-初度設備!$I$3)/初度設備!$H$3),0)</f>
        <v>0</v>
      </c>
      <c r="D81" s="69">
        <f t="shared" si="2"/>
        <v>0</v>
      </c>
      <c r="E81" s="68">
        <f>IFERROR(SUMIF(人工呼吸器!$C$30:$C$74,B81,人工呼吸器!$N$30:$N$74)*((人工呼吸器!$H$3-人工呼吸器!$I$3)/人工呼吸器!$H$3),0)</f>
        <v>0</v>
      </c>
      <c r="F81" s="69">
        <f t="shared" si="3"/>
        <v>0</v>
      </c>
      <c r="G81" s="69">
        <f t="shared" si="4"/>
        <v>0</v>
      </c>
      <c r="H81" s="69">
        <f t="shared" si="5"/>
        <v>0</v>
      </c>
      <c r="I81" s="68">
        <f>IFERROR(SUMIF(簡易陰圧装置!$C$30:$C$74,B81,簡易陰圧装置!$N$30:$N$74)*((簡易陰圧装置!$H$3-簡易陰圧装置!$I$3)/簡易陰圧装置!$H$3),0)</f>
        <v>0</v>
      </c>
      <c r="J81" s="69">
        <f t="shared" si="6"/>
        <v>0</v>
      </c>
      <c r="K81" s="68">
        <f>IFERROR(SUMIF(#REF!,B81,#REF!)*((#REF!-#REF!)/#REF!),0)</f>
        <v>0</v>
      </c>
      <c r="L81" s="69">
        <f t="shared" si="7"/>
        <v>0</v>
      </c>
      <c r="M81" s="68">
        <f>IFERROR(SUMIF(体外式膜型人工肺!$C$30:$C$74,B81,体外式膜型人工肺!$N$30:$N$74)*((体外式膜型人工肺!$H$3-体外式膜型人工肺!$I$3)/体外式膜型人工肺!$H$3),0)</f>
        <v>0</v>
      </c>
      <c r="N81" s="69">
        <f t="shared" si="8"/>
        <v>0</v>
      </c>
      <c r="O81" s="69">
        <f t="shared" si="9"/>
        <v>0</v>
      </c>
      <c r="P81" s="69">
        <f t="shared" si="10"/>
        <v>0</v>
      </c>
      <c r="Q81" s="68">
        <f>IFERROR(SUMIF(紫外線照射装置!$C$30:$C$74,B81,紫外線照射装置!$N$30:$N$74)*((紫外線照射装置!$H$3-紫外線照射装置!$I$3)/紫外線照射装置!$H$3),0)</f>
        <v>0</v>
      </c>
      <c r="R81" s="69">
        <f t="shared" si="11"/>
        <v>0</v>
      </c>
      <c r="S81" s="102">
        <f t="shared" si="12"/>
        <v>0</v>
      </c>
      <c r="T81" s="68">
        <f>IFERROR(SUMIF(超音波画像診断装置!$C$30:$C$74,B81,超音波画像診断装置!$K$30:$K$74)*((超音波画像診断装置!$H$3-超音波画像診断装置!$I$3)/超音波画像診断装置!$H$3),0)</f>
        <v>0</v>
      </c>
      <c r="U81" s="69">
        <f t="shared" si="13"/>
        <v>0</v>
      </c>
      <c r="V81" s="68">
        <f>IFERROR(SUMIF(血液浄化装置!$C$30:$C$74,B81,血液浄化装置!$K$30:$K$74)*((血液浄化装置!$H$3-血液浄化装置!$I$3)/血液浄化装置!$H$3),0)</f>
        <v>0</v>
      </c>
      <c r="W81" s="69">
        <f t="shared" si="14"/>
        <v>0</v>
      </c>
      <c r="X81" s="68">
        <f>IFERROR(SUMIF(気管支鏡!$C$30:$C$74,B81,気管支鏡!$K$30:$K$74)*((気管支鏡!$H$3-気管支鏡!$I$3)/気管支鏡!$H$3),0)</f>
        <v>0</v>
      </c>
      <c r="Y81" s="69">
        <f t="shared" si="0"/>
        <v>0</v>
      </c>
      <c r="Z81" s="68">
        <f>IFERROR(SUMIF(CT撮影装置!$C$30:$C$74,B81,CT撮影装置!$K$30:$K$74)*((CT撮影装置!$H$3-CT撮影装置!$I$3)/CT撮影装置!$H$3),0)</f>
        <v>0</v>
      </c>
      <c r="AA81" s="69">
        <f t="shared" si="15"/>
        <v>0</v>
      </c>
      <c r="AB81" s="68">
        <f>IFERROR(SUMIF(生体情報モニタ!$C$30:$C$74,B81,生体情報モニタ!$K$30:$K$74)*((生体情報モニタ!$H$3-生体情報モニタ!$I$3)/生体情報モニタ!$H$3),0)</f>
        <v>0</v>
      </c>
      <c r="AC81" s="69">
        <f t="shared" si="1"/>
        <v>0</v>
      </c>
      <c r="AD81" s="68">
        <f>IFERROR(SUMIF(分娩監視装置!$C$30:$C$74,B81,分娩監視装置!$K$30:$K$74)*((分娩監視装置!$H$3-分娩監視装置!$I$3)/分娩監視装置!$H$3),0)</f>
        <v>0</v>
      </c>
      <c r="AE81" s="69">
        <f t="shared" si="16"/>
        <v>0</v>
      </c>
      <c r="AF81" s="68">
        <f>IFERROR(SUMIF(新生児モニタ!$C$30:$C$74,B81,新生児モニタ!$K$30:$K$74)*((新生児モニタ!$H$3-新生児モニタ!$I$3)/新生児モニタ!$H$3),0)</f>
        <v>0</v>
      </c>
      <c r="AG81" s="69">
        <f t="shared" si="17"/>
        <v>0</v>
      </c>
    </row>
    <row r="82" spans="2:33">
      <c r="B82" s="65" t="s">
        <v>751</v>
      </c>
      <c r="C82" s="68">
        <f>IFERROR(SUMIF(初度設備!$C$30:$C$74,B82,初度設備!$N$30:$N$74)*((初度設備!$H$3-初度設備!$I$3)/初度設備!$H$3),0)</f>
        <v>0</v>
      </c>
      <c r="D82" s="69">
        <f t="shared" si="2"/>
        <v>0</v>
      </c>
      <c r="E82" s="68">
        <f>IFERROR(SUMIF(人工呼吸器!$C$30:$C$74,B82,人工呼吸器!$N$30:$N$74)*((人工呼吸器!$H$3-人工呼吸器!$I$3)/人工呼吸器!$H$3),0)</f>
        <v>0</v>
      </c>
      <c r="F82" s="69">
        <f t="shared" si="3"/>
        <v>0</v>
      </c>
      <c r="G82" s="69">
        <f t="shared" si="4"/>
        <v>0</v>
      </c>
      <c r="H82" s="69">
        <f t="shared" si="5"/>
        <v>0</v>
      </c>
      <c r="I82" s="68">
        <f>IFERROR(SUMIF(簡易陰圧装置!$C$30:$C$74,B82,簡易陰圧装置!$N$30:$N$74)*((簡易陰圧装置!$H$3-簡易陰圧装置!$I$3)/簡易陰圧装置!$H$3),0)</f>
        <v>0</v>
      </c>
      <c r="J82" s="69">
        <f t="shared" si="6"/>
        <v>0</v>
      </c>
      <c r="K82" s="68">
        <f>IFERROR(SUMIF(#REF!,B82,#REF!)*((#REF!-#REF!)/#REF!),0)</f>
        <v>0</v>
      </c>
      <c r="L82" s="69">
        <f t="shared" si="7"/>
        <v>0</v>
      </c>
      <c r="M82" s="68">
        <f>IFERROR(SUMIF(体外式膜型人工肺!$C$30:$C$74,B82,体外式膜型人工肺!$N$30:$N$74)*((体外式膜型人工肺!$H$3-体外式膜型人工肺!$I$3)/体外式膜型人工肺!$H$3),0)</f>
        <v>0</v>
      </c>
      <c r="N82" s="69">
        <f t="shared" si="8"/>
        <v>0</v>
      </c>
      <c r="O82" s="69">
        <f t="shared" si="9"/>
        <v>0</v>
      </c>
      <c r="P82" s="69">
        <f t="shared" si="10"/>
        <v>0</v>
      </c>
      <c r="Q82" s="68">
        <f>IFERROR(SUMIF(紫外線照射装置!$C$30:$C$74,B82,紫外線照射装置!$N$30:$N$74)*((紫外線照射装置!$H$3-紫外線照射装置!$I$3)/紫外線照射装置!$H$3),0)</f>
        <v>0</v>
      </c>
      <c r="R82" s="69">
        <f t="shared" si="11"/>
        <v>0</v>
      </c>
      <c r="S82" s="102">
        <f t="shared" si="12"/>
        <v>0</v>
      </c>
      <c r="T82" s="68">
        <f>IFERROR(SUMIF(超音波画像診断装置!$C$30:$C$74,B82,超音波画像診断装置!$K$30:$K$74)*((超音波画像診断装置!$H$3-超音波画像診断装置!$I$3)/超音波画像診断装置!$H$3),0)</f>
        <v>0</v>
      </c>
      <c r="U82" s="69">
        <f t="shared" si="13"/>
        <v>0</v>
      </c>
      <c r="V82" s="68">
        <f>IFERROR(SUMIF(血液浄化装置!$C$30:$C$74,B82,血液浄化装置!$K$30:$K$74)*((血液浄化装置!$H$3-血液浄化装置!$I$3)/血液浄化装置!$H$3),0)</f>
        <v>0</v>
      </c>
      <c r="W82" s="69">
        <f t="shared" si="14"/>
        <v>0</v>
      </c>
      <c r="X82" s="68">
        <f>IFERROR(SUMIF(気管支鏡!$C$30:$C$74,B82,気管支鏡!$K$30:$K$74)*((気管支鏡!$H$3-気管支鏡!$I$3)/気管支鏡!$H$3),0)</f>
        <v>0</v>
      </c>
      <c r="Y82" s="69">
        <f t="shared" si="0"/>
        <v>0</v>
      </c>
      <c r="Z82" s="68">
        <f>IFERROR(SUMIF(CT撮影装置!$C$30:$C$74,B82,CT撮影装置!$K$30:$K$74)*((CT撮影装置!$H$3-CT撮影装置!$I$3)/CT撮影装置!$H$3),0)</f>
        <v>0</v>
      </c>
      <c r="AA82" s="69">
        <f t="shared" si="15"/>
        <v>0</v>
      </c>
      <c r="AB82" s="68">
        <f>IFERROR(SUMIF(生体情報モニタ!$C$30:$C$74,B82,生体情報モニタ!$K$30:$K$74)*((生体情報モニタ!$H$3-生体情報モニタ!$I$3)/生体情報モニタ!$H$3),0)</f>
        <v>0</v>
      </c>
      <c r="AC82" s="69">
        <f t="shared" si="1"/>
        <v>0</v>
      </c>
      <c r="AD82" s="68">
        <f>IFERROR(SUMIF(分娩監視装置!$C$30:$C$74,B82,分娩監視装置!$K$30:$K$74)*((分娩監視装置!$H$3-分娩監視装置!$I$3)/分娩監視装置!$H$3),0)</f>
        <v>0</v>
      </c>
      <c r="AE82" s="69">
        <f t="shared" si="16"/>
        <v>0</v>
      </c>
      <c r="AF82" s="68">
        <f>IFERROR(SUMIF(新生児モニタ!$C$30:$C$74,B82,新生児モニタ!$K$30:$K$74)*((新生児モニタ!$H$3-新生児モニタ!$I$3)/新生児モニタ!$H$3),0)</f>
        <v>0</v>
      </c>
      <c r="AG82" s="69">
        <f t="shared" si="17"/>
        <v>0</v>
      </c>
    </row>
    <row r="83" spans="2:33">
      <c r="B83" s="65" t="s">
        <v>752</v>
      </c>
      <c r="C83" s="68">
        <f>IFERROR(SUMIF(初度設備!$C$30:$C$74,B83,初度設備!$N$30:$N$74)*((初度設備!$H$3-初度設備!$I$3)/初度設備!$H$3),0)</f>
        <v>0</v>
      </c>
      <c r="D83" s="69">
        <f t="shared" si="2"/>
        <v>0</v>
      </c>
      <c r="E83" s="68">
        <f>IFERROR(SUMIF(人工呼吸器!$C$30:$C$74,B83,人工呼吸器!$N$30:$N$74)*((人工呼吸器!$H$3-人工呼吸器!$I$3)/人工呼吸器!$H$3),0)</f>
        <v>0</v>
      </c>
      <c r="F83" s="69">
        <f t="shared" si="3"/>
        <v>0</v>
      </c>
      <c r="G83" s="69">
        <f t="shared" si="4"/>
        <v>0</v>
      </c>
      <c r="H83" s="69">
        <f t="shared" si="5"/>
        <v>0</v>
      </c>
      <c r="I83" s="68">
        <f>IFERROR(SUMIF(簡易陰圧装置!$C$30:$C$74,B83,簡易陰圧装置!$N$30:$N$74)*((簡易陰圧装置!$H$3-簡易陰圧装置!$I$3)/簡易陰圧装置!$H$3),0)</f>
        <v>0</v>
      </c>
      <c r="J83" s="69">
        <f t="shared" si="6"/>
        <v>0</v>
      </c>
      <c r="K83" s="68">
        <f>IFERROR(SUMIF(#REF!,B83,#REF!)*((#REF!-#REF!)/#REF!),0)</f>
        <v>0</v>
      </c>
      <c r="L83" s="69">
        <f t="shared" si="7"/>
        <v>0</v>
      </c>
      <c r="M83" s="68">
        <f>IFERROR(SUMIF(体外式膜型人工肺!$C$30:$C$74,B83,体外式膜型人工肺!$N$30:$N$74)*((体外式膜型人工肺!$H$3-体外式膜型人工肺!$I$3)/体外式膜型人工肺!$H$3),0)</f>
        <v>0</v>
      </c>
      <c r="N83" s="69">
        <f t="shared" si="8"/>
        <v>0</v>
      </c>
      <c r="O83" s="69">
        <f t="shared" si="9"/>
        <v>0</v>
      </c>
      <c r="P83" s="69">
        <f t="shared" si="10"/>
        <v>0</v>
      </c>
      <c r="Q83" s="68">
        <f>IFERROR(SUMIF(紫外線照射装置!$C$30:$C$74,B83,紫外線照射装置!$N$30:$N$74)*((紫外線照射装置!$H$3-紫外線照射装置!$I$3)/紫外線照射装置!$H$3),0)</f>
        <v>0</v>
      </c>
      <c r="R83" s="69">
        <f t="shared" si="11"/>
        <v>0</v>
      </c>
      <c r="S83" s="102">
        <f t="shared" si="12"/>
        <v>0</v>
      </c>
      <c r="T83" s="68">
        <f>IFERROR(SUMIF(超音波画像診断装置!$C$30:$C$74,B83,超音波画像診断装置!$K$30:$K$74)*((超音波画像診断装置!$H$3-超音波画像診断装置!$I$3)/超音波画像診断装置!$H$3),0)</f>
        <v>0</v>
      </c>
      <c r="U83" s="69">
        <f t="shared" si="13"/>
        <v>0</v>
      </c>
      <c r="V83" s="68">
        <f>IFERROR(SUMIF(血液浄化装置!$C$30:$C$74,B83,血液浄化装置!$K$30:$K$74)*((血液浄化装置!$H$3-血液浄化装置!$I$3)/血液浄化装置!$H$3),0)</f>
        <v>0</v>
      </c>
      <c r="W83" s="69">
        <f t="shared" si="14"/>
        <v>0</v>
      </c>
      <c r="X83" s="68">
        <f>IFERROR(SUMIF(気管支鏡!$C$30:$C$74,B83,気管支鏡!$K$30:$K$74)*((気管支鏡!$H$3-気管支鏡!$I$3)/気管支鏡!$H$3),0)</f>
        <v>0</v>
      </c>
      <c r="Y83" s="69">
        <f t="shared" si="0"/>
        <v>0</v>
      </c>
      <c r="Z83" s="68">
        <f>IFERROR(SUMIF(CT撮影装置!$C$30:$C$74,B83,CT撮影装置!$K$30:$K$74)*((CT撮影装置!$H$3-CT撮影装置!$I$3)/CT撮影装置!$H$3),0)</f>
        <v>0</v>
      </c>
      <c r="AA83" s="69">
        <f t="shared" si="15"/>
        <v>0</v>
      </c>
      <c r="AB83" s="68">
        <f>IFERROR(SUMIF(生体情報モニタ!$C$30:$C$74,B83,生体情報モニタ!$K$30:$K$74)*((生体情報モニタ!$H$3-生体情報モニタ!$I$3)/生体情報モニタ!$H$3),0)</f>
        <v>0</v>
      </c>
      <c r="AC83" s="69">
        <f t="shared" si="1"/>
        <v>0</v>
      </c>
      <c r="AD83" s="68">
        <f>IFERROR(SUMIF(分娩監視装置!$C$30:$C$74,B83,分娩監視装置!$K$30:$K$74)*((分娩監視装置!$H$3-分娩監視装置!$I$3)/分娩監視装置!$H$3),0)</f>
        <v>0</v>
      </c>
      <c r="AE83" s="69">
        <f t="shared" si="16"/>
        <v>0</v>
      </c>
      <c r="AF83" s="68">
        <f>IFERROR(SUMIF(新生児モニタ!$C$30:$C$74,B83,新生児モニタ!$K$30:$K$74)*((新生児モニタ!$H$3-新生児モニタ!$I$3)/新生児モニタ!$H$3),0)</f>
        <v>0</v>
      </c>
      <c r="AG83" s="69">
        <f t="shared" si="17"/>
        <v>0</v>
      </c>
    </row>
    <row r="84" spans="2:33">
      <c r="B84" s="65" t="s">
        <v>753</v>
      </c>
      <c r="C84" s="68">
        <f>IFERROR(SUMIF(初度設備!$C$30:$C$74,B84,初度設備!$N$30:$N$74)*((初度設備!$H$3-初度設備!$I$3)/初度設備!$H$3),0)</f>
        <v>0</v>
      </c>
      <c r="D84" s="69">
        <f t="shared" si="2"/>
        <v>0</v>
      </c>
      <c r="E84" s="68">
        <f>IFERROR(SUMIF(人工呼吸器!$C$30:$C$74,B84,人工呼吸器!$N$30:$N$74)*((人工呼吸器!$H$3-人工呼吸器!$I$3)/人工呼吸器!$H$3),0)</f>
        <v>0</v>
      </c>
      <c r="F84" s="69">
        <f t="shared" si="3"/>
        <v>0</v>
      </c>
      <c r="G84" s="69">
        <f t="shared" si="4"/>
        <v>0</v>
      </c>
      <c r="H84" s="69">
        <f t="shared" si="5"/>
        <v>0</v>
      </c>
      <c r="I84" s="68">
        <f>IFERROR(SUMIF(簡易陰圧装置!$C$30:$C$74,B84,簡易陰圧装置!$N$30:$N$74)*((簡易陰圧装置!$H$3-簡易陰圧装置!$I$3)/簡易陰圧装置!$H$3),0)</f>
        <v>0</v>
      </c>
      <c r="J84" s="69">
        <f t="shared" si="6"/>
        <v>0</v>
      </c>
      <c r="K84" s="68">
        <f>IFERROR(SUMIF(#REF!,B84,#REF!)*((#REF!-#REF!)/#REF!),0)</f>
        <v>0</v>
      </c>
      <c r="L84" s="69">
        <f t="shared" si="7"/>
        <v>0</v>
      </c>
      <c r="M84" s="68">
        <f>IFERROR(SUMIF(体外式膜型人工肺!$C$30:$C$74,B84,体外式膜型人工肺!$N$30:$N$74)*((体外式膜型人工肺!$H$3-体外式膜型人工肺!$I$3)/体外式膜型人工肺!$H$3),0)</f>
        <v>0</v>
      </c>
      <c r="N84" s="69">
        <f t="shared" si="8"/>
        <v>0</v>
      </c>
      <c r="O84" s="69">
        <f t="shared" si="9"/>
        <v>0</v>
      </c>
      <c r="P84" s="69">
        <f t="shared" si="10"/>
        <v>0</v>
      </c>
      <c r="Q84" s="68">
        <f>IFERROR(SUMIF(紫外線照射装置!$C$30:$C$74,B84,紫外線照射装置!$N$30:$N$74)*((紫外線照射装置!$H$3-紫外線照射装置!$I$3)/紫外線照射装置!$H$3),0)</f>
        <v>0</v>
      </c>
      <c r="R84" s="69">
        <f t="shared" si="11"/>
        <v>0</v>
      </c>
      <c r="S84" s="102">
        <f t="shared" si="12"/>
        <v>0</v>
      </c>
      <c r="T84" s="68">
        <f>IFERROR(SUMIF(超音波画像診断装置!$C$30:$C$74,B84,超音波画像診断装置!$K$30:$K$74)*((超音波画像診断装置!$H$3-超音波画像診断装置!$I$3)/超音波画像診断装置!$H$3),0)</f>
        <v>0</v>
      </c>
      <c r="U84" s="69">
        <f t="shared" si="13"/>
        <v>0</v>
      </c>
      <c r="V84" s="68">
        <f>IFERROR(SUMIF(血液浄化装置!$C$30:$C$74,B84,血液浄化装置!$K$30:$K$74)*((血液浄化装置!$H$3-血液浄化装置!$I$3)/血液浄化装置!$H$3),0)</f>
        <v>0</v>
      </c>
      <c r="W84" s="69">
        <f t="shared" si="14"/>
        <v>0</v>
      </c>
      <c r="X84" s="68">
        <f>IFERROR(SUMIF(気管支鏡!$C$30:$C$74,B84,気管支鏡!$K$30:$K$74)*((気管支鏡!$H$3-気管支鏡!$I$3)/気管支鏡!$H$3),0)</f>
        <v>0</v>
      </c>
      <c r="Y84" s="69">
        <f t="shared" si="0"/>
        <v>0</v>
      </c>
      <c r="Z84" s="68">
        <f>IFERROR(SUMIF(CT撮影装置!$C$30:$C$74,B84,CT撮影装置!$K$30:$K$74)*((CT撮影装置!$H$3-CT撮影装置!$I$3)/CT撮影装置!$H$3),0)</f>
        <v>0</v>
      </c>
      <c r="AA84" s="69">
        <f t="shared" si="15"/>
        <v>0</v>
      </c>
      <c r="AB84" s="68">
        <f>IFERROR(SUMIF(生体情報モニタ!$C$30:$C$74,B84,生体情報モニタ!$K$30:$K$74)*((生体情報モニタ!$H$3-生体情報モニタ!$I$3)/生体情報モニタ!$H$3),0)</f>
        <v>0</v>
      </c>
      <c r="AC84" s="69">
        <f t="shared" si="1"/>
        <v>0</v>
      </c>
      <c r="AD84" s="68">
        <f>IFERROR(SUMIF(分娩監視装置!$C$30:$C$74,B84,分娩監視装置!$K$30:$K$74)*((分娩監視装置!$H$3-分娩監視装置!$I$3)/分娩監視装置!$H$3),0)</f>
        <v>0</v>
      </c>
      <c r="AE84" s="69">
        <f t="shared" si="16"/>
        <v>0</v>
      </c>
      <c r="AF84" s="68">
        <f>IFERROR(SUMIF(新生児モニタ!$C$30:$C$74,B84,新生児モニタ!$K$30:$K$74)*((新生児モニタ!$H$3-新生児モニタ!$I$3)/新生児モニタ!$H$3),0)</f>
        <v>0</v>
      </c>
      <c r="AG84" s="69">
        <f t="shared" si="17"/>
        <v>0</v>
      </c>
    </row>
    <row r="85" spans="2:33">
      <c r="B85" s="65" t="s">
        <v>754</v>
      </c>
      <c r="C85" s="68">
        <f>IFERROR(SUMIF(初度設備!$C$30:$C$74,B85,初度設備!$N$30:$N$74)*((初度設備!$H$3-初度設備!$I$3)/初度設備!$H$3),0)</f>
        <v>0</v>
      </c>
      <c r="D85" s="69">
        <f t="shared" si="2"/>
        <v>0</v>
      </c>
      <c r="E85" s="68">
        <f>IFERROR(SUMIF(人工呼吸器!$C$30:$C$74,B85,人工呼吸器!$N$30:$N$74)*((人工呼吸器!$H$3-人工呼吸器!$I$3)/人工呼吸器!$H$3),0)</f>
        <v>0</v>
      </c>
      <c r="F85" s="69">
        <f t="shared" si="3"/>
        <v>0</v>
      </c>
      <c r="G85" s="69">
        <f t="shared" si="4"/>
        <v>0</v>
      </c>
      <c r="H85" s="69">
        <f t="shared" si="5"/>
        <v>0</v>
      </c>
      <c r="I85" s="68">
        <f>IFERROR(SUMIF(簡易陰圧装置!$C$30:$C$74,B85,簡易陰圧装置!$N$30:$N$74)*((簡易陰圧装置!$H$3-簡易陰圧装置!$I$3)/簡易陰圧装置!$H$3),0)</f>
        <v>0</v>
      </c>
      <c r="J85" s="69">
        <f t="shared" si="6"/>
        <v>0</v>
      </c>
      <c r="K85" s="68">
        <f>IFERROR(SUMIF(#REF!,B85,#REF!)*((#REF!-#REF!)/#REF!),0)</f>
        <v>0</v>
      </c>
      <c r="L85" s="69">
        <f t="shared" si="7"/>
        <v>0</v>
      </c>
      <c r="M85" s="68">
        <f>IFERROR(SUMIF(体外式膜型人工肺!$C$30:$C$74,B85,体外式膜型人工肺!$N$30:$N$74)*((体外式膜型人工肺!$H$3-体外式膜型人工肺!$I$3)/体外式膜型人工肺!$H$3),0)</f>
        <v>0</v>
      </c>
      <c r="N85" s="69">
        <f t="shared" si="8"/>
        <v>0</v>
      </c>
      <c r="O85" s="69">
        <f t="shared" si="9"/>
        <v>0</v>
      </c>
      <c r="P85" s="69">
        <f t="shared" si="10"/>
        <v>0</v>
      </c>
      <c r="Q85" s="68">
        <f>IFERROR(SUMIF(紫外線照射装置!$C$30:$C$74,B85,紫外線照射装置!$N$30:$N$74)*((紫外線照射装置!$H$3-紫外線照射装置!$I$3)/紫外線照射装置!$H$3),0)</f>
        <v>0</v>
      </c>
      <c r="R85" s="69">
        <f t="shared" si="11"/>
        <v>0</v>
      </c>
      <c r="S85" s="102">
        <f t="shared" si="12"/>
        <v>0</v>
      </c>
      <c r="T85" s="68">
        <f>IFERROR(SUMIF(超音波画像診断装置!$C$30:$C$74,B85,超音波画像診断装置!$K$30:$K$74)*((超音波画像診断装置!$H$3-超音波画像診断装置!$I$3)/超音波画像診断装置!$H$3),0)</f>
        <v>0</v>
      </c>
      <c r="U85" s="69">
        <f t="shared" si="13"/>
        <v>0</v>
      </c>
      <c r="V85" s="68">
        <f>IFERROR(SUMIF(血液浄化装置!$C$30:$C$74,B85,血液浄化装置!$K$30:$K$74)*((血液浄化装置!$H$3-血液浄化装置!$I$3)/血液浄化装置!$H$3),0)</f>
        <v>0</v>
      </c>
      <c r="W85" s="69">
        <f t="shared" si="14"/>
        <v>0</v>
      </c>
      <c r="X85" s="68">
        <f>IFERROR(SUMIF(気管支鏡!$C$30:$C$74,B85,気管支鏡!$K$30:$K$74)*((気管支鏡!$H$3-気管支鏡!$I$3)/気管支鏡!$H$3),0)</f>
        <v>0</v>
      </c>
      <c r="Y85" s="69">
        <f t="shared" si="0"/>
        <v>0</v>
      </c>
      <c r="Z85" s="68">
        <f>IFERROR(SUMIF(CT撮影装置!$C$30:$C$74,B85,CT撮影装置!$K$30:$K$74)*((CT撮影装置!$H$3-CT撮影装置!$I$3)/CT撮影装置!$H$3),0)</f>
        <v>0</v>
      </c>
      <c r="AA85" s="69">
        <f t="shared" si="15"/>
        <v>0</v>
      </c>
      <c r="AB85" s="68">
        <f>IFERROR(SUMIF(生体情報モニタ!$C$30:$C$74,B85,生体情報モニタ!$K$30:$K$74)*((生体情報モニタ!$H$3-生体情報モニタ!$I$3)/生体情報モニタ!$H$3),0)</f>
        <v>0</v>
      </c>
      <c r="AC85" s="69">
        <f t="shared" si="1"/>
        <v>0</v>
      </c>
      <c r="AD85" s="68">
        <f>IFERROR(SUMIF(分娩監視装置!$C$30:$C$74,B85,分娩監視装置!$K$30:$K$74)*((分娩監視装置!$H$3-分娩監視装置!$I$3)/分娩監視装置!$H$3),0)</f>
        <v>0</v>
      </c>
      <c r="AE85" s="69">
        <f t="shared" si="16"/>
        <v>0</v>
      </c>
      <c r="AF85" s="68">
        <f>IFERROR(SUMIF(新生児モニタ!$C$30:$C$74,B85,新生児モニタ!$K$30:$K$74)*((新生児モニタ!$H$3-新生児モニタ!$I$3)/新生児モニタ!$H$3),0)</f>
        <v>0</v>
      </c>
      <c r="AG85" s="69">
        <f t="shared" si="17"/>
        <v>0</v>
      </c>
    </row>
    <row r="86" spans="2:33">
      <c r="B86" s="65" t="s">
        <v>755</v>
      </c>
      <c r="C86" s="68">
        <f>IFERROR(SUMIF(初度設備!$C$30:$C$74,B86,初度設備!$N$30:$N$74)*((初度設備!$H$3-初度設備!$I$3)/初度設備!$H$3),0)</f>
        <v>0</v>
      </c>
      <c r="D86" s="69">
        <f t="shared" si="2"/>
        <v>0</v>
      </c>
      <c r="E86" s="68">
        <f>IFERROR(SUMIF(人工呼吸器!$C$30:$C$74,B86,人工呼吸器!$N$30:$N$74)*((人工呼吸器!$H$3-人工呼吸器!$I$3)/人工呼吸器!$H$3),0)</f>
        <v>0</v>
      </c>
      <c r="F86" s="69">
        <f t="shared" si="3"/>
        <v>0</v>
      </c>
      <c r="G86" s="69">
        <f t="shared" si="4"/>
        <v>0</v>
      </c>
      <c r="H86" s="69">
        <f t="shared" si="5"/>
        <v>0</v>
      </c>
      <c r="I86" s="68">
        <f>IFERROR(SUMIF(簡易陰圧装置!$C$30:$C$74,B86,簡易陰圧装置!$N$30:$N$74)*((簡易陰圧装置!$H$3-簡易陰圧装置!$I$3)/簡易陰圧装置!$H$3),0)</f>
        <v>0</v>
      </c>
      <c r="J86" s="69">
        <f t="shared" si="6"/>
        <v>0</v>
      </c>
      <c r="K86" s="68">
        <f>IFERROR(SUMIF(#REF!,B86,#REF!)*((#REF!-#REF!)/#REF!),0)</f>
        <v>0</v>
      </c>
      <c r="L86" s="69">
        <f t="shared" si="7"/>
        <v>0</v>
      </c>
      <c r="M86" s="68">
        <f>IFERROR(SUMIF(体外式膜型人工肺!$C$30:$C$74,B86,体外式膜型人工肺!$N$30:$N$74)*((体外式膜型人工肺!$H$3-体外式膜型人工肺!$I$3)/体外式膜型人工肺!$H$3),0)</f>
        <v>0</v>
      </c>
      <c r="N86" s="69">
        <f t="shared" si="8"/>
        <v>0</v>
      </c>
      <c r="O86" s="69">
        <f t="shared" si="9"/>
        <v>0</v>
      </c>
      <c r="P86" s="69">
        <f t="shared" si="10"/>
        <v>0</v>
      </c>
      <c r="Q86" s="68">
        <f>IFERROR(SUMIF(紫外線照射装置!$C$30:$C$74,B86,紫外線照射装置!$N$30:$N$74)*((紫外線照射装置!$H$3-紫外線照射装置!$I$3)/紫外線照射装置!$H$3),0)</f>
        <v>0</v>
      </c>
      <c r="R86" s="69">
        <f t="shared" si="11"/>
        <v>0</v>
      </c>
      <c r="S86" s="102">
        <f t="shared" si="12"/>
        <v>0</v>
      </c>
      <c r="T86" s="68">
        <f>IFERROR(SUMIF(超音波画像診断装置!$C$30:$C$74,B86,超音波画像診断装置!$K$30:$K$74)*((超音波画像診断装置!$H$3-超音波画像診断装置!$I$3)/超音波画像診断装置!$H$3),0)</f>
        <v>0</v>
      </c>
      <c r="U86" s="69">
        <f t="shared" si="13"/>
        <v>0</v>
      </c>
      <c r="V86" s="68">
        <f>IFERROR(SUMIF(血液浄化装置!$C$30:$C$74,B86,血液浄化装置!$K$30:$K$74)*((血液浄化装置!$H$3-血液浄化装置!$I$3)/血液浄化装置!$H$3),0)</f>
        <v>0</v>
      </c>
      <c r="W86" s="69">
        <f t="shared" si="14"/>
        <v>0</v>
      </c>
      <c r="X86" s="68">
        <f>IFERROR(SUMIF(気管支鏡!$C$30:$C$74,B86,気管支鏡!$K$30:$K$74)*((気管支鏡!$H$3-気管支鏡!$I$3)/気管支鏡!$H$3),0)</f>
        <v>0</v>
      </c>
      <c r="Y86" s="69">
        <f t="shared" si="0"/>
        <v>0</v>
      </c>
      <c r="Z86" s="68">
        <f>IFERROR(SUMIF(CT撮影装置!$C$30:$C$74,B86,CT撮影装置!$K$30:$K$74)*((CT撮影装置!$H$3-CT撮影装置!$I$3)/CT撮影装置!$H$3),0)</f>
        <v>0</v>
      </c>
      <c r="AA86" s="69">
        <f t="shared" si="15"/>
        <v>0</v>
      </c>
      <c r="AB86" s="68">
        <f>IFERROR(SUMIF(生体情報モニタ!$C$30:$C$74,B86,生体情報モニタ!$K$30:$K$74)*((生体情報モニタ!$H$3-生体情報モニタ!$I$3)/生体情報モニタ!$H$3),0)</f>
        <v>0</v>
      </c>
      <c r="AC86" s="69">
        <f t="shared" si="1"/>
        <v>0</v>
      </c>
      <c r="AD86" s="68">
        <f>IFERROR(SUMIF(分娩監視装置!$C$30:$C$74,B86,分娩監視装置!$K$30:$K$74)*((分娩監視装置!$H$3-分娩監視装置!$I$3)/分娩監視装置!$H$3),0)</f>
        <v>0</v>
      </c>
      <c r="AE86" s="69">
        <f t="shared" si="16"/>
        <v>0</v>
      </c>
      <c r="AF86" s="68">
        <f>IFERROR(SUMIF(新生児モニタ!$C$30:$C$74,B86,新生児モニタ!$K$30:$K$74)*((新生児モニタ!$H$3-新生児モニタ!$I$3)/新生児モニタ!$H$3),0)</f>
        <v>0</v>
      </c>
      <c r="AG86" s="69">
        <f t="shared" si="17"/>
        <v>0</v>
      </c>
    </row>
    <row r="87" spans="2:33">
      <c r="B87" s="65" t="s">
        <v>756</v>
      </c>
      <c r="C87" s="68">
        <f>IFERROR(SUMIF(初度設備!$C$30:$C$74,B87,初度設備!$N$30:$N$74)*((初度設備!$H$3-初度設備!$I$3)/初度設備!$H$3),0)</f>
        <v>0</v>
      </c>
      <c r="D87" s="69">
        <f t="shared" si="2"/>
        <v>0</v>
      </c>
      <c r="E87" s="68">
        <f>IFERROR(SUMIF(人工呼吸器!$C$30:$C$74,B87,人工呼吸器!$N$30:$N$74)*((人工呼吸器!$H$3-人工呼吸器!$I$3)/人工呼吸器!$H$3),0)</f>
        <v>0</v>
      </c>
      <c r="F87" s="69">
        <f t="shared" si="3"/>
        <v>0</v>
      </c>
      <c r="G87" s="69">
        <f t="shared" si="4"/>
        <v>0</v>
      </c>
      <c r="H87" s="69">
        <f t="shared" si="5"/>
        <v>0</v>
      </c>
      <c r="I87" s="68">
        <f>IFERROR(SUMIF(簡易陰圧装置!$C$30:$C$74,B87,簡易陰圧装置!$N$30:$N$74)*((簡易陰圧装置!$H$3-簡易陰圧装置!$I$3)/簡易陰圧装置!$H$3),0)</f>
        <v>0</v>
      </c>
      <c r="J87" s="69">
        <f t="shared" si="6"/>
        <v>0</v>
      </c>
      <c r="K87" s="68">
        <f>IFERROR(SUMIF(#REF!,B87,#REF!)*((#REF!-#REF!)/#REF!),0)</f>
        <v>0</v>
      </c>
      <c r="L87" s="69">
        <f t="shared" si="7"/>
        <v>0</v>
      </c>
      <c r="M87" s="68">
        <f>IFERROR(SUMIF(体外式膜型人工肺!$C$30:$C$74,B87,体外式膜型人工肺!$N$30:$N$74)*((体外式膜型人工肺!$H$3-体外式膜型人工肺!$I$3)/体外式膜型人工肺!$H$3),0)</f>
        <v>0</v>
      </c>
      <c r="N87" s="69">
        <f t="shared" si="8"/>
        <v>0</v>
      </c>
      <c r="O87" s="69">
        <f t="shared" si="9"/>
        <v>0</v>
      </c>
      <c r="P87" s="69">
        <f t="shared" si="10"/>
        <v>0</v>
      </c>
      <c r="Q87" s="68">
        <f>IFERROR(SUMIF(紫外線照射装置!$C$30:$C$74,B87,紫外線照射装置!$N$30:$N$74)*((紫外線照射装置!$H$3-紫外線照射装置!$I$3)/紫外線照射装置!$H$3),0)</f>
        <v>0</v>
      </c>
      <c r="R87" s="69">
        <f t="shared" si="11"/>
        <v>0</v>
      </c>
      <c r="S87" s="102">
        <f t="shared" si="12"/>
        <v>0</v>
      </c>
      <c r="T87" s="68">
        <f>IFERROR(SUMIF(超音波画像診断装置!$C$30:$C$74,B87,超音波画像診断装置!$K$30:$K$74)*((超音波画像診断装置!$H$3-超音波画像診断装置!$I$3)/超音波画像診断装置!$H$3),0)</f>
        <v>0</v>
      </c>
      <c r="U87" s="69">
        <f t="shared" si="13"/>
        <v>0</v>
      </c>
      <c r="V87" s="68">
        <f>IFERROR(SUMIF(血液浄化装置!$C$30:$C$74,B87,血液浄化装置!$K$30:$K$74)*((血液浄化装置!$H$3-血液浄化装置!$I$3)/血液浄化装置!$H$3),0)</f>
        <v>0</v>
      </c>
      <c r="W87" s="69">
        <f t="shared" si="14"/>
        <v>0</v>
      </c>
      <c r="X87" s="68">
        <f>IFERROR(SUMIF(気管支鏡!$C$30:$C$74,B87,気管支鏡!$K$30:$K$74)*((気管支鏡!$H$3-気管支鏡!$I$3)/気管支鏡!$H$3),0)</f>
        <v>0</v>
      </c>
      <c r="Y87" s="69">
        <f t="shared" ref="Y87:Y150" si="18">ROUNDDOWN(MIN(X87,$Y$21),-3)</f>
        <v>0</v>
      </c>
      <c r="Z87" s="68">
        <f>IFERROR(SUMIF(CT撮影装置!$C$30:$C$74,B87,CT撮影装置!$K$30:$K$74)*((CT撮影装置!$H$3-CT撮影装置!$I$3)/CT撮影装置!$H$3),0)</f>
        <v>0</v>
      </c>
      <c r="AA87" s="69">
        <f t="shared" si="15"/>
        <v>0</v>
      </c>
      <c r="AB87" s="68">
        <f>IFERROR(SUMIF(生体情報モニタ!$C$30:$C$74,B87,生体情報モニタ!$K$30:$K$74)*((生体情報モニタ!$H$3-生体情報モニタ!$I$3)/生体情報モニタ!$H$3),0)</f>
        <v>0</v>
      </c>
      <c r="AC87" s="69">
        <f t="shared" ref="AC87:AC150" si="19">ROUNDDOWN(MIN(AB87,$AC$21),-3)</f>
        <v>0</v>
      </c>
      <c r="AD87" s="68">
        <f>IFERROR(SUMIF(分娩監視装置!$C$30:$C$74,B87,分娩監視装置!$K$30:$K$74)*((分娩監視装置!$H$3-分娩監視装置!$I$3)/分娩監視装置!$H$3),0)</f>
        <v>0</v>
      </c>
      <c r="AE87" s="69">
        <f t="shared" si="16"/>
        <v>0</v>
      </c>
      <c r="AF87" s="68">
        <f>IFERROR(SUMIF(新生児モニタ!$C$30:$C$74,B87,新生児モニタ!$K$30:$K$74)*((新生児モニタ!$H$3-新生児モニタ!$I$3)/新生児モニタ!$H$3),0)</f>
        <v>0</v>
      </c>
      <c r="AG87" s="69">
        <f t="shared" si="17"/>
        <v>0</v>
      </c>
    </row>
    <row r="88" spans="2:33">
      <c r="B88" s="65" t="s">
        <v>757</v>
      </c>
      <c r="C88" s="68">
        <f>IFERROR(SUMIF(初度設備!$C$30:$C$74,B88,初度設備!$N$30:$N$74)*((初度設備!$H$3-初度設備!$I$3)/初度設備!$H$3),0)</f>
        <v>0</v>
      </c>
      <c r="D88" s="69">
        <f t="shared" ref="D88:D151" si="20">ROUNDDOWN(MIN(C88,$D$21),-3)</f>
        <v>0</v>
      </c>
      <c r="E88" s="68">
        <f>IFERROR(SUMIF(人工呼吸器!$C$30:$C$74,B88,人工呼吸器!$N$30:$N$74)*((人工呼吸器!$H$3-人工呼吸器!$I$3)/人工呼吸器!$H$3),0)</f>
        <v>0</v>
      </c>
      <c r="F88" s="69">
        <f t="shared" ref="F88:F151" si="21">ROUNDDOWN(E88,-3)</f>
        <v>0</v>
      </c>
      <c r="G88" s="69">
        <f t="shared" ref="G88:G151" si="22">IF(F88&gt;=5000000,5000000,F88)</f>
        <v>0</v>
      </c>
      <c r="H88" s="69">
        <f t="shared" ref="H88:H151" si="23">IF(G88=5000000,F88-5000000,0)</f>
        <v>0</v>
      </c>
      <c r="I88" s="68">
        <f>IFERROR(SUMIF(簡易陰圧装置!$C$30:$C$74,B88,簡易陰圧装置!$N$30:$N$74)*((簡易陰圧装置!$H$3-簡易陰圧装置!$I$3)/簡易陰圧装置!$H$3),0)</f>
        <v>0</v>
      </c>
      <c r="J88" s="69">
        <f t="shared" ref="J88:J151" si="24">ROUNDDOWN(MIN(I88,$J$21),-3)</f>
        <v>0</v>
      </c>
      <c r="K88" s="68">
        <f>IFERROR(SUMIF(#REF!,B88,#REF!)*((#REF!-#REF!)/#REF!),0)</f>
        <v>0</v>
      </c>
      <c r="L88" s="69">
        <f t="shared" ref="L88:L151" si="25">ROUNDDOWN(MIN(K88,$L$21),-3)</f>
        <v>0</v>
      </c>
      <c r="M88" s="68">
        <f>IFERROR(SUMIF(体外式膜型人工肺!$C$30:$C$74,B88,体外式膜型人工肺!$N$30:$N$74)*((体外式膜型人工肺!$H$3-体外式膜型人工肺!$I$3)/体外式膜型人工肺!$H$3),0)</f>
        <v>0</v>
      </c>
      <c r="N88" s="69">
        <f t="shared" ref="N88:N151" si="26">ROUNDDOWN(M88,-3)</f>
        <v>0</v>
      </c>
      <c r="O88" s="69">
        <f t="shared" ref="O88:O151" si="27">IF(N88&gt;=21000000,21000000,N88)</f>
        <v>0</v>
      </c>
      <c r="P88" s="69">
        <f t="shared" ref="P88:P151" si="28">IF(O88=21000000,N88-21000000,0)</f>
        <v>0</v>
      </c>
      <c r="Q88" s="68">
        <f>IFERROR(SUMIF(紫外線照射装置!$C$30:$C$74,B88,紫外線照射装置!$N$30:$N$74)*((紫外線照射装置!$H$3-紫外線照射装置!$I$3)/紫外線照射装置!$H$3),0)</f>
        <v>0</v>
      </c>
      <c r="R88" s="69">
        <f t="shared" ref="R88:R151" si="29">IFERROR(ROUNDDOWN(MIN(Q88,$R$21)/2,-3),0)</f>
        <v>0</v>
      </c>
      <c r="S88" s="102">
        <f t="shared" ref="S88:S151" si="30">R88</f>
        <v>0</v>
      </c>
      <c r="T88" s="68">
        <f>IFERROR(SUMIF(超音波画像診断装置!$C$30:$C$74,B88,超音波画像診断装置!$K$30:$K$74)*((超音波画像診断装置!$H$3-超音波画像診断装置!$I$3)/超音波画像診断装置!$H$3),0)</f>
        <v>0</v>
      </c>
      <c r="U88" s="69">
        <f t="shared" ref="U88:U151" si="31">ROUNDDOWN(MIN(T88,$U$21),-3)</f>
        <v>0</v>
      </c>
      <c r="V88" s="68">
        <f>IFERROR(SUMIF(血液浄化装置!$C$30:$C$74,B88,血液浄化装置!$K$30:$K$74)*((血液浄化装置!$H$3-血液浄化装置!$I$3)/血液浄化装置!$H$3),0)</f>
        <v>0</v>
      </c>
      <c r="W88" s="69">
        <f t="shared" ref="W88:W151" si="32">ROUNDDOWN(MIN(V88,$W$21),-3)</f>
        <v>0</v>
      </c>
      <c r="X88" s="68">
        <f>IFERROR(SUMIF(気管支鏡!$C$30:$C$74,B88,気管支鏡!$K$30:$K$74)*((気管支鏡!$H$3-気管支鏡!$I$3)/気管支鏡!$H$3),0)</f>
        <v>0</v>
      </c>
      <c r="Y88" s="69">
        <f t="shared" si="18"/>
        <v>0</v>
      </c>
      <c r="Z88" s="68">
        <f>IFERROR(SUMIF(CT撮影装置!$C$30:$C$74,B88,CT撮影装置!$K$30:$K$74)*((CT撮影装置!$H$3-CT撮影装置!$I$3)/CT撮影装置!$H$3),0)</f>
        <v>0</v>
      </c>
      <c r="AA88" s="69">
        <f t="shared" ref="AA88:AA151" si="33">ROUNDDOWN(MIN(Z88,$AA$21),-3)</f>
        <v>0</v>
      </c>
      <c r="AB88" s="68">
        <f>IFERROR(SUMIF(生体情報モニタ!$C$30:$C$74,B88,生体情報モニタ!$K$30:$K$74)*((生体情報モニタ!$H$3-生体情報モニタ!$I$3)/生体情報モニタ!$H$3),0)</f>
        <v>0</v>
      </c>
      <c r="AC88" s="69">
        <f t="shared" si="19"/>
        <v>0</v>
      </c>
      <c r="AD88" s="68">
        <f>IFERROR(SUMIF(分娩監視装置!$C$30:$C$74,B88,分娩監視装置!$K$30:$K$74)*((分娩監視装置!$H$3-分娩監視装置!$I$3)/分娩監視装置!$H$3),0)</f>
        <v>0</v>
      </c>
      <c r="AE88" s="69">
        <f t="shared" ref="AE88:AE151" si="34">ROUNDDOWN(MIN(AD88,$AE$21),-3)</f>
        <v>0</v>
      </c>
      <c r="AF88" s="68">
        <f>IFERROR(SUMIF(新生児モニタ!$C$30:$C$74,B88,新生児モニタ!$K$30:$K$74)*((新生児モニタ!$H$3-新生児モニタ!$I$3)/新生児モニタ!$H$3),0)</f>
        <v>0</v>
      </c>
      <c r="AG88" s="69">
        <f t="shared" ref="AG88:AG151" si="35">ROUNDDOWN(MIN(AF88,$AG$21),-3)</f>
        <v>0</v>
      </c>
    </row>
    <row r="89" spans="2:33">
      <c r="B89" s="65" t="s">
        <v>758</v>
      </c>
      <c r="C89" s="68">
        <f>IFERROR(SUMIF(初度設備!$C$30:$C$74,B89,初度設備!$N$30:$N$74)*((初度設備!$H$3-初度設備!$I$3)/初度設備!$H$3),0)</f>
        <v>0</v>
      </c>
      <c r="D89" s="69">
        <f t="shared" si="20"/>
        <v>0</v>
      </c>
      <c r="E89" s="68">
        <f>IFERROR(SUMIF(人工呼吸器!$C$30:$C$74,B89,人工呼吸器!$N$30:$N$74)*((人工呼吸器!$H$3-人工呼吸器!$I$3)/人工呼吸器!$H$3),0)</f>
        <v>0</v>
      </c>
      <c r="F89" s="69">
        <f t="shared" si="21"/>
        <v>0</v>
      </c>
      <c r="G89" s="69">
        <f t="shared" si="22"/>
        <v>0</v>
      </c>
      <c r="H89" s="69">
        <f t="shared" si="23"/>
        <v>0</v>
      </c>
      <c r="I89" s="68">
        <f>IFERROR(SUMIF(簡易陰圧装置!$C$30:$C$74,B89,簡易陰圧装置!$N$30:$N$74)*((簡易陰圧装置!$H$3-簡易陰圧装置!$I$3)/簡易陰圧装置!$H$3),0)</f>
        <v>0</v>
      </c>
      <c r="J89" s="69">
        <f t="shared" si="24"/>
        <v>0</v>
      </c>
      <c r="K89" s="68">
        <f>IFERROR(SUMIF(#REF!,B89,#REF!)*((#REF!-#REF!)/#REF!),0)</f>
        <v>0</v>
      </c>
      <c r="L89" s="69">
        <f t="shared" si="25"/>
        <v>0</v>
      </c>
      <c r="M89" s="68">
        <f>IFERROR(SUMIF(体外式膜型人工肺!$C$30:$C$74,B89,体外式膜型人工肺!$N$30:$N$74)*((体外式膜型人工肺!$H$3-体外式膜型人工肺!$I$3)/体外式膜型人工肺!$H$3),0)</f>
        <v>0</v>
      </c>
      <c r="N89" s="69">
        <f t="shared" si="26"/>
        <v>0</v>
      </c>
      <c r="O89" s="69">
        <f t="shared" si="27"/>
        <v>0</v>
      </c>
      <c r="P89" s="69">
        <f t="shared" si="28"/>
        <v>0</v>
      </c>
      <c r="Q89" s="68">
        <f>IFERROR(SUMIF(紫外線照射装置!$C$30:$C$74,B89,紫外線照射装置!$N$30:$N$74)*((紫外線照射装置!$H$3-紫外線照射装置!$I$3)/紫外線照射装置!$H$3),0)</f>
        <v>0</v>
      </c>
      <c r="R89" s="69">
        <f t="shared" si="29"/>
        <v>0</v>
      </c>
      <c r="S89" s="102">
        <f t="shared" si="30"/>
        <v>0</v>
      </c>
      <c r="T89" s="68">
        <f>IFERROR(SUMIF(超音波画像診断装置!$C$30:$C$74,B89,超音波画像診断装置!$K$30:$K$74)*((超音波画像診断装置!$H$3-超音波画像診断装置!$I$3)/超音波画像診断装置!$H$3),0)</f>
        <v>0</v>
      </c>
      <c r="U89" s="69">
        <f t="shared" si="31"/>
        <v>0</v>
      </c>
      <c r="V89" s="68">
        <f>IFERROR(SUMIF(血液浄化装置!$C$30:$C$74,B89,血液浄化装置!$K$30:$K$74)*((血液浄化装置!$H$3-血液浄化装置!$I$3)/血液浄化装置!$H$3),0)</f>
        <v>0</v>
      </c>
      <c r="W89" s="69">
        <f t="shared" si="32"/>
        <v>0</v>
      </c>
      <c r="X89" s="68">
        <f>IFERROR(SUMIF(気管支鏡!$C$30:$C$74,B89,気管支鏡!$K$30:$K$74)*((気管支鏡!$H$3-気管支鏡!$I$3)/気管支鏡!$H$3),0)</f>
        <v>0</v>
      </c>
      <c r="Y89" s="69">
        <f t="shared" si="18"/>
        <v>0</v>
      </c>
      <c r="Z89" s="68">
        <f>IFERROR(SUMIF(CT撮影装置!$C$30:$C$74,B89,CT撮影装置!$K$30:$K$74)*((CT撮影装置!$H$3-CT撮影装置!$I$3)/CT撮影装置!$H$3),0)</f>
        <v>0</v>
      </c>
      <c r="AA89" s="69">
        <f t="shared" si="33"/>
        <v>0</v>
      </c>
      <c r="AB89" s="68">
        <f>IFERROR(SUMIF(生体情報モニタ!$C$30:$C$74,B89,生体情報モニタ!$K$30:$K$74)*((生体情報モニタ!$H$3-生体情報モニタ!$I$3)/生体情報モニタ!$H$3),0)</f>
        <v>0</v>
      </c>
      <c r="AC89" s="69">
        <f t="shared" si="19"/>
        <v>0</v>
      </c>
      <c r="AD89" s="68">
        <f>IFERROR(SUMIF(分娩監視装置!$C$30:$C$74,B89,分娩監視装置!$K$30:$K$74)*((分娩監視装置!$H$3-分娩監視装置!$I$3)/分娩監視装置!$H$3),0)</f>
        <v>0</v>
      </c>
      <c r="AE89" s="69">
        <f t="shared" si="34"/>
        <v>0</v>
      </c>
      <c r="AF89" s="68">
        <f>IFERROR(SUMIF(新生児モニタ!$C$30:$C$74,B89,新生児モニタ!$K$30:$K$74)*((新生児モニタ!$H$3-新生児モニタ!$I$3)/新生児モニタ!$H$3),0)</f>
        <v>0</v>
      </c>
      <c r="AG89" s="69">
        <f t="shared" si="35"/>
        <v>0</v>
      </c>
    </row>
    <row r="90" spans="2:33">
      <c r="B90" s="65" t="s">
        <v>759</v>
      </c>
      <c r="C90" s="68">
        <f>IFERROR(SUMIF(初度設備!$C$30:$C$74,B90,初度設備!$N$30:$N$74)*((初度設備!$H$3-初度設備!$I$3)/初度設備!$H$3),0)</f>
        <v>0</v>
      </c>
      <c r="D90" s="69">
        <f t="shared" si="20"/>
        <v>0</v>
      </c>
      <c r="E90" s="68">
        <f>IFERROR(SUMIF(人工呼吸器!$C$30:$C$74,B90,人工呼吸器!$N$30:$N$74)*((人工呼吸器!$H$3-人工呼吸器!$I$3)/人工呼吸器!$H$3),0)</f>
        <v>0</v>
      </c>
      <c r="F90" s="69">
        <f t="shared" si="21"/>
        <v>0</v>
      </c>
      <c r="G90" s="69">
        <f t="shared" si="22"/>
        <v>0</v>
      </c>
      <c r="H90" s="69">
        <f t="shared" si="23"/>
        <v>0</v>
      </c>
      <c r="I90" s="68">
        <f>IFERROR(SUMIF(簡易陰圧装置!$C$30:$C$74,B90,簡易陰圧装置!$N$30:$N$74)*((簡易陰圧装置!$H$3-簡易陰圧装置!$I$3)/簡易陰圧装置!$H$3),0)</f>
        <v>0</v>
      </c>
      <c r="J90" s="69">
        <f t="shared" si="24"/>
        <v>0</v>
      </c>
      <c r="K90" s="68">
        <f>IFERROR(SUMIF(#REF!,B90,#REF!)*((#REF!-#REF!)/#REF!),0)</f>
        <v>0</v>
      </c>
      <c r="L90" s="69">
        <f t="shared" si="25"/>
        <v>0</v>
      </c>
      <c r="M90" s="68">
        <f>IFERROR(SUMIF(体外式膜型人工肺!$C$30:$C$74,B90,体外式膜型人工肺!$N$30:$N$74)*((体外式膜型人工肺!$H$3-体外式膜型人工肺!$I$3)/体外式膜型人工肺!$H$3),0)</f>
        <v>0</v>
      </c>
      <c r="N90" s="69">
        <f t="shared" si="26"/>
        <v>0</v>
      </c>
      <c r="O90" s="69">
        <f t="shared" si="27"/>
        <v>0</v>
      </c>
      <c r="P90" s="69">
        <f t="shared" si="28"/>
        <v>0</v>
      </c>
      <c r="Q90" s="68">
        <f>IFERROR(SUMIF(紫外線照射装置!$C$30:$C$74,B90,紫外線照射装置!$N$30:$N$74)*((紫外線照射装置!$H$3-紫外線照射装置!$I$3)/紫外線照射装置!$H$3),0)</f>
        <v>0</v>
      </c>
      <c r="R90" s="69">
        <f t="shared" si="29"/>
        <v>0</v>
      </c>
      <c r="S90" s="102">
        <f t="shared" si="30"/>
        <v>0</v>
      </c>
      <c r="T90" s="68">
        <f>IFERROR(SUMIF(超音波画像診断装置!$C$30:$C$74,B90,超音波画像診断装置!$K$30:$K$74)*((超音波画像診断装置!$H$3-超音波画像診断装置!$I$3)/超音波画像診断装置!$H$3),0)</f>
        <v>0</v>
      </c>
      <c r="U90" s="69">
        <f t="shared" si="31"/>
        <v>0</v>
      </c>
      <c r="V90" s="68">
        <f>IFERROR(SUMIF(血液浄化装置!$C$30:$C$74,B90,血液浄化装置!$K$30:$K$74)*((血液浄化装置!$H$3-血液浄化装置!$I$3)/血液浄化装置!$H$3),0)</f>
        <v>0</v>
      </c>
      <c r="W90" s="69">
        <f t="shared" si="32"/>
        <v>0</v>
      </c>
      <c r="X90" s="68">
        <f>IFERROR(SUMIF(気管支鏡!$C$30:$C$74,B90,気管支鏡!$K$30:$K$74)*((気管支鏡!$H$3-気管支鏡!$I$3)/気管支鏡!$H$3),0)</f>
        <v>0</v>
      </c>
      <c r="Y90" s="69">
        <f t="shared" si="18"/>
        <v>0</v>
      </c>
      <c r="Z90" s="68">
        <f>IFERROR(SUMIF(CT撮影装置!$C$30:$C$74,B90,CT撮影装置!$K$30:$K$74)*((CT撮影装置!$H$3-CT撮影装置!$I$3)/CT撮影装置!$H$3),0)</f>
        <v>0</v>
      </c>
      <c r="AA90" s="69">
        <f t="shared" si="33"/>
        <v>0</v>
      </c>
      <c r="AB90" s="68">
        <f>IFERROR(SUMIF(生体情報モニタ!$C$30:$C$74,B90,生体情報モニタ!$K$30:$K$74)*((生体情報モニタ!$H$3-生体情報モニタ!$I$3)/生体情報モニタ!$H$3),0)</f>
        <v>0</v>
      </c>
      <c r="AC90" s="69">
        <f t="shared" si="19"/>
        <v>0</v>
      </c>
      <c r="AD90" s="68">
        <f>IFERROR(SUMIF(分娩監視装置!$C$30:$C$74,B90,分娩監視装置!$K$30:$K$74)*((分娩監視装置!$H$3-分娩監視装置!$I$3)/分娩監視装置!$H$3),0)</f>
        <v>0</v>
      </c>
      <c r="AE90" s="69">
        <f t="shared" si="34"/>
        <v>0</v>
      </c>
      <c r="AF90" s="68">
        <f>IFERROR(SUMIF(新生児モニタ!$C$30:$C$74,B90,新生児モニタ!$K$30:$K$74)*((新生児モニタ!$H$3-新生児モニタ!$I$3)/新生児モニタ!$H$3),0)</f>
        <v>0</v>
      </c>
      <c r="AG90" s="69">
        <f t="shared" si="35"/>
        <v>0</v>
      </c>
    </row>
    <row r="91" spans="2:33">
      <c r="B91" s="65" t="s">
        <v>760</v>
      </c>
      <c r="C91" s="68">
        <f>IFERROR(SUMIF(初度設備!$C$30:$C$74,B91,初度設備!$N$30:$N$74)*((初度設備!$H$3-初度設備!$I$3)/初度設備!$H$3),0)</f>
        <v>0</v>
      </c>
      <c r="D91" s="69">
        <f t="shared" si="20"/>
        <v>0</v>
      </c>
      <c r="E91" s="68">
        <f>IFERROR(SUMIF(人工呼吸器!$C$30:$C$74,B91,人工呼吸器!$N$30:$N$74)*((人工呼吸器!$H$3-人工呼吸器!$I$3)/人工呼吸器!$H$3),0)</f>
        <v>0</v>
      </c>
      <c r="F91" s="69">
        <f t="shared" si="21"/>
        <v>0</v>
      </c>
      <c r="G91" s="69">
        <f t="shared" si="22"/>
        <v>0</v>
      </c>
      <c r="H91" s="69">
        <f t="shared" si="23"/>
        <v>0</v>
      </c>
      <c r="I91" s="68">
        <f>IFERROR(SUMIF(簡易陰圧装置!$C$30:$C$74,B91,簡易陰圧装置!$N$30:$N$74)*((簡易陰圧装置!$H$3-簡易陰圧装置!$I$3)/簡易陰圧装置!$H$3),0)</f>
        <v>0</v>
      </c>
      <c r="J91" s="69">
        <f t="shared" si="24"/>
        <v>0</v>
      </c>
      <c r="K91" s="68">
        <f>IFERROR(SUMIF(#REF!,B91,#REF!)*((#REF!-#REF!)/#REF!),0)</f>
        <v>0</v>
      </c>
      <c r="L91" s="69">
        <f t="shared" si="25"/>
        <v>0</v>
      </c>
      <c r="M91" s="68">
        <f>IFERROR(SUMIF(体外式膜型人工肺!$C$30:$C$74,B91,体外式膜型人工肺!$N$30:$N$74)*((体外式膜型人工肺!$H$3-体外式膜型人工肺!$I$3)/体外式膜型人工肺!$H$3),0)</f>
        <v>0</v>
      </c>
      <c r="N91" s="69">
        <f t="shared" si="26"/>
        <v>0</v>
      </c>
      <c r="O91" s="69">
        <f t="shared" si="27"/>
        <v>0</v>
      </c>
      <c r="P91" s="69">
        <f t="shared" si="28"/>
        <v>0</v>
      </c>
      <c r="Q91" s="68">
        <f>IFERROR(SUMIF(紫外線照射装置!$C$30:$C$74,B91,紫外線照射装置!$N$30:$N$74)*((紫外線照射装置!$H$3-紫外線照射装置!$I$3)/紫外線照射装置!$H$3),0)</f>
        <v>0</v>
      </c>
      <c r="R91" s="69">
        <f t="shared" si="29"/>
        <v>0</v>
      </c>
      <c r="S91" s="102">
        <f t="shared" si="30"/>
        <v>0</v>
      </c>
      <c r="T91" s="68">
        <f>IFERROR(SUMIF(超音波画像診断装置!$C$30:$C$74,B91,超音波画像診断装置!$K$30:$K$74)*((超音波画像診断装置!$H$3-超音波画像診断装置!$I$3)/超音波画像診断装置!$H$3),0)</f>
        <v>0</v>
      </c>
      <c r="U91" s="69">
        <f t="shared" si="31"/>
        <v>0</v>
      </c>
      <c r="V91" s="68">
        <f>IFERROR(SUMIF(血液浄化装置!$C$30:$C$74,B91,血液浄化装置!$K$30:$K$74)*((血液浄化装置!$H$3-血液浄化装置!$I$3)/血液浄化装置!$H$3),0)</f>
        <v>0</v>
      </c>
      <c r="W91" s="69">
        <f t="shared" si="32"/>
        <v>0</v>
      </c>
      <c r="X91" s="68">
        <f>IFERROR(SUMIF(気管支鏡!$C$30:$C$74,B91,気管支鏡!$K$30:$K$74)*((気管支鏡!$H$3-気管支鏡!$I$3)/気管支鏡!$H$3),0)</f>
        <v>0</v>
      </c>
      <c r="Y91" s="69">
        <f t="shared" si="18"/>
        <v>0</v>
      </c>
      <c r="Z91" s="68">
        <f>IFERROR(SUMIF(CT撮影装置!$C$30:$C$74,B91,CT撮影装置!$K$30:$K$74)*((CT撮影装置!$H$3-CT撮影装置!$I$3)/CT撮影装置!$H$3),0)</f>
        <v>0</v>
      </c>
      <c r="AA91" s="69">
        <f t="shared" si="33"/>
        <v>0</v>
      </c>
      <c r="AB91" s="68">
        <f>IFERROR(SUMIF(生体情報モニタ!$C$30:$C$74,B91,生体情報モニタ!$K$30:$K$74)*((生体情報モニタ!$H$3-生体情報モニタ!$I$3)/生体情報モニタ!$H$3),0)</f>
        <v>0</v>
      </c>
      <c r="AC91" s="69">
        <f t="shared" si="19"/>
        <v>0</v>
      </c>
      <c r="AD91" s="68">
        <f>IFERROR(SUMIF(分娩監視装置!$C$30:$C$74,B91,分娩監視装置!$K$30:$K$74)*((分娩監視装置!$H$3-分娩監視装置!$I$3)/分娩監視装置!$H$3),0)</f>
        <v>0</v>
      </c>
      <c r="AE91" s="69">
        <f t="shared" si="34"/>
        <v>0</v>
      </c>
      <c r="AF91" s="68">
        <f>IFERROR(SUMIF(新生児モニタ!$C$30:$C$74,B91,新生児モニタ!$K$30:$K$74)*((新生児モニタ!$H$3-新生児モニタ!$I$3)/新生児モニタ!$H$3),0)</f>
        <v>0</v>
      </c>
      <c r="AG91" s="69">
        <f t="shared" si="35"/>
        <v>0</v>
      </c>
    </row>
    <row r="92" spans="2:33">
      <c r="B92" s="65" t="s">
        <v>761</v>
      </c>
      <c r="C92" s="68">
        <f>IFERROR(SUMIF(初度設備!$C$30:$C$74,B92,初度設備!$N$30:$N$74)*((初度設備!$H$3-初度設備!$I$3)/初度設備!$H$3),0)</f>
        <v>0</v>
      </c>
      <c r="D92" s="69">
        <f t="shared" si="20"/>
        <v>0</v>
      </c>
      <c r="E92" s="68">
        <f>IFERROR(SUMIF(人工呼吸器!$C$30:$C$74,B92,人工呼吸器!$N$30:$N$74)*((人工呼吸器!$H$3-人工呼吸器!$I$3)/人工呼吸器!$H$3),0)</f>
        <v>0</v>
      </c>
      <c r="F92" s="69">
        <f t="shared" si="21"/>
        <v>0</v>
      </c>
      <c r="G92" s="69">
        <f t="shared" si="22"/>
        <v>0</v>
      </c>
      <c r="H92" s="69">
        <f t="shared" si="23"/>
        <v>0</v>
      </c>
      <c r="I92" s="68">
        <f>IFERROR(SUMIF(簡易陰圧装置!$C$30:$C$74,B92,簡易陰圧装置!$N$30:$N$74)*((簡易陰圧装置!$H$3-簡易陰圧装置!$I$3)/簡易陰圧装置!$H$3),0)</f>
        <v>0</v>
      </c>
      <c r="J92" s="69">
        <f t="shared" si="24"/>
        <v>0</v>
      </c>
      <c r="K92" s="68">
        <f>IFERROR(SUMIF(#REF!,B92,#REF!)*((#REF!-#REF!)/#REF!),0)</f>
        <v>0</v>
      </c>
      <c r="L92" s="69">
        <f t="shared" si="25"/>
        <v>0</v>
      </c>
      <c r="M92" s="68">
        <f>IFERROR(SUMIF(体外式膜型人工肺!$C$30:$C$74,B92,体外式膜型人工肺!$N$30:$N$74)*((体外式膜型人工肺!$H$3-体外式膜型人工肺!$I$3)/体外式膜型人工肺!$H$3),0)</f>
        <v>0</v>
      </c>
      <c r="N92" s="69">
        <f t="shared" si="26"/>
        <v>0</v>
      </c>
      <c r="O92" s="69">
        <f t="shared" si="27"/>
        <v>0</v>
      </c>
      <c r="P92" s="69">
        <f t="shared" si="28"/>
        <v>0</v>
      </c>
      <c r="Q92" s="68">
        <f>IFERROR(SUMIF(紫外線照射装置!$C$30:$C$74,B92,紫外線照射装置!$N$30:$N$74)*((紫外線照射装置!$H$3-紫外線照射装置!$I$3)/紫外線照射装置!$H$3),0)</f>
        <v>0</v>
      </c>
      <c r="R92" s="69">
        <f t="shared" si="29"/>
        <v>0</v>
      </c>
      <c r="S92" s="102">
        <f t="shared" si="30"/>
        <v>0</v>
      </c>
      <c r="T92" s="68">
        <f>IFERROR(SUMIF(超音波画像診断装置!$C$30:$C$74,B92,超音波画像診断装置!$K$30:$K$74)*((超音波画像診断装置!$H$3-超音波画像診断装置!$I$3)/超音波画像診断装置!$H$3),0)</f>
        <v>0</v>
      </c>
      <c r="U92" s="69">
        <f t="shared" si="31"/>
        <v>0</v>
      </c>
      <c r="V92" s="68">
        <f>IFERROR(SUMIF(血液浄化装置!$C$30:$C$74,B92,血液浄化装置!$K$30:$K$74)*((血液浄化装置!$H$3-血液浄化装置!$I$3)/血液浄化装置!$H$3),0)</f>
        <v>0</v>
      </c>
      <c r="W92" s="69">
        <f t="shared" si="32"/>
        <v>0</v>
      </c>
      <c r="X92" s="68">
        <f>IFERROR(SUMIF(気管支鏡!$C$30:$C$74,B92,気管支鏡!$K$30:$K$74)*((気管支鏡!$H$3-気管支鏡!$I$3)/気管支鏡!$H$3),0)</f>
        <v>0</v>
      </c>
      <c r="Y92" s="69">
        <f t="shared" si="18"/>
        <v>0</v>
      </c>
      <c r="Z92" s="68">
        <f>IFERROR(SUMIF(CT撮影装置!$C$30:$C$74,B92,CT撮影装置!$K$30:$K$74)*((CT撮影装置!$H$3-CT撮影装置!$I$3)/CT撮影装置!$H$3),0)</f>
        <v>0</v>
      </c>
      <c r="AA92" s="69">
        <f t="shared" si="33"/>
        <v>0</v>
      </c>
      <c r="AB92" s="68">
        <f>IFERROR(SUMIF(生体情報モニタ!$C$30:$C$74,B92,生体情報モニタ!$K$30:$K$74)*((生体情報モニタ!$H$3-生体情報モニタ!$I$3)/生体情報モニタ!$H$3),0)</f>
        <v>0</v>
      </c>
      <c r="AC92" s="69">
        <f t="shared" si="19"/>
        <v>0</v>
      </c>
      <c r="AD92" s="68">
        <f>IFERROR(SUMIF(分娩監視装置!$C$30:$C$74,B92,分娩監視装置!$K$30:$K$74)*((分娩監視装置!$H$3-分娩監視装置!$I$3)/分娩監視装置!$H$3),0)</f>
        <v>0</v>
      </c>
      <c r="AE92" s="69">
        <f t="shared" si="34"/>
        <v>0</v>
      </c>
      <c r="AF92" s="68">
        <f>IFERROR(SUMIF(新生児モニタ!$C$30:$C$74,B92,新生児モニタ!$K$30:$K$74)*((新生児モニタ!$H$3-新生児モニタ!$I$3)/新生児モニタ!$H$3),0)</f>
        <v>0</v>
      </c>
      <c r="AG92" s="69">
        <f t="shared" si="35"/>
        <v>0</v>
      </c>
    </row>
    <row r="93" spans="2:33">
      <c r="B93" s="65" t="s">
        <v>762</v>
      </c>
      <c r="C93" s="68">
        <f>IFERROR(SUMIF(初度設備!$C$30:$C$74,B93,初度設備!$N$30:$N$74)*((初度設備!$H$3-初度設備!$I$3)/初度設備!$H$3),0)</f>
        <v>0</v>
      </c>
      <c r="D93" s="69">
        <f t="shared" si="20"/>
        <v>0</v>
      </c>
      <c r="E93" s="68">
        <f>IFERROR(SUMIF(人工呼吸器!$C$30:$C$74,B93,人工呼吸器!$N$30:$N$74)*((人工呼吸器!$H$3-人工呼吸器!$I$3)/人工呼吸器!$H$3),0)</f>
        <v>0</v>
      </c>
      <c r="F93" s="69">
        <f t="shared" si="21"/>
        <v>0</v>
      </c>
      <c r="G93" s="69">
        <f t="shared" si="22"/>
        <v>0</v>
      </c>
      <c r="H93" s="69">
        <f t="shared" si="23"/>
        <v>0</v>
      </c>
      <c r="I93" s="68">
        <f>IFERROR(SUMIF(簡易陰圧装置!$C$30:$C$74,B93,簡易陰圧装置!$N$30:$N$74)*((簡易陰圧装置!$H$3-簡易陰圧装置!$I$3)/簡易陰圧装置!$H$3),0)</f>
        <v>0</v>
      </c>
      <c r="J93" s="69">
        <f t="shared" si="24"/>
        <v>0</v>
      </c>
      <c r="K93" s="68">
        <f>IFERROR(SUMIF(#REF!,B93,#REF!)*((#REF!-#REF!)/#REF!),0)</f>
        <v>0</v>
      </c>
      <c r="L93" s="69">
        <f t="shared" si="25"/>
        <v>0</v>
      </c>
      <c r="M93" s="68">
        <f>IFERROR(SUMIF(体外式膜型人工肺!$C$30:$C$74,B93,体外式膜型人工肺!$N$30:$N$74)*((体外式膜型人工肺!$H$3-体外式膜型人工肺!$I$3)/体外式膜型人工肺!$H$3),0)</f>
        <v>0</v>
      </c>
      <c r="N93" s="69">
        <f t="shared" si="26"/>
        <v>0</v>
      </c>
      <c r="O93" s="69">
        <f t="shared" si="27"/>
        <v>0</v>
      </c>
      <c r="P93" s="69">
        <f t="shared" si="28"/>
        <v>0</v>
      </c>
      <c r="Q93" s="68">
        <f>IFERROR(SUMIF(紫外線照射装置!$C$30:$C$74,B93,紫外線照射装置!$N$30:$N$74)*((紫外線照射装置!$H$3-紫外線照射装置!$I$3)/紫外線照射装置!$H$3),0)</f>
        <v>0</v>
      </c>
      <c r="R93" s="69">
        <f t="shared" si="29"/>
        <v>0</v>
      </c>
      <c r="S93" s="102">
        <f t="shared" si="30"/>
        <v>0</v>
      </c>
      <c r="T93" s="68">
        <f>IFERROR(SUMIF(超音波画像診断装置!$C$30:$C$74,B93,超音波画像診断装置!$K$30:$K$74)*((超音波画像診断装置!$H$3-超音波画像診断装置!$I$3)/超音波画像診断装置!$H$3),0)</f>
        <v>0</v>
      </c>
      <c r="U93" s="69">
        <f t="shared" si="31"/>
        <v>0</v>
      </c>
      <c r="V93" s="68">
        <f>IFERROR(SUMIF(血液浄化装置!$C$30:$C$74,B93,血液浄化装置!$K$30:$K$74)*((血液浄化装置!$H$3-血液浄化装置!$I$3)/血液浄化装置!$H$3),0)</f>
        <v>0</v>
      </c>
      <c r="W93" s="69">
        <f t="shared" si="32"/>
        <v>0</v>
      </c>
      <c r="X93" s="68">
        <f>IFERROR(SUMIF(気管支鏡!$C$30:$C$74,B93,気管支鏡!$K$30:$K$74)*((気管支鏡!$H$3-気管支鏡!$I$3)/気管支鏡!$H$3),0)</f>
        <v>0</v>
      </c>
      <c r="Y93" s="69">
        <f t="shared" si="18"/>
        <v>0</v>
      </c>
      <c r="Z93" s="68">
        <f>IFERROR(SUMIF(CT撮影装置!$C$30:$C$74,B93,CT撮影装置!$K$30:$K$74)*((CT撮影装置!$H$3-CT撮影装置!$I$3)/CT撮影装置!$H$3),0)</f>
        <v>0</v>
      </c>
      <c r="AA93" s="69">
        <f t="shared" si="33"/>
        <v>0</v>
      </c>
      <c r="AB93" s="68">
        <f>IFERROR(SUMIF(生体情報モニタ!$C$30:$C$74,B93,生体情報モニタ!$K$30:$K$74)*((生体情報モニタ!$H$3-生体情報モニタ!$I$3)/生体情報モニタ!$H$3),0)</f>
        <v>0</v>
      </c>
      <c r="AC93" s="69">
        <f t="shared" si="19"/>
        <v>0</v>
      </c>
      <c r="AD93" s="68">
        <f>IFERROR(SUMIF(分娩監視装置!$C$30:$C$74,B93,分娩監視装置!$K$30:$K$74)*((分娩監視装置!$H$3-分娩監視装置!$I$3)/分娩監視装置!$H$3),0)</f>
        <v>0</v>
      </c>
      <c r="AE93" s="69">
        <f t="shared" si="34"/>
        <v>0</v>
      </c>
      <c r="AF93" s="68">
        <f>IFERROR(SUMIF(新生児モニタ!$C$30:$C$74,B93,新生児モニタ!$K$30:$K$74)*((新生児モニタ!$H$3-新生児モニタ!$I$3)/新生児モニタ!$H$3),0)</f>
        <v>0</v>
      </c>
      <c r="AG93" s="69">
        <f t="shared" si="35"/>
        <v>0</v>
      </c>
    </row>
    <row r="94" spans="2:33">
      <c r="B94" s="65" t="s">
        <v>763</v>
      </c>
      <c r="C94" s="68">
        <f>IFERROR(SUMIF(初度設備!$C$30:$C$74,B94,初度設備!$N$30:$N$74)*((初度設備!$H$3-初度設備!$I$3)/初度設備!$H$3),0)</f>
        <v>0</v>
      </c>
      <c r="D94" s="69">
        <f t="shared" si="20"/>
        <v>0</v>
      </c>
      <c r="E94" s="68">
        <f>IFERROR(SUMIF(人工呼吸器!$C$30:$C$74,B94,人工呼吸器!$N$30:$N$74)*((人工呼吸器!$H$3-人工呼吸器!$I$3)/人工呼吸器!$H$3),0)</f>
        <v>0</v>
      </c>
      <c r="F94" s="69">
        <f t="shared" si="21"/>
        <v>0</v>
      </c>
      <c r="G94" s="69">
        <f t="shared" si="22"/>
        <v>0</v>
      </c>
      <c r="H94" s="69">
        <f t="shared" si="23"/>
        <v>0</v>
      </c>
      <c r="I94" s="68">
        <f>IFERROR(SUMIF(簡易陰圧装置!$C$30:$C$74,B94,簡易陰圧装置!$N$30:$N$74)*((簡易陰圧装置!$H$3-簡易陰圧装置!$I$3)/簡易陰圧装置!$H$3),0)</f>
        <v>0</v>
      </c>
      <c r="J94" s="69">
        <f t="shared" si="24"/>
        <v>0</v>
      </c>
      <c r="K94" s="68">
        <f>IFERROR(SUMIF(#REF!,B94,#REF!)*((#REF!-#REF!)/#REF!),0)</f>
        <v>0</v>
      </c>
      <c r="L94" s="69">
        <f t="shared" si="25"/>
        <v>0</v>
      </c>
      <c r="M94" s="68">
        <f>IFERROR(SUMIF(体外式膜型人工肺!$C$30:$C$74,B94,体外式膜型人工肺!$N$30:$N$74)*((体外式膜型人工肺!$H$3-体外式膜型人工肺!$I$3)/体外式膜型人工肺!$H$3),0)</f>
        <v>0</v>
      </c>
      <c r="N94" s="69">
        <f t="shared" si="26"/>
        <v>0</v>
      </c>
      <c r="O94" s="69">
        <f t="shared" si="27"/>
        <v>0</v>
      </c>
      <c r="P94" s="69">
        <f t="shared" si="28"/>
        <v>0</v>
      </c>
      <c r="Q94" s="68">
        <f>IFERROR(SUMIF(紫外線照射装置!$C$30:$C$74,B94,紫外線照射装置!$N$30:$N$74)*((紫外線照射装置!$H$3-紫外線照射装置!$I$3)/紫外線照射装置!$H$3),0)</f>
        <v>0</v>
      </c>
      <c r="R94" s="69">
        <f t="shared" si="29"/>
        <v>0</v>
      </c>
      <c r="S94" s="102">
        <f t="shared" si="30"/>
        <v>0</v>
      </c>
      <c r="T94" s="68">
        <f>IFERROR(SUMIF(超音波画像診断装置!$C$30:$C$74,B94,超音波画像診断装置!$K$30:$K$74)*((超音波画像診断装置!$H$3-超音波画像診断装置!$I$3)/超音波画像診断装置!$H$3),0)</f>
        <v>0</v>
      </c>
      <c r="U94" s="69">
        <f t="shared" si="31"/>
        <v>0</v>
      </c>
      <c r="V94" s="68">
        <f>IFERROR(SUMIF(血液浄化装置!$C$30:$C$74,B94,血液浄化装置!$K$30:$K$74)*((血液浄化装置!$H$3-血液浄化装置!$I$3)/血液浄化装置!$H$3),0)</f>
        <v>0</v>
      </c>
      <c r="W94" s="69">
        <f t="shared" si="32"/>
        <v>0</v>
      </c>
      <c r="X94" s="68">
        <f>IFERROR(SUMIF(気管支鏡!$C$30:$C$74,B94,気管支鏡!$K$30:$K$74)*((気管支鏡!$H$3-気管支鏡!$I$3)/気管支鏡!$H$3),0)</f>
        <v>0</v>
      </c>
      <c r="Y94" s="69">
        <f t="shared" si="18"/>
        <v>0</v>
      </c>
      <c r="Z94" s="68">
        <f>IFERROR(SUMIF(CT撮影装置!$C$30:$C$74,B94,CT撮影装置!$K$30:$K$74)*((CT撮影装置!$H$3-CT撮影装置!$I$3)/CT撮影装置!$H$3),0)</f>
        <v>0</v>
      </c>
      <c r="AA94" s="69">
        <f t="shared" si="33"/>
        <v>0</v>
      </c>
      <c r="AB94" s="68">
        <f>IFERROR(SUMIF(生体情報モニタ!$C$30:$C$74,B94,生体情報モニタ!$K$30:$K$74)*((生体情報モニタ!$H$3-生体情報モニタ!$I$3)/生体情報モニタ!$H$3),0)</f>
        <v>0</v>
      </c>
      <c r="AC94" s="69">
        <f t="shared" si="19"/>
        <v>0</v>
      </c>
      <c r="AD94" s="68">
        <f>IFERROR(SUMIF(分娩監視装置!$C$30:$C$74,B94,分娩監視装置!$K$30:$K$74)*((分娩監視装置!$H$3-分娩監視装置!$I$3)/分娩監視装置!$H$3),0)</f>
        <v>0</v>
      </c>
      <c r="AE94" s="69">
        <f t="shared" si="34"/>
        <v>0</v>
      </c>
      <c r="AF94" s="68">
        <f>IFERROR(SUMIF(新生児モニタ!$C$30:$C$74,B94,新生児モニタ!$K$30:$K$74)*((新生児モニタ!$H$3-新生児モニタ!$I$3)/新生児モニタ!$H$3),0)</f>
        <v>0</v>
      </c>
      <c r="AG94" s="69">
        <f t="shared" si="35"/>
        <v>0</v>
      </c>
    </row>
    <row r="95" spans="2:33">
      <c r="B95" s="65" t="s">
        <v>764</v>
      </c>
      <c r="C95" s="68">
        <f>IFERROR(SUMIF(初度設備!$C$30:$C$74,B95,初度設備!$N$30:$N$74)*((初度設備!$H$3-初度設備!$I$3)/初度設備!$H$3),0)</f>
        <v>0</v>
      </c>
      <c r="D95" s="69">
        <f t="shared" si="20"/>
        <v>0</v>
      </c>
      <c r="E95" s="68">
        <f>IFERROR(SUMIF(人工呼吸器!$C$30:$C$74,B95,人工呼吸器!$N$30:$N$74)*((人工呼吸器!$H$3-人工呼吸器!$I$3)/人工呼吸器!$H$3),0)</f>
        <v>0</v>
      </c>
      <c r="F95" s="69">
        <f t="shared" si="21"/>
        <v>0</v>
      </c>
      <c r="G95" s="69">
        <f t="shared" si="22"/>
        <v>0</v>
      </c>
      <c r="H95" s="69">
        <f t="shared" si="23"/>
        <v>0</v>
      </c>
      <c r="I95" s="68">
        <f>IFERROR(SUMIF(簡易陰圧装置!$C$30:$C$74,B95,簡易陰圧装置!$N$30:$N$74)*((簡易陰圧装置!$H$3-簡易陰圧装置!$I$3)/簡易陰圧装置!$H$3),0)</f>
        <v>0</v>
      </c>
      <c r="J95" s="69">
        <f t="shared" si="24"/>
        <v>0</v>
      </c>
      <c r="K95" s="68">
        <f>IFERROR(SUMIF(#REF!,B95,#REF!)*((#REF!-#REF!)/#REF!),0)</f>
        <v>0</v>
      </c>
      <c r="L95" s="69">
        <f t="shared" si="25"/>
        <v>0</v>
      </c>
      <c r="M95" s="68">
        <f>IFERROR(SUMIF(体外式膜型人工肺!$C$30:$C$74,B95,体外式膜型人工肺!$N$30:$N$74)*((体外式膜型人工肺!$H$3-体外式膜型人工肺!$I$3)/体外式膜型人工肺!$H$3),0)</f>
        <v>0</v>
      </c>
      <c r="N95" s="69">
        <f t="shared" si="26"/>
        <v>0</v>
      </c>
      <c r="O95" s="69">
        <f t="shared" si="27"/>
        <v>0</v>
      </c>
      <c r="P95" s="69">
        <f t="shared" si="28"/>
        <v>0</v>
      </c>
      <c r="Q95" s="68">
        <f>IFERROR(SUMIF(紫外線照射装置!$C$30:$C$74,B95,紫外線照射装置!$N$30:$N$74)*((紫外線照射装置!$H$3-紫外線照射装置!$I$3)/紫外線照射装置!$H$3),0)</f>
        <v>0</v>
      </c>
      <c r="R95" s="69">
        <f t="shared" si="29"/>
        <v>0</v>
      </c>
      <c r="S95" s="102">
        <f t="shared" si="30"/>
        <v>0</v>
      </c>
      <c r="T95" s="68">
        <f>IFERROR(SUMIF(超音波画像診断装置!$C$30:$C$74,B95,超音波画像診断装置!$K$30:$K$74)*((超音波画像診断装置!$H$3-超音波画像診断装置!$I$3)/超音波画像診断装置!$H$3),0)</f>
        <v>0</v>
      </c>
      <c r="U95" s="69">
        <f t="shared" si="31"/>
        <v>0</v>
      </c>
      <c r="V95" s="68">
        <f>IFERROR(SUMIF(血液浄化装置!$C$30:$C$74,B95,血液浄化装置!$K$30:$K$74)*((血液浄化装置!$H$3-血液浄化装置!$I$3)/血液浄化装置!$H$3),0)</f>
        <v>0</v>
      </c>
      <c r="W95" s="69">
        <f t="shared" si="32"/>
        <v>0</v>
      </c>
      <c r="X95" s="68">
        <f>IFERROR(SUMIF(気管支鏡!$C$30:$C$74,B95,気管支鏡!$K$30:$K$74)*((気管支鏡!$H$3-気管支鏡!$I$3)/気管支鏡!$H$3),0)</f>
        <v>0</v>
      </c>
      <c r="Y95" s="69">
        <f t="shared" si="18"/>
        <v>0</v>
      </c>
      <c r="Z95" s="68">
        <f>IFERROR(SUMIF(CT撮影装置!$C$30:$C$74,B95,CT撮影装置!$K$30:$K$74)*((CT撮影装置!$H$3-CT撮影装置!$I$3)/CT撮影装置!$H$3),0)</f>
        <v>0</v>
      </c>
      <c r="AA95" s="69">
        <f t="shared" si="33"/>
        <v>0</v>
      </c>
      <c r="AB95" s="68">
        <f>IFERROR(SUMIF(生体情報モニタ!$C$30:$C$74,B95,生体情報モニタ!$K$30:$K$74)*((生体情報モニタ!$H$3-生体情報モニタ!$I$3)/生体情報モニタ!$H$3),0)</f>
        <v>0</v>
      </c>
      <c r="AC95" s="69">
        <f t="shared" si="19"/>
        <v>0</v>
      </c>
      <c r="AD95" s="68">
        <f>IFERROR(SUMIF(分娩監視装置!$C$30:$C$74,B95,分娩監視装置!$K$30:$K$74)*((分娩監視装置!$H$3-分娩監視装置!$I$3)/分娩監視装置!$H$3),0)</f>
        <v>0</v>
      </c>
      <c r="AE95" s="69">
        <f t="shared" si="34"/>
        <v>0</v>
      </c>
      <c r="AF95" s="68">
        <f>IFERROR(SUMIF(新生児モニタ!$C$30:$C$74,B95,新生児モニタ!$K$30:$K$74)*((新生児モニタ!$H$3-新生児モニタ!$I$3)/新生児モニタ!$H$3),0)</f>
        <v>0</v>
      </c>
      <c r="AG95" s="69">
        <f t="shared" si="35"/>
        <v>0</v>
      </c>
    </row>
    <row r="96" spans="2:33">
      <c r="B96" s="65" t="s">
        <v>765</v>
      </c>
      <c r="C96" s="68">
        <f>IFERROR(SUMIF(初度設備!$C$30:$C$74,B96,初度設備!$N$30:$N$74)*((初度設備!$H$3-初度設備!$I$3)/初度設備!$H$3),0)</f>
        <v>0</v>
      </c>
      <c r="D96" s="69">
        <f t="shared" si="20"/>
        <v>0</v>
      </c>
      <c r="E96" s="68">
        <f>IFERROR(SUMIF(人工呼吸器!$C$30:$C$74,B96,人工呼吸器!$N$30:$N$74)*((人工呼吸器!$H$3-人工呼吸器!$I$3)/人工呼吸器!$H$3),0)</f>
        <v>0</v>
      </c>
      <c r="F96" s="69">
        <f t="shared" si="21"/>
        <v>0</v>
      </c>
      <c r="G96" s="69">
        <f t="shared" si="22"/>
        <v>0</v>
      </c>
      <c r="H96" s="69">
        <f t="shared" si="23"/>
        <v>0</v>
      </c>
      <c r="I96" s="68">
        <f>IFERROR(SUMIF(簡易陰圧装置!$C$30:$C$74,B96,簡易陰圧装置!$N$30:$N$74)*((簡易陰圧装置!$H$3-簡易陰圧装置!$I$3)/簡易陰圧装置!$H$3),0)</f>
        <v>0</v>
      </c>
      <c r="J96" s="69">
        <f t="shared" si="24"/>
        <v>0</v>
      </c>
      <c r="K96" s="68">
        <f>IFERROR(SUMIF(#REF!,B96,#REF!)*((#REF!-#REF!)/#REF!),0)</f>
        <v>0</v>
      </c>
      <c r="L96" s="69">
        <f t="shared" si="25"/>
        <v>0</v>
      </c>
      <c r="M96" s="68">
        <f>IFERROR(SUMIF(体外式膜型人工肺!$C$30:$C$74,B96,体外式膜型人工肺!$N$30:$N$74)*((体外式膜型人工肺!$H$3-体外式膜型人工肺!$I$3)/体外式膜型人工肺!$H$3),0)</f>
        <v>0</v>
      </c>
      <c r="N96" s="69">
        <f t="shared" si="26"/>
        <v>0</v>
      </c>
      <c r="O96" s="69">
        <f t="shared" si="27"/>
        <v>0</v>
      </c>
      <c r="P96" s="69">
        <f t="shared" si="28"/>
        <v>0</v>
      </c>
      <c r="Q96" s="68">
        <f>IFERROR(SUMIF(紫外線照射装置!$C$30:$C$74,B96,紫外線照射装置!$N$30:$N$74)*((紫外線照射装置!$H$3-紫外線照射装置!$I$3)/紫外線照射装置!$H$3),0)</f>
        <v>0</v>
      </c>
      <c r="R96" s="69">
        <f t="shared" si="29"/>
        <v>0</v>
      </c>
      <c r="S96" s="102">
        <f t="shared" si="30"/>
        <v>0</v>
      </c>
      <c r="T96" s="68">
        <f>IFERROR(SUMIF(超音波画像診断装置!$C$30:$C$74,B96,超音波画像診断装置!$K$30:$K$74)*((超音波画像診断装置!$H$3-超音波画像診断装置!$I$3)/超音波画像診断装置!$H$3),0)</f>
        <v>0</v>
      </c>
      <c r="U96" s="69">
        <f t="shared" si="31"/>
        <v>0</v>
      </c>
      <c r="V96" s="68">
        <f>IFERROR(SUMIF(血液浄化装置!$C$30:$C$74,B96,血液浄化装置!$K$30:$K$74)*((血液浄化装置!$H$3-血液浄化装置!$I$3)/血液浄化装置!$H$3),0)</f>
        <v>0</v>
      </c>
      <c r="W96" s="69">
        <f t="shared" si="32"/>
        <v>0</v>
      </c>
      <c r="X96" s="68">
        <f>IFERROR(SUMIF(気管支鏡!$C$30:$C$74,B96,気管支鏡!$K$30:$K$74)*((気管支鏡!$H$3-気管支鏡!$I$3)/気管支鏡!$H$3),0)</f>
        <v>0</v>
      </c>
      <c r="Y96" s="69">
        <f t="shared" si="18"/>
        <v>0</v>
      </c>
      <c r="Z96" s="68">
        <f>IFERROR(SUMIF(CT撮影装置!$C$30:$C$74,B96,CT撮影装置!$K$30:$K$74)*((CT撮影装置!$H$3-CT撮影装置!$I$3)/CT撮影装置!$H$3),0)</f>
        <v>0</v>
      </c>
      <c r="AA96" s="69">
        <f t="shared" si="33"/>
        <v>0</v>
      </c>
      <c r="AB96" s="68">
        <f>IFERROR(SUMIF(生体情報モニタ!$C$30:$C$74,B96,生体情報モニタ!$K$30:$K$74)*((生体情報モニタ!$H$3-生体情報モニタ!$I$3)/生体情報モニタ!$H$3),0)</f>
        <v>0</v>
      </c>
      <c r="AC96" s="69">
        <f t="shared" si="19"/>
        <v>0</v>
      </c>
      <c r="AD96" s="68">
        <f>IFERROR(SUMIF(分娩監視装置!$C$30:$C$74,B96,分娩監視装置!$K$30:$K$74)*((分娩監視装置!$H$3-分娩監視装置!$I$3)/分娩監視装置!$H$3),0)</f>
        <v>0</v>
      </c>
      <c r="AE96" s="69">
        <f t="shared" si="34"/>
        <v>0</v>
      </c>
      <c r="AF96" s="68">
        <f>IFERROR(SUMIF(新生児モニタ!$C$30:$C$74,B96,新生児モニタ!$K$30:$K$74)*((新生児モニタ!$H$3-新生児モニタ!$I$3)/新生児モニタ!$H$3),0)</f>
        <v>0</v>
      </c>
      <c r="AG96" s="69">
        <f t="shared" si="35"/>
        <v>0</v>
      </c>
    </row>
    <row r="97" spans="2:33">
      <c r="B97" s="65" t="s">
        <v>766</v>
      </c>
      <c r="C97" s="68">
        <f>IFERROR(SUMIF(初度設備!$C$30:$C$74,B97,初度設備!$N$30:$N$74)*((初度設備!$H$3-初度設備!$I$3)/初度設備!$H$3),0)</f>
        <v>0</v>
      </c>
      <c r="D97" s="69">
        <f t="shared" si="20"/>
        <v>0</v>
      </c>
      <c r="E97" s="68">
        <f>IFERROR(SUMIF(人工呼吸器!$C$30:$C$74,B97,人工呼吸器!$N$30:$N$74)*((人工呼吸器!$H$3-人工呼吸器!$I$3)/人工呼吸器!$H$3),0)</f>
        <v>0</v>
      </c>
      <c r="F97" s="69">
        <f t="shared" si="21"/>
        <v>0</v>
      </c>
      <c r="G97" s="69">
        <f t="shared" si="22"/>
        <v>0</v>
      </c>
      <c r="H97" s="69">
        <f t="shared" si="23"/>
        <v>0</v>
      </c>
      <c r="I97" s="68">
        <f>IFERROR(SUMIF(簡易陰圧装置!$C$30:$C$74,B97,簡易陰圧装置!$N$30:$N$74)*((簡易陰圧装置!$H$3-簡易陰圧装置!$I$3)/簡易陰圧装置!$H$3),0)</f>
        <v>0</v>
      </c>
      <c r="J97" s="69">
        <f t="shared" si="24"/>
        <v>0</v>
      </c>
      <c r="K97" s="68">
        <f>IFERROR(SUMIF(#REF!,B97,#REF!)*((#REF!-#REF!)/#REF!),0)</f>
        <v>0</v>
      </c>
      <c r="L97" s="69">
        <f t="shared" si="25"/>
        <v>0</v>
      </c>
      <c r="M97" s="68">
        <f>IFERROR(SUMIF(体外式膜型人工肺!$C$30:$C$74,B97,体外式膜型人工肺!$N$30:$N$74)*((体外式膜型人工肺!$H$3-体外式膜型人工肺!$I$3)/体外式膜型人工肺!$H$3),0)</f>
        <v>0</v>
      </c>
      <c r="N97" s="69">
        <f t="shared" si="26"/>
        <v>0</v>
      </c>
      <c r="O97" s="69">
        <f t="shared" si="27"/>
        <v>0</v>
      </c>
      <c r="P97" s="69">
        <f t="shared" si="28"/>
        <v>0</v>
      </c>
      <c r="Q97" s="68">
        <f>IFERROR(SUMIF(紫外線照射装置!$C$30:$C$74,B97,紫外線照射装置!$N$30:$N$74)*((紫外線照射装置!$H$3-紫外線照射装置!$I$3)/紫外線照射装置!$H$3),0)</f>
        <v>0</v>
      </c>
      <c r="R97" s="69">
        <f t="shared" si="29"/>
        <v>0</v>
      </c>
      <c r="S97" s="102">
        <f t="shared" si="30"/>
        <v>0</v>
      </c>
      <c r="T97" s="68">
        <f>IFERROR(SUMIF(超音波画像診断装置!$C$30:$C$74,B97,超音波画像診断装置!$K$30:$K$74)*((超音波画像診断装置!$H$3-超音波画像診断装置!$I$3)/超音波画像診断装置!$H$3),0)</f>
        <v>0</v>
      </c>
      <c r="U97" s="69">
        <f t="shared" si="31"/>
        <v>0</v>
      </c>
      <c r="V97" s="68">
        <f>IFERROR(SUMIF(血液浄化装置!$C$30:$C$74,B97,血液浄化装置!$K$30:$K$74)*((血液浄化装置!$H$3-血液浄化装置!$I$3)/血液浄化装置!$H$3),0)</f>
        <v>0</v>
      </c>
      <c r="W97" s="69">
        <f t="shared" si="32"/>
        <v>0</v>
      </c>
      <c r="X97" s="68">
        <f>IFERROR(SUMIF(気管支鏡!$C$30:$C$74,B97,気管支鏡!$K$30:$K$74)*((気管支鏡!$H$3-気管支鏡!$I$3)/気管支鏡!$H$3),0)</f>
        <v>0</v>
      </c>
      <c r="Y97" s="69">
        <f t="shared" si="18"/>
        <v>0</v>
      </c>
      <c r="Z97" s="68">
        <f>IFERROR(SUMIF(CT撮影装置!$C$30:$C$74,B97,CT撮影装置!$K$30:$K$74)*((CT撮影装置!$H$3-CT撮影装置!$I$3)/CT撮影装置!$H$3),0)</f>
        <v>0</v>
      </c>
      <c r="AA97" s="69">
        <f t="shared" si="33"/>
        <v>0</v>
      </c>
      <c r="AB97" s="68">
        <f>IFERROR(SUMIF(生体情報モニタ!$C$30:$C$74,B97,生体情報モニタ!$K$30:$K$74)*((生体情報モニタ!$H$3-生体情報モニタ!$I$3)/生体情報モニタ!$H$3),0)</f>
        <v>0</v>
      </c>
      <c r="AC97" s="69">
        <f t="shared" si="19"/>
        <v>0</v>
      </c>
      <c r="AD97" s="68">
        <f>IFERROR(SUMIF(分娩監視装置!$C$30:$C$74,B97,分娩監視装置!$K$30:$K$74)*((分娩監視装置!$H$3-分娩監視装置!$I$3)/分娩監視装置!$H$3),0)</f>
        <v>0</v>
      </c>
      <c r="AE97" s="69">
        <f t="shared" si="34"/>
        <v>0</v>
      </c>
      <c r="AF97" s="68">
        <f>IFERROR(SUMIF(新生児モニタ!$C$30:$C$74,B97,新生児モニタ!$K$30:$K$74)*((新生児モニタ!$H$3-新生児モニタ!$I$3)/新生児モニタ!$H$3),0)</f>
        <v>0</v>
      </c>
      <c r="AG97" s="69">
        <f t="shared" si="35"/>
        <v>0</v>
      </c>
    </row>
    <row r="98" spans="2:33">
      <c r="B98" s="65" t="s">
        <v>767</v>
      </c>
      <c r="C98" s="68">
        <f>IFERROR(SUMIF(初度設備!$C$30:$C$74,B98,初度設備!$N$30:$N$74)*((初度設備!$H$3-初度設備!$I$3)/初度設備!$H$3),0)</f>
        <v>0</v>
      </c>
      <c r="D98" s="69">
        <f t="shared" si="20"/>
        <v>0</v>
      </c>
      <c r="E98" s="68">
        <f>IFERROR(SUMIF(人工呼吸器!$C$30:$C$74,B98,人工呼吸器!$N$30:$N$74)*((人工呼吸器!$H$3-人工呼吸器!$I$3)/人工呼吸器!$H$3),0)</f>
        <v>0</v>
      </c>
      <c r="F98" s="69">
        <f t="shared" si="21"/>
        <v>0</v>
      </c>
      <c r="G98" s="69">
        <f t="shared" si="22"/>
        <v>0</v>
      </c>
      <c r="H98" s="69">
        <f t="shared" si="23"/>
        <v>0</v>
      </c>
      <c r="I98" s="68">
        <f>IFERROR(SUMIF(簡易陰圧装置!$C$30:$C$74,B98,簡易陰圧装置!$N$30:$N$74)*((簡易陰圧装置!$H$3-簡易陰圧装置!$I$3)/簡易陰圧装置!$H$3),0)</f>
        <v>0</v>
      </c>
      <c r="J98" s="69">
        <f t="shared" si="24"/>
        <v>0</v>
      </c>
      <c r="K98" s="68">
        <f>IFERROR(SUMIF(#REF!,B98,#REF!)*((#REF!-#REF!)/#REF!),0)</f>
        <v>0</v>
      </c>
      <c r="L98" s="69">
        <f t="shared" si="25"/>
        <v>0</v>
      </c>
      <c r="M98" s="68">
        <f>IFERROR(SUMIF(体外式膜型人工肺!$C$30:$C$74,B98,体外式膜型人工肺!$N$30:$N$74)*((体外式膜型人工肺!$H$3-体外式膜型人工肺!$I$3)/体外式膜型人工肺!$H$3),0)</f>
        <v>0</v>
      </c>
      <c r="N98" s="69">
        <f t="shared" si="26"/>
        <v>0</v>
      </c>
      <c r="O98" s="69">
        <f t="shared" si="27"/>
        <v>0</v>
      </c>
      <c r="P98" s="69">
        <f t="shared" si="28"/>
        <v>0</v>
      </c>
      <c r="Q98" s="68">
        <f>IFERROR(SUMIF(紫外線照射装置!$C$30:$C$74,B98,紫外線照射装置!$N$30:$N$74)*((紫外線照射装置!$H$3-紫外線照射装置!$I$3)/紫外線照射装置!$H$3),0)</f>
        <v>0</v>
      </c>
      <c r="R98" s="69">
        <f t="shared" si="29"/>
        <v>0</v>
      </c>
      <c r="S98" s="102">
        <f t="shared" si="30"/>
        <v>0</v>
      </c>
      <c r="T98" s="68">
        <f>IFERROR(SUMIF(超音波画像診断装置!$C$30:$C$74,B98,超音波画像診断装置!$K$30:$K$74)*((超音波画像診断装置!$H$3-超音波画像診断装置!$I$3)/超音波画像診断装置!$H$3),0)</f>
        <v>0</v>
      </c>
      <c r="U98" s="69">
        <f t="shared" si="31"/>
        <v>0</v>
      </c>
      <c r="V98" s="68">
        <f>IFERROR(SUMIF(血液浄化装置!$C$30:$C$74,B98,血液浄化装置!$K$30:$K$74)*((血液浄化装置!$H$3-血液浄化装置!$I$3)/血液浄化装置!$H$3),0)</f>
        <v>0</v>
      </c>
      <c r="W98" s="69">
        <f t="shared" si="32"/>
        <v>0</v>
      </c>
      <c r="X98" s="68">
        <f>IFERROR(SUMIF(気管支鏡!$C$30:$C$74,B98,気管支鏡!$K$30:$K$74)*((気管支鏡!$H$3-気管支鏡!$I$3)/気管支鏡!$H$3),0)</f>
        <v>0</v>
      </c>
      <c r="Y98" s="69">
        <f t="shared" si="18"/>
        <v>0</v>
      </c>
      <c r="Z98" s="68">
        <f>IFERROR(SUMIF(CT撮影装置!$C$30:$C$74,B98,CT撮影装置!$K$30:$K$74)*((CT撮影装置!$H$3-CT撮影装置!$I$3)/CT撮影装置!$H$3),0)</f>
        <v>0</v>
      </c>
      <c r="AA98" s="69">
        <f t="shared" si="33"/>
        <v>0</v>
      </c>
      <c r="AB98" s="68">
        <f>IFERROR(SUMIF(生体情報モニタ!$C$30:$C$74,B98,生体情報モニタ!$K$30:$K$74)*((生体情報モニタ!$H$3-生体情報モニタ!$I$3)/生体情報モニタ!$H$3),0)</f>
        <v>0</v>
      </c>
      <c r="AC98" s="69">
        <f t="shared" si="19"/>
        <v>0</v>
      </c>
      <c r="AD98" s="68">
        <f>IFERROR(SUMIF(分娩監視装置!$C$30:$C$74,B98,分娩監視装置!$K$30:$K$74)*((分娩監視装置!$H$3-分娩監視装置!$I$3)/分娩監視装置!$H$3),0)</f>
        <v>0</v>
      </c>
      <c r="AE98" s="69">
        <f t="shared" si="34"/>
        <v>0</v>
      </c>
      <c r="AF98" s="68">
        <f>IFERROR(SUMIF(新生児モニタ!$C$30:$C$74,B98,新生児モニタ!$K$30:$K$74)*((新生児モニタ!$H$3-新生児モニタ!$I$3)/新生児モニタ!$H$3),0)</f>
        <v>0</v>
      </c>
      <c r="AG98" s="69">
        <f t="shared" si="35"/>
        <v>0</v>
      </c>
    </row>
    <row r="99" spans="2:33">
      <c r="B99" s="65" t="s">
        <v>768</v>
      </c>
      <c r="C99" s="68">
        <f>IFERROR(SUMIF(初度設備!$C$30:$C$74,B99,初度設備!$N$30:$N$74)*((初度設備!$H$3-初度設備!$I$3)/初度設備!$H$3),0)</f>
        <v>0</v>
      </c>
      <c r="D99" s="69">
        <f t="shared" si="20"/>
        <v>0</v>
      </c>
      <c r="E99" s="68">
        <f>IFERROR(SUMIF(人工呼吸器!$C$30:$C$74,B99,人工呼吸器!$N$30:$N$74)*((人工呼吸器!$H$3-人工呼吸器!$I$3)/人工呼吸器!$H$3),0)</f>
        <v>0</v>
      </c>
      <c r="F99" s="69">
        <f t="shared" si="21"/>
        <v>0</v>
      </c>
      <c r="G99" s="69">
        <f t="shared" si="22"/>
        <v>0</v>
      </c>
      <c r="H99" s="69">
        <f t="shared" si="23"/>
        <v>0</v>
      </c>
      <c r="I99" s="68">
        <f>IFERROR(SUMIF(簡易陰圧装置!$C$30:$C$74,B99,簡易陰圧装置!$N$30:$N$74)*((簡易陰圧装置!$H$3-簡易陰圧装置!$I$3)/簡易陰圧装置!$H$3),0)</f>
        <v>0</v>
      </c>
      <c r="J99" s="69">
        <f t="shared" si="24"/>
        <v>0</v>
      </c>
      <c r="K99" s="68">
        <f>IFERROR(SUMIF(#REF!,B99,#REF!)*((#REF!-#REF!)/#REF!),0)</f>
        <v>0</v>
      </c>
      <c r="L99" s="69">
        <f t="shared" si="25"/>
        <v>0</v>
      </c>
      <c r="M99" s="68">
        <f>IFERROR(SUMIF(体外式膜型人工肺!$C$30:$C$74,B99,体外式膜型人工肺!$N$30:$N$74)*((体外式膜型人工肺!$H$3-体外式膜型人工肺!$I$3)/体外式膜型人工肺!$H$3),0)</f>
        <v>0</v>
      </c>
      <c r="N99" s="69">
        <f t="shared" si="26"/>
        <v>0</v>
      </c>
      <c r="O99" s="69">
        <f t="shared" si="27"/>
        <v>0</v>
      </c>
      <c r="P99" s="69">
        <f t="shared" si="28"/>
        <v>0</v>
      </c>
      <c r="Q99" s="68">
        <f>IFERROR(SUMIF(紫外線照射装置!$C$30:$C$74,B99,紫外線照射装置!$N$30:$N$74)*((紫外線照射装置!$H$3-紫外線照射装置!$I$3)/紫外線照射装置!$H$3),0)</f>
        <v>0</v>
      </c>
      <c r="R99" s="69">
        <f t="shared" si="29"/>
        <v>0</v>
      </c>
      <c r="S99" s="102">
        <f t="shared" si="30"/>
        <v>0</v>
      </c>
      <c r="T99" s="68">
        <f>IFERROR(SUMIF(超音波画像診断装置!$C$30:$C$74,B99,超音波画像診断装置!$K$30:$K$74)*((超音波画像診断装置!$H$3-超音波画像診断装置!$I$3)/超音波画像診断装置!$H$3),0)</f>
        <v>0</v>
      </c>
      <c r="U99" s="69">
        <f t="shared" si="31"/>
        <v>0</v>
      </c>
      <c r="V99" s="68">
        <f>IFERROR(SUMIF(血液浄化装置!$C$30:$C$74,B99,血液浄化装置!$K$30:$K$74)*((血液浄化装置!$H$3-血液浄化装置!$I$3)/血液浄化装置!$H$3),0)</f>
        <v>0</v>
      </c>
      <c r="W99" s="69">
        <f t="shared" si="32"/>
        <v>0</v>
      </c>
      <c r="X99" s="68">
        <f>IFERROR(SUMIF(気管支鏡!$C$30:$C$74,B99,気管支鏡!$K$30:$K$74)*((気管支鏡!$H$3-気管支鏡!$I$3)/気管支鏡!$H$3),0)</f>
        <v>0</v>
      </c>
      <c r="Y99" s="69">
        <f t="shared" si="18"/>
        <v>0</v>
      </c>
      <c r="Z99" s="68">
        <f>IFERROR(SUMIF(CT撮影装置!$C$30:$C$74,B99,CT撮影装置!$K$30:$K$74)*((CT撮影装置!$H$3-CT撮影装置!$I$3)/CT撮影装置!$H$3),0)</f>
        <v>0</v>
      </c>
      <c r="AA99" s="69">
        <f t="shared" si="33"/>
        <v>0</v>
      </c>
      <c r="AB99" s="68">
        <f>IFERROR(SUMIF(生体情報モニタ!$C$30:$C$74,B99,生体情報モニタ!$K$30:$K$74)*((生体情報モニタ!$H$3-生体情報モニタ!$I$3)/生体情報モニタ!$H$3),0)</f>
        <v>0</v>
      </c>
      <c r="AC99" s="69">
        <f t="shared" si="19"/>
        <v>0</v>
      </c>
      <c r="AD99" s="68">
        <f>IFERROR(SUMIF(分娩監視装置!$C$30:$C$74,B99,分娩監視装置!$K$30:$K$74)*((分娩監視装置!$H$3-分娩監視装置!$I$3)/分娩監視装置!$H$3),0)</f>
        <v>0</v>
      </c>
      <c r="AE99" s="69">
        <f t="shared" si="34"/>
        <v>0</v>
      </c>
      <c r="AF99" s="68">
        <f>IFERROR(SUMIF(新生児モニタ!$C$30:$C$74,B99,新生児モニタ!$K$30:$K$74)*((新生児モニタ!$H$3-新生児モニタ!$I$3)/新生児モニタ!$H$3),0)</f>
        <v>0</v>
      </c>
      <c r="AG99" s="69">
        <f t="shared" si="35"/>
        <v>0</v>
      </c>
    </row>
    <row r="100" spans="2:33">
      <c r="B100" s="65" t="s">
        <v>769</v>
      </c>
      <c r="C100" s="68">
        <f>IFERROR(SUMIF(初度設備!$C$30:$C$74,B100,初度設備!$N$30:$N$74)*((初度設備!$H$3-初度設備!$I$3)/初度設備!$H$3),0)</f>
        <v>0</v>
      </c>
      <c r="D100" s="69">
        <f t="shared" si="20"/>
        <v>0</v>
      </c>
      <c r="E100" s="68">
        <f>IFERROR(SUMIF(人工呼吸器!$C$30:$C$74,B100,人工呼吸器!$N$30:$N$74)*((人工呼吸器!$H$3-人工呼吸器!$I$3)/人工呼吸器!$H$3),0)</f>
        <v>0</v>
      </c>
      <c r="F100" s="69">
        <f t="shared" si="21"/>
        <v>0</v>
      </c>
      <c r="G100" s="69">
        <f t="shared" si="22"/>
        <v>0</v>
      </c>
      <c r="H100" s="69">
        <f t="shared" si="23"/>
        <v>0</v>
      </c>
      <c r="I100" s="68">
        <f>IFERROR(SUMIF(簡易陰圧装置!$C$30:$C$74,B100,簡易陰圧装置!$N$30:$N$74)*((簡易陰圧装置!$H$3-簡易陰圧装置!$I$3)/簡易陰圧装置!$H$3),0)</f>
        <v>0</v>
      </c>
      <c r="J100" s="69">
        <f t="shared" si="24"/>
        <v>0</v>
      </c>
      <c r="K100" s="68">
        <f>IFERROR(SUMIF(#REF!,B100,#REF!)*((#REF!-#REF!)/#REF!),0)</f>
        <v>0</v>
      </c>
      <c r="L100" s="69">
        <f t="shared" si="25"/>
        <v>0</v>
      </c>
      <c r="M100" s="68">
        <f>IFERROR(SUMIF(体外式膜型人工肺!$C$30:$C$74,B100,体外式膜型人工肺!$N$30:$N$74)*((体外式膜型人工肺!$H$3-体外式膜型人工肺!$I$3)/体外式膜型人工肺!$H$3),0)</f>
        <v>0</v>
      </c>
      <c r="N100" s="69">
        <f t="shared" si="26"/>
        <v>0</v>
      </c>
      <c r="O100" s="69">
        <f t="shared" si="27"/>
        <v>0</v>
      </c>
      <c r="P100" s="69">
        <f t="shared" si="28"/>
        <v>0</v>
      </c>
      <c r="Q100" s="68">
        <f>IFERROR(SUMIF(紫外線照射装置!$C$30:$C$74,B100,紫外線照射装置!$N$30:$N$74)*((紫外線照射装置!$H$3-紫外線照射装置!$I$3)/紫外線照射装置!$H$3),0)</f>
        <v>0</v>
      </c>
      <c r="R100" s="69">
        <f t="shared" si="29"/>
        <v>0</v>
      </c>
      <c r="S100" s="102">
        <f t="shared" si="30"/>
        <v>0</v>
      </c>
      <c r="T100" s="68">
        <f>IFERROR(SUMIF(超音波画像診断装置!$C$30:$C$74,B100,超音波画像診断装置!$K$30:$K$74)*((超音波画像診断装置!$H$3-超音波画像診断装置!$I$3)/超音波画像診断装置!$H$3),0)</f>
        <v>0</v>
      </c>
      <c r="U100" s="69">
        <f t="shared" si="31"/>
        <v>0</v>
      </c>
      <c r="V100" s="68">
        <f>IFERROR(SUMIF(血液浄化装置!$C$30:$C$74,B100,血液浄化装置!$K$30:$K$74)*((血液浄化装置!$H$3-血液浄化装置!$I$3)/血液浄化装置!$H$3),0)</f>
        <v>0</v>
      </c>
      <c r="W100" s="69">
        <f t="shared" si="32"/>
        <v>0</v>
      </c>
      <c r="X100" s="68">
        <f>IFERROR(SUMIF(気管支鏡!$C$30:$C$74,B100,気管支鏡!$K$30:$K$74)*((気管支鏡!$H$3-気管支鏡!$I$3)/気管支鏡!$H$3),0)</f>
        <v>0</v>
      </c>
      <c r="Y100" s="69">
        <f t="shared" si="18"/>
        <v>0</v>
      </c>
      <c r="Z100" s="68">
        <f>IFERROR(SUMIF(CT撮影装置!$C$30:$C$74,B100,CT撮影装置!$K$30:$K$74)*((CT撮影装置!$H$3-CT撮影装置!$I$3)/CT撮影装置!$H$3),0)</f>
        <v>0</v>
      </c>
      <c r="AA100" s="69">
        <f t="shared" si="33"/>
        <v>0</v>
      </c>
      <c r="AB100" s="68">
        <f>IFERROR(SUMIF(生体情報モニタ!$C$30:$C$74,B100,生体情報モニタ!$K$30:$K$74)*((生体情報モニタ!$H$3-生体情報モニタ!$I$3)/生体情報モニタ!$H$3),0)</f>
        <v>0</v>
      </c>
      <c r="AC100" s="69">
        <f t="shared" si="19"/>
        <v>0</v>
      </c>
      <c r="AD100" s="68">
        <f>IFERROR(SUMIF(分娩監視装置!$C$30:$C$74,B100,分娩監視装置!$K$30:$K$74)*((分娩監視装置!$H$3-分娩監視装置!$I$3)/分娩監視装置!$H$3),0)</f>
        <v>0</v>
      </c>
      <c r="AE100" s="69">
        <f t="shared" si="34"/>
        <v>0</v>
      </c>
      <c r="AF100" s="68">
        <f>IFERROR(SUMIF(新生児モニタ!$C$30:$C$74,B100,新生児モニタ!$K$30:$K$74)*((新生児モニタ!$H$3-新生児モニタ!$I$3)/新生児モニタ!$H$3),0)</f>
        <v>0</v>
      </c>
      <c r="AG100" s="69">
        <f t="shared" si="35"/>
        <v>0</v>
      </c>
    </row>
    <row r="101" spans="2:33">
      <c r="B101" s="65" t="s">
        <v>770</v>
      </c>
      <c r="C101" s="68">
        <f>IFERROR(SUMIF(初度設備!$C$30:$C$74,B101,初度設備!$N$30:$N$74)*((初度設備!$H$3-初度設備!$I$3)/初度設備!$H$3),0)</f>
        <v>0</v>
      </c>
      <c r="D101" s="69">
        <f t="shared" si="20"/>
        <v>0</v>
      </c>
      <c r="E101" s="68">
        <f>IFERROR(SUMIF(人工呼吸器!$C$30:$C$74,B101,人工呼吸器!$N$30:$N$74)*((人工呼吸器!$H$3-人工呼吸器!$I$3)/人工呼吸器!$H$3),0)</f>
        <v>0</v>
      </c>
      <c r="F101" s="69">
        <f t="shared" si="21"/>
        <v>0</v>
      </c>
      <c r="G101" s="69">
        <f t="shared" si="22"/>
        <v>0</v>
      </c>
      <c r="H101" s="69">
        <f t="shared" si="23"/>
        <v>0</v>
      </c>
      <c r="I101" s="68">
        <f>IFERROR(SUMIF(簡易陰圧装置!$C$30:$C$74,B101,簡易陰圧装置!$N$30:$N$74)*((簡易陰圧装置!$H$3-簡易陰圧装置!$I$3)/簡易陰圧装置!$H$3),0)</f>
        <v>0</v>
      </c>
      <c r="J101" s="69">
        <f t="shared" si="24"/>
        <v>0</v>
      </c>
      <c r="K101" s="68">
        <f>IFERROR(SUMIF(#REF!,B101,#REF!)*((#REF!-#REF!)/#REF!),0)</f>
        <v>0</v>
      </c>
      <c r="L101" s="69">
        <f t="shared" si="25"/>
        <v>0</v>
      </c>
      <c r="M101" s="68">
        <f>IFERROR(SUMIF(体外式膜型人工肺!$C$30:$C$74,B101,体外式膜型人工肺!$N$30:$N$74)*((体外式膜型人工肺!$H$3-体外式膜型人工肺!$I$3)/体外式膜型人工肺!$H$3),0)</f>
        <v>0</v>
      </c>
      <c r="N101" s="69">
        <f t="shared" si="26"/>
        <v>0</v>
      </c>
      <c r="O101" s="69">
        <f t="shared" si="27"/>
        <v>0</v>
      </c>
      <c r="P101" s="69">
        <f t="shared" si="28"/>
        <v>0</v>
      </c>
      <c r="Q101" s="68">
        <f>IFERROR(SUMIF(紫外線照射装置!$C$30:$C$74,B101,紫外線照射装置!$N$30:$N$74)*((紫外線照射装置!$H$3-紫外線照射装置!$I$3)/紫外線照射装置!$H$3),0)</f>
        <v>0</v>
      </c>
      <c r="R101" s="69">
        <f t="shared" si="29"/>
        <v>0</v>
      </c>
      <c r="S101" s="102">
        <f t="shared" si="30"/>
        <v>0</v>
      </c>
      <c r="T101" s="68">
        <f>IFERROR(SUMIF(超音波画像診断装置!$C$30:$C$74,B101,超音波画像診断装置!$K$30:$K$74)*((超音波画像診断装置!$H$3-超音波画像診断装置!$I$3)/超音波画像診断装置!$H$3),0)</f>
        <v>0</v>
      </c>
      <c r="U101" s="69">
        <f t="shared" si="31"/>
        <v>0</v>
      </c>
      <c r="V101" s="68">
        <f>IFERROR(SUMIF(血液浄化装置!$C$30:$C$74,B101,血液浄化装置!$K$30:$K$74)*((血液浄化装置!$H$3-血液浄化装置!$I$3)/血液浄化装置!$H$3),0)</f>
        <v>0</v>
      </c>
      <c r="W101" s="69">
        <f t="shared" si="32"/>
        <v>0</v>
      </c>
      <c r="X101" s="68">
        <f>IFERROR(SUMIF(気管支鏡!$C$30:$C$74,B101,気管支鏡!$K$30:$K$74)*((気管支鏡!$H$3-気管支鏡!$I$3)/気管支鏡!$H$3),0)</f>
        <v>0</v>
      </c>
      <c r="Y101" s="69">
        <f t="shared" si="18"/>
        <v>0</v>
      </c>
      <c r="Z101" s="68">
        <f>IFERROR(SUMIF(CT撮影装置!$C$30:$C$74,B101,CT撮影装置!$K$30:$K$74)*((CT撮影装置!$H$3-CT撮影装置!$I$3)/CT撮影装置!$H$3),0)</f>
        <v>0</v>
      </c>
      <c r="AA101" s="69">
        <f t="shared" si="33"/>
        <v>0</v>
      </c>
      <c r="AB101" s="68">
        <f>IFERROR(SUMIF(生体情報モニタ!$C$30:$C$74,B101,生体情報モニタ!$K$30:$K$74)*((生体情報モニタ!$H$3-生体情報モニタ!$I$3)/生体情報モニタ!$H$3),0)</f>
        <v>0</v>
      </c>
      <c r="AC101" s="69">
        <f t="shared" si="19"/>
        <v>0</v>
      </c>
      <c r="AD101" s="68">
        <f>IFERROR(SUMIF(分娩監視装置!$C$30:$C$74,B101,分娩監視装置!$K$30:$K$74)*((分娩監視装置!$H$3-分娩監視装置!$I$3)/分娩監視装置!$H$3),0)</f>
        <v>0</v>
      </c>
      <c r="AE101" s="69">
        <f t="shared" si="34"/>
        <v>0</v>
      </c>
      <c r="AF101" s="68">
        <f>IFERROR(SUMIF(新生児モニタ!$C$30:$C$74,B101,新生児モニタ!$K$30:$K$74)*((新生児モニタ!$H$3-新生児モニタ!$I$3)/新生児モニタ!$H$3),0)</f>
        <v>0</v>
      </c>
      <c r="AG101" s="69">
        <f t="shared" si="35"/>
        <v>0</v>
      </c>
    </row>
    <row r="102" spans="2:33">
      <c r="B102" s="65" t="s">
        <v>771</v>
      </c>
      <c r="C102" s="68">
        <f>IFERROR(SUMIF(初度設備!$C$30:$C$74,B102,初度設備!$N$30:$N$74)*((初度設備!$H$3-初度設備!$I$3)/初度設備!$H$3),0)</f>
        <v>0</v>
      </c>
      <c r="D102" s="69">
        <f t="shared" si="20"/>
        <v>0</v>
      </c>
      <c r="E102" s="68">
        <f>IFERROR(SUMIF(人工呼吸器!$C$30:$C$74,B102,人工呼吸器!$N$30:$N$74)*((人工呼吸器!$H$3-人工呼吸器!$I$3)/人工呼吸器!$H$3),0)</f>
        <v>0</v>
      </c>
      <c r="F102" s="69">
        <f t="shared" si="21"/>
        <v>0</v>
      </c>
      <c r="G102" s="69">
        <f t="shared" si="22"/>
        <v>0</v>
      </c>
      <c r="H102" s="69">
        <f t="shared" si="23"/>
        <v>0</v>
      </c>
      <c r="I102" s="68">
        <f>IFERROR(SUMIF(簡易陰圧装置!$C$30:$C$74,B102,簡易陰圧装置!$N$30:$N$74)*((簡易陰圧装置!$H$3-簡易陰圧装置!$I$3)/簡易陰圧装置!$H$3),0)</f>
        <v>0</v>
      </c>
      <c r="J102" s="69">
        <f t="shared" si="24"/>
        <v>0</v>
      </c>
      <c r="K102" s="68">
        <f>IFERROR(SUMIF(#REF!,B102,#REF!)*((#REF!-#REF!)/#REF!),0)</f>
        <v>0</v>
      </c>
      <c r="L102" s="69">
        <f t="shared" si="25"/>
        <v>0</v>
      </c>
      <c r="M102" s="68">
        <f>IFERROR(SUMIF(体外式膜型人工肺!$C$30:$C$74,B102,体外式膜型人工肺!$N$30:$N$74)*((体外式膜型人工肺!$H$3-体外式膜型人工肺!$I$3)/体外式膜型人工肺!$H$3),0)</f>
        <v>0</v>
      </c>
      <c r="N102" s="69">
        <f t="shared" si="26"/>
        <v>0</v>
      </c>
      <c r="O102" s="69">
        <f t="shared" si="27"/>
        <v>0</v>
      </c>
      <c r="P102" s="69">
        <f t="shared" si="28"/>
        <v>0</v>
      </c>
      <c r="Q102" s="68">
        <f>IFERROR(SUMIF(紫外線照射装置!$C$30:$C$74,B102,紫外線照射装置!$N$30:$N$74)*((紫外線照射装置!$H$3-紫外線照射装置!$I$3)/紫外線照射装置!$H$3),0)</f>
        <v>0</v>
      </c>
      <c r="R102" s="69">
        <f t="shared" si="29"/>
        <v>0</v>
      </c>
      <c r="S102" s="102">
        <f t="shared" si="30"/>
        <v>0</v>
      </c>
      <c r="T102" s="68">
        <f>IFERROR(SUMIF(超音波画像診断装置!$C$30:$C$74,B102,超音波画像診断装置!$K$30:$K$74)*((超音波画像診断装置!$H$3-超音波画像診断装置!$I$3)/超音波画像診断装置!$H$3),0)</f>
        <v>0</v>
      </c>
      <c r="U102" s="69">
        <f t="shared" si="31"/>
        <v>0</v>
      </c>
      <c r="V102" s="68">
        <f>IFERROR(SUMIF(血液浄化装置!$C$30:$C$74,B102,血液浄化装置!$K$30:$K$74)*((血液浄化装置!$H$3-血液浄化装置!$I$3)/血液浄化装置!$H$3),0)</f>
        <v>0</v>
      </c>
      <c r="W102" s="69">
        <f t="shared" si="32"/>
        <v>0</v>
      </c>
      <c r="X102" s="68">
        <f>IFERROR(SUMIF(気管支鏡!$C$30:$C$74,B102,気管支鏡!$K$30:$K$74)*((気管支鏡!$H$3-気管支鏡!$I$3)/気管支鏡!$H$3),0)</f>
        <v>0</v>
      </c>
      <c r="Y102" s="69">
        <f t="shared" si="18"/>
        <v>0</v>
      </c>
      <c r="Z102" s="68">
        <f>IFERROR(SUMIF(CT撮影装置!$C$30:$C$74,B102,CT撮影装置!$K$30:$K$74)*((CT撮影装置!$H$3-CT撮影装置!$I$3)/CT撮影装置!$H$3),0)</f>
        <v>0</v>
      </c>
      <c r="AA102" s="69">
        <f t="shared" si="33"/>
        <v>0</v>
      </c>
      <c r="AB102" s="68">
        <f>IFERROR(SUMIF(生体情報モニタ!$C$30:$C$74,B102,生体情報モニタ!$K$30:$K$74)*((生体情報モニタ!$H$3-生体情報モニタ!$I$3)/生体情報モニタ!$H$3),0)</f>
        <v>0</v>
      </c>
      <c r="AC102" s="69">
        <f t="shared" si="19"/>
        <v>0</v>
      </c>
      <c r="AD102" s="68">
        <f>IFERROR(SUMIF(分娩監視装置!$C$30:$C$74,B102,分娩監視装置!$K$30:$K$74)*((分娩監視装置!$H$3-分娩監視装置!$I$3)/分娩監視装置!$H$3),0)</f>
        <v>0</v>
      </c>
      <c r="AE102" s="69">
        <f t="shared" si="34"/>
        <v>0</v>
      </c>
      <c r="AF102" s="68">
        <f>IFERROR(SUMIF(新生児モニタ!$C$30:$C$74,B102,新生児モニタ!$K$30:$K$74)*((新生児モニタ!$H$3-新生児モニタ!$I$3)/新生児モニタ!$H$3),0)</f>
        <v>0</v>
      </c>
      <c r="AG102" s="69">
        <f t="shared" si="35"/>
        <v>0</v>
      </c>
    </row>
    <row r="103" spans="2:33">
      <c r="B103" s="65" t="s">
        <v>772</v>
      </c>
      <c r="C103" s="68">
        <f>IFERROR(SUMIF(初度設備!$C$30:$C$74,B103,初度設備!$N$30:$N$74)*((初度設備!$H$3-初度設備!$I$3)/初度設備!$H$3),0)</f>
        <v>0</v>
      </c>
      <c r="D103" s="69">
        <f t="shared" si="20"/>
        <v>0</v>
      </c>
      <c r="E103" s="68">
        <f>IFERROR(SUMIF(人工呼吸器!$C$30:$C$74,B103,人工呼吸器!$N$30:$N$74)*((人工呼吸器!$H$3-人工呼吸器!$I$3)/人工呼吸器!$H$3),0)</f>
        <v>0</v>
      </c>
      <c r="F103" s="69">
        <f t="shared" si="21"/>
        <v>0</v>
      </c>
      <c r="G103" s="69">
        <f t="shared" si="22"/>
        <v>0</v>
      </c>
      <c r="H103" s="69">
        <f t="shared" si="23"/>
        <v>0</v>
      </c>
      <c r="I103" s="68">
        <f>IFERROR(SUMIF(簡易陰圧装置!$C$30:$C$74,B103,簡易陰圧装置!$N$30:$N$74)*((簡易陰圧装置!$H$3-簡易陰圧装置!$I$3)/簡易陰圧装置!$H$3),0)</f>
        <v>0</v>
      </c>
      <c r="J103" s="69">
        <f t="shared" si="24"/>
        <v>0</v>
      </c>
      <c r="K103" s="68">
        <f>IFERROR(SUMIF(#REF!,B103,#REF!)*((#REF!-#REF!)/#REF!),0)</f>
        <v>0</v>
      </c>
      <c r="L103" s="69">
        <f t="shared" si="25"/>
        <v>0</v>
      </c>
      <c r="M103" s="68">
        <f>IFERROR(SUMIF(体外式膜型人工肺!$C$30:$C$74,B103,体外式膜型人工肺!$N$30:$N$74)*((体外式膜型人工肺!$H$3-体外式膜型人工肺!$I$3)/体外式膜型人工肺!$H$3),0)</f>
        <v>0</v>
      </c>
      <c r="N103" s="69">
        <f t="shared" si="26"/>
        <v>0</v>
      </c>
      <c r="O103" s="69">
        <f t="shared" si="27"/>
        <v>0</v>
      </c>
      <c r="P103" s="69">
        <f t="shared" si="28"/>
        <v>0</v>
      </c>
      <c r="Q103" s="68">
        <f>IFERROR(SUMIF(紫外線照射装置!$C$30:$C$74,B103,紫外線照射装置!$N$30:$N$74)*((紫外線照射装置!$H$3-紫外線照射装置!$I$3)/紫外線照射装置!$H$3),0)</f>
        <v>0</v>
      </c>
      <c r="R103" s="69">
        <f t="shared" si="29"/>
        <v>0</v>
      </c>
      <c r="S103" s="102">
        <f t="shared" si="30"/>
        <v>0</v>
      </c>
      <c r="T103" s="68">
        <f>IFERROR(SUMIF(超音波画像診断装置!$C$30:$C$74,B103,超音波画像診断装置!$K$30:$K$74)*((超音波画像診断装置!$H$3-超音波画像診断装置!$I$3)/超音波画像診断装置!$H$3),0)</f>
        <v>0</v>
      </c>
      <c r="U103" s="69">
        <f t="shared" si="31"/>
        <v>0</v>
      </c>
      <c r="V103" s="68">
        <f>IFERROR(SUMIF(血液浄化装置!$C$30:$C$74,B103,血液浄化装置!$K$30:$K$74)*((血液浄化装置!$H$3-血液浄化装置!$I$3)/血液浄化装置!$H$3),0)</f>
        <v>0</v>
      </c>
      <c r="W103" s="69">
        <f t="shared" si="32"/>
        <v>0</v>
      </c>
      <c r="X103" s="68">
        <f>IFERROR(SUMIF(気管支鏡!$C$30:$C$74,B103,気管支鏡!$K$30:$K$74)*((気管支鏡!$H$3-気管支鏡!$I$3)/気管支鏡!$H$3),0)</f>
        <v>0</v>
      </c>
      <c r="Y103" s="69">
        <f t="shared" si="18"/>
        <v>0</v>
      </c>
      <c r="Z103" s="68">
        <f>IFERROR(SUMIF(CT撮影装置!$C$30:$C$74,B103,CT撮影装置!$K$30:$K$74)*((CT撮影装置!$H$3-CT撮影装置!$I$3)/CT撮影装置!$H$3),0)</f>
        <v>0</v>
      </c>
      <c r="AA103" s="69">
        <f t="shared" si="33"/>
        <v>0</v>
      </c>
      <c r="AB103" s="68">
        <f>IFERROR(SUMIF(生体情報モニタ!$C$30:$C$74,B103,生体情報モニタ!$K$30:$K$74)*((生体情報モニタ!$H$3-生体情報モニタ!$I$3)/生体情報モニタ!$H$3),0)</f>
        <v>0</v>
      </c>
      <c r="AC103" s="69">
        <f t="shared" si="19"/>
        <v>0</v>
      </c>
      <c r="AD103" s="68">
        <f>IFERROR(SUMIF(分娩監視装置!$C$30:$C$74,B103,分娩監視装置!$K$30:$K$74)*((分娩監視装置!$H$3-分娩監視装置!$I$3)/分娩監視装置!$H$3),0)</f>
        <v>0</v>
      </c>
      <c r="AE103" s="69">
        <f t="shared" si="34"/>
        <v>0</v>
      </c>
      <c r="AF103" s="68">
        <f>IFERROR(SUMIF(新生児モニタ!$C$30:$C$74,B103,新生児モニタ!$K$30:$K$74)*((新生児モニタ!$H$3-新生児モニタ!$I$3)/新生児モニタ!$H$3),0)</f>
        <v>0</v>
      </c>
      <c r="AG103" s="69">
        <f t="shared" si="35"/>
        <v>0</v>
      </c>
    </row>
    <row r="104" spans="2:33">
      <c r="B104" s="65" t="s">
        <v>773</v>
      </c>
      <c r="C104" s="68">
        <f>IFERROR(SUMIF(初度設備!$C$30:$C$74,B104,初度設備!$N$30:$N$74)*((初度設備!$H$3-初度設備!$I$3)/初度設備!$H$3),0)</f>
        <v>0</v>
      </c>
      <c r="D104" s="69">
        <f t="shared" si="20"/>
        <v>0</v>
      </c>
      <c r="E104" s="68">
        <f>IFERROR(SUMIF(人工呼吸器!$C$30:$C$74,B104,人工呼吸器!$N$30:$N$74)*((人工呼吸器!$H$3-人工呼吸器!$I$3)/人工呼吸器!$H$3),0)</f>
        <v>0</v>
      </c>
      <c r="F104" s="69">
        <f t="shared" si="21"/>
        <v>0</v>
      </c>
      <c r="G104" s="69">
        <f t="shared" si="22"/>
        <v>0</v>
      </c>
      <c r="H104" s="69">
        <f t="shared" si="23"/>
        <v>0</v>
      </c>
      <c r="I104" s="68">
        <f>IFERROR(SUMIF(簡易陰圧装置!$C$30:$C$74,B104,簡易陰圧装置!$N$30:$N$74)*((簡易陰圧装置!$H$3-簡易陰圧装置!$I$3)/簡易陰圧装置!$H$3),0)</f>
        <v>0</v>
      </c>
      <c r="J104" s="69">
        <f t="shared" si="24"/>
        <v>0</v>
      </c>
      <c r="K104" s="68">
        <f>IFERROR(SUMIF(#REF!,B104,#REF!)*((#REF!-#REF!)/#REF!),0)</f>
        <v>0</v>
      </c>
      <c r="L104" s="69">
        <f t="shared" si="25"/>
        <v>0</v>
      </c>
      <c r="M104" s="68">
        <f>IFERROR(SUMIF(体外式膜型人工肺!$C$30:$C$74,B104,体外式膜型人工肺!$N$30:$N$74)*((体外式膜型人工肺!$H$3-体外式膜型人工肺!$I$3)/体外式膜型人工肺!$H$3),0)</f>
        <v>0</v>
      </c>
      <c r="N104" s="69">
        <f t="shared" si="26"/>
        <v>0</v>
      </c>
      <c r="O104" s="69">
        <f t="shared" si="27"/>
        <v>0</v>
      </c>
      <c r="P104" s="69">
        <f t="shared" si="28"/>
        <v>0</v>
      </c>
      <c r="Q104" s="68">
        <f>IFERROR(SUMIF(紫外線照射装置!$C$30:$C$74,B104,紫外線照射装置!$N$30:$N$74)*((紫外線照射装置!$H$3-紫外線照射装置!$I$3)/紫外線照射装置!$H$3),0)</f>
        <v>0</v>
      </c>
      <c r="R104" s="69">
        <f t="shared" si="29"/>
        <v>0</v>
      </c>
      <c r="S104" s="102">
        <f t="shared" si="30"/>
        <v>0</v>
      </c>
      <c r="T104" s="68">
        <f>IFERROR(SUMIF(超音波画像診断装置!$C$30:$C$74,B104,超音波画像診断装置!$K$30:$K$74)*((超音波画像診断装置!$H$3-超音波画像診断装置!$I$3)/超音波画像診断装置!$H$3),0)</f>
        <v>0</v>
      </c>
      <c r="U104" s="69">
        <f t="shared" si="31"/>
        <v>0</v>
      </c>
      <c r="V104" s="68">
        <f>IFERROR(SUMIF(血液浄化装置!$C$30:$C$74,B104,血液浄化装置!$K$30:$K$74)*((血液浄化装置!$H$3-血液浄化装置!$I$3)/血液浄化装置!$H$3),0)</f>
        <v>0</v>
      </c>
      <c r="W104" s="69">
        <f t="shared" si="32"/>
        <v>0</v>
      </c>
      <c r="X104" s="68">
        <f>IFERROR(SUMIF(気管支鏡!$C$30:$C$74,B104,気管支鏡!$K$30:$K$74)*((気管支鏡!$H$3-気管支鏡!$I$3)/気管支鏡!$H$3),0)</f>
        <v>0</v>
      </c>
      <c r="Y104" s="69">
        <f t="shared" si="18"/>
        <v>0</v>
      </c>
      <c r="Z104" s="68">
        <f>IFERROR(SUMIF(CT撮影装置!$C$30:$C$74,B104,CT撮影装置!$K$30:$K$74)*((CT撮影装置!$H$3-CT撮影装置!$I$3)/CT撮影装置!$H$3),0)</f>
        <v>0</v>
      </c>
      <c r="AA104" s="69">
        <f t="shared" si="33"/>
        <v>0</v>
      </c>
      <c r="AB104" s="68">
        <f>IFERROR(SUMIF(生体情報モニタ!$C$30:$C$74,B104,生体情報モニタ!$K$30:$K$74)*((生体情報モニタ!$H$3-生体情報モニタ!$I$3)/生体情報モニタ!$H$3),0)</f>
        <v>0</v>
      </c>
      <c r="AC104" s="69">
        <f t="shared" si="19"/>
        <v>0</v>
      </c>
      <c r="AD104" s="68">
        <f>IFERROR(SUMIF(分娩監視装置!$C$30:$C$74,B104,分娩監視装置!$K$30:$K$74)*((分娩監視装置!$H$3-分娩監視装置!$I$3)/分娩監視装置!$H$3),0)</f>
        <v>0</v>
      </c>
      <c r="AE104" s="69">
        <f t="shared" si="34"/>
        <v>0</v>
      </c>
      <c r="AF104" s="68">
        <f>IFERROR(SUMIF(新生児モニタ!$C$30:$C$74,B104,新生児モニタ!$K$30:$K$74)*((新生児モニタ!$H$3-新生児モニタ!$I$3)/新生児モニタ!$H$3),0)</f>
        <v>0</v>
      </c>
      <c r="AG104" s="69">
        <f t="shared" si="35"/>
        <v>0</v>
      </c>
    </row>
    <row r="105" spans="2:33">
      <c r="B105" s="65" t="s">
        <v>774</v>
      </c>
      <c r="C105" s="68">
        <f>IFERROR(SUMIF(初度設備!$C$30:$C$74,B105,初度設備!$N$30:$N$74)*((初度設備!$H$3-初度設備!$I$3)/初度設備!$H$3),0)</f>
        <v>0</v>
      </c>
      <c r="D105" s="69">
        <f t="shared" si="20"/>
        <v>0</v>
      </c>
      <c r="E105" s="68">
        <f>IFERROR(SUMIF(人工呼吸器!$C$30:$C$74,B105,人工呼吸器!$N$30:$N$74)*((人工呼吸器!$H$3-人工呼吸器!$I$3)/人工呼吸器!$H$3),0)</f>
        <v>0</v>
      </c>
      <c r="F105" s="69">
        <f t="shared" si="21"/>
        <v>0</v>
      </c>
      <c r="G105" s="69">
        <f t="shared" si="22"/>
        <v>0</v>
      </c>
      <c r="H105" s="69">
        <f t="shared" si="23"/>
        <v>0</v>
      </c>
      <c r="I105" s="68">
        <f>IFERROR(SUMIF(簡易陰圧装置!$C$30:$C$74,B105,簡易陰圧装置!$N$30:$N$74)*((簡易陰圧装置!$H$3-簡易陰圧装置!$I$3)/簡易陰圧装置!$H$3),0)</f>
        <v>0</v>
      </c>
      <c r="J105" s="69">
        <f t="shared" si="24"/>
        <v>0</v>
      </c>
      <c r="K105" s="68">
        <f>IFERROR(SUMIF(#REF!,B105,#REF!)*((#REF!-#REF!)/#REF!),0)</f>
        <v>0</v>
      </c>
      <c r="L105" s="69">
        <f t="shared" si="25"/>
        <v>0</v>
      </c>
      <c r="M105" s="68">
        <f>IFERROR(SUMIF(体外式膜型人工肺!$C$30:$C$74,B105,体外式膜型人工肺!$N$30:$N$74)*((体外式膜型人工肺!$H$3-体外式膜型人工肺!$I$3)/体外式膜型人工肺!$H$3),0)</f>
        <v>0</v>
      </c>
      <c r="N105" s="69">
        <f t="shared" si="26"/>
        <v>0</v>
      </c>
      <c r="O105" s="69">
        <f t="shared" si="27"/>
        <v>0</v>
      </c>
      <c r="P105" s="69">
        <f t="shared" si="28"/>
        <v>0</v>
      </c>
      <c r="Q105" s="68">
        <f>IFERROR(SUMIF(紫外線照射装置!$C$30:$C$74,B105,紫外線照射装置!$N$30:$N$74)*((紫外線照射装置!$H$3-紫外線照射装置!$I$3)/紫外線照射装置!$H$3),0)</f>
        <v>0</v>
      </c>
      <c r="R105" s="69">
        <f t="shared" si="29"/>
        <v>0</v>
      </c>
      <c r="S105" s="102">
        <f t="shared" si="30"/>
        <v>0</v>
      </c>
      <c r="T105" s="68">
        <f>IFERROR(SUMIF(超音波画像診断装置!$C$30:$C$74,B105,超音波画像診断装置!$K$30:$K$74)*((超音波画像診断装置!$H$3-超音波画像診断装置!$I$3)/超音波画像診断装置!$H$3),0)</f>
        <v>0</v>
      </c>
      <c r="U105" s="69">
        <f t="shared" si="31"/>
        <v>0</v>
      </c>
      <c r="V105" s="68">
        <f>IFERROR(SUMIF(血液浄化装置!$C$30:$C$74,B105,血液浄化装置!$K$30:$K$74)*((血液浄化装置!$H$3-血液浄化装置!$I$3)/血液浄化装置!$H$3),0)</f>
        <v>0</v>
      </c>
      <c r="W105" s="69">
        <f t="shared" si="32"/>
        <v>0</v>
      </c>
      <c r="X105" s="68">
        <f>IFERROR(SUMIF(気管支鏡!$C$30:$C$74,B105,気管支鏡!$K$30:$K$74)*((気管支鏡!$H$3-気管支鏡!$I$3)/気管支鏡!$H$3),0)</f>
        <v>0</v>
      </c>
      <c r="Y105" s="69">
        <f t="shared" si="18"/>
        <v>0</v>
      </c>
      <c r="Z105" s="68">
        <f>IFERROR(SUMIF(CT撮影装置!$C$30:$C$74,B105,CT撮影装置!$K$30:$K$74)*((CT撮影装置!$H$3-CT撮影装置!$I$3)/CT撮影装置!$H$3),0)</f>
        <v>0</v>
      </c>
      <c r="AA105" s="69">
        <f t="shared" si="33"/>
        <v>0</v>
      </c>
      <c r="AB105" s="68">
        <f>IFERROR(SUMIF(生体情報モニタ!$C$30:$C$74,B105,生体情報モニタ!$K$30:$K$74)*((生体情報モニタ!$H$3-生体情報モニタ!$I$3)/生体情報モニタ!$H$3),0)</f>
        <v>0</v>
      </c>
      <c r="AC105" s="69">
        <f t="shared" si="19"/>
        <v>0</v>
      </c>
      <c r="AD105" s="68">
        <f>IFERROR(SUMIF(分娩監視装置!$C$30:$C$74,B105,分娩監視装置!$K$30:$K$74)*((分娩監視装置!$H$3-分娩監視装置!$I$3)/分娩監視装置!$H$3),0)</f>
        <v>0</v>
      </c>
      <c r="AE105" s="69">
        <f t="shared" si="34"/>
        <v>0</v>
      </c>
      <c r="AF105" s="68">
        <f>IFERROR(SUMIF(新生児モニタ!$C$30:$C$74,B105,新生児モニタ!$K$30:$K$74)*((新生児モニタ!$H$3-新生児モニタ!$I$3)/新生児モニタ!$H$3),0)</f>
        <v>0</v>
      </c>
      <c r="AG105" s="69">
        <f t="shared" si="35"/>
        <v>0</v>
      </c>
    </row>
    <row r="106" spans="2:33">
      <c r="B106" s="65" t="s">
        <v>775</v>
      </c>
      <c r="C106" s="68">
        <f>IFERROR(SUMIF(初度設備!$C$30:$C$74,B106,初度設備!$N$30:$N$74)*((初度設備!$H$3-初度設備!$I$3)/初度設備!$H$3),0)</f>
        <v>0</v>
      </c>
      <c r="D106" s="69">
        <f t="shared" si="20"/>
        <v>0</v>
      </c>
      <c r="E106" s="68">
        <f>IFERROR(SUMIF(人工呼吸器!$C$30:$C$74,B106,人工呼吸器!$N$30:$N$74)*((人工呼吸器!$H$3-人工呼吸器!$I$3)/人工呼吸器!$H$3),0)</f>
        <v>0</v>
      </c>
      <c r="F106" s="69">
        <f t="shared" si="21"/>
        <v>0</v>
      </c>
      <c r="G106" s="69">
        <f t="shared" si="22"/>
        <v>0</v>
      </c>
      <c r="H106" s="69">
        <f t="shared" si="23"/>
        <v>0</v>
      </c>
      <c r="I106" s="68">
        <f>IFERROR(SUMIF(簡易陰圧装置!$C$30:$C$74,B106,簡易陰圧装置!$N$30:$N$74)*((簡易陰圧装置!$H$3-簡易陰圧装置!$I$3)/簡易陰圧装置!$H$3),0)</f>
        <v>0</v>
      </c>
      <c r="J106" s="69">
        <f t="shared" si="24"/>
        <v>0</v>
      </c>
      <c r="K106" s="68">
        <f>IFERROR(SUMIF(#REF!,B106,#REF!)*((#REF!-#REF!)/#REF!),0)</f>
        <v>0</v>
      </c>
      <c r="L106" s="69">
        <f t="shared" si="25"/>
        <v>0</v>
      </c>
      <c r="M106" s="68">
        <f>IFERROR(SUMIF(体外式膜型人工肺!$C$30:$C$74,B106,体外式膜型人工肺!$N$30:$N$74)*((体外式膜型人工肺!$H$3-体外式膜型人工肺!$I$3)/体外式膜型人工肺!$H$3),0)</f>
        <v>0</v>
      </c>
      <c r="N106" s="69">
        <f t="shared" si="26"/>
        <v>0</v>
      </c>
      <c r="O106" s="69">
        <f t="shared" si="27"/>
        <v>0</v>
      </c>
      <c r="P106" s="69">
        <f t="shared" si="28"/>
        <v>0</v>
      </c>
      <c r="Q106" s="68">
        <f>IFERROR(SUMIF(紫外線照射装置!$C$30:$C$74,B106,紫外線照射装置!$N$30:$N$74)*((紫外線照射装置!$H$3-紫外線照射装置!$I$3)/紫外線照射装置!$H$3),0)</f>
        <v>0</v>
      </c>
      <c r="R106" s="69">
        <f t="shared" si="29"/>
        <v>0</v>
      </c>
      <c r="S106" s="102">
        <f t="shared" si="30"/>
        <v>0</v>
      </c>
      <c r="T106" s="68">
        <f>IFERROR(SUMIF(超音波画像診断装置!$C$30:$C$74,B106,超音波画像診断装置!$K$30:$K$74)*((超音波画像診断装置!$H$3-超音波画像診断装置!$I$3)/超音波画像診断装置!$H$3),0)</f>
        <v>0</v>
      </c>
      <c r="U106" s="69">
        <f t="shared" si="31"/>
        <v>0</v>
      </c>
      <c r="V106" s="68">
        <f>IFERROR(SUMIF(血液浄化装置!$C$30:$C$74,B106,血液浄化装置!$K$30:$K$74)*((血液浄化装置!$H$3-血液浄化装置!$I$3)/血液浄化装置!$H$3),0)</f>
        <v>0</v>
      </c>
      <c r="W106" s="69">
        <f t="shared" si="32"/>
        <v>0</v>
      </c>
      <c r="X106" s="68">
        <f>IFERROR(SUMIF(気管支鏡!$C$30:$C$74,B106,気管支鏡!$K$30:$K$74)*((気管支鏡!$H$3-気管支鏡!$I$3)/気管支鏡!$H$3),0)</f>
        <v>0</v>
      </c>
      <c r="Y106" s="69">
        <f t="shared" si="18"/>
        <v>0</v>
      </c>
      <c r="Z106" s="68">
        <f>IFERROR(SUMIF(CT撮影装置!$C$30:$C$74,B106,CT撮影装置!$K$30:$K$74)*((CT撮影装置!$H$3-CT撮影装置!$I$3)/CT撮影装置!$H$3),0)</f>
        <v>0</v>
      </c>
      <c r="AA106" s="69">
        <f t="shared" si="33"/>
        <v>0</v>
      </c>
      <c r="AB106" s="68">
        <f>IFERROR(SUMIF(生体情報モニタ!$C$30:$C$74,B106,生体情報モニタ!$K$30:$K$74)*((生体情報モニタ!$H$3-生体情報モニタ!$I$3)/生体情報モニタ!$H$3),0)</f>
        <v>0</v>
      </c>
      <c r="AC106" s="69">
        <f t="shared" si="19"/>
        <v>0</v>
      </c>
      <c r="AD106" s="68">
        <f>IFERROR(SUMIF(分娩監視装置!$C$30:$C$74,B106,分娩監視装置!$K$30:$K$74)*((分娩監視装置!$H$3-分娩監視装置!$I$3)/分娩監視装置!$H$3),0)</f>
        <v>0</v>
      </c>
      <c r="AE106" s="69">
        <f t="shared" si="34"/>
        <v>0</v>
      </c>
      <c r="AF106" s="68">
        <f>IFERROR(SUMIF(新生児モニタ!$C$30:$C$74,B106,新生児モニタ!$K$30:$K$74)*((新生児モニタ!$H$3-新生児モニタ!$I$3)/新生児モニタ!$H$3),0)</f>
        <v>0</v>
      </c>
      <c r="AG106" s="69">
        <f t="shared" si="35"/>
        <v>0</v>
      </c>
    </row>
    <row r="107" spans="2:33">
      <c r="B107" s="65" t="s">
        <v>776</v>
      </c>
      <c r="C107" s="68">
        <f>IFERROR(SUMIF(初度設備!$C$30:$C$74,B107,初度設備!$N$30:$N$74)*((初度設備!$H$3-初度設備!$I$3)/初度設備!$H$3),0)</f>
        <v>0</v>
      </c>
      <c r="D107" s="69">
        <f t="shared" si="20"/>
        <v>0</v>
      </c>
      <c r="E107" s="68">
        <f>IFERROR(SUMIF(人工呼吸器!$C$30:$C$74,B107,人工呼吸器!$N$30:$N$74)*((人工呼吸器!$H$3-人工呼吸器!$I$3)/人工呼吸器!$H$3),0)</f>
        <v>0</v>
      </c>
      <c r="F107" s="69">
        <f t="shared" si="21"/>
        <v>0</v>
      </c>
      <c r="G107" s="69">
        <f t="shared" si="22"/>
        <v>0</v>
      </c>
      <c r="H107" s="69">
        <f t="shared" si="23"/>
        <v>0</v>
      </c>
      <c r="I107" s="68">
        <f>IFERROR(SUMIF(簡易陰圧装置!$C$30:$C$74,B107,簡易陰圧装置!$N$30:$N$74)*((簡易陰圧装置!$H$3-簡易陰圧装置!$I$3)/簡易陰圧装置!$H$3),0)</f>
        <v>0</v>
      </c>
      <c r="J107" s="69">
        <f t="shared" si="24"/>
        <v>0</v>
      </c>
      <c r="K107" s="68">
        <f>IFERROR(SUMIF(#REF!,B107,#REF!)*((#REF!-#REF!)/#REF!),0)</f>
        <v>0</v>
      </c>
      <c r="L107" s="69">
        <f t="shared" si="25"/>
        <v>0</v>
      </c>
      <c r="M107" s="68">
        <f>IFERROR(SUMIF(体外式膜型人工肺!$C$30:$C$74,B107,体外式膜型人工肺!$N$30:$N$74)*((体外式膜型人工肺!$H$3-体外式膜型人工肺!$I$3)/体外式膜型人工肺!$H$3),0)</f>
        <v>0</v>
      </c>
      <c r="N107" s="69">
        <f t="shared" si="26"/>
        <v>0</v>
      </c>
      <c r="O107" s="69">
        <f t="shared" si="27"/>
        <v>0</v>
      </c>
      <c r="P107" s="69">
        <f t="shared" si="28"/>
        <v>0</v>
      </c>
      <c r="Q107" s="68">
        <f>IFERROR(SUMIF(紫外線照射装置!$C$30:$C$74,B107,紫外線照射装置!$N$30:$N$74)*((紫外線照射装置!$H$3-紫外線照射装置!$I$3)/紫外線照射装置!$H$3),0)</f>
        <v>0</v>
      </c>
      <c r="R107" s="69">
        <f t="shared" si="29"/>
        <v>0</v>
      </c>
      <c r="S107" s="102">
        <f t="shared" si="30"/>
        <v>0</v>
      </c>
      <c r="T107" s="68">
        <f>IFERROR(SUMIF(超音波画像診断装置!$C$30:$C$74,B107,超音波画像診断装置!$K$30:$K$74)*((超音波画像診断装置!$H$3-超音波画像診断装置!$I$3)/超音波画像診断装置!$H$3),0)</f>
        <v>0</v>
      </c>
      <c r="U107" s="69">
        <f t="shared" si="31"/>
        <v>0</v>
      </c>
      <c r="V107" s="68">
        <f>IFERROR(SUMIF(血液浄化装置!$C$30:$C$74,B107,血液浄化装置!$K$30:$K$74)*((血液浄化装置!$H$3-血液浄化装置!$I$3)/血液浄化装置!$H$3),0)</f>
        <v>0</v>
      </c>
      <c r="W107" s="69">
        <f t="shared" si="32"/>
        <v>0</v>
      </c>
      <c r="X107" s="68">
        <f>IFERROR(SUMIF(気管支鏡!$C$30:$C$74,B107,気管支鏡!$K$30:$K$74)*((気管支鏡!$H$3-気管支鏡!$I$3)/気管支鏡!$H$3),0)</f>
        <v>0</v>
      </c>
      <c r="Y107" s="69">
        <f t="shared" si="18"/>
        <v>0</v>
      </c>
      <c r="Z107" s="68">
        <f>IFERROR(SUMIF(CT撮影装置!$C$30:$C$74,B107,CT撮影装置!$K$30:$K$74)*((CT撮影装置!$H$3-CT撮影装置!$I$3)/CT撮影装置!$H$3),0)</f>
        <v>0</v>
      </c>
      <c r="AA107" s="69">
        <f t="shared" si="33"/>
        <v>0</v>
      </c>
      <c r="AB107" s="68">
        <f>IFERROR(SUMIF(生体情報モニタ!$C$30:$C$74,B107,生体情報モニタ!$K$30:$K$74)*((生体情報モニタ!$H$3-生体情報モニタ!$I$3)/生体情報モニタ!$H$3),0)</f>
        <v>0</v>
      </c>
      <c r="AC107" s="69">
        <f t="shared" si="19"/>
        <v>0</v>
      </c>
      <c r="AD107" s="68">
        <f>IFERROR(SUMIF(分娩監視装置!$C$30:$C$74,B107,分娩監視装置!$K$30:$K$74)*((分娩監視装置!$H$3-分娩監視装置!$I$3)/分娩監視装置!$H$3),0)</f>
        <v>0</v>
      </c>
      <c r="AE107" s="69">
        <f t="shared" si="34"/>
        <v>0</v>
      </c>
      <c r="AF107" s="68">
        <f>IFERROR(SUMIF(新生児モニタ!$C$30:$C$74,B107,新生児モニタ!$K$30:$K$74)*((新生児モニタ!$H$3-新生児モニタ!$I$3)/新生児モニタ!$H$3),0)</f>
        <v>0</v>
      </c>
      <c r="AG107" s="69">
        <f t="shared" si="35"/>
        <v>0</v>
      </c>
    </row>
    <row r="108" spans="2:33">
      <c r="B108" s="65" t="s">
        <v>777</v>
      </c>
      <c r="C108" s="68">
        <f>IFERROR(SUMIF(初度設備!$C$30:$C$74,B108,初度設備!$N$30:$N$74)*((初度設備!$H$3-初度設備!$I$3)/初度設備!$H$3),0)</f>
        <v>0</v>
      </c>
      <c r="D108" s="69">
        <f t="shared" si="20"/>
        <v>0</v>
      </c>
      <c r="E108" s="68">
        <f>IFERROR(SUMIF(人工呼吸器!$C$30:$C$74,B108,人工呼吸器!$N$30:$N$74)*((人工呼吸器!$H$3-人工呼吸器!$I$3)/人工呼吸器!$H$3),0)</f>
        <v>0</v>
      </c>
      <c r="F108" s="69">
        <f t="shared" si="21"/>
        <v>0</v>
      </c>
      <c r="G108" s="69">
        <f t="shared" si="22"/>
        <v>0</v>
      </c>
      <c r="H108" s="69">
        <f t="shared" si="23"/>
        <v>0</v>
      </c>
      <c r="I108" s="68">
        <f>IFERROR(SUMIF(簡易陰圧装置!$C$30:$C$74,B108,簡易陰圧装置!$N$30:$N$74)*((簡易陰圧装置!$H$3-簡易陰圧装置!$I$3)/簡易陰圧装置!$H$3),0)</f>
        <v>0</v>
      </c>
      <c r="J108" s="69">
        <f t="shared" si="24"/>
        <v>0</v>
      </c>
      <c r="K108" s="68">
        <f>IFERROR(SUMIF(#REF!,B108,#REF!)*((#REF!-#REF!)/#REF!),0)</f>
        <v>0</v>
      </c>
      <c r="L108" s="69">
        <f t="shared" si="25"/>
        <v>0</v>
      </c>
      <c r="M108" s="68">
        <f>IFERROR(SUMIF(体外式膜型人工肺!$C$30:$C$74,B108,体外式膜型人工肺!$N$30:$N$74)*((体外式膜型人工肺!$H$3-体外式膜型人工肺!$I$3)/体外式膜型人工肺!$H$3),0)</f>
        <v>0</v>
      </c>
      <c r="N108" s="69">
        <f t="shared" si="26"/>
        <v>0</v>
      </c>
      <c r="O108" s="69">
        <f t="shared" si="27"/>
        <v>0</v>
      </c>
      <c r="P108" s="69">
        <f t="shared" si="28"/>
        <v>0</v>
      </c>
      <c r="Q108" s="68">
        <f>IFERROR(SUMIF(紫外線照射装置!$C$30:$C$74,B108,紫外線照射装置!$N$30:$N$74)*((紫外線照射装置!$H$3-紫外線照射装置!$I$3)/紫外線照射装置!$H$3),0)</f>
        <v>0</v>
      </c>
      <c r="R108" s="69">
        <f t="shared" si="29"/>
        <v>0</v>
      </c>
      <c r="S108" s="102">
        <f t="shared" si="30"/>
        <v>0</v>
      </c>
      <c r="T108" s="68">
        <f>IFERROR(SUMIF(超音波画像診断装置!$C$30:$C$74,B108,超音波画像診断装置!$K$30:$K$74)*((超音波画像診断装置!$H$3-超音波画像診断装置!$I$3)/超音波画像診断装置!$H$3),0)</f>
        <v>0</v>
      </c>
      <c r="U108" s="69">
        <f t="shared" si="31"/>
        <v>0</v>
      </c>
      <c r="V108" s="68">
        <f>IFERROR(SUMIF(血液浄化装置!$C$30:$C$74,B108,血液浄化装置!$K$30:$K$74)*((血液浄化装置!$H$3-血液浄化装置!$I$3)/血液浄化装置!$H$3),0)</f>
        <v>0</v>
      </c>
      <c r="W108" s="69">
        <f t="shared" si="32"/>
        <v>0</v>
      </c>
      <c r="X108" s="68">
        <f>IFERROR(SUMIF(気管支鏡!$C$30:$C$74,B108,気管支鏡!$K$30:$K$74)*((気管支鏡!$H$3-気管支鏡!$I$3)/気管支鏡!$H$3),0)</f>
        <v>0</v>
      </c>
      <c r="Y108" s="69">
        <f t="shared" si="18"/>
        <v>0</v>
      </c>
      <c r="Z108" s="68">
        <f>IFERROR(SUMIF(CT撮影装置!$C$30:$C$74,B108,CT撮影装置!$K$30:$K$74)*((CT撮影装置!$H$3-CT撮影装置!$I$3)/CT撮影装置!$H$3),0)</f>
        <v>0</v>
      </c>
      <c r="AA108" s="69">
        <f t="shared" si="33"/>
        <v>0</v>
      </c>
      <c r="AB108" s="68">
        <f>IFERROR(SUMIF(生体情報モニタ!$C$30:$C$74,B108,生体情報モニタ!$K$30:$K$74)*((生体情報モニタ!$H$3-生体情報モニタ!$I$3)/生体情報モニタ!$H$3),0)</f>
        <v>0</v>
      </c>
      <c r="AC108" s="69">
        <f t="shared" si="19"/>
        <v>0</v>
      </c>
      <c r="AD108" s="68">
        <f>IFERROR(SUMIF(分娩監視装置!$C$30:$C$74,B108,分娩監視装置!$K$30:$K$74)*((分娩監視装置!$H$3-分娩監視装置!$I$3)/分娩監視装置!$H$3),0)</f>
        <v>0</v>
      </c>
      <c r="AE108" s="69">
        <f t="shared" si="34"/>
        <v>0</v>
      </c>
      <c r="AF108" s="68">
        <f>IFERROR(SUMIF(新生児モニタ!$C$30:$C$74,B108,新生児モニタ!$K$30:$K$74)*((新生児モニタ!$H$3-新生児モニタ!$I$3)/新生児モニタ!$H$3),0)</f>
        <v>0</v>
      </c>
      <c r="AG108" s="69">
        <f t="shared" si="35"/>
        <v>0</v>
      </c>
    </row>
    <row r="109" spans="2:33">
      <c r="B109" s="65" t="s">
        <v>778</v>
      </c>
      <c r="C109" s="68">
        <f>IFERROR(SUMIF(初度設備!$C$30:$C$74,B109,初度設備!$N$30:$N$74)*((初度設備!$H$3-初度設備!$I$3)/初度設備!$H$3),0)</f>
        <v>0</v>
      </c>
      <c r="D109" s="69">
        <f t="shared" si="20"/>
        <v>0</v>
      </c>
      <c r="E109" s="68">
        <f>IFERROR(SUMIF(人工呼吸器!$C$30:$C$74,B109,人工呼吸器!$N$30:$N$74)*((人工呼吸器!$H$3-人工呼吸器!$I$3)/人工呼吸器!$H$3),0)</f>
        <v>0</v>
      </c>
      <c r="F109" s="69">
        <f t="shared" si="21"/>
        <v>0</v>
      </c>
      <c r="G109" s="69">
        <f t="shared" si="22"/>
        <v>0</v>
      </c>
      <c r="H109" s="69">
        <f t="shared" si="23"/>
        <v>0</v>
      </c>
      <c r="I109" s="68">
        <f>IFERROR(SUMIF(簡易陰圧装置!$C$30:$C$74,B109,簡易陰圧装置!$N$30:$N$74)*((簡易陰圧装置!$H$3-簡易陰圧装置!$I$3)/簡易陰圧装置!$H$3),0)</f>
        <v>0</v>
      </c>
      <c r="J109" s="69">
        <f t="shared" si="24"/>
        <v>0</v>
      </c>
      <c r="K109" s="68">
        <f>IFERROR(SUMIF(#REF!,B109,#REF!)*((#REF!-#REF!)/#REF!),0)</f>
        <v>0</v>
      </c>
      <c r="L109" s="69">
        <f t="shared" si="25"/>
        <v>0</v>
      </c>
      <c r="M109" s="68">
        <f>IFERROR(SUMIF(体外式膜型人工肺!$C$30:$C$74,B109,体外式膜型人工肺!$N$30:$N$74)*((体外式膜型人工肺!$H$3-体外式膜型人工肺!$I$3)/体外式膜型人工肺!$H$3),0)</f>
        <v>0</v>
      </c>
      <c r="N109" s="69">
        <f t="shared" si="26"/>
        <v>0</v>
      </c>
      <c r="O109" s="69">
        <f t="shared" si="27"/>
        <v>0</v>
      </c>
      <c r="P109" s="69">
        <f t="shared" si="28"/>
        <v>0</v>
      </c>
      <c r="Q109" s="68">
        <f>IFERROR(SUMIF(紫外線照射装置!$C$30:$C$74,B109,紫外線照射装置!$N$30:$N$74)*((紫外線照射装置!$H$3-紫外線照射装置!$I$3)/紫外線照射装置!$H$3),0)</f>
        <v>0</v>
      </c>
      <c r="R109" s="69">
        <f t="shared" si="29"/>
        <v>0</v>
      </c>
      <c r="S109" s="102">
        <f t="shared" si="30"/>
        <v>0</v>
      </c>
      <c r="T109" s="68">
        <f>IFERROR(SUMIF(超音波画像診断装置!$C$30:$C$74,B109,超音波画像診断装置!$K$30:$K$74)*((超音波画像診断装置!$H$3-超音波画像診断装置!$I$3)/超音波画像診断装置!$H$3),0)</f>
        <v>0</v>
      </c>
      <c r="U109" s="69">
        <f t="shared" si="31"/>
        <v>0</v>
      </c>
      <c r="V109" s="68">
        <f>IFERROR(SUMIF(血液浄化装置!$C$30:$C$74,B109,血液浄化装置!$K$30:$K$74)*((血液浄化装置!$H$3-血液浄化装置!$I$3)/血液浄化装置!$H$3),0)</f>
        <v>0</v>
      </c>
      <c r="W109" s="69">
        <f t="shared" si="32"/>
        <v>0</v>
      </c>
      <c r="X109" s="68">
        <f>IFERROR(SUMIF(気管支鏡!$C$30:$C$74,B109,気管支鏡!$K$30:$K$74)*((気管支鏡!$H$3-気管支鏡!$I$3)/気管支鏡!$H$3),0)</f>
        <v>0</v>
      </c>
      <c r="Y109" s="69">
        <f t="shared" si="18"/>
        <v>0</v>
      </c>
      <c r="Z109" s="68">
        <f>IFERROR(SUMIF(CT撮影装置!$C$30:$C$74,B109,CT撮影装置!$K$30:$K$74)*((CT撮影装置!$H$3-CT撮影装置!$I$3)/CT撮影装置!$H$3),0)</f>
        <v>0</v>
      </c>
      <c r="AA109" s="69">
        <f t="shared" si="33"/>
        <v>0</v>
      </c>
      <c r="AB109" s="68">
        <f>IFERROR(SUMIF(生体情報モニタ!$C$30:$C$74,B109,生体情報モニタ!$K$30:$K$74)*((生体情報モニタ!$H$3-生体情報モニタ!$I$3)/生体情報モニタ!$H$3),0)</f>
        <v>0</v>
      </c>
      <c r="AC109" s="69">
        <f t="shared" si="19"/>
        <v>0</v>
      </c>
      <c r="AD109" s="68">
        <f>IFERROR(SUMIF(分娩監視装置!$C$30:$C$74,B109,分娩監視装置!$K$30:$K$74)*((分娩監視装置!$H$3-分娩監視装置!$I$3)/分娩監視装置!$H$3),0)</f>
        <v>0</v>
      </c>
      <c r="AE109" s="69">
        <f t="shared" si="34"/>
        <v>0</v>
      </c>
      <c r="AF109" s="68">
        <f>IFERROR(SUMIF(新生児モニタ!$C$30:$C$74,B109,新生児モニタ!$K$30:$K$74)*((新生児モニタ!$H$3-新生児モニタ!$I$3)/新生児モニタ!$H$3),0)</f>
        <v>0</v>
      </c>
      <c r="AG109" s="69">
        <f t="shared" si="35"/>
        <v>0</v>
      </c>
    </row>
    <row r="110" spans="2:33">
      <c r="B110" s="65" t="s">
        <v>779</v>
      </c>
      <c r="C110" s="68">
        <f>IFERROR(SUMIF(初度設備!$C$30:$C$74,B110,初度設備!$N$30:$N$74)*((初度設備!$H$3-初度設備!$I$3)/初度設備!$H$3),0)</f>
        <v>0</v>
      </c>
      <c r="D110" s="69">
        <f t="shared" si="20"/>
        <v>0</v>
      </c>
      <c r="E110" s="68">
        <f>IFERROR(SUMIF(人工呼吸器!$C$30:$C$74,B110,人工呼吸器!$N$30:$N$74)*((人工呼吸器!$H$3-人工呼吸器!$I$3)/人工呼吸器!$H$3),0)</f>
        <v>0</v>
      </c>
      <c r="F110" s="69">
        <f t="shared" si="21"/>
        <v>0</v>
      </c>
      <c r="G110" s="69">
        <f t="shared" si="22"/>
        <v>0</v>
      </c>
      <c r="H110" s="69">
        <f t="shared" si="23"/>
        <v>0</v>
      </c>
      <c r="I110" s="68">
        <f>IFERROR(SUMIF(簡易陰圧装置!$C$30:$C$74,B110,簡易陰圧装置!$N$30:$N$74)*((簡易陰圧装置!$H$3-簡易陰圧装置!$I$3)/簡易陰圧装置!$H$3),0)</f>
        <v>0</v>
      </c>
      <c r="J110" s="69">
        <f t="shared" si="24"/>
        <v>0</v>
      </c>
      <c r="K110" s="68">
        <f>IFERROR(SUMIF(#REF!,B110,#REF!)*((#REF!-#REF!)/#REF!),0)</f>
        <v>0</v>
      </c>
      <c r="L110" s="69">
        <f t="shared" si="25"/>
        <v>0</v>
      </c>
      <c r="M110" s="68">
        <f>IFERROR(SUMIF(体外式膜型人工肺!$C$30:$C$74,B110,体外式膜型人工肺!$N$30:$N$74)*((体外式膜型人工肺!$H$3-体外式膜型人工肺!$I$3)/体外式膜型人工肺!$H$3),0)</f>
        <v>0</v>
      </c>
      <c r="N110" s="69">
        <f t="shared" si="26"/>
        <v>0</v>
      </c>
      <c r="O110" s="69">
        <f t="shared" si="27"/>
        <v>0</v>
      </c>
      <c r="P110" s="69">
        <f t="shared" si="28"/>
        <v>0</v>
      </c>
      <c r="Q110" s="68">
        <f>IFERROR(SUMIF(紫外線照射装置!$C$30:$C$74,B110,紫外線照射装置!$N$30:$N$74)*((紫外線照射装置!$H$3-紫外線照射装置!$I$3)/紫外線照射装置!$H$3),0)</f>
        <v>0</v>
      </c>
      <c r="R110" s="69">
        <f t="shared" si="29"/>
        <v>0</v>
      </c>
      <c r="S110" s="102">
        <f t="shared" si="30"/>
        <v>0</v>
      </c>
      <c r="T110" s="68">
        <f>IFERROR(SUMIF(超音波画像診断装置!$C$30:$C$74,B110,超音波画像診断装置!$K$30:$K$74)*((超音波画像診断装置!$H$3-超音波画像診断装置!$I$3)/超音波画像診断装置!$H$3),0)</f>
        <v>0</v>
      </c>
      <c r="U110" s="69">
        <f t="shared" si="31"/>
        <v>0</v>
      </c>
      <c r="V110" s="68">
        <f>IFERROR(SUMIF(血液浄化装置!$C$30:$C$74,B110,血液浄化装置!$K$30:$K$74)*((血液浄化装置!$H$3-血液浄化装置!$I$3)/血液浄化装置!$H$3),0)</f>
        <v>0</v>
      </c>
      <c r="W110" s="69">
        <f t="shared" si="32"/>
        <v>0</v>
      </c>
      <c r="X110" s="68">
        <f>IFERROR(SUMIF(気管支鏡!$C$30:$C$74,B110,気管支鏡!$K$30:$K$74)*((気管支鏡!$H$3-気管支鏡!$I$3)/気管支鏡!$H$3),0)</f>
        <v>0</v>
      </c>
      <c r="Y110" s="69">
        <f t="shared" si="18"/>
        <v>0</v>
      </c>
      <c r="Z110" s="68">
        <f>IFERROR(SUMIF(CT撮影装置!$C$30:$C$74,B110,CT撮影装置!$K$30:$K$74)*((CT撮影装置!$H$3-CT撮影装置!$I$3)/CT撮影装置!$H$3),0)</f>
        <v>0</v>
      </c>
      <c r="AA110" s="69">
        <f t="shared" si="33"/>
        <v>0</v>
      </c>
      <c r="AB110" s="68">
        <f>IFERROR(SUMIF(生体情報モニタ!$C$30:$C$74,B110,生体情報モニタ!$K$30:$K$74)*((生体情報モニタ!$H$3-生体情報モニタ!$I$3)/生体情報モニタ!$H$3),0)</f>
        <v>0</v>
      </c>
      <c r="AC110" s="69">
        <f t="shared" si="19"/>
        <v>0</v>
      </c>
      <c r="AD110" s="68">
        <f>IFERROR(SUMIF(分娩監視装置!$C$30:$C$74,B110,分娩監視装置!$K$30:$K$74)*((分娩監視装置!$H$3-分娩監視装置!$I$3)/分娩監視装置!$H$3),0)</f>
        <v>0</v>
      </c>
      <c r="AE110" s="69">
        <f t="shared" si="34"/>
        <v>0</v>
      </c>
      <c r="AF110" s="68">
        <f>IFERROR(SUMIF(新生児モニタ!$C$30:$C$74,B110,新生児モニタ!$K$30:$K$74)*((新生児モニタ!$H$3-新生児モニタ!$I$3)/新生児モニタ!$H$3),0)</f>
        <v>0</v>
      </c>
      <c r="AG110" s="69">
        <f t="shared" si="35"/>
        <v>0</v>
      </c>
    </row>
    <row r="111" spans="2:33">
      <c r="B111" s="65" t="s">
        <v>780</v>
      </c>
      <c r="C111" s="68">
        <f>IFERROR(SUMIF(初度設備!$C$30:$C$74,B111,初度設備!$N$30:$N$74)*((初度設備!$H$3-初度設備!$I$3)/初度設備!$H$3),0)</f>
        <v>0</v>
      </c>
      <c r="D111" s="69">
        <f t="shared" si="20"/>
        <v>0</v>
      </c>
      <c r="E111" s="68">
        <f>IFERROR(SUMIF(人工呼吸器!$C$30:$C$74,B111,人工呼吸器!$N$30:$N$74)*((人工呼吸器!$H$3-人工呼吸器!$I$3)/人工呼吸器!$H$3),0)</f>
        <v>0</v>
      </c>
      <c r="F111" s="69">
        <f t="shared" si="21"/>
        <v>0</v>
      </c>
      <c r="G111" s="69">
        <f t="shared" si="22"/>
        <v>0</v>
      </c>
      <c r="H111" s="69">
        <f t="shared" si="23"/>
        <v>0</v>
      </c>
      <c r="I111" s="68">
        <f>IFERROR(SUMIF(簡易陰圧装置!$C$30:$C$74,B111,簡易陰圧装置!$N$30:$N$74)*((簡易陰圧装置!$H$3-簡易陰圧装置!$I$3)/簡易陰圧装置!$H$3),0)</f>
        <v>0</v>
      </c>
      <c r="J111" s="69">
        <f t="shared" si="24"/>
        <v>0</v>
      </c>
      <c r="K111" s="68">
        <f>IFERROR(SUMIF(#REF!,B111,#REF!)*((#REF!-#REF!)/#REF!),0)</f>
        <v>0</v>
      </c>
      <c r="L111" s="69">
        <f t="shared" si="25"/>
        <v>0</v>
      </c>
      <c r="M111" s="68">
        <f>IFERROR(SUMIF(体外式膜型人工肺!$C$30:$C$74,B111,体外式膜型人工肺!$N$30:$N$74)*((体外式膜型人工肺!$H$3-体外式膜型人工肺!$I$3)/体外式膜型人工肺!$H$3),0)</f>
        <v>0</v>
      </c>
      <c r="N111" s="69">
        <f t="shared" si="26"/>
        <v>0</v>
      </c>
      <c r="O111" s="69">
        <f t="shared" si="27"/>
        <v>0</v>
      </c>
      <c r="P111" s="69">
        <f t="shared" si="28"/>
        <v>0</v>
      </c>
      <c r="Q111" s="68">
        <f>IFERROR(SUMIF(紫外線照射装置!$C$30:$C$74,B111,紫外線照射装置!$N$30:$N$74)*((紫外線照射装置!$H$3-紫外線照射装置!$I$3)/紫外線照射装置!$H$3),0)</f>
        <v>0</v>
      </c>
      <c r="R111" s="69">
        <f t="shared" si="29"/>
        <v>0</v>
      </c>
      <c r="S111" s="102">
        <f t="shared" si="30"/>
        <v>0</v>
      </c>
      <c r="T111" s="68">
        <f>IFERROR(SUMIF(超音波画像診断装置!$C$30:$C$74,B111,超音波画像診断装置!$K$30:$K$74)*((超音波画像診断装置!$H$3-超音波画像診断装置!$I$3)/超音波画像診断装置!$H$3),0)</f>
        <v>0</v>
      </c>
      <c r="U111" s="69">
        <f t="shared" si="31"/>
        <v>0</v>
      </c>
      <c r="V111" s="68">
        <f>IFERROR(SUMIF(血液浄化装置!$C$30:$C$74,B111,血液浄化装置!$K$30:$K$74)*((血液浄化装置!$H$3-血液浄化装置!$I$3)/血液浄化装置!$H$3),0)</f>
        <v>0</v>
      </c>
      <c r="W111" s="69">
        <f t="shared" si="32"/>
        <v>0</v>
      </c>
      <c r="X111" s="68">
        <f>IFERROR(SUMIF(気管支鏡!$C$30:$C$74,B111,気管支鏡!$K$30:$K$74)*((気管支鏡!$H$3-気管支鏡!$I$3)/気管支鏡!$H$3),0)</f>
        <v>0</v>
      </c>
      <c r="Y111" s="69">
        <f t="shared" si="18"/>
        <v>0</v>
      </c>
      <c r="Z111" s="68">
        <f>IFERROR(SUMIF(CT撮影装置!$C$30:$C$74,B111,CT撮影装置!$K$30:$K$74)*((CT撮影装置!$H$3-CT撮影装置!$I$3)/CT撮影装置!$H$3),0)</f>
        <v>0</v>
      </c>
      <c r="AA111" s="69">
        <f t="shared" si="33"/>
        <v>0</v>
      </c>
      <c r="AB111" s="68">
        <f>IFERROR(SUMIF(生体情報モニタ!$C$30:$C$74,B111,生体情報モニタ!$K$30:$K$74)*((生体情報モニタ!$H$3-生体情報モニタ!$I$3)/生体情報モニタ!$H$3),0)</f>
        <v>0</v>
      </c>
      <c r="AC111" s="69">
        <f t="shared" si="19"/>
        <v>0</v>
      </c>
      <c r="AD111" s="68">
        <f>IFERROR(SUMIF(分娩監視装置!$C$30:$C$74,B111,分娩監視装置!$K$30:$K$74)*((分娩監視装置!$H$3-分娩監視装置!$I$3)/分娩監視装置!$H$3),0)</f>
        <v>0</v>
      </c>
      <c r="AE111" s="69">
        <f t="shared" si="34"/>
        <v>0</v>
      </c>
      <c r="AF111" s="68">
        <f>IFERROR(SUMIF(新生児モニタ!$C$30:$C$74,B111,新生児モニタ!$K$30:$K$74)*((新生児モニタ!$H$3-新生児モニタ!$I$3)/新生児モニタ!$H$3),0)</f>
        <v>0</v>
      </c>
      <c r="AG111" s="69">
        <f t="shared" si="35"/>
        <v>0</v>
      </c>
    </row>
    <row r="112" spans="2:33">
      <c r="B112" s="65" t="s">
        <v>781</v>
      </c>
      <c r="C112" s="68">
        <f>IFERROR(SUMIF(初度設備!$C$30:$C$74,B112,初度設備!$N$30:$N$74)*((初度設備!$H$3-初度設備!$I$3)/初度設備!$H$3),0)</f>
        <v>0</v>
      </c>
      <c r="D112" s="69">
        <f t="shared" si="20"/>
        <v>0</v>
      </c>
      <c r="E112" s="68">
        <f>IFERROR(SUMIF(人工呼吸器!$C$30:$C$74,B112,人工呼吸器!$N$30:$N$74)*((人工呼吸器!$H$3-人工呼吸器!$I$3)/人工呼吸器!$H$3),0)</f>
        <v>0</v>
      </c>
      <c r="F112" s="69">
        <f t="shared" si="21"/>
        <v>0</v>
      </c>
      <c r="G112" s="69">
        <f t="shared" si="22"/>
        <v>0</v>
      </c>
      <c r="H112" s="69">
        <f t="shared" si="23"/>
        <v>0</v>
      </c>
      <c r="I112" s="68">
        <f>IFERROR(SUMIF(簡易陰圧装置!$C$30:$C$74,B112,簡易陰圧装置!$N$30:$N$74)*((簡易陰圧装置!$H$3-簡易陰圧装置!$I$3)/簡易陰圧装置!$H$3),0)</f>
        <v>0</v>
      </c>
      <c r="J112" s="69">
        <f t="shared" si="24"/>
        <v>0</v>
      </c>
      <c r="K112" s="68">
        <f>IFERROR(SUMIF(#REF!,B112,#REF!)*((#REF!-#REF!)/#REF!),0)</f>
        <v>0</v>
      </c>
      <c r="L112" s="69">
        <f t="shared" si="25"/>
        <v>0</v>
      </c>
      <c r="M112" s="68">
        <f>IFERROR(SUMIF(体外式膜型人工肺!$C$30:$C$74,B112,体外式膜型人工肺!$N$30:$N$74)*((体外式膜型人工肺!$H$3-体外式膜型人工肺!$I$3)/体外式膜型人工肺!$H$3),0)</f>
        <v>0</v>
      </c>
      <c r="N112" s="69">
        <f t="shared" si="26"/>
        <v>0</v>
      </c>
      <c r="O112" s="69">
        <f t="shared" si="27"/>
        <v>0</v>
      </c>
      <c r="P112" s="69">
        <f t="shared" si="28"/>
        <v>0</v>
      </c>
      <c r="Q112" s="68">
        <f>IFERROR(SUMIF(紫外線照射装置!$C$30:$C$74,B112,紫外線照射装置!$N$30:$N$74)*((紫外線照射装置!$H$3-紫外線照射装置!$I$3)/紫外線照射装置!$H$3),0)</f>
        <v>0</v>
      </c>
      <c r="R112" s="69">
        <f t="shared" si="29"/>
        <v>0</v>
      </c>
      <c r="S112" s="102">
        <f t="shared" si="30"/>
        <v>0</v>
      </c>
      <c r="T112" s="68">
        <f>IFERROR(SUMIF(超音波画像診断装置!$C$30:$C$74,B112,超音波画像診断装置!$K$30:$K$74)*((超音波画像診断装置!$H$3-超音波画像診断装置!$I$3)/超音波画像診断装置!$H$3),0)</f>
        <v>0</v>
      </c>
      <c r="U112" s="69">
        <f t="shared" si="31"/>
        <v>0</v>
      </c>
      <c r="V112" s="68">
        <f>IFERROR(SUMIF(血液浄化装置!$C$30:$C$74,B112,血液浄化装置!$K$30:$K$74)*((血液浄化装置!$H$3-血液浄化装置!$I$3)/血液浄化装置!$H$3),0)</f>
        <v>0</v>
      </c>
      <c r="W112" s="69">
        <f t="shared" si="32"/>
        <v>0</v>
      </c>
      <c r="X112" s="68">
        <f>IFERROR(SUMIF(気管支鏡!$C$30:$C$74,B112,気管支鏡!$K$30:$K$74)*((気管支鏡!$H$3-気管支鏡!$I$3)/気管支鏡!$H$3),0)</f>
        <v>0</v>
      </c>
      <c r="Y112" s="69">
        <f t="shared" si="18"/>
        <v>0</v>
      </c>
      <c r="Z112" s="68">
        <f>IFERROR(SUMIF(CT撮影装置!$C$30:$C$74,B112,CT撮影装置!$K$30:$K$74)*((CT撮影装置!$H$3-CT撮影装置!$I$3)/CT撮影装置!$H$3),0)</f>
        <v>0</v>
      </c>
      <c r="AA112" s="69">
        <f t="shared" si="33"/>
        <v>0</v>
      </c>
      <c r="AB112" s="68">
        <f>IFERROR(SUMIF(生体情報モニタ!$C$30:$C$74,B112,生体情報モニタ!$K$30:$K$74)*((生体情報モニタ!$H$3-生体情報モニタ!$I$3)/生体情報モニタ!$H$3),0)</f>
        <v>0</v>
      </c>
      <c r="AC112" s="69">
        <f t="shared" si="19"/>
        <v>0</v>
      </c>
      <c r="AD112" s="68">
        <f>IFERROR(SUMIF(分娩監視装置!$C$30:$C$74,B112,分娩監視装置!$K$30:$K$74)*((分娩監視装置!$H$3-分娩監視装置!$I$3)/分娩監視装置!$H$3),0)</f>
        <v>0</v>
      </c>
      <c r="AE112" s="69">
        <f t="shared" si="34"/>
        <v>0</v>
      </c>
      <c r="AF112" s="68">
        <f>IFERROR(SUMIF(新生児モニタ!$C$30:$C$74,B112,新生児モニタ!$K$30:$K$74)*((新生児モニタ!$H$3-新生児モニタ!$I$3)/新生児モニタ!$H$3),0)</f>
        <v>0</v>
      </c>
      <c r="AG112" s="69">
        <f t="shared" si="35"/>
        <v>0</v>
      </c>
    </row>
    <row r="113" spans="2:33">
      <c r="B113" s="65" t="s">
        <v>782</v>
      </c>
      <c r="C113" s="68">
        <f>IFERROR(SUMIF(初度設備!$C$30:$C$74,B113,初度設備!$N$30:$N$74)*((初度設備!$H$3-初度設備!$I$3)/初度設備!$H$3),0)</f>
        <v>0</v>
      </c>
      <c r="D113" s="69">
        <f t="shared" si="20"/>
        <v>0</v>
      </c>
      <c r="E113" s="68">
        <f>IFERROR(SUMIF(人工呼吸器!$C$30:$C$74,B113,人工呼吸器!$N$30:$N$74)*((人工呼吸器!$H$3-人工呼吸器!$I$3)/人工呼吸器!$H$3),0)</f>
        <v>0</v>
      </c>
      <c r="F113" s="69">
        <f t="shared" si="21"/>
        <v>0</v>
      </c>
      <c r="G113" s="69">
        <f t="shared" si="22"/>
        <v>0</v>
      </c>
      <c r="H113" s="69">
        <f t="shared" si="23"/>
        <v>0</v>
      </c>
      <c r="I113" s="68">
        <f>IFERROR(SUMIF(簡易陰圧装置!$C$30:$C$74,B113,簡易陰圧装置!$N$30:$N$74)*((簡易陰圧装置!$H$3-簡易陰圧装置!$I$3)/簡易陰圧装置!$H$3),0)</f>
        <v>0</v>
      </c>
      <c r="J113" s="69">
        <f t="shared" si="24"/>
        <v>0</v>
      </c>
      <c r="K113" s="68">
        <f>IFERROR(SUMIF(#REF!,B113,#REF!)*((#REF!-#REF!)/#REF!),0)</f>
        <v>0</v>
      </c>
      <c r="L113" s="69">
        <f t="shared" si="25"/>
        <v>0</v>
      </c>
      <c r="M113" s="68">
        <f>IFERROR(SUMIF(体外式膜型人工肺!$C$30:$C$74,B113,体外式膜型人工肺!$N$30:$N$74)*((体外式膜型人工肺!$H$3-体外式膜型人工肺!$I$3)/体外式膜型人工肺!$H$3),0)</f>
        <v>0</v>
      </c>
      <c r="N113" s="69">
        <f t="shared" si="26"/>
        <v>0</v>
      </c>
      <c r="O113" s="69">
        <f t="shared" si="27"/>
        <v>0</v>
      </c>
      <c r="P113" s="69">
        <f t="shared" si="28"/>
        <v>0</v>
      </c>
      <c r="Q113" s="68">
        <f>IFERROR(SUMIF(紫外線照射装置!$C$30:$C$74,B113,紫外線照射装置!$N$30:$N$74)*((紫外線照射装置!$H$3-紫外線照射装置!$I$3)/紫外線照射装置!$H$3),0)</f>
        <v>0</v>
      </c>
      <c r="R113" s="69">
        <f t="shared" si="29"/>
        <v>0</v>
      </c>
      <c r="S113" s="102">
        <f t="shared" si="30"/>
        <v>0</v>
      </c>
      <c r="T113" s="68">
        <f>IFERROR(SUMIF(超音波画像診断装置!$C$30:$C$74,B113,超音波画像診断装置!$K$30:$K$74)*((超音波画像診断装置!$H$3-超音波画像診断装置!$I$3)/超音波画像診断装置!$H$3),0)</f>
        <v>0</v>
      </c>
      <c r="U113" s="69">
        <f t="shared" si="31"/>
        <v>0</v>
      </c>
      <c r="V113" s="68">
        <f>IFERROR(SUMIF(血液浄化装置!$C$30:$C$74,B113,血液浄化装置!$K$30:$K$74)*((血液浄化装置!$H$3-血液浄化装置!$I$3)/血液浄化装置!$H$3),0)</f>
        <v>0</v>
      </c>
      <c r="W113" s="69">
        <f t="shared" si="32"/>
        <v>0</v>
      </c>
      <c r="X113" s="68">
        <f>IFERROR(SUMIF(気管支鏡!$C$30:$C$74,B113,気管支鏡!$K$30:$K$74)*((気管支鏡!$H$3-気管支鏡!$I$3)/気管支鏡!$H$3),0)</f>
        <v>0</v>
      </c>
      <c r="Y113" s="69">
        <f t="shared" si="18"/>
        <v>0</v>
      </c>
      <c r="Z113" s="68">
        <f>IFERROR(SUMIF(CT撮影装置!$C$30:$C$74,B113,CT撮影装置!$K$30:$K$74)*((CT撮影装置!$H$3-CT撮影装置!$I$3)/CT撮影装置!$H$3),0)</f>
        <v>0</v>
      </c>
      <c r="AA113" s="69">
        <f t="shared" si="33"/>
        <v>0</v>
      </c>
      <c r="AB113" s="68">
        <f>IFERROR(SUMIF(生体情報モニタ!$C$30:$C$74,B113,生体情報モニタ!$K$30:$K$74)*((生体情報モニタ!$H$3-生体情報モニタ!$I$3)/生体情報モニタ!$H$3),0)</f>
        <v>0</v>
      </c>
      <c r="AC113" s="69">
        <f t="shared" si="19"/>
        <v>0</v>
      </c>
      <c r="AD113" s="68">
        <f>IFERROR(SUMIF(分娩監視装置!$C$30:$C$74,B113,分娩監視装置!$K$30:$K$74)*((分娩監視装置!$H$3-分娩監視装置!$I$3)/分娩監視装置!$H$3),0)</f>
        <v>0</v>
      </c>
      <c r="AE113" s="69">
        <f t="shared" si="34"/>
        <v>0</v>
      </c>
      <c r="AF113" s="68">
        <f>IFERROR(SUMIF(新生児モニタ!$C$30:$C$74,B113,新生児モニタ!$K$30:$K$74)*((新生児モニタ!$H$3-新生児モニタ!$I$3)/新生児モニタ!$H$3),0)</f>
        <v>0</v>
      </c>
      <c r="AG113" s="69">
        <f t="shared" si="35"/>
        <v>0</v>
      </c>
    </row>
    <row r="114" spans="2:33">
      <c r="B114" s="65" t="s">
        <v>783</v>
      </c>
      <c r="C114" s="68">
        <f>IFERROR(SUMIF(初度設備!$C$30:$C$74,B114,初度設備!$N$30:$N$74)*((初度設備!$H$3-初度設備!$I$3)/初度設備!$H$3),0)</f>
        <v>0</v>
      </c>
      <c r="D114" s="69">
        <f t="shared" si="20"/>
        <v>0</v>
      </c>
      <c r="E114" s="68">
        <f>IFERROR(SUMIF(人工呼吸器!$C$30:$C$74,B114,人工呼吸器!$N$30:$N$74)*((人工呼吸器!$H$3-人工呼吸器!$I$3)/人工呼吸器!$H$3),0)</f>
        <v>0</v>
      </c>
      <c r="F114" s="69">
        <f t="shared" si="21"/>
        <v>0</v>
      </c>
      <c r="G114" s="69">
        <f t="shared" si="22"/>
        <v>0</v>
      </c>
      <c r="H114" s="69">
        <f t="shared" si="23"/>
        <v>0</v>
      </c>
      <c r="I114" s="68">
        <f>IFERROR(SUMIF(簡易陰圧装置!$C$30:$C$74,B114,簡易陰圧装置!$N$30:$N$74)*((簡易陰圧装置!$H$3-簡易陰圧装置!$I$3)/簡易陰圧装置!$H$3),0)</f>
        <v>0</v>
      </c>
      <c r="J114" s="69">
        <f t="shared" si="24"/>
        <v>0</v>
      </c>
      <c r="K114" s="68">
        <f>IFERROR(SUMIF(#REF!,B114,#REF!)*((#REF!-#REF!)/#REF!),0)</f>
        <v>0</v>
      </c>
      <c r="L114" s="69">
        <f t="shared" si="25"/>
        <v>0</v>
      </c>
      <c r="M114" s="68">
        <f>IFERROR(SUMIF(体外式膜型人工肺!$C$30:$C$74,B114,体外式膜型人工肺!$N$30:$N$74)*((体外式膜型人工肺!$H$3-体外式膜型人工肺!$I$3)/体外式膜型人工肺!$H$3),0)</f>
        <v>0</v>
      </c>
      <c r="N114" s="69">
        <f t="shared" si="26"/>
        <v>0</v>
      </c>
      <c r="O114" s="69">
        <f t="shared" si="27"/>
        <v>0</v>
      </c>
      <c r="P114" s="69">
        <f t="shared" si="28"/>
        <v>0</v>
      </c>
      <c r="Q114" s="68">
        <f>IFERROR(SUMIF(紫外線照射装置!$C$30:$C$74,B114,紫外線照射装置!$N$30:$N$74)*((紫外線照射装置!$H$3-紫外線照射装置!$I$3)/紫外線照射装置!$H$3),0)</f>
        <v>0</v>
      </c>
      <c r="R114" s="69">
        <f t="shared" si="29"/>
        <v>0</v>
      </c>
      <c r="S114" s="102">
        <f t="shared" si="30"/>
        <v>0</v>
      </c>
      <c r="T114" s="68">
        <f>IFERROR(SUMIF(超音波画像診断装置!$C$30:$C$74,B114,超音波画像診断装置!$K$30:$K$74)*((超音波画像診断装置!$H$3-超音波画像診断装置!$I$3)/超音波画像診断装置!$H$3),0)</f>
        <v>0</v>
      </c>
      <c r="U114" s="69">
        <f t="shared" si="31"/>
        <v>0</v>
      </c>
      <c r="V114" s="68">
        <f>IFERROR(SUMIF(血液浄化装置!$C$30:$C$74,B114,血液浄化装置!$K$30:$K$74)*((血液浄化装置!$H$3-血液浄化装置!$I$3)/血液浄化装置!$H$3),0)</f>
        <v>0</v>
      </c>
      <c r="W114" s="69">
        <f t="shared" si="32"/>
        <v>0</v>
      </c>
      <c r="X114" s="68">
        <f>IFERROR(SUMIF(気管支鏡!$C$30:$C$74,B114,気管支鏡!$K$30:$K$74)*((気管支鏡!$H$3-気管支鏡!$I$3)/気管支鏡!$H$3),0)</f>
        <v>0</v>
      </c>
      <c r="Y114" s="69">
        <f t="shared" si="18"/>
        <v>0</v>
      </c>
      <c r="Z114" s="68">
        <f>IFERROR(SUMIF(CT撮影装置!$C$30:$C$74,B114,CT撮影装置!$K$30:$K$74)*((CT撮影装置!$H$3-CT撮影装置!$I$3)/CT撮影装置!$H$3),0)</f>
        <v>0</v>
      </c>
      <c r="AA114" s="69">
        <f t="shared" si="33"/>
        <v>0</v>
      </c>
      <c r="AB114" s="68">
        <f>IFERROR(SUMIF(生体情報モニタ!$C$30:$C$74,B114,生体情報モニタ!$K$30:$K$74)*((生体情報モニタ!$H$3-生体情報モニタ!$I$3)/生体情報モニタ!$H$3),0)</f>
        <v>0</v>
      </c>
      <c r="AC114" s="69">
        <f t="shared" si="19"/>
        <v>0</v>
      </c>
      <c r="AD114" s="68">
        <f>IFERROR(SUMIF(分娩監視装置!$C$30:$C$74,B114,分娩監視装置!$K$30:$K$74)*((分娩監視装置!$H$3-分娩監視装置!$I$3)/分娩監視装置!$H$3),0)</f>
        <v>0</v>
      </c>
      <c r="AE114" s="69">
        <f t="shared" si="34"/>
        <v>0</v>
      </c>
      <c r="AF114" s="68">
        <f>IFERROR(SUMIF(新生児モニタ!$C$30:$C$74,B114,新生児モニタ!$K$30:$K$74)*((新生児モニタ!$H$3-新生児モニタ!$I$3)/新生児モニタ!$H$3),0)</f>
        <v>0</v>
      </c>
      <c r="AG114" s="69">
        <f t="shared" si="35"/>
        <v>0</v>
      </c>
    </row>
    <row r="115" spans="2:33">
      <c r="B115" s="65" t="s">
        <v>784</v>
      </c>
      <c r="C115" s="68">
        <f>IFERROR(SUMIF(初度設備!$C$30:$C$74,B115,初度設備!$N$30:$N$74)*((初度設備!$H$3-初度設備!$I$3)/初度設備!$H$3),0)</f>
        <v>0</v>
      </c>
      <c r="D115" s="69">
        <f t="shared" si="20"/>
        <v>0</v>
      </c>
      <c r="E115" s="68">
        <f>IFERROR(SUMIF(人工呼吸器!$C$30:$C$74,B115,人工呼吸器!$N$30:$N$74)*((人工呼吸器!$H$3-人工呼吸器!$I$3)/人工呼吸器!$H$3),0)</f>
        <v>0</v>
      </c>
      <c r="F115" s="69">
        <f t="shared" si="21"/>
        <v>0</v>
      </c>
      <c r="G115" s="69">
        <f t="shared" si="22"/>
        <v>0</v>
      </c>
      <c r="H115" s="69">
        <f t="shared" si="23"/>
        <v>0</v>
      </c>
      <c r="I115" s="68">
        <f>IFERROR(SUMIF(簡易陰圧装置!$C$30:$C$74,B115,簡易陰圧装置!$N$30:$N$74)*((簡易陰圧装置!$H$3-簡易陰圧装置!$I$3)/簡易陰圧装置!$H$3),0)</f>
        <v>0</v>
      </c>
      <c r="J115" s="69">
        <f t="shared" si="24"/>
        <v>0</v>
      </c>
      <c r="K115" s="68">
        <f>IFERROR(SUMIF(#REF!,B115,#REF!)*((#REF!-#REF!)/#REF!),0)</f>
        <v>0</v>
      </c>
      <c r="L115" s="69">
        <f t="shared" si="25"/>
        <v>0</v>
      </c>
      <c r="M115" s="68">
        <f>IFERROR(SUMIF(体外式膜型人工肺!$C$30:$C$74,B115,体外式膜型人工肺!$N$30:$N$74)*((体外式膜型人工肺!$H$3-体外式膜型人工肺!$I$3)/体外式膜型人工肺!$H$3),0)</f>
        <v>0</v>
      </c>
      <c r="N115" s="69">
        <f t="shared" si="26"/>
        <v>0</v>
      </c>
      <c r="O115" s="69">
        <f t="shared" si="27"/>
        <v>0</v>
      </c>
      <c r="P115" s="69">
        <f t="shared" si="28"/>
        <v>0</v>
      </c>
      <c r="Q115" s="68">
        <f>IFERROR(SUMIF(紫外線照射装置!$C$30:$C$74,B115,紫外線照射装置!$N$30:$N$74)*((紫外線照射装置!$H$3-紫外線照射装置!$I$3)/紫外線照射装置!$H$3),0)</f>
        <v>0</v>
      </c>
      <c r="R115" s="69">
        <f t="shared" si="29"/>
        <v>0</v>
      </c>
      <c r="S115" s="102">
        <f t="shared" si="30"/>
        <v>0</v>
      </c>
      <c r="T115" s="68">
        <f>IFERROR(SUMIF(超音波画像診断装置!$C$30:$C$74,B115,超音波画像診断装置!$K$30:$K$74)*((超音波画像診断装置!$H$3-超音波画像診断装置!$I$3)/超音波画像診断装置!$H$3),0)</f>
        <v>0</v>
      </c>
      <c r="U115" s="69">
        <f t="shared" si="31"/>
        <v>0</v>
      </c>
      <c r="V115" s="68">
        <f>IFERROR(SUMIF(血液浄化装置!$C$30:$C$74,B115,血液浄化装置!$K$30:$K$74)*((血液浄化装置!$H$3-血液浄化装置!$I$3)/血液浄化装置!$H$3),0)</f>
        <v>0</v>
      </c>
      <c r="W115" s="69">
        <f t="shared" si="32"/>
        <v>0</v>
      </c>
      <c r="X115" s="68">
        <f>IFERROR(SUMIF(気管支鏡!$C$30:$C$74,B115,気管支鏡!$K$30:$K$74)*((気管支鏡!$H$3-気管支鏡!$I$3)/気管支鏡!$H$3),0)</f>
        <v>0</v>
      </c>
      <c r="Y115" s="69">
        <f t="shared" si="18"/>
        <v>0</v>
      </c>
      <c r="Z115" s="68">
        <f>IFERROR(SUMIF(CT撮影装置!$C$30:$C$74,B115,CT撮影装置!$K$30:$K$74)*((CT撮影装置!$H$3-CT撮影装置!$I$3)/CT撮影装置!$H$3),0)</f>
        <v>0</v>
      </c>
      <c r="AA115" s="69">
        <f t="shared" si="33"/>
        <v>0</v>
      </c>
      <c r="AB115" s="68">
        <f>IFERROR(SUMIF(生体情報モニタ!$C$30:$C$74,B115,生体情報モニタ!$K$30:$K$74)*((生体情報モニタ!$H$3-生体情報モニタ!$I$3)/生体情報モニタ!$H$3),0)</f>
        <v>0</v>
      </c>
      <c r="AC115" s="69">
        <f t="shared" si="19"/>
        <v>0</v>
      </c>
      <c r="AD115" s="68">
        <f>IFERROR(SUMIF(分娩監視装置!$C$30:$C$74,B115,分娩監視装置!$K$30:$K$74)*((分娩監視装置!$H$3-分娩監視装置!$I$3)/分娩監視装置!$H$3),0)</f>
        <v>0</v>
      </c>
      <c r="AE115" s="69">
        <f t="shared" si="34"/>
        <v>0</v>
      </c>
      <c r="AF115" s="68">
        <f>IFERROR(SUMIF(新生児モニタ!$C$30:$C$74,B115,新生児モニタ!$K$30:$K$74)*((新生児モニタ!$H$3-新生児モニタ!$I$3)/新生児モニタ!$H$3),0)</f>
        <v>0</v>
      </c>
      <c r="AG115" s="69">
        <f t="shared" si="35"/>
        <v>0</v>
      </c>
    </row>
    <row r="116" spans="2:33">
      <c r="B116" s="65" t="s">
        <v>785</v>
      </c>
      <c r="C116" s="68">
        <f>IFERROR(SUMIF(初度設備!$C$30:$C$74,B116,初度設備!$N$30:$N$74)*((初度設備!$H$3-初度設備!$I$3)/初度設備!$H$3),0)</f>
        <v>0</v>
      </c>
      <c r="D116" s="69">
        <f t="shared" si="20"/>
        <v>0</v>
      </c>
      <c r="E116" s="68">
        <f>IFERROR(SUMIF(人工呼吸器!$C$30:$C$74,B116,人工呼吸器!$N$30:$N$74)*((人工呼吸器!$H$3-人工呼吸器!$I$3)/人工呼吸器!$H$3),0)</f>
        <v>0</v>
      </c>
      <c r="F116" s="69">
        <f t="shared" si="21"/>
        <v>0</v>
      </c>
      <c r="G116" s="69">
        <f t="shared" si="22"/>
        <v>0</v>
      </c>
      <c r="H116" s="69">
        <f t="shared" si="23"/>
        <v>0</v>
      </c>
      <c r="I116" s="68">
        <f>IFERROR(SUMIF(簡易陰圧装置!$C$30:$C$74,B116,簡易陰圧装置!$N$30:$N$74)*((簡易陰圧装置!$H$3-簡易陰圧装置!$I$3)/簡易陰圧装置!$H$3),0)</f>
        <v>0</v>
      </c>
      <c r="J116" s="69">
        <f t="shared" si="24"/>
        <v>0</v>
      </c>
      <c r="K116" s="68">
        <f>IFERROR(SUMIF(#REF!,B116,#REF!)*((#REF!-#REF!)/#REF!),0)</f>
        <v>0</v>
      </c>
      <c r="L116" s="69">
        <f t="shared" si="25"/>
        <v>0</v>
      </c>
      <c r="M116" s="68">
        <f>IFERROR(SUMIF(体外式膜型人工肺!$C$30:$C$74,B116,体外式膜型人工肺!$N$30:$N$74)*((体外式膜型人工肺!$H$3-体外式膜型人工肺!$I$3)/体外式膜型人工肺!$H$3),0)</f>
        <v>0</v>
      </c>
      <c r="N116" s="69">
        <f t="shared" si="26"/>
        <v>0</v>
      </c>
      <c r="O116" s="69">
        <f t="shared" si="27"/>
        <v>0</v>
      </c>
      <c r="P116" s="69">
        <f t="shared" si="28"/>
        <v>0</v>
      </c>
      <c r="Q116" s="68">
        <f>IFERROR(SUMIF(紫外線照射装置!$C$30:$C$74,B116,紫外線照射装置!$N$30:$N$74)*((紫外線照射装置!$H$3-紫外線照射装置!$I$3)/紫外線照射装置!$H$3),0)</f>
        <v>0</v>
      </c>
      <c r="R116" s="69">
        <f t="shared" si="29"/>
        <v>0</v>
      </c>
      <c r="S116" s="102">
        <f t="shared" si="30"/>
        <v>0</v>
      </c>
      <c r="T116" s="68">
        <f>IFERROR(SUMIF(超音波画像診断装置!$C$30:$C$74,B116,超音波画像診断装置!$K$30:$K$74)*((超音波画像診断装置!$H$3-超音波画像診断装置!$I$3)/超音波画像診断装置!$H$3),0)</f>
        <v>0</v>
      </c>
      <c r="U116" s="69">
        <f t="shared" si="31"/>
        <v>0</v>
      </c>
      <c r="V116" s="68">
        <f>IFERROR(SUMIF(血液浄化装置!$C$30:$C$74,B116,血液浄化装置!$K$30:$K$74)*((血液浄化装置!$H$3-血液浄化装置!$I$3)/血液浄化装置!$H$3),0)</f>
        <v>0</v>
      </c>
      <c r="W116" s="69">
        <f t="shared" si="32"/>
        <v>0</v>
      </c>
      <c r="X116" s="68">
        <f>IFERROR(SUMIF(気管支鏡!$C$30:$C$74,B116,気管支鏡!$K$30:$K$74)*((気管支鏡!$H$3-気管支鏡!$I$3)/気管支鏡!$H$3),0)</f>
        <v>0</v>
      </c>
      <c r="Y116" s="69">
        <f t="shared" si="18"/>
        <v>0</v>
      </c>
      <c r="Z116" s="68">
        <f>IFERROR(SUMIF(CT撮影装置!$C$30:$C$74,B116,CT撮影装置!$K$30:$K$74)*((CT撮影装置!$H$3-CT撮影装置!$I$3)/CT撮影装置!$H$3),0)</f>
        <v>0</v>
      </c>
      <c r="AA116" s="69">
        <f t="shared" si="33"/>
        <v>0</v>
      </c>
      <c r="AB116" s="68">
        <f>IFERROR(SUMIF(生体情報モニタ!$C$30:$C$74,B116,生体情報モニタ!$K$30:$K$74)*((生体情報モニタ!$H$3-生体情報モニタ!$I$3)/生体情報モニタ!$H$3),0)</f>
        <v>0</v>
      </c>
      <c r="AC116" s="69">
        <f t="shared" si="19"/>
        <v>0</v>
      </c>
      <c r="AD116" s="68">
        <f>IFERROR(SUMIF(分娩監視装置!$C$30:$C$74,B116,分娩監視装置!$K$30:$K$74)*((分娩監視装置!$H$3-分娩監視装置!$I$3)/分娩監視装置!$H$3),0)</f>
        <v>0</v>
      </c>
      <c r="AE116" s="69">
        <f t="shared" si="34"/>
        <v>0</v>
      </c>
      <c r="AF116" s="68">
        <f>IFERROR(SUMIF(新生児モニタ!$C$30:$C$74,B116,新生児モニタ!$K$30:$K$74)*((新生児モニタ!$H$3-新生児モニタ!$I$3)/新生児モニタ!$H$3),0)</f>
        <v>0</v>
      </c>
      <c r="AG116" s="69">
        <f t="shared" si="35"/>
        <v>0</v>
      </c>
    </row>
    <row r="117" spans="2:33">
      <c r="B117" s="65" t="s">
        <v>786</v>
      </c>
      <c r="C117" s="68">
        <f>IFERROR(SUMIF(初度設備!$C$30:$C$74,B117,初度設備!$N$30:$N$74)*((初度設備!$H$3-初度設備!$I$3)/初度設備!$H$3),0)</f>
        <v>0</v>
      </c>
      <c r="D117" s="69">
        <f t="shared" si="20"/>
        <v>0</v>
      </c>
      <c r="E117" s="68">
        <f>IFERROR(SUMIF(人工呼吸器!$C$30:$C$74,B117,人工呼吸器!$N$30:$N$74)*((人工呼吸器!$H$3-人工呼吸器!$I$3)/人工呼吸器!$H$3),0)</f>
        <v>0</v>
      </c>
      <c r="F117" s="69">
        <f t="shared" si="21"/>
        <v>0</v>
      </c>
      <c r="G117" s="69">
        <f t="shared" si="22"/>
        <v>0</v>
      </c>
      <c r="H117" s="69">
        <f t="shared" si="23"/>
        <v>0</v>
      </c>
      <c r="I117" s="68">
        <f>IFERROR(SUMIF(簡易陰圧装置!$C$30:$C$74,B117,簡易陰圧装置!$N$30:$N$74)*((簡易陰圧装置!$H$3-簡易陰圧装置!$I$3)/簡易陰圧装置!$H$3),0)</f>
        <v>0</v>
      </c>
      <c r="J117" s="69">
        <f t="shared" si="24"/>
        <v>0</v>
      </c>
      <c r="K117" s="68">
        <f>IFERROR(SUMIF(#REF!,B117,#REF!)*((#REF!-#REF!)/#REF!),0)</f>
        <v>0</v>
      </c>
      <c r="L117" s="69">
        <f t="shared" si="25"/>
        <v>0</v>
      </c>
      <c r="M117" s="68">
        <f>IFERROR(SUMIF(体外式膜型人工肺!$C$30:$C$74,B117,体外式膜型人工肺!$N$30:$N$74)*((体外式膜型人工肺!$H$3-体外式膜型人工肺!$I$3)/体外式膜型人工肺!$H$3),0)</f>
        <v>0</v>
      </c>
      <c r="N117" s="69">
        <f t="shared" si="26"/>
        <v>0</v>
      </c>
      <c r="O117" s="69">
        <f t="shared" si="27"/>
        <v>0</v>
      </c>
      <c r="P117" s="69">
        <f t="shared" si="28"/>
        <v>0</v>
      </c>
      <c r="Q117" s="68">
        <f>IFERROR(SUMIF(紫外線照射装置!$C$30:$C$74,B117,紫外線照射装置!$N$30:$N$74)*((紫外線照射装置!$H$3-紫外線照射装置!$I$3)/紫外線照射装置!$H$3),0)</f>
        <v>0</v>
      </c>
      <c r="R117" s="69">
        <f t="shared" si="29"/>
        <v>0</v>
      </c>
      <c r="S117" s="102">
        <f t="shared" si="30"/>
        <v>0</v>
      </c>
      <c r="T117" s="68">
        <f>IFERROR(SUMIF(超音波画像診断装置!$C$30:$C$74,B117,超音波画像診断装置!$K$30:$K$74)*((超音波画像診断装置!$H$3-超音波画像診断装置!$I$3)/超音波画像診断装置!$H$3),0)</f>
        <v>0</v>
      </c>
      <c r="U117" s="69">
        <f t="shared" si="31"/>
        <v>0</v>
      </c>
      <c r="V117" s="68">
        <f>IFERROR(SUMIF(血液浄化装置!$C$30:$C$74,B117,血液浄化装置!$K$30:$K$74)*((血液浄化装置!$H$3-血液浄化装置!$I$3)/血液浄化装置!$H$3),0)</f>
        <v>0</v>
      </c>
      <c r="W117" s="69">
        <f t="shared" si="32"/>
        <v>0</v>
      </c>
      <c r="X117" s="68">
        <f>IFERROR(SUMIF(気管支鏡!$C$30:$C$74,B117,気管支鏡!$K$30:$K$74)*((気管支鏡!$H$3-気管支鏡!$I$3)/気管支鏡!$H$3),0)</f>
        <v>0</v>
      </c>
      <c r="Y117" s="69">
        <f t="shared" si="18"/>
        <v>0</v>
      </c>
      <c r="Z117" s="68">
        <f>IFERROR(SUMIF(CT撮影装置!$C$30:$C$74,B117,CT撮影装置!$K$30:$K$74)*((CT撮影装置!$H$3-CT撮影装置!$I$3)/CT撮影装置!$H$3),0)</f>
        <v>0</v>
      </c>
      <c r="AA117" s="69">
        <f t="shared" si="33"/>
        <v>0</v>
      </c>
      <c r="AB117" s="68">
        <f>IFERROR(SUMIF(生体情報モニタ!$C$30:$C$74,B117,生体情報モニタ!$K$30:$K$74)*((生体情報モニタ!$H$3-生体情報モニタ!$I$3)/生体情報モニタ!$H$3),0)</f>
        <v>0</v>
      </c>
      <c r="AC117" s="69">
        <f t="shared" si="19"/>
        <v>0</v>
      </c>
      <c r="AD117" s="68">
        <f>IFERROR(SUMIF(分娩監視装置!$C$30:$C$74,B117,分娩監視装置!$K$30:$K$74)*((分娩監視装置!$H$3-分娩監視装置!$I$3)/分娩監視装置!$H$3),0)</f>
        <v>0</v>
      </c>
      <c r="AE117" s="69">
        <f t="shared" si="34"/>
        <v>0</v>
      </c>
      <c r="AF117" s="68">
        <f>IFERROR(SUMIF(新生児モニタ!$C$30:$C$74,B117,新生児モニタ!$K$30:$K$74)*((新生児モニタ!$H$3-新生児モニタ!$I$3)/新生児モニタ!$H$3),0)</f>
        <v>0</v>
      </c>
      <c r="AG117" s="69">
        <f t="shared" si="35"/>
        <v>0</v>
      </c>
    </row>
    <row r="118" spans="2:33">
      <c r="B118" s="65" t="s">
        <v>787</v>
      </c>
      <c r="C118" s="68">
        <f>IFERROR(SUMIF(初度設備!$C$30:$C$74,B118,初度設備!$N$30:$N$74)*((初度設備!$H$3-初度設備!$I$3)/初度設備!$H$3),0)</f>
        <v>0</v>
      </c>
      <c r="D118" s="69">
        <f t="shared" si="20"/>
        <v>0</v>
      </c>
      <c r="E118" s="68">
        <f>IFERROR(SUMIF(人工呼吸器!$C$30:$C$74,B118,人工呼吸器!$N$30:$N$74)*((人工呼吸器!$H$3-人工呼吸器!$I$3)/人工呼吸器!$H$3),0)</f>
        <v>0</v>
      </c>
      <c r="F118" s="69">
        <f t="shared" si="21"/>
        <v>0</v>
      </c>
      <c r="G118" s="69">
        <f t="shared" si="22"/>
        <v>0</v>
      </c>
      <c r="H118" s="69">
        <f t="shared" si="23"/>
        <v>0</v>
      </c>
      <c r="I118" s="68">
        <f>IFERROR(SUMIF(簡易陰圧装置!$C$30:$C$74,B118,簡易陰圧装置!$N$30:$N$74)*((簡易陰圧装置!$H$3-簡易陰圧装置!$I$3)/簡易陰圧装置!$H$3),0)</f>
        <v>0</v>
      </c>
      <c r="J118" s="69">
        <f t="shared" si="24"/>
        <v>0</v>
      </c>
      <c r="K118" s="68">
        <f>IFERROR(SUMIF(#REF!,B118,#REF!)*((#REF!-#REF!)/#REF!),0)</f>
        <v>0</v>
      </c>
      <c r="L118" s="69">
        <f t="shared" si="25"/>
        <v>0</v>
      </c>
      <c r="M118" s="68">
        <f>IFERROR(SUMIF(体外式膜型人工肺!$C$30:$C$74,B118,体外式膜型人工肺!$N$30:$N$74)*((体外式膜型人工肺!$H$3-体外式膜型人工肺!$I$3)/体外式膜型人工肺!$H$3),0)</f>
        <v>0</v>
      </c>
      <c r="N118" s="69">
        <f t="shared" si="26"/>
        <v>0</v>
      </c>
      <c r="O118" s="69">
        <f t="shared" si="27"/>
        <v>0</v>
      </c>
      <c r="P118" s="69">
        <f t="shared" si="28"/>
        <v>0</v>
      </c>
      <c r="Q118" s="68">
        <f>IFERROR(SUMIF(紫外線照射装置!$C$30:$C$74,B118,紫外線照射装置!$N$30:$N$74)*((紫外線照射装置!$H$3-紫外線照射装置!$I$3)/紫外線照射装置!$H$3),0)</f>
        <v>0</v>
      </c>
      <c r="R118" s="69">
        <f t="shared" si="29"/>
        <v>0</v>
      </c>
      <c r="S118" s="102">
        <f t="shared" si="30"/>
        <v>0</v>
      </c>
      <c r="T118" s="68">
        <f>IFERROR(SUMIF(超音波画像診断装置!$C$30:$C$74,B118,超音波画像診断装置!$K$30:$K$74)*((超音波画像診断装置!$H$3-超音波画像診断装置!$I$3)/超音波画像診断装置!$H$3),0)</f>
        <v>0</v>
      </c>
      <c r="U118" s="69">
        <f t="shared" si="31"/>
        <v>0</v>
      </c>
      <c r="V118" s="68">
        <f>IFERROR(SUMIF(血液浄化装置!$C$30:$C$74,B118,血液浄化装置!$K$30:$K$74)*((血液浄化装置!$H$3-血液浄化装置!$I$3)/血液浄化装置!$H$3),0)</f>
        <v>0</v>
      </c>
      <c r="W118" s="69">
        <f t="shared" si="32"/>
        <v>0</v>
      </c>
      <c r="X118" s="68">
        <f>IFERROR(SUMIF(気管支鏡!$C$30:$C$74,B118,気管支鏡!$K$30:$K$74)*((気管支鏡!$H$3-気管支鏡!$I$3)/気管支鏡!$H$3),0)</f>
        <v>0</v>
      </c>
      <c r="Y118" s="69">
        <f t="shared" si="18"/>
        <v>0</v>
      </c>
      <c r="Z118" s="68">
        <f>IFERROR(SUMIF(CT撮影装置!$C$30:$C$74,B118,CT撮影装置!$K$30:$K$74)*((CT撮影装置!$H$3-CT撮影装置!$I$3)/CT撮影装置!$H$3),0)</f>
        <v>0</v>
      </c>
      <c r="AA118" s="69">
        <f t="shared" si="33"/>
        <v>0</v>
      </c>
      <c r="AB118" s="68">
        <f>IFERROR(SUMIF(生体情報モニタ!$C$30:$C$74,B118,生体情報モニタ!$K$30:$K$74)*((生体情報モニタ!$H$3-生体情報モニタ!$I$3)/生体情報モニタ!$H$3),0)</f>
        <v>0</v>
      </c>
      <c r="AC118" s="69">
        <f t="shared" si="19"/>
        <v>0</v>
      </c>
      <c r="AD118" s="68">
        <f>IFERROR(SUMIF(分娩監視装置!$C$30:$C$74,B118,分娩監視装置!$K$30:$K$74)*((分娩監視装置!$H$3-分娩監視装置!$I$3)/分娩監視装置!$H$3),0)</f>
        <v>0</v>
      </c>
      <c r="AE118" s="69">
        <f t="shared" si="34"/>
        <v>0</v>
      </c>
      <c r="AF118" s="68">
        <f>IFERROR(SUMIF(新生児モニタ!$C$30:$C$74,B118,新生児モニタ!$K$30:$K$74)*((新生児モニタ!$H$3-新生児モニタ!$I$3)/新生児モニタ!$H$3),0)</f>
        <v>0</v>
      </c>
      <c r="AG118" s="69">
        <f t="shared" si="35"/>
        <v>0</v>
      </c>
    </row>
    <row r="119" spans="2:33">
      <c r="B119" s="65" t="s">
        <v>788</v>
      </c>
      <c r="C119" s="68">
        <f>IFERROR(SUMIF(初度設備!$C$30:$C$74,B119,初度設備!$N$30:$N$74)*((初度設備!$H$3-初度設備!$I$3)/初度設備!$H$3),0)</f>
        <v>0</v>
      </c>
      <c r="D119" s="69">
        <f t="shared" si="20"/>
        <v>0</v>
      </c>
      <c r="E119" s="68">
        <f>IFERROR(SUMIF(人工呼吸器!$C$30:$C$74,B119,人工呼吸器!$N$30:$N$74)*((人工呼吸器!$H$3-人工呼吸器!$I$3)/人工呼吸器!$H$3),0)</f>
        <v>0</v>
      </c>
      <c r="F119" s="69">
        <f t="shared" si="21"/>
        <v>0</v>
      </c>
      <c r="G119" s="69">
        <f t="shared" si="22"/>
        <v>0</v>
      </c>
      <c r="H119" s="69">
        <f t="shared" si="23"/>
        <v>0</v>
      </c>
      <c r="I119" s="68">
        <f>IFERROR(SUMIF(簡易陰圧装置!$C$30:$C$74,B119,簡易陰圧装置!$N$30:$N$74)*((簡易陰圧装置!$H$3-簡易陰圧装置!$I$3)/簡易陰圧装置!$H$3),0)</f>
        <v>0</v>
      </c>
      <c r="J119" s="69">
        <f t="shared" si="24"/>
        <v>0</v>
      </c>
      <c r="K119" s="68">
        <f>IFERROR(SUMIF(#REF!,B119,#REF!)*((#REF!-#REF!)/#REF!),0)</f>
        <v>0</v>
      </c>
      <c r="L119" s="69">
        <f t="shared" si="25"/>
        <v>0</v>
      </c>
      <c r="M119" s="68">
        <f>IFERROR(SUMIF(体外式膜型人工肺!$C$30:$C$74,B119,体外式膜型人工肺!$N$30:$N$74)*((体外式膜型人工肺!$H$3-体外式膜型人工肺!$I$3)/体外式膜型人工肺!$H$3),0)</f>
        <v>0</v>
      </c>
      <c r="N119" s="69">
        <f t="shared" si="26"/>
        <v>0</v>
      </c>
      <c r="O119" s="69">
        <f t="shared" si="27"/>
        <v>0</v>
      </c>
      <c r="P119" s="69">
        <f t="shared" si="28"/>
        <v>0</v>
      </c>
      <c r="Q119" s="68">
        <f>IFERROR(SUMIF(紫外線照射装置!$C$30:$C$74,B119,紫外線照射装置!$N$30:$N$74)*((紫外線照射装置!$H$3-紫外線照射装置!$I$3)/紫外線照射装置!$H$3),0)</f>
        <v>0</v>
      </c>
      <c r="R119" s="69">
        <f t="shared" si="29"/>
        <v>0</v>
      </c>
      <c r="S119" s="102">
        <f t="shared" si="30"/>
        <v>0</v>
      </c>
      <c r="T119" s="68">
        <f>IFERROR(SUMIF(超音波画像診断装置!$C$30:$C$74,B119,超音波画像診断装置!$K$30:$K$74)*((超音波画像診断装置!$H$3-超音波画像診断装置!$I$3)/超音波画像診断装置!$H$3),0)</f>
        <v>0</v>
      </c>
      <c r="U119" s="69">
        <f t="shared" si="31"/>
        <v>0</v>
      </c>
      <c r="V119" s="68">
        <f>IFERROR(SUMIF(血液浄化装置!$C$30:$C$74,B119,血液浄化装置!$K$30:$K$74)*((血液浄化装置!$H$3-血液浄化装置!$I$3)/血液浄化装置!$H$3),0)</f>
        <v>0</v>
      </c>
      <c r="W119" s="69">
        <f t="shared" si="32"/>
        <v>0</v>
      </c>
      <c r="X119" s="68">
        <f>IFERROR(SUMIF(気管支鏡!$C$30:$C$74,B119,気管支鏡!$K$30:$K$74)*((気管支鏡!$H$3-気管支鏡!$I$3)/気管支鏡!$H$3),0)</f>
        <v>0</v>
      </c>
      <c r="Y119" s="69">
        <f t="shared" si="18"/>
        <v>0</v>
      </c>
      <c r="Z119" s="68">
        <f>IFERROR(SUMIF(CT撮影装置!$C$30:$C$74,B119,CT撮影装置!$K$30:$K$74)*((CT撮影装置!$H$3-CT撮影装置!$I$3)/CT撮影装置!$H$3),0)</f>
        <v>0</v>
      </c>
      <c r="AA119" s="69">
        <f t="shared" si="33"/>
        <v>0</v>
      </c>
      <c r="AB119" s="68">
        <f>IFERROR(SUMIF(生体情報モニタ!$C$30:$C$74,B119,生体情報モニタ!$K$30:$K$74)*((生体情報モニタ!$H$3-生体情報モニタ!$I$3)/生体情報モニタ!$H$3),0)</f>
        <v>0</v>
      </c>
      <c r="AC119" s="69">
        <f t="shared" si="19"/>
        <v>0</v>
      </c>
      <c r="AD119" s="68">
        <f>IFERROR(SUMIF(分娩監視装置!$C$30:$C$74,B119,分娩監視装置!$K$30:$K$74)*((分娩監視装置!$H$3-分娩監視装置!$I$3)/分娩監視装置!$H$3),0)</f>
        <v>0</v>
      </c>
      <c r="AE119" s="69">
        <f t="shared" si="34"/>
        <v>0</v>
      </c>
      <c r="AF119" s="68">
        <f>IFERROR(SUMIF(新生児モニタ!$C$30:$C$74,B119,新生児モニタ!$K$30:$K$74)*((新生児モニタ!$H$3-新生児モニタ!$I$3)/新生児モニタ!$H$3),0)</f>
        <v>0</v>
      </c>
      <c r="AG119" s="69">
        <f t="shared" si="35"/>
        <v>0</v>
      </c>
    </row>
    <row r="120" spans="2:33">
      <c r="B120" s="65" t="s">
        <v>789</v>
      </c>
      <c r="C120" s="68">
        <f>IFERROR(SUMIF(初度設備!$C$30:$C$74,B120,初度設備!$N$30:$N$74)*((初度設備!$H$3-初度設備!$I$3)/初度設備!$H$3),0)</f>
        <v>0</v>
      </c>
      <c r="D120" s="69">
        <f t="shared" si="20"/>
        <v>0</v>
      </c>
      <c r="E120" s="68">
        <f>IFERROR(SUMIF(人工呼吸器!$C$30:$C$74,B120,人工呼吸器!$N$30:$N$74)*((人工呼吸器!$H$3-人工呼吸器!$I$3)/人工呼吸器!$H$3),0)</f>
        <v>0</v>
      </c>
      <c r="F120" s="69">
        <f t="shared" si="21"/>
        <v>0</v>
      </c>
      <c r="G120" s="69">
        <f t="shared" si="22"/>
        <v>0</v>
      </c>
      <c r="H120" s="69">
        <f t="shared" si="23"/>
        <v>0</v>
      </c>
      <c r="I120" s="68">
        <f>IFERROR(SUMIF(簡易陰圧装置!$C$30:$C$74,B120,簡易陰圧装置!$N$30:$N$74)*((簡易陰圧装置!$H$3-簡易陰圧装置!$I$3)/簡易陰圧装置!$H$3),0)</f>
        <v>0</v>
      </c>
      <c r="J120" s="69">
        <f t="shared" si="24"/>
        <v>0</v>
      </c>
      <c r="K120" s="68">
        <f>IFERROR(SUMIF(#REF!,B120,#REF!)*((#REF!-#REF!)/#REF!),0)</f>
        <v>0</v>
      </c>
      <c r="L120" s="69">
        <f t="shared" si="25"/>
        <v>0</v>
      </c>
      <c r="M120" s="68">
        <f>IFERROR(SUMIF(体外式膜型人工肺!$C$30:$C$74,B120,体外式膜型人工肺!$N$30:$N$74)*((体外式膜型人工肺!$H$3-体外式膜型人工肺!$I$3)/体外式膜型人工肺!$H$3),0)</f>
        <v>0</v>
      </c>
      <c r="N120" s="69">
        <f t="shared" si="26"/>
        <v>0</v>
      </c>
      <c r="O120" s="69">
        <f t="shared" si="27"/>
        <v>0</v>
      </c>
      <c r="P120" s="69">
        <f t="shared" si="28"/>
        <v>0</v>
      </c>
      <c r="Q120" s="68">
        <f>IFERROR(SUMIF(紫外線照射装置!$C$30:$C$74,B120,紫外線照射装置!$N$30:$N$74)*((紫外線照射装置!$H$3-紫外線照射装置!$I$3)/紫外線照射装置!$H$3),0)</f>
        <v>0</v>
      </c>
      <c r="R120" s="69">
        <f t="shared" si="29"/>
        <v>0</v>
      </c>
      <c r="S120" s="102">
        <f t="shared" si="30"/>
        <v>0</v>
      </c>
      <c r="T120" s="68">
        <f>IFERROR(SUMIF(超音波画像診断装置!$C$30:$C$74,B120,超音波画像診断装置!$K$30:$K$74)*((超音波画像診断装置!$H$3-超音波画像診断装置!$I$3)/超音波画像診断装置!$H$3),0)</f>
        <v>0</v>
      </c>
      <c r="U120" s="69">
        <f t="shared" si="31"/>
        <v>0</v>
      </c>
      <c r="V120" s="68">
        <f>IFERROR(SUMIF(血液浄化装置!$C$30:$C$74,B120,血液浄化装置!$K$30:$K$74)*((血液浄化装置!$H$3-血液浄化装置!$I$3)/血液浄化装置!$H$3),0)</f>
        <v>0</v>
      </c>
      <c r="W120" s="69">
        <f t="shared" si="32"/>
        <v>0</v>
      </c>
      <c r="X120" s="68">
        <f>IFERROR(SUMIF(気管支鏡!$C$30:$C$74,B120,気管支鏡!$K$30:$K$74)*((気管支鏡!$H$3-気管支鏡!$I$3)/気管支鏡!$H$3),0)</f>
        <v>0</v>
      </c>
      <c r="Y120" s="69">
        <f t="shared" si="18"/>
        <v>0</v>
      </c>
      <c r="Z120" s="68">
        <f>IFERROR(SUMIF(CT撮影装置!$C$30:$C$74,B120,CT撮影装置!$K$30:$K$74)*((CT撮影装置!$H$3-CT撮影装置!$I$3)/CT撮影装置!$H$3),0)</f>
        <v>0</v>
      </c>
      <c r="AA120" s="69">
        <f t="shared" si="33"/>
        <v>0</v>
      </c>
      <c r="AB120" s="68">
        <f>IFERROR(SUMIF(生体情報モニタ!$C$30:$C$74,B120,生体情報モニタ!$K$30:$K$74)*((生体情報モニタ!$H$3-生体情報モニタ!$I$3)/生体情報モニタ!$H$3),0)</f>
        <v>0</v>
      </c>
      <c r="AC120" s="69">
        <f t="shared" si="19"/>
        <v>0</v>
      </c>
      <c r="AD120" s="68">
        <f>IFERROR(SUMIF(分娩監視装置!$C$30:$C$74,B120,分娩監視装置!$K$30:$K$74)*((分娩監視装置!$H$3-分娩監視装置!$I$3)/分娩監視装置!$H$3),0)</f>
        <v>0</v>
      </c>
      <c r="AE120" s="69">
        <f t="shared" si="34"/>
        <v>0</v>
      </c>
      <c r="AF120" s="68">
        <f>IFERROR(SUMIF(新生児モニタ!$C$30:$C$74,B120,新生児モニタ!$K$30:$K$74)*((新生児モニタ!$H$3-新生児モニタ!$I$3)/新生児モニタ!$H$3),0)</f>
        <v>0</v>
      </c>
      <c r="AG120" s="69">
        <f t="shared" si="35"/>
        <v>0</v>
      </c>
    </row>
    <row r="121" spans="2:33">
      <c r="B121" s="65" t="s">
        <v>790</v>
      </c>
      <c r="C121" s="68">
        <f>IFERROR(SUMIF(初度設備!$C$30:$C$74,B121,初度設備!$N$30:$N$74)*((初度設備!$H$3-初度設備!$I$3)/初度設備!$H$3),0)</f>
        <v>0</v>
      </c>
      <c r="D121" s="69">
        <f t="shared" si="20"/>
        <v>0</v>
      </c>
      <c r="E121" s="68">
        <f>IFERROR(SUMIF(人工呼吸器!$C$30:$C$74,B121,人工呼吸器!$N$30:$N$74)*((人工呼吸器!$H$3-人工呼吸器!$I$3)/人工呼吸器!$H$3),0)</f>
        <v>0</v>
      </c>
      <c r="F121" s="69">
        <f t="shared" si="21"/>
        <v>0</v>
      </c>
      <c r="G121" s="69">
        <f t="shared" si="22"/>
        <v>0</v>
      </c>
      <c r="H121" s="69">
        <f t="shared" si="23"/>
        <v>0</v>
      </c>
      <c r="I121" s="68">
        <f>IFERROR(SUMIF(簡易陰圧装置!$C$30:$C$74,B121,簡易陰圧装置!$N$30:$N$74)*((簡易陰圧装置!$H$3-簡易陰圧装置!$I$3)/簡易陰圧装置!$H$3),0)</f>
        <v>0</v>
      </c>
      <c r="J121" s="69">
        <f t="shared" si="24"/>
        <v>0</v>
      </c>
      <c r="K121" s="68">
        <f>IFERROR(SUMIF(#REF!,B121,#REF!)*((#REF!-#REF!)/#REF!),0)</f>
        <v>0</v>
      </c>
      <c r="L121" s="69">
        <f t="shared" si="25"/>
        <v>0</v>
      </c>
      <c r="M121" s="68">
        <f>IFERROR(SUMIF(体外式膜型人工肺!$C$30:$C$74,B121,体外式膜型人工肺!$N$30:$N$74)*((体外式膜型人工肺!$H$3-体外式膜型人工肺!$I$3)/体外式膜型人工肺!$H$3),0)</f>
        <v>0</v>
      </c>
      <c r="N121" s="69">
        <f t="shared" si="26"/>
        <v>0</v>
      </c>
      <c r="O121" s="69">
        <f t="shared" si="27"/>
        <v>0</v>
      </c>
      <c r="P121" s="69">
        <f t="shared" si="28"/>
        <v>0</v>
      </c>
      <c r="Q121" s="68">
        <f>IFERROR(SUMIF(紫外線照射装置!$C$30:$C$74,B121,紫外線照射装置!$N$30:$N$74)*((紫外線照射装置!$H$3-紫外線照射装置!$I$3)/紫外線照射装置!$H$3),0)</f>
        <v>0</v>
      </c>
      <c r="R121" s="69">
        <f t="shared" si="29"/>
        <v>0</v>
      </c>
      <c r="S121" s="102">
        <f t="shared" si="30"/>
        <v>0</v>
      </c>
      <c r="T121" s="68">
        <f>IFERROR(SUMIF(超音波画像診断装置!$C$30:$C$74,B121,超音波画像診断装置!$K$30:$K$74)*((超音波画像診断装置!$H$3-超音波画像診断装置!$I$3)/超音波画像診断装置!$H$3),0)</f>
        <v>0</v>
      </c>
      <c r="U121" s="69">
        <f t="shared" si="31"/>
        <v>0</v>
      </c>
      <c r="V121" s="68">
        <f>IFERROR(SUMIF(血液浄化装置!$C$30:$C$74,B121,血液浄化装置!$K$30:$K$74)*((血液浄化装置!$H$3-血液浄化装置!$I$3)/血液浄化装置!$H$3),0)</f>
        <v>0</v>
      </c>
      <c r="W121" s="69">
        <f t="shared" si="32"/>
        <v>0</v>
      </c>
      <c r="X121" s="68">
        <f>IFERROR(SUMIF(気管支鏡!$C$30:$C$74,B121,気管支鏡!$K$30:$K$74)*((気管支鏡!$H$3-気管支鏡!$I$3)/気管支鏡!$H$3),0)</f>
        <v>0</v>
      </c>
      <c r="Y121" s="69">
        <f t="shared" si="18"/>
        <v>0</v>
      </c>
      <c r="Z121" s="68">
        <f>IFERROR(SUMIF(CT撮影装置!$C$30:$C$74,B121,CT撮影装置!$K$30:$K$74)*((CT撮影装置!$H$3-CT撮影装置!$I$3)/CT撮影装置!$H$3),0)</f>
        <v>0</v>
      </c>
      <c r="AA121" s="69">
        <f t="shared" si="33"/>
        <v>0</v>
      </c>
      <c r="AB121" s="68">
        <f>IFERROR(SUMIF(生体情報モニタ!$C$30:$C$74,B121,生体情報モニタ!$K$30:$K$74)*((生体情報モニタ!$H$3-生体情報モニタ!$I$3)/生体情報モニタ!$H$3),0)</f>
        <v>0</v>
      </c>
      <c r="AC121" s="69">
        <f t="shared" si="19"/>
        <v>0</v>
      </c>
      <c r="AD121" s="68">
        <f>IFERROR(SUMIF(分娩監視装置!$C$30:$C$74,B121,分娩監視装置!$K$30:$K$74)*((分娩監視装置!$H$3-分娩監視装置!$I$3)/分娩監視装置!$H$3),0)</f>
        <v>0</v>
      </c>
      <c r="AE121" s="69">
        <f t="shared" si="34"/>
        <v>0</v>
      </c>
      <c r="AF121" s="68">
        <f>IFERROR(SUMIF(新生児モニタ!$C$30:$C$74,B121,新生児モニタ!$K$30:$K$74)*((新生児モニタ!$H$3-新生児モニタ!$I$3)/新生児モニタ!$H$3),0)</f>
        <v>0</v>
      </c>
      <c r="AG121" s="69">
        <f t="shared" si="35"/>
        <v>0</v>
      </c>
    </row>
    <row r="122" spans="2:33">
      <c r="B122" s="65" t="s">
        <v>791</v>
      </c>
      <c r="C122" s="68">
        <f>IFERROR(SUMIF(初度設備!$C$30:$C$74,B122,初度設備!$N$30:$N$74)*((初度設備!$H$3-初度設備!$I$3)/初度設備!$H$3),0)</f>
        <v>0</v>
      </c>
      <c r="D122" s="69">
        <f t="shared" si="20"/>
        <v>0</v>
      </c>
      <c r="E122" s="68">
        <f>IFERROR(SUMIF(人工呼吸器!$C$30:$C$74,B122,人工呼吸器!$N$30:$N$74)*((人工呼吸器!$H$3-人工呼吸器!$I$3)/人工呼吸器!$H$3),0)</f>
        <v>0</v>
      </c>
      <c r="F122" s="69">
        <f t="shared" si="21"/>
        <v>0</v>
      </c>
      <c r="G122" s="69">
        <f t="shared" si="22"/>
        <v>0</v>
      </c>
      <c r="H122" s="69">
        <f t="shared" si="23"/>
        <v>0</v>
      </c>
      <c r="I122" s="68">
        <f>IFERROR(SUMIF(簡易陰圧装置!$C$30:$C$74,B122,簡易陰圧装置!$N$30:$N$74)*((簡易陰圧装置!$H$3-簡易陰圧装置!$I$3)/簡易陰圧装置!$H$3),0)</f>
        <v>0</v>
      </c>
      <c r="J122" s="69">
        <f t="shared" si="24"/>
        <v>0</v>
      </c>
      <c r="K122" s="68">
        <f>IFERROR(SUMIF(#REF!,B122,#REF!)*((#REF!-#REF!)/#REF!),0)</f>
        <v>0</v>
      </c>
      <c r="L122" s="69">
        <f t="shared" si="25"/>
        <v>0</v>
      </c>
      <c r="M122" s="68">
        <f>IFERROR(SUMIF(体外式膜型人工肺!$C$30:$C$74,B122,体外式膜型人工肺!$N$30:$N$74)*((体外式膜型人工肺!$H$3-体外式膜型人工肺!$I$3)/体外式膜型人工肺!$H$3),0)</f>
        <v>0</v>
      </c>
      <c r="N122" s="69">
        <f t="shared" si="26"/>
        <v>0</v>
      </c>
      <c r="O122" s="69">
        <f t="shared" si="27"/>
        <v>0</v>
      </c>
      <c r="P122" s="69">
        <f t="shared" si="28"/>
        <v>0</v>
      </c>
      <c r="Q122" s="68">
        <f>IFERROR(SUMIF(紫外線照射装置!$C$30:$C$74,B122,紫外線照射装置!$N$30:$N$74)*((紫外線照射装置!$H$3-紫外線照射装置!$I$3)/紫外線照射装置!$H$3),0)</f>
        <v>0</v>
      </c>
      <c r="R122" s="69">
        <f t="shared" si="29"/>
        <v>0</v>
      </c>
      <c r="S122" s="102">
        <f t="shared" si="30"/>
        <v>0</v>
      </c>
      <c r="T122" s="68">
        <f>IFERROR(SUMIF(超音波画像診断装置!$C$30:$C$74,B122,超音波画像診断装置!$K$30:$K$74)*((超音波画像診断装置!$H$3-超音波画像診断装置!$I$3)/超音波画像診断装置!$H$3),0)</f>
        <v>0</v>
      </c>
      <c r="U122" s="69">
        <f t="shared" si="31"/>
        <v>0</v>
      </c>
      <c r="V122" s="68">
        <f>IFERROR(SUMIF(血液浄化装置!$C$30:$C$74,B122,血液浄化装置!$K$30:$K$74)*((血液浄化装置!$H$3-血液浄化装置!$I$3)/血液浄化装置!$H$3),0)</f>
        <v>0</v>
      </c>
      <c r="W122" s="69">
        <f t="shared" si="32"/>
        <v>0</v>
      </c>
      <c r="X122" s="68">
        <f>IFERROR(SUMIF(気管支鏡!$C$30:$C$74,B122,気管支鏡!$K$30:$K$74)*((気管支鏡!$H$3-気管支鏡!$I$3)/気管支鏡!$H$3),0)</f>
        <v>0</v>
      </c>
      <c r="Y122" s="69">
        <f t="shared" si="18"/>
        <v>0</v>
      </c>
      <c r="Z122" s="68">
        <f>IFERROR(SUMIF(CT撮影装置!$C$30:$C$74,B122,CT撮影装置!$K$30:$K$74)*((CT撮影装置!$H$3-CT撮影装置!$I$3)/CT撮影装置!$H$3),0)</f>
        <v>0</v>
      </c>
      <c r="AA122" s="69">
        <f t="shared" si="33"/>
        <v>0</v>
      </c>
      <c r="AB122" s="68">
        <f>IFERROR(SUMIF(生体情報モニタ!$C$30:$C$74,B122,生体情報モニタ!$K$30:$K$74)*((生体情報モニタ!$H$3-生体情報モニタ!$I$3)/生体情報モニタ!$H$3),0)</f>
        <v>0</v>
      </c>
      <c r="AC122" s="69">
        <f t="shared" si="19"/>
        <v>0</v>
      </c>
      <c r="AD122" s="68">
        <f>IFERROR(SUMIF(分娩監視装置!$C$30:$C$74,B122,分娩監視装置!$K$30:$K$74)*((分娩監視装置!$H$3-分娩監視装置!$I$3)/分娩監視装置!$H$3),0)</f>
        <v>0</v>
      </c>
      <c r="AE122" s="69">
        <f t="shared" si="34"/>
        <v>0</v>
      </c>
      <c r="AF122" s="68">
        <f>IFERROR(SUMIF(新生児モニタ!$C$30:$C$74,B122,新生児モニタ!$K$30:$K$74)*((新生児モニタ!$H$3-新生児モニタ!$I$3)/新生児モニタ!$H$3),0)</f>
        <v>0</v>
      </c>
      <c r="AG122" s="69">
        <f t="shared" si="35"/>
        <v>0</v>
      </c>
    </row>
    <row r="123" spans="2:33">
      <c r="B123" s="65" t="s">
        <v>792</v>
      </c>
      <c r="C123" s="68">
        <f>IFERROR(SUMIF(初度設備!$C$30:$C$74,B123,初度設備!$N$30:$N$74)*((初度設備!$H$3-初度設備!$I$3)/初度設備!$H$3),0)</f>
        <v>0</v>
      </c>
      <c r="D123" s="69">
        <f t="shared" si="20"/>
        <v>0</v>
      </c>
      <c r="E123" s="68">
        <f>IFERROR(SUMIF(人工呼吸器!$C$30:$C$74,B123,人工呼吸器!$N$30:$N$74)*((人工呼吸器!$H$3-人工呼吸器!$I$3)/人工呼吸器!$H$3),0)</f>
        <v>0</v>
      </c>
      <c r="F123" s="69">
        <f t="shared" si="21"/>
        <v>0</v>
      </c>
      <c r="G123" s="69">
        <f t="shared" si="22"/>
        <v>0</v>
      </c>
      <c r="H123" s="69">
        <f t="shared" si="23"/>
        <v>0</v>
      </c>
      <c r="I123" s="68">
        <f>IFERROR(SUMIF(簡易陰圧装置!$C$30:$C$74,B123,簡易陰圧装置!$N$30:$N$74)*((簡易陰圧装置!$H$3-簡易陰圧装置!$I$3)/簡易陰圧装置!$H$3),0)</f>
        <v>0</v>
      </c>
      <c r="J123" s="69">
        <f t="shared" si="24"/>
        <v>0</v>
      </c>
      <c r="K123" s="68">
        <f>IFERROR(SUMIF(#REF!,B123,#REF!)*((#REF!-#REF!)/#REF!),0)</f>
        <v>0</v>
      </c>
      <c r="L123" s="69">
        <f t="shared" si="25"/>
        <v>0</v>
      </c>
      <c r="M123" s="68">
        <f>IFERROR(SUMIF(体外式膜型人工肺!$C$30:$C$74,B123,体外式膜型人工肺!$N$30:$N$74)*((体外式膜型人工肺!$H$3-体外式膜型人工肺!$I$3)/体外式膜型人工肺!$H$3),0)</f>
        <v>0</v>
      </c>
      <c r="N123" s="69">
        <f t="shared" si="26"/>
        <v>0</v>
      </c>
      <c r="O123" s="69">
        <f t="shared" si="27"/>
        <v>0</v>
      </c>
      <c r="P123" s="69">
        <f t="shared" si="28"/>
        <v>0</v>
      </c>
      <c r="Q123" s="68">
        <f>IFERROR(SUMIF(紫外線照射装置!$C$30:$C$74,B123,紫外線照射装置!$N$30:$N$74)*((紫外線照射装置!$H$3-紫外線照射装置!$I$3)/紫外線照射装置!$H$3),0)</f>
        <v>0</v>
      </c>
      <c r="R123" s="69">
        <f t="shared" si="29"/>
        <v>0</v>
      </c>
      <c r="S123" s="102">
        <f t="shared" si="30"/>
        <v>0</v>
      </c>
      <c r="T123" s="68">
        <f>IFERROR(SUMIF(超音波画像診断装置!$C$30:$C$74,B123,超音波画像診断装置!$K$30:$K$74)*((超音波画像診断装置!$H$3-超音波画像診断装置!$I$3)/超音波画像診断装置!$H$3),0)</f>
        <v>0</v>
      </c>
      <c r="U123" s="69">
        <f t="shared" si="31"/>
        <v>0</v>
      </c>
      <c r="V123" s="68">
        <f>IFERROR(SUMIF(血液浄化装置!$C$30:$C$74,B123,血液浄化装置!$K$30:$K$74)*((血液浄化装置!$H$3-血液浄化装置!$I$3)/血液浄化装置!$H$3),0)</f>
        <v>0</v>
      </c>
      <c r="W123" s="69">
        <f t="shared" si="32"/>
        <v>0</v>
      </c>
      <c r="X123" s="68">
        <f>IFERROR(SUMIF(気管支鏡!$C$30:$C$74,B123,気管支鏡!$K$30:$K$74)*((気管支鏡!$H$3-気管支鏡!$I$3)/気管支鏡!$H$3),0)</f>
        <v>0</v>
      </c>
      <c r="Y123" s="69">
        <f t="shared" si="18"/>
        <v>0</v>
      </c>
      <c r="Z123" s="68">
        <f>IFERROR(SUMIF(CT撮影装置!$C$30:$C$74,B123,CT撮影装置!$K$30:$K$74)*((CT撮影装置!$H$3-CT撮影装置!$I$3)/CT撮影装置!$H$3),0)</f>
        <v>0</v>
      </c>
      <c r="AA123" s="69">
        <f t="shared" si="33"/>
        <v>0</v>
      </c>
      <c r="AB123" s="68">
        <f>IFERROR(SUMIF(生体情報モニタ!$C$30:$C$74,B123,生体情報モニタ!$K$30:$K$74)*((生体情報モニタ!$H$3-生体情報モニタ!$I$3)/生体情報モニタ!$H$3),0)</f>
        <v>0</v>
      </c>
      <c r="AC123" s="69">
        <f t="shared" si="19"/>
        <v>0</v>
      </c>
      <c r="AD123" s="68">
        <f>IFERROR(SUMIF(分娩監視装置!$C$30:$C$74,B123,分娩監視装置!$K$30:$K$74)*((分娩監視装置!$H$3-分娩監視装置!$I$3)/分娩監視装置!$H$3),0)</f>
        <v>0</v>
      </c>
      <c r="AE123" s="69">
        <f t="shared" si="34"/>
        <v>0</v>
      </c>
      <c r="AF123" s="68">
        <f>IFERROR(SUMIF(新生児モニタ!$C$30:$C$74,B123,新生児モニタ!$K$30:$K$74)*((新生児モニタ!$H$3-新生児モニタ!$I$3)/新生児モニタ!$H$3),0)</f>
        <v>0</v>
      </c>
      <c r="AG123" s="69">
        <f t="shared" si="35"/>
        <v>0</v>
      </c>
    </row>
    <row r="124" spans="2:33">
      <c r="B124" s="65" t="s">
        <v>793</v>
      </c>
      <c r="C124" s="68">
        <f>IFERROR(SUMIF(初度設備!$C$30:$C$74,B124,初度設備!$N$30:$N$74)*((初度設備!$H$3-初度設備!$I$3)/初度設備!$H$3),0)</f>
        <v>0</v>
      </c>
      <c r="D124" s="69">
        <f t="shared" si="20"/>
        <v>0</v>
      </c>
      <c r="E124" s="68">
        <f>IFERROR(SUMIF(人工呼吸器!$C$30:$C$74,B124,人工呼吸器!$N$30:$N$74)*((人工呼吸器!$H$3-人工呼吸器!$I$3)/人工呼吸器!$H$3),0)</f>
        <v>0</v>
      </c>
      <c r="F124" s="69">
        <f t="shared" si="21"/>
        <v>0</v>
      </c>
      <c r="G124" s="69">
        <f t="shared" si="22"/>
        <v>0</v>
      </c>
      <c r="H124" s="69">
        <f t="shared" si="23"/>
        <v>0</v>
      </c>
      <c r="I124" s="68">
        <f>IFERROR(SUMIF(簡易陰圧装置!$C$30:$C$74,B124,簡易陰圧装置!$N$30:$N$74)*((簡易陰圧装置!$H$3-簡易陰圧装置!$I$3)/簡易陰圧装置!$H$3),0)</f>
        <v>0</v>
      </c>
      <c r="J124" s="69">
        <f t="shared" si="24"/>
        <v>0</v>
      </c>
      <c r="K124" s="68">
        <f>IFERROR(SUMIF(#REF!,B124,#REF!)*((#REF!-#REF!)/#REF!),0)</f>
        <v>0</v>
      </c>
      <c r="L124" s="69">
        <f t="shared" si="25"/>
        <v>0</v>
      </c>
      <c r="M124" s="68">
        <f>IFERROR(SUMIF(体外式膜型人工肺!$C$30:$C$74,B124,体外式膜型人工肺!$N$30:$N$74)*((体外式膜型人工肺!$H$3-体外式膜型人工肺!$I$3)/体外式膜型人工肺!$H$3),0)</f>
        <v>0</v>
      </c>
      <c r="N124" s="69">
        <f t="shared" si="26"/>
        <v>0</v>
      </c>
      <c r="O124" s="69">
        <f t="shared" si="27"/>
        <v>0</v>
      </c>
      <c r="P124" s="69">
        <f t="shared" si="28"/>
        <v>0</v>
      </c>
      <c r="Q124" s="68">
        <f>IFERROR(SUMIF(紫外線照射装置!$C$30:$C$74,B124,紫外線照射装置!$N$30:$N$74)*((紫外線照射装置!$H$3-紫外線照射装置!$I$3)/紫外線照射装置!$H$3),0)</f>
        <v>0</v>
      </c>
      <c r="R124" s="69">
        <f t="shared" si="29"/>
        <v>0</v>
      </c>
      <c r="S124" s="102">
        <f t="shared" si="30"/>
        <v>0</v>
      </c>
      <c r="T124" s="68">
        <f>IFERROR(SUMIF(超音波画像診断装置!$C$30:$C$74,B124,超音波画像診断装置!$K$30:$K$74)*((超音波画像診断装置!$H$3-超音波画像診断装置!$I$3)/超音波画像診断装置!$H$3),0)</f>
        <v>0</v>
      </c>
      <c r="U124" s="69">
        <f t="shared" si="31"/>
        <v>0</v>
      </c>
      <c r="V124" s="68">
        <f>IFERROR(SUMIF(血液浄化装置!$C$30:$C$74,B124,血液浄化装置!$K$30:$K$74)*((血液浄化装置!$H$3-血液浄化装置!$I$3)/血液浄化装置!$H$3),0)</f>
        <v>0</v>
      </c>
      <c r="W124" s="69">
        <f t="shared" si="32"/>
        <v>0</v>
      </c>
      <c r="X124" s="68">
        <f>IFERROR(SUMIF(気管支鏡!$C$30:$C$74,B124,気管支鏡!$K$30:$K$74)*((気管支鏡!$H$3-気管支鏡!$I$3)/気管支鏡!$H$3),0)</f>
        <v>0</v>
      </c>
      <c r="Y124" s="69">
        <f t="shared" si="18"/>
        <v>0</v>
      </c>
      <c r="Z124" s="68">
        <f>IFERROR(SUMIF(CT撮影装置!$C$30:$C$74,B124,CT撮影装置!$K$30:$K$74)*((CT撮影装置!$H$3-CT撮影装置!$I$3)/CT撮影装置!$H$3),0)</f>
        <v>0</v>
      </c>
      <c r="AA124" s="69">
        <f t="shared" si="33"/>
        <v>0</v>
      </c>
      <c r="AB124" s="68">
        <f>IFERROR(SUMIF(生体情報モニタ!$C$30:$C$74,B124,生体情報モニタ!$K$30:$K$74)*((生体情報モニタ!$H$3-生体情報モニタ!$I$3)/生体情報モニタ!$H$3),0)</f>
        <v>0</v>
      </c>
      <c r="AC124" s="69">
        <f t="shared" si="19"/>
        <v>0</v>
      </c>
      <c r="AD124" s="68">
        <f>IFERROR(SUMIF(分娩監視装置!$C$30:$C$74,B124,分娩監視装置!$K$30:$K$74)*((分娩監視装置!$H$3-分娩監視装置!$I$3)/分娩監視装置!$H$3),0)</f>
        <v>0</v>
      </c>
      <c r="AE124" s="69">
        <f t="shared" si="34"/>
        <v>0</v>
      </c>
      <c r="AF124" s="68">
        <f>IFERROR(SUMIF(新生児モニタ!$C$30:$C$74,B124,新生児モニタ!$K$30:$K$74)*((新生児モニタ!$H$3-新生児モニタ!$I$3)/新生児モニタ!$H$3),0)</f>
        <v>0</v>
      </c>
      <c r="AG124" s="69">
        <f t="shared" si="35"/>
        <v>0</v>
      </c>
    </row>
    <row r="125" spans="2:33">
      <c r="B125" s="65" t="s">
        <v>794</v>
      </c>
      <c r="C125" s="68">
        <f>IFERROR(SUMIF(初度設備!$C$30:$C$74,B125,初度設備!$N$30:$N$74)*((初度設備!$H$3-初度設備!$I$3)/初度設備!$H$3),0)</f>
        <v>0</v>
      </c>
      <c r="D125" s="69">
        <f t="shared" si="20"/>
        <v>0</v>
      </c>
      <c r="E125" s="68">
        <f>IFERROR(SUMIF(人工呼吸器!$C$30:$C$74,B125,人工呼吸器!$N$30:$N$74)*((人工呼吸器!$H$3-人工呼吸器!$I$3)/人工呼吸器!$H$3),0)</f>
        <v>0</v>
      </c>
      <c r="F125" s="69">
        <f t="shared" si="21"/>
        <v>0</v>
      </c>
      <c r="G125" s="69">
        <f t="shared" si="22"/>
        <v>0</v>
      </c>
      <c r="H125" s="69">
        <f t="shared" si="23"/>
        <v>0</v>
      </c>
      <c r="I125" s="68">
        <f>IFERROR(SUMIF(簡易陰圧装置!$C$30:$C$74,B125,簡易陰圧装置!$N$30:$N$74)*((簡易陰圧装置!$H$3-簡易陰圧装置!$I$3)/簡易陰圧装置!$H$3),0)</f>
        <v>0</v>
      </c>
      <c r="J125" s="69">
        <f t="shared" si="24"/>
        <v>0</v>
      </c>
      <c r="K125" s="68">
        <f>IFERROR(SUMIF(#REF!,B125,#REF!)*((#REF!-#REF!)/#REF!),0)</f>
        <v>0</v>
      </c>
      <c r="L125" s="69">
        <f t="shared" si="25"/>
        <v>0</v>
      </c>
      <c r="M125" s="68">
        <f>IFERROR(SUMIF(体外式膜型人工肺!$C$30:$C$74,B125,体外式膜型人工肺!$N$30:$N$74)*((体外式膜型人工肺!$H$3-体外式膜型人工肺!$I$3)/体外式膜型人工肺!$H$3),0)</f>
        <v>0</v>
      </c>
      <c r="N125" s="69">
        <f t="shared" si="26"/>
        <v>0</v>
      </c>
      <c r="O125" s="69">
        <f t="shared" si="27"/>
        <v>0</v>
      </c>
      <c r="P125" s="69">
        <f t="shared" si="28"/>
        <v>0</v>
      </c>
      <c r="Q125" s="68">
        <f>IFERROR(SUMIF(紫外線照射装置!$C$30:$C$74,B125,紫外線照射装置!$N$30:$N$74)*((紫外線照射装置!$H$3-紫外線照射装置!$I$3)/紫外線照射装置!$H$3),0)</f>
        <v>0</v>
      </c>
      <c r="R125" s="69">
        <f t="shared" si="29"/>
        <v>0</v>
      </c>
      <c r="S125" s="102">
        <f t="shared" si="30"/>
        <v>0</v>
      </c>
      <c r="T125" s="68">
        <f>IFERROR(SUMIF(超音波画像診断装置!$C$30:$C$74,B125,超音波画像診断装置!$K$30:$K$74)*((超音波画像診断装置!$H$3-超音波画像診断装置!$I$3)/超音波画像診断装置!$H$3),0)</f>
        <v>0</v>
      </c>
      <c r="U125" s="69">
        <f t="shared" si="31"/>
        <v>0</v>
      </c>
      <c r="V125" s="68">
        <f>IFERROR(SUMIF(血液浄化装置!$C$30:$C$74,B125,血液浄化装置!$K$30:$K$74)*((血液浄化装置!$H$3-血液浄化装置!$I$3)/血液浄化装置!$H$3),0)</f>
        <v>0</v>
      </c>
      <c r="W125" s="69">
        <f t="shared" si="32"/>
        <v>0</v>
      </c>
      <c r="X125" s="68">
        <f>IFERROR(SUMIF(気管支鏡!$C$30:$C$74,B125,気管支鏡!$K$30:$K$74)*((気管支鏡!$H$3-気管支鏡!$I$3)/気管支鏡!$H$3),0)</f>
        <v>0</v>
      </c>
      <c r="Y125" s="69">
        <f t="shared" si="18"/>
        <v>0</v>
      </c>
      <c r="Z125" s="68">
        <f>IFERROR(SUMIF(CT撮影装置!$C$30:$C$74,B125,CT撮影装置!$K$30:$K$74)*((CT撮影装置!$H$3-CT撮影装置!$I$3)/CT撮影装置!$H$3),0)</f>
        <v>0</v>
      </c>
      <c r="AA125" s="69">
        <f t="shared" si="33"/>
        <v>0</v>
      </c>
      <c r="AB125" s="68">
        <f>IFERROR(SUMIF(生体情報モニタ!$C$30:$C$74,B125,生体情報モニタ!$K$30:$K$74)*((生体情報モニタ!$H$3-生体情報モニタ!$I$3)/生体情報モニタ!$H$3),0)</f>
        <v>0</v>
      </c>
      <c r="AC125" s="69">
        <f t="shared" si="19"/>
        <v>0</v>
      </c>
      <c r="AD125" s="68">
        <f>IFERROR(SUMIF(分娩監視装置!$C$30:$C$74,B125,分娩監視装置!$K$30:$K$74)*((分娩監視装置!$H$3-分娩監視装置!$I$3)/分娩監視装置!$H$3),0)</f>
        <v>0</v>
      </c>
      <c r="AE125" s="69">
        <f t="shared" si="34"/>
        <v>0</v>
      </c>
      <c r="AF125" s="68">
        <f>IFERROR(SUMIF(新生児モニタ!$C$30:$C$74,B125,新生児モニタ!$K$30:$K$74)*((新生児モニタ!$H$3-新生児モニタ!$I$3)/新生児モニタ!$H$3),0)</f>
        <v>0</v>
      </c>
      <c r="AG125" s="69">
        <f t="shared" si="35"/>
        <v>0</v>
      </c>
    </row>
    <row r="126" spans="2:33">
      <c r="B126" s="65" t="s">
        <v>795</v>
      </c>
      <c r="C126" s="68">
        <f>IFERROR(SUMIF(初度設備!$C$30:$C$74,B126,初度設備!$N$30:$N$74)*((初度設備!$H$3-初度設備!$I$3)/初度設備!$H$3),0)</f>
        <v>0</v>
      </c>
      <c r="D126" s="69">
        <f t="shared" si="20"/>
        <v>0</v>
      </c>
      <c r="E126" s="68">
        <f>IFERROR(SUMIF(人工呼吸器!$C$30:$C$74,B126,人工呼吸器!$N$30:$N$74)*((人工呼吸器!$H$3-人工呼吸器!$I$3)/人工呼吸器!$H$3),0)</f>
        <v>0</v>
      </c>
      <c r="F126" s="69">
        <f t="shared" si="21"/>
        <v>0</v>
      </c>
      <c r="G126" s="69">
        <f t="shared" si="22"/>
        <v>0</v>
      </c>
      <c r="H126" s="69">
        <f t="shared" si="23"/>
        <v>0</v>
      </c>
      <c r="I126" s="68">
        <f>IFERROR(SUMIF(簡易陰圧装置!$C$30:$C$74,B126,簡易陰圧装置!$N$30:$N$74)*((簡易陰圧装置!$H$3-簡易陰圧装置!$I$3)/簡易陰圧装置!$H$3),0)</f>
        <v>0</v>
      </c>
      <c r="J126" s="69">
        <f t="shared" si="24"/>
        <v>0</v>
      </c>
      <c r="K126" s="68">
        <f>IFERROR(SUMIF(#REF!,B126,#REF!)*((#REF!-#REF!)/#REF!),0)</f>
        <v>0</v>
      </c>
      <c r="L126" s="69">
        <f t="shared" si="25"/>
        <v>0</v>
      </c>
      <c r="M126" s="68">
        <f>IFERROR(SUMIF(体外式膜型人工肺!$C$30:$C$74,B126,体外式膜型人工肺!$N$30:$N$74)*((体外式膜型人工肺!$H$3-体外式膜型人工肺!$I$3)/体外式膜型人工肺!$H$3),0)</f>
        <v>0</v>
      </c>
      <c r="N126" s="69">
        <f t="shared" si="26"/>
        <v>0</v>
      </c>
      <c r="O126" s="69">
        <f t="shared" si="27"/>
        <v>0</v>
      </c>
      <c r="P126" s="69">
        <f t="shared" si="28"/>
        <v>0</v>
      </c>
      <c r="Q126" s="68">
        <f>IFERROR(SUMIF(紫外線照射装置!$C$30:$C$74,B126,紫外線照射装置!$N$30:$N$74)*((紫外線照射装置!$H$3-紫外線照射装置!$I$3)/紫外線照射装置!$H$3),0)</f>
        <v>0</v>
      </c>
      <c r="R126" s="69">
        <f t="shared" si="29"/>
        <v>0</v>
      </c>
      <c r="S126" s="102">
        <f t="shared" si="30"/>
        <v>0</v>
      </c>
      <c r="T126" s="68">
        <f>IFERROR(SUMIF(超音波画像診断装置!$C$30:$C$74,B126,超音波画像診断装置!$K$30:$K$74)*((超音波画像診断装置!$H$3-超音波画像診断装置!$I$3)/超音波画像診断装置!$H$3),0)</f>
        <v>0</v>
      </c>
      <c r="U126" s="69">
        <f t="shared" si="31"/>
        <v>0</v>
      </c>
      <c r="V126" s="68">
        <f>IFERROR(SUMIF(血液浄化装置!$C$30:$C$74,B126,血液浄化装置!$K$30:$K$74)*((血液浄化装置!$H$3-血液浄化装置!$I$3)/血液浄化装置!$H$3),0)</f>
        <v>0</v>
      </c>
      <c r="W126" s="69">
        <f t="shared" si="32"/>
        <v>0</v>
      </c>
      <c r="X126" s="68">
        <f>IFERROR(SUMIF(気管支鏡!$C$30:$C$74,B126,気管支鏡!$K$30:$K$74)*((気管支鏡!$H$3-気管支鏡!$I$3)/気管支鏡!$H$3),0)</f>
        <v>0</v>
      </c>
      <c r="Y126" s="69">
        <f t="shared" si="18"/>
        <v>0</v>
      </c>
      <c r="Z126" s="68">
        <f>IFERROR(SUMIF(CT撮影装置!$C$30:$C$74,B126,CT撮影装置!$K$30:$K$74)*((CT撮影装置!$H$3-CT撮影装置!$I$3)/CT撮影装置!$H$3),0)</f>
        <v>0</v>
      </c>
      <c r="AA126" s="69">
        <f t="shared" si="33"/>
        <v>0</v>
      </c>
      <c r="AB126" s="68">
        <f>IFERROR(SUMIF(生体情報モニタ!$C$30:$C$74,B126,生体情報モニタ!$K$30:$K$74)*((生体情報モニタ!$H$3-生体情報モニタ!$I$3)/生体情報モニタ!$H$3),0)</f>
        <v>0</v>
      </c>
      <c r="AC126" s="69">
        <f t="shared" si="19"/>
        <v>0</v>
      </c>
      <c r="AD126" s="68">
        <f>IFERROR(SUMIF(分娩監視装置!$C$30:$C$74,B126,分娩監視装置!$K$30:$K$74)*((分娩監視装置!$H$3-分娩監視装置!$I$3)/分娩監視装置!$H$3),0)</f>
        <v>0</v>
      </c>
      <c r="AE126" s="69">
        <f t="shared" si="34"/>
        <v>0</v>
      </c>
      <c r="AF126" s="68">
        <f>IFERROR(SUMIF(新生児モニタ!$C$30:$C$74,B126,新生児モニタ!$K$30:$K$74)*((新生児モニタ!$H$3-新生児モニタ!$I$3)/新生児モニタ!$H$3),0)</f>
        <v>0</v>
      </c>
      <c r="AG126" s="69">
        <f t="shared" si="35"/>
        <v>0</v>
      </c>
    </row>
    <row r="127" spans="2:33">
      <c r="B127" s="65" t="s">
        <v>796</v>
      </c>
      <c r="C127" s="68">
        <f>IFERROR(SUMIF(初度設備!$C$30:$C$74,B127,初度設備!$N$30:$N$74)*((初度設備!$H$3-初度設備!$I$3)/初度設備!$H$3),0)</f>
        <v>0</v>
      </c>
      <c r="D127" s="69">
        <f t="shared" si="20"/>
        <v>0</v>
      </c>
      <c r="E127" s="68">
        <f>IFERROR(SUMIF(人工呼吸器!$C$30:$C$74,B127,人工呼吸器!$N$30:$N$74)*((人工呼吸器!$H$3-人工呼吸器!$I$3)/人工呼吸器!$H$3),0)</f>
        <v>0</v>
      </c>
      <c r="F127" s="69">
        <f t="shared" si="21"/>
        <v>0</v>
      </c>
      <c r="G127" s="69">
        <f t="shared" si="22"/>
        <v>0</v>
      </c>
      <c r="H127" s="69">
        <f t="shared" si="23"/>
        <v>0</v>
      </c>
      <c r="I127" s="68">
        <f>IFERROR(SUMIF(簡易陰圧装置!$C$30:$C$74,B127,簡易陰圧装置!$N$30:$N$74)*((簡易陰圧装置!$H$3-簡易陰圧装置!$I$3)/簡易陰圧装置!$H$3),0)</f>
        <v>0</v>
      </c>
      <c r="J127" s="69">
        <f t="shared" si="24"/>
        <v>0</v>
      </c>
      <c r="K127" s="68">
        <f>IFERROR(SUMIF(#REF!,B127,#REF!)*((#REF!-#REF!)/#REF!),0)</f>
        <v>0</v>
      </c>
      <c r="L127" s="69">
        <f t="shared" si="25"/>
        <v>0</v>
      </c>
      <c r="M127" s="68">
        <f>IFERROR(SUMIF(体外式膜型人工肺!$C$30:$C$74,B127,体外式膜型人工肺!$N$30:$N$74)*((体外式膜型人工肺!$H$3-体外式膜型人工肺!$I$3)/体外式膜型人工肺!$H$3),0)</f>
        <v>0</v>
      </c>
      <c r="N127" s="69">
        <f t="shared" si="26"/>
        <v>0</v>
      </c>
      <c r="O127" s="69">
        <f t="shared" si="27"/>
        <v>0</v>
      </c>
      <c r="P127" s="69">
        <f t="shared" si="28"/>
        <v>0</v>
      </c>
      <c r="Q127" s="68">
        <f>IFERROR(SUMIF(紫外線照射装置!$C$30:$C$74,B127,紫外線照射装置!$N$30:$N$74)*((紫外線照射装置!$H$3-紫外線照射装置!$I$3)/紫外線照射装置!$H$3),0)</f>
        <v>0</v>
      </c>
      <c r="R127" s="69">
        <f t="shared" si="29"/>
        <v>0</v>
      </c>
      <c r="S127" s="102">
        <f t="shared" si="30"/>
        <v>0</v>
      </c>
      <c r="T127" s="68">
        <f>IFERROR(SUMIF(超音波画像診断装置!$C$30:$C$74,B127,超音波画像診断装置!$K$30:$K$74)*((超音波画像診断装置!$H$3-超音波画像診断装置!$I$3)/超音波画像診断装置!$H$3),0)</f>
        <v>0</v>
      </c>
      <c r="U127" s="69">
        <f t="shared" si="31"/>
        <v>0</v>
      </c>
      <c r="V127" s="68">
        <f>IFERROR(SUMIF(血液浄化装置!$C$30:$C$74,B127,血液浄化装置!$K$30:$K$74)*((血液浄化装置!$H$3-血液浄化装置!$I$3)/血液浄化装置!$H$3),0)</f>
        <v>0</v>
      </c>
      <c r="W127" s="69">
        <f t="shared" si="32"/>
        <v>0</v>
      </c>
      <c r="X127" s="68">
        <f>IFERROR(SUMIF(気管支鏡!$C$30:$C$74,B127,気管支鏡!$K$30:$K$74)*((気管支鏡!$H$3-気管支鏡!$I$3)/気管支鏡!$H$3),0)</f>
        <v>0</v>
      </c>
      <c r="Y127" s="69">
        <f t="shared" si="18"/>
        <v>0</v>
      </c>
      <c r="Z127" s="68">
        <f>IFERROR(SUMIF(CT撮影装置!$C$30:$C$74,B127,CT撮影装置!$K$30:$K$74)*((CT撮影装置!$H$3-CT撮影装置!$I$3)/CT撮影装置!$H$3),0)</f>
        <v>0</v>
      </c>
      <c r="AA127" s="69">
        <f t="shared" si="33"/>
        <v>0</v>
      </c>
      <c r="AB127" s="68">
        <f>IFERROR(SUMIF(生体情報モニタ!$C$30:$C$74,B127,生体情報モニタ!$K$30:$K$74)*((生体情報モニタ!$H$3-生体情報モニタ!$I$3)/生体情報モニタ!$H$3),0)</f>
        <v>0</v>
      </c>
      <c r="AC127" s="69">
        <f t="shared" si="19"/>
        <v>0</v>
      </c>
      <c r="AD127" s="68">
        <f>IFERROR(SUMIF(分娩監視装置!$C$30:$C$74,B127,分娩監視装置!$K$30:$K$74)*((分娩監視装置!$H$3-分娩監視装置!$I$3)/分娩監視装置!$H$3),0)</f>
        <v>0</v>
      </c>
      <c r="AE127" s="69">
        <f t="shared" si="34"/>
        <v>0</v>
      </c>
      <c r="AF127" s="68">
        <f>IFERROR(SUMIF(新生児モニタ!$C$30:$C$74,B127,新生児モニタ!$K$30:$K$74)*((新生児モニタ!$H$3-新生児モニタ!$I$3)/新生児モニタ!$H$3),0)</f>
        <v>0</v>
      </c>
      <c r="AG127" s="69">
        <f t="shared" si="35"/>
        <v>0</v>
      </c>
    </row>
    <row r="128" spans="2:33">
      <c r="B128" s="65" t="s">
        <v>797</v>
      </c>
      <c r="C128" s="68">
        <f>IFERROR(SUMIF(初度設備!$C$30:$C$74,B128,初度設備!$N$30:$N$74)*((初度設備!$H$3-初度設備!$I$3)/初度設備!$H$3),0)</f>
        <v>0</v>
      </c>
      <c r="D128" s="69">
        <f t="shared" si="20"/>
        <v>0</v>
      </c>
      <c r="E128" s="68">
        <f>IFERROR(SUMIF(人工呼吸器!$C$30:$C$74,B128,人工呼吸器!$N$30:$N$74)*((人工呼吸器!$H$3-人工呼吸器!$I$3)/人工呼吸器!$H$3),0)</f>
        <v>0</v>
      </c>
      <c r="F128" s="69">
        <f t="shared" si="21"/>
        <v>0</v>
      </c>
      <c r="G128" s="69">
        <f t="shared" si="22"/>
        <v>0</v>
      </c>
      <c r="H128" s="69">
        <f t="shared" si="23"/>
        <v>0</v>
      </c>
      <c r="I128" s="68">
        <f>IFERROR(SUMIF(簡易陰圧装置!$C$30:$C$74,B128,簡易陰圧装置!$N$30:$N$74)*((簡易陰圧装置!$H$3-簡易陰圧装置!$I$3)/簡易陰圧装置!$H$3),0)</f>
        <v>0</v>
      </c>
      <c r="J128" s="69">
        <f t="shared" si="24"/>
        <v>0</v>
      </c>
      <c r="K128" s="68">
        <f>IFERROR(SUMIF(#REF!,B128,#REF!)*((#REF!-#REF!)/#REF!),0)</f>
        <v>0</v>
      </c>
      <c r="L128" s="69">
        <f t="shared" si="25"/>
        <v>0</v>
      </c>
      <c r="M128" s="68">
        <f>IFERROR(SUMIF(体外式膜型人工肺!$C$30:$C$74,B128,体外式膜型人工肺!$N$30:$N$74)*((体外式膜型人工肺!$H$3-体外式膜型人工肺!$I$3)/体外式膜型人工肺!$H$3),0)</f>
        <v>0</v>
      </c>
      <c r="N128" s="69">
        <f t="shared" si="26"/>
        <v>0</v>
      </c>
      <c r="O128" s="69">
        <f t="shared" si="27"/>
        <v>0</v>
      </c>
      <c r="P128" s="69">
        <f t="shared" si="28"/>
        <v>0</v>
      </c>
      <c r="Q128" s="68">
        <f>IFERROR(SUMIF(紫外線照射装置!$C$30:$C$74,B128,紫外線照射装置!$N$30:$N$74)*((紫外線照射装置!$H$3-紫外線照射装置!$I$3)/紫外線照射装置!$H$3),0)</f>
        <v>0</v>
      </c>
      <c r="R128" s="69">
        <f t="shared" si="29"/>
        <v>0</v>
      </c>
      <c r="S128" s="102">
        <f t="shared" si="30"/>
        <v>0</v>
      </c>
      <c r="T128" s="68">
        <f>IFERROR(SUMIF(超音波画像診断装置!$C$30:$C$74,B128,超音波画像診断装置!$K$30:$K$74)*((超音波画像診断装置!$H$3-超音波画像診断装置!$I$3)/超音波画像診断装置!$H$3),0)</f>
        <v>0</v>
      </c>
      <c r="U128" s="69">
        <f t="shared" si="31"/>
        <v>0</v>
      </c>
      <c r="V128" s="68">
        <f>IFERROR(SUMIF(血液浄化装置!$C$30:$C$74,B128,血液浄化装置!$K$30:$K$74)*((血液浄化装置!$H$3-血液浄化装置!$I$3)/血液浄化装置!$H$3),0)</f>
        <v>0</v>
      </c>
      <c r="W128" s="69">
        <f t="shared" si="32"/>
        <v>0</v>
      </c>
      <c r="X128" s="68">
        <f>IFERROR(SUMIF(気管支鏡!$C$30:$C$74,B128,気管支鏡!$K$30:$K$74)*((気管支鏡!$H$3-気管支鏡!$I$3)/気管支鏡!$H$3),0)</f>
        <v>0</v>
      </c>
      <c r="Y128" s="69">
        <f t="shared" si="18"/>
        <v>0</v>
      </c>
      <c r="Z128" s="68">
        <f>IFERROR(SUMIF(CT撮影装置!$C$30:$C$74,B128,CT撮影装置!$K$30:$K$74)*((CT撮影装置!$H$3-CT撮影装置!$I$3)/CT撮影装置!$H$3),0)</f>
        <v>0</v>
      </c>
      <c r="AA128" s="69">
        <f t="shared" si="33"/>
        <v>0</v>
      </c>
      <c r="AB128" s="68">
        <f>IFERROR(SUMIF(生体情報モニタ!$C$30:$C$74,B128,生体情報モニタ!$K$30:$K$74)*((生体情報モニタ!$H$3-生体情報モニタ!$I$3)/生体情報モニタ!$H$3),0)</f>
        <v>0</v>
      </c>
      <c r="AC128" s="69">
        <f t="shared" si="19"/>
        <v>0</v>
      </c>
      <c r="AD128" s="68">
        <f>IFERROR(SUMIF(分娩監視装置!$C$30:$C$74,B128,分娩監視装置!$K$30:$K$74)*((分娩監視装置!$H$3-分娩監視装置!$I$3)/分娩監視装置!$H$3),0)</f>
        <v>0</v>
      </c>
      <c r="AE128" s="69">
        <f t="shared" si="34"/>
        <v>0</v>
      </c>
      <c r="AF128" s="68">
        <f>IFERROR(SUMIF(新生児モニタ!$C$30:$C$74,B128,新生児モニタ!$K$30:$K$74)*((新生児モニタ!$H$3-新生児モニタ!$I$3)/新生児モニタ!$H$3),0)</f>
        <v>0</v>
      </c>
      <c r="AG128" s="69">
        <f t="shared" si="35"/>
        <v>0</v>
      </c>
    </row>
    <row r="129" spans="2:33">
      <c r="B129" s="65" t="s">
        <v>798</v>
      </c>
      <c r="C129" s="68">
        <f>IFERROR(SUMIF(初度設備!$C$30:$C$74,B129,初度設備!$N$30:$N$74)*((初度設備!$H$3-初度設備!$I$3)/初度設備!$H$3),0)</f>
        <v>0</v>
      </c>
      <c r="D129" s="69">
        <f t="shared" si="20"/>
        <v>0</v>
      </c>
      <c r="E129" s="68">
        <f>IFERROR(SUMIF(人工呼吸器!$C$30:$C$74,B129,人工呼吸器!$N$30:$N$74)*((人工呼吸器!$H$3-人工呼吸器!$I$3)/人工呼吸器!$H$3),0)</f>
        <v>0</v>
      </c>
      <c r="F129" s="69">
        <f t="shared" si="21"/>
        <v>0</v>
      </c>
      <c r="G129" s="69">
        <f t="shared" si="22"/>
        <v>0</v>
      </c>
      <c r="H129" s="69">
        <f t="shared" si="23"/>
        <v>0</v>
      </c>
      <c r="I129" s="68">
        <f>IFERROR(SUMIF(簡易陰圧装置!$C$30:$C$74,B129,簡易陰圧装置!$N$30:$N$74)*((簡易陰圧装置!$H$3-簡易陰圧装置!$I$3)/簡易陰圧装置!$H$3),0)</f>
        <v>0</v>
      </c>
      <c r="J129" s="69">
        <f t="shared" si="24"/>
        <v>0</v>
      </c>
      <c r="K129" s="68">
        <f>IFERROR(SUMIF(#REF!,B129,#REF!)*((#REF!-#REF!)/#REF!),0)</f>
        <v>0</v>
      </c>
      <c r="L129" s="69">
        <f t="shared" si="25"/>
        <v>0</v>
      </c>
      <c r="M129" s="68">
        <f>IFERROR(SUMIF(体外式膜型人工肺!$C$30:$C$74,B129,体外式膜型人工肺!$N$30:$N$74)*((体外式膜型人工肺!$H$3-体外式膜型人工肺!$I$3)/体外式膜型人工肺!$H$3),0)</f>
        <v>0</v>
      </c>
      <c r="N129" s="69">
        <f t="shared" si="26"/>
        <v>0</v>
      </c>
      <c r="O129" s="69">
        <f t="shared" si="27"/>
        <v>0</v>
      </c>
      <c r="P129" s="69">
        <f t="shared" si="28"/>
        <v>0</v>
      </c>
      <c r="Q129" s="68">
        <f>IFERROR(SUMIF(紫外線照射装置!$C$30:$C$74,B129,紫外線照射装置!$N$30:$N$74)*((紫外線照射装置!$H$3-紫外線照射装置!$I$3)/紫外線照射装置!$H$3),0)</f>
        <v>0</v>
      </c>
      <c r="R129" s="69">
        <f t="shared" si="29"/>
        <v>0</v>
      </c>
      <c r="S129" s="102">
        <f t="shared" si="30"/>
        <v>0</v>
      </c>
      <c r="T129" s="68">
        <f>IFERROR(SUMIF(超音波画像診断装置!$C$30:$C$74,B129,超音波画像診断装置!$K$30:$K$74)*((超音波画像診断装置!$H$3-超音波画像診断装置!$I$3)/超音波画像診断装置!$H$3),0)</f>
        <v>0</v>
      </c>
      <c r="U129" s="69">
        <f t="shared" si="31"/>
        <v>0</v>
      </c>
      <c r="V129" s="68">
        <f>IFERROR(SUMIF(血液浄化装置!$C$30:$C$74,B129,血液浄化装置!$K$30:$K$74)*((血液浄化装置!$H$3-血液浄化装置!$I$3)/血液浄化装置!$H$3),0)</f>
        <v>0</v>
      </c>
      <c r="W129" s="69">
        <f t="shared" si="32"/>
        <v>0</v>
      </c>
      <c r="X129" s="68">
        <f>IFERROR(SUMIF(気管支鏡!$C$30:$C$74,B129,気管支鏡!$K$30:$K$74)*((気管支鏡!$H$3-気管支鏡!$I$3)/気管支鏡!$H$3),0)</f>
        <v>0</v>
      </c>
      <c r="Y129" s="69">
        <f t="shared" si="18"/>
        <v>0</v>
      </c>
      <c r="Z129" s="68">
        <f>IFERROR(SUMIF(CT撮影装置!$C$30:$C$74,B129,CT撮影装置!$K$30:$K$74)*((CT撮影装置!$H$3-CT撮影装置!$I$3)/CT撮影装置!$H$3),0)</f>
        <v>0</v>
      </c>
      <c r="AA129" s="69">
        <f t="shared" si="33"/>
        <v>0</v>
      </c>
      <c r="AB129" s="68">
        <f>IFERROR(SUMIF(生体情報モニタ!$C$30:$C$74,B129,生体情報モニタ!$K$30:$K$74)*((生体情報モニタ!$H$3-生体情報モニタ!$I$3)/生体情報モニタ!$H$3),0)</f>
        <v>0</v>
      </c>
      <c r="AC129" s="69">
        <f t="shared" si="19"/>
        <v>0</v>
      </c>
      <c r="AD129" s="68">
        <f>IFERROR(SUMIF(分娩監視装置!$C$30:$C$74,B129,分娩監視装置!$K$30:$K$74)*((分娩監視装置!$H$3-分娩監視装置!$I$3)/分娩監視装置!$H$3),0)</f>
        <v>0</v>
      </c>
      <c r="AE129" s="69">
        <f t="shared" si="34"/>
        <v>0</v>
      </c>
      <c r="AF129" s="68">
        <f>IFERROR(SUMIF(新生児モニタ!$C$30:$C$74,B129,新生児モニタ!$K$30:$K$74)*((新生児モニタ!$H$3-新生児モニタ!$I$3)/新生児モニタ!$H$3),0)</f>
        <v>0</v>
      </c>
      <c r="AG129" s="69">
        <f t="shared" si="35"/>
        <v>0</v>
      </c>
    </row>
    <row r="130" spans="2:33">
      <c r="B130" s="65" t="s">
        <v>799</v>
      </c>
      <c r="C130" s="68">
        <f>IFERROR(SUMIF(初度設備!$C$30:$C$74,B130,初度設備!$N$30:$N$74)*((初度設備!$H$3-初度設備!$I$3)/初度設備!$H$3),0)</f>
        <v>0</v>
      </c>
      <c r="D130" s="69">
        <f t="shared" si="20"/>
        <v>0</v>
      </c>
      <c r="E130" s="68">
        <f>IFERROR(SUMIF(人工呼吸器!$C$30:$C$74,B130,人工呼吸器!$N$30:$N$74)*((人工呼吸器!$H$3-人工呼吸器!$I$3)/人工呼吸器!$H$3),0)</f>
        <v>0</v>
      </c>
      <c r="F130" s="69">
        <f t="shared" si="21"/>
        <v>0</v>
      </c>
      <c r="G130" s="69">
        <f t="shared" si="22"/>
        <v>0</v>
      </c>
      <c r="H130" s="69">
        <f t="shared" si="23"/>
        <v>0</v>
      </c>
      <c r="I130" s="68">
        <f>IFERROR(SUMIF(簡易陰圧装置!$C$30:$C$74,B130,簡易陰圧装置!$N$30:$N$74)*((簡易陰圧装置!$H$3-簡易陰圧装置!$I$3)/簡易陰圧装置!$H$3),0)</f>
        <v>0</v>
      </c>
      <c r="J130" s="69">
        <f t="shared" si="24"/>
        <v>0</v>
      </c>
      <c r="K130" s="68">
        <f>IFERROR(SUMIF(#REF!,B130,#REF!)*((#REF!-#REF!)/#REF!),0)</f>
        <v>0</v>
      </c>
      <c r="L130" s="69">
        <f t="shared" si="25"/>
        <v>0</v>
      </c>
      <c r="M130" s="68">
        <f>IFERROR(SUMIF(体外式膜型人工肺!$C$30:$C$74,B130,体外式膜型人工肺!$N$30:$N$74)*((体外式膜型人工肺!$H$3-体外式膜型人工肺!$I$3)/体外式膜型人工肺!$H$3),0)</f>
        <v>0</v>
      </c>
      <c r="N130" s="69">
        <f t="shared" si="26"/>
        <v>0</v>
      </c>
      <c r="O130" s="69">
        <f t="shared" si="27"/>
        <v>0</v>
      </c>
      <c r="P130" s="69">
        <f t="shared" si="28"/>
        <v>0</v>
      </c>
      <c r="Q130" s="68">
        <f>IFERROR(SUMIF(紫外線照射装置!$C$30:$C$74,B130,紫外線照射装置!$N$30:$N$74)*((紫外線照射装置!$H$3-紫外線照射装置!$I$3)/紫外線照射装置!$H$3),0)</f>
        <v>0</v>
      </c>
      <c r="R130" s="69">
        <f t="shared" si="29"/>
        <v>0</v>
      </c>
      <c r="S130" s="102">
        <f t="shared" si="30"/>
        <v>0</v>
      </c>
      <c r="T130" s="68">
        <f>IFERROR(SUMIF(超音波画像診断装置!$C$30:$C$74,B130,超音波画像診断装置!$K$30:$K$74)*((超音波画像診断装置!$H$3-超音波画像診断装置!$I$3)/超音波画像診断装置!$H$3),0)</f>
        <v>0</v>
      </c>
      <c r="U130" s="69">
        <f t="shared" si="31"/>
        <v>0</v>
      </c>
      <c r="V130" s="68">
        <f>IFERROR(SUMIF(血液浄化装置!$C$30:$C$74,B130,血液浄化装置!$K$30:$K$74)*((血液浄化装置!$H$3-血液浄化装置!$I$3)/血液浄化装置!$H$3),0)</f>
        <v>0</v>
      </c>
      <c r="W130" s="69">
        <f t="shared" si="32"/>
        <v>0</v>
      </c>
      <c r="X130" s="68">
        <f>IFERROR(SUMIF(気管支鏡!$C$30:$C$74,B130,気管支鏡!$K$30:$K$74)*((気管支鏡!$H$3-気管支鏡!$I$3)/気管支鏡!$H$3),0)</f>
        <v>0</v>
      </c>
      <c r="Y130" s="69">
        <f t="shared" si="18"/>
        <v>0</v>
      </c>
      <c r="Z130" s="68">
        <f>IFERROR(SUMIF(CT撮影装置!$C$30:$C$74,B130,CT撮影装置!$K$30:$K$74)*((CT撮影装置!$H$3-CT撮影装置!$I$3)/CT撮影装置!$H$3),0)</f>
        <v>0</v>
      </c>
      <c r="AA130" s="69">
        <f t="shared" si="33"/>
        <v>0</v>
      </c>
      <c r="AB130" s="68">
        <f>IFERROR(SUMIF(生体情報モニタ!$C$30:$C$74,B130,生体情報モニタ!$K$30:$K$74)*((生体情報モニタ!$H$3-生体情報モニタ!$I$3)/生体情報モニタ!$H$3),0)</f>
        <v>0</v>
      </c>
      <c r="AC130" s="69">
        <f t="shared" si="19"/>
        <v>0</v>
      </c>
      <c r="AD130" s="68">
        <f>IFERROR(SUMIF(分娩監視装置!$C$30:$C$74,B130,分娩監視装置!$K$30:$K$74)*((分娩監視装置!$H$3-分娩監視装置!$I$3)/分娩監視装置!$H$3),0)</f>
        <v>0</v>
      </c>
      <c r="AE130" s="69">
        <f t="shared" si="34"/>
        <v>0</v>
      </c>
      <c r="AF130" s="68">
        <f>IFERROR(SUMIF(新生児モニタ!$C$30:$C$74,B130,新生児モニタ!$K$30:$K$74)*((新生児モニタ!$H$3-新生児モニタ!$I$3)/新生児モニタ!$H$3),0)</f>
        <v>0</v>
      </c>
      <c r="AG130" s="69">
        <f t="shared" si="35"/>
        <v>0</v>
      </c>
    </row>
    <row r="131" spans="2:33">
      <c r="B131" s="65" t="s">
        <v>800</v>
      </c>
      <c r="C131" s="68">
        <f>IFERROR(SUMIF(初度設備!$C$30:$C$74,B131,初度設備!$N$30:$N$74)*((初度設備!$H$3-初度設備!$I$3)/初度設備!$H$3),0)</f>
        <v>0</v>
      </c>
      <c r="D131" s="69">
        <f t="shared" si="20"/>
        <v>0</v>
      </c>
      <c r="E131" s="68">
        <f>IFERROR(SUMIF(人工呼吸器!$C$30:$C$74,B131,人工呼吸器!$N$30:$N$74)*((人工呼吸器!$H$3-人工呼吸器!$I$3)/人工呼吸器!$H$3),0)</f>
        <v>0</v>
      </c>
      <c r="F131" s="69">
        <f t="shared" si="21"/>
        <v>0</v>
      </c>
      <c r="G131" s="69">
        <f t="shared" si="22"/>
        <v>0</v>
      </c>
      <c r="H131" s="69">
        <f t="shared" si="23"/>
        <v>0</v>
      </c>
      <c r="I131" s="68">
        <f>IFERROR(SUMIF(簡易陰圧装置!$C$30:$C$74,B131,簡易陰圧装置!$N$30:$N$74)*((簡易陰圧装置!$H$3-簡易陰圧装置!$I$3)/簡易陰圧装置!$H$3),0)</f>
        <v>0</v>
      </c>
      <c r="J131" s="69">
        <f t="shared" si="24"/>
        <v>0</v>
      </c>
      <c r="K131" s="68">
        <f>IFERROR(SUMIF(#REF!,B131,#REF!)*((#REF!-#REF!)/#REF!),0)</f>
        <v>0</v>
      </c>
      <c r="L131" s="69">
        <f t="shared" si="25"/>
        <v>0</v>
      </c>
      <c r="M131" s="68">
        <f>IFERROR(SUMIF(体外式膜型人工肺!$C$30:$C$74,B131,体外式膜型人工肺!$N$30:$N$74)*((体外式膜型人工肺!$H$3-体外式膜型人工肺!$I$3)/体外式膜型人工肺!$H$3),0)</f>
        <v>0</v>
      </c>
      <c r="N131" s="69">
        <f t="shared" si="26"/>
        <v>0</v>
      </c>
      <c r="O131" s="69">
        <f t="shared" si="27"/>
        <v>0</v>
      </c>
      <c r="P131" s="69">
        <f t="shared" si="28"/>
        <v>0</v>
      </c>
      <c r="Q131" s="68">
        <f>IFERROR(SUMIF(紫外線照射装置!$C$30:$C$74,B131,紫外線照射装置!$N$30:$N$74)*((紫外線照射装置!$H$3-紫外線照射装置!$I$3)/紫外線照射装置!$H$3),0)</f>
        <v>0</v>
      </c>
      <c r="R131" s="69">
        <f t="shared" si="29"/>
        <v>0</v>
      </c>
      <c r="S131" s="102">
        <f t="shared" si="30"/>
        <v>0</v>
      </c>
      <c r="T131" s="68">
        <f>IFERROR(SUMIF(超音波画像診断装置!$C$30:$C$74,B131,超音波画像診断装置!$K$30:$K$74)*((超音波画像診断装置!$H$3-超音波画像診断装置!$I$3)/超音波画像診断装置!$H$3),0)</f>
        <v>0</v>
      </c>
      <c r="U131" s="69">
        <f t="shared" si="31"/>
        <v>0</v>
      </c>
      <c r="V131" s="68">
        <f>IFERROR(SUMIF(血液浄化装置!$C$30:$C$74,B131,血液浄化装置!$K$30:$K$74)*((血液浄化装置!$H$3-血液浄化装置!$I$3)/血液浄化装置!$H$3),0)</f>
        <v>0</v>
      </c>
      <c r="W131" s="69">
        <f t="shared" si="32"/>
        <v>0</v>
      </c>
      <c r="X131" s="68">
        <f>IFERROR(SUMIF(気管支鏡!$C$30:$C$74,B131,気管支鏡!$K$30:$K$74)*((気管支鏡!$H$3-気管支鏡!$I$3)/気管支鏡!$H$3),0)</f>
        <v>0</v>
      </c>
      <c r="Y131" s="69">
        <f t="shared" si="18"/>
        <v>0</v>
      </c>
      <c r="Z131" s="68">
        <f>IFERROR(SUMIF(CT撮影装置!$C$30:$C$74,B131,CT撮影装置!$K$30:$K$74)*((CT撮影装置!$H$3-CT撮影装置!$I$3)/CT撮影装置!$H$3),0)</f>
        <v>0</v>
      </c>
      <c r="AA131" s="69">
        <f t="shared" si="33"/>
        <v>0</v>
      </c>
      <c r="AB131" s="68">
        <f>IFERROR(SUMIF(生体情報モニタ!$C$30:$C$74,B131,生体情報モニタ!$K$30:$K$74)*((生体情報モニタ!$H$3-生体情報モニタ!$I$3)/生体情報モニタ!$H$3),0)</f>
        <v>0</v>
      </c>
      <c r="AC131" s="69">
        <f t="shared" si="19"/>
        <v>0</v>
      </c>
      <c r="AD131" s="68">
        <f>IFERROR(SUMIF(分娩監視装置!$C$30:$C$74,B131,分娩監視装置!$K$30:$K$74)*((分娩監視装置!$H$3-分娩監視装置!$I$3)/分娩監視装置!$H$3),0)</f>
        <v>0</v>
      </c>
      <c r="AE131" s="69">
        <f t="shared" si="34"/>
        <v>0</v>
      </c>
      <c r="AF131" s="68">
        <f>IFERROR(SUMIF(新生児モニタ!$C$30:$C$74,B131,新生児モニタ!$K$30:$K$74)*((新生児モニタ!$H$3-新生児モニタ!$I$3)/新生児モニタ!$H$3),0)</f>
        <v>0</v>
      </c>
      <c r="AG131" s="69">
        <f t="shared" si="35"/>
        <v>0</v>
      </c>
    </row>
    <row r="132" spans="2:33">
      <c r="B132" s="65" t="s">
        <v>801</v>
      </c>
      <c r="C132" s="68">
        <f>IFERROR(SUMIF(初度設備!$C$30:$C$74,B132,初度設備!$N$30:$N$74)*((初度設備!$H$3-初度設備!$I$3)/初度設備!$H$3),0)</f>
        <v>0</v>
      </c>
      <c r="D132" s="69">
        <f t="shared" si="20"/>
        <v>0</v>
      </c>
      <c r="E132" s="68">
        <f>IFERROR(SUMIF(人工呼吸器!$C$30:$C$74,B132,人工呼吸器!$N$30:$N$74)*((人工呼吸器!$H$3-人工呼吸器!$I$3)/人工呼吸器!$H$3),0)</f>
        <v>0</v>
      </c>
      <c r="F132" s="69">
        <f t="shared" si="21"/>
        <v>0</v>
      </c>
      <c r="G132" s="69">
        <f t="shared" si="22"/>
        <v>0</v>
      </c>
      <c r="H132" s="69">
        <f t="shared" si="23"/>
        <v>0</v>
      </c>
      <c r="I132" s="68">
        <f>IFERROR(SUMIF(簡易陰圧装置!$C$30:$C$74,B132,簡易陰圧装置!$N$30:$N$74)*((簡易陰圧装置!$H$3-簡易陰圧装置!$I$3)/簡易陰圧装置!$H$3),0)</f>
        <v>0</v>
      </c>
      <c r="J132" s="69">
        <f t="shared" si="24"/>
        <v>0</v>
      </c>
      <c r="K132" s="68">
        <f>IFERROR(SUMIF(#REF!,B132,#REF!)*((#REF!-#REF!)/#REF!),0)</f>
        <v>0</v>
      </c>
      <c r="L132" s="69">
        <f t="shared" si="25"/>
        <v>0</v>
      </c>
      <c r="M132" s="68">
        <f>IFERROR(SUMIF(体外式膜型人工肺!$C$30:$C$74,B132,体外式膜型人工肺!$N$30:$N$74)*((体外式膜型人工肺!$H$3-体外式膜型人工肺!$I$3)/体外式膜型人工肺!$H$3),0)</f>
        <v>0</v>
      </c>
      <c r="N132" s="69">
        <f t="shared" si="26"/>
        <v>0</v>
      </c>
      <c r="O132" s="69">
        <f t="shared" si="27"/>
        <v>0</v>
      </c>
      <c r="P132" s="69">
        <f t="shared" si="28"/>
        <v>0</v>
      </c>
      <c r="Q132" s="68">
        <f>IFERROR(SUMIF(紫外線照射装置!$C$30:$C$74,B132,紫外線照射装置!$N$30:$N$74)*((紫外線照射装置!$H$3-紫外線照射装置!$I$3)/紫外線照射装置!$H$3),0)</f>
        <v>0</v>
      </c>
      <c r="R132" s="69">
        <f t="shared" si="29"/>
        <v>0</v>
      </c>
      <c r="S132" s="102">
        <f t="shared" si="30"/>
        <v>0</v>
      </c>
      <c r="T132" s="68">
        <f>IFERROR(SUMIF(超音波画像診断装置!$C$30:$C$74,B132,超音波画像診断装置!$K$30:$K$74)*((超音波画像診断装置!$H$3-超音波画像診断装置!$I$3)/超音波画像診断装置!$H$3),0)</f>
        <v>0</v>
      </c>
      <c r="U132" s="69">
        <f t="shared" si="31"/>
        <v>0</v>
      </c>
      <c r="V132" s="68">
        <f>IFERROR(SUMIF(血液浄化装置!$C$30:$C$74,B132,血液浄化装置!$K$30:$K$74)*((血液浄化装置!$H$3-血液浄化装置!$I$3)/血液浄化装置!$H$3),0)</f>
        <v>0</v>
      </c>
      <c r="W132" s="69">
        <f t="shared" si="32"/>
        <v>0</v>
      </c>
      <c r="X132" s="68">
        <f>IFERROR(SUMIF(気管支鏡!$C$30:$C$74,B132,気管支鏡!$K$30:$K$74)*((気管支鏡!$H$3-気管支鏡!$I$3)/気管支鏡!$H$3),0)</f>
        <v>0</v>
      </c>
      <c r="Y132" s="69">
        <f t="shared" si="18"/>
        <v>0</v>
      </c>
      <c r="Z132" s="68">
        <f>IFERROR(SUMIF(CT撮影装置!$C$30:$C$74,B132,CT撮影装置!$K$30:$K$74)*((CT撮影装置!$H$3-CT撮影装置!$I$3)/CT撮影装置!$H$3),0)</f>
        <v>0</v>
      </c>
      <c r="AA132" s="69">
        <f t="shared" si="33"/>
        <v>0</v>
      </c>
      <c r="AB132" s="68">
        <f>IFERROR(SUMIF(生体情報モニタ!$C$30:$C$74,B132,生体情報モニタ!$K$30:$K$74)*((生体情報モニタ!$H$3-生体情報モニタ!$I$3)/生体情報モニタ!$H$3),0)</f>
        <v>0</v>
      </c>
      <c r="AC132" s="69">
        <f t="shared" si="19"/>
        <v>0</v>
      </c>
      <c r="AD132" s="68">
        <f>IFERROR(SUMIF(分娩監視装置!$C$30:$C$74,B132,分娩監視装置!$K$30:$K$74)*((分娩監視装置!$H$3-分娩監視装置!$I$3)/分娩監視装置!$H$3),0)</f>
        <v>0</v>
      </c>
      <c r="AE132" s="69">
        <f t="shared" si="34"/>
        <v>0</v>
      </c>
      <c r="AF132" s="68">
        <f>IFERROR(SUMIF(新生児モニタ!$C$30:$C$74,B132,新生児モニタ!$K$30:$K$74)*((新生児モニタ!$H$3-新生児モニタ!$I$3)/新生児モニタ!$H$3),0)</f>
        <v>0</v>
      </c>
      <c r="AG132" s="69">
        <f t="shared" si="35"/>
        <v>0</v>
      </c>
    </row>
    <row r="133" spans="2:33">
      <c r="B133" s="65" t="s">
        <v>802</v>
      </c>
      <c r="C133" s="68">
        <f>IFERROR(SUMIF(初度設備!$C$30:$C$74,B133,初度設備!$N$30:$N$74)*((初度設備!$H$3-初度設備!$I$3)/初度設備!$H$3),0)</f>
        <v>0</v>
      </c>
      <c r="D133" s="69">
        <f t="shared" si="20"/>
        <v>0</v>
      </c>
      <c r="E133" s="68">
        <f>IFERROR(SUMIF(人工呼吸器!$C$30:$C$74,B133,人工呼吸器!$N$30:$N$74)*((人工呼吸器!$H$3-人工呼吸器!$I$3)/人工呼吸器!$H$3),0)</f>
        <v>0</v>
      </c>
      <c r="F133" s="69">
        <f t="shared" si="21"/>
        <v>0</v>
      </c>
      <c r="G133" s="69">
        <f t="shared" si="22"/>
        <v>0</v>
      </c>
      <c r="H133" s="69">
        <f t="shared" si="23"/>
        <v>0</v>
      </c>
      <c r="I133" s="68">
        <f>IFERROR(SUMIF(簡易陰圧装置!$C$30:$C$74,B133,簡易陰圧装置!$N$30:$N$74)*((簡易陰圧装置!$H$3-簡易陰圧装置!$I$3)/簡易陰圧装置!$H$3),0)</f>
        <v>0</v>
      </c>
      <c r="J133" s="69">
        <f t="shared" si="24"/>
        <v>0</v>
      </c>
      <c r="K133" s="68">
        <f>IFERROR(SUMIF(#REF!,B133,#REF!)*((#REF!-#REF!)/#REF!),0)</f>
        <v>0</v>
      </c>
      <c r="L133" s="69">
        <f t="shared" si="25"/>
        <v>0</v>
      </c>
      <c r="M133" s="68">
        <f>IFERROR(SUMIF(体外式膜型人工肺!$C$30:$C$74,B133,体外式膜型人工肺!$N$30:$N$74)*((体外式膜型人工肺!$H$3-体外式膜型人工肺!$I$3)/体外式膜型人工肺!$H$3),0)</f>
        <v>0</v>
      </c>
      <c r="N133" s="69">
        <f t="shared" si="26"/>
        <v>0</v>
      </c>
      <c r="O133" s="69">
        <f t="shared" si="27"/>
        <v>0</v>
      </c>
      <c r="P133" s="69">
        <f t="shared" si="28"/>
        <v>0</v>
      </c>
      <c r="Q133" s="68">
        <f>IFERROR(SUMIF(紫外線照射装置!$C$30:$C$74,B133,紫外線照射装置!$N$30:$N$74)*((紫外線照射装置!$H$3-紫外線照射装置!$I$3)/紫外線照射装置!$H$3),0)</f>
        <v>0</v>
      </c>
      <c r="R133" s="69">
        <f t="shared" si="29"/>
        <v>0</v>
      </c>
      <c r="S133" s="102">
        <f t="shared" si="30"/>
        <v>0</v>
      </c>
      <c r="T133" s="68">
        <f>IFERROR(SUMIF(超音波画像診断装置!$C$30:$C$74,B133,超音波画像診断装置!$K$30:$K$74)*((超音波画像診断装置!$H$3-超音波画像診断装置!$I$3)/超音波画像診断装置!$H$3),0)</f>
        <v>0</v>
      </c>
      <c r="U133" s="69">
        <f t="shared" si="31"/>
        <v>0</v>
      </c>
      <c r="V133" s="68">
        <f>IFERROR(SUMIF(血液浄化装置!$C$30:$C$74,B133,血液浄化装置!$K$30:$K$74)*((血液浄化装置!$H$3-血液浄化装置!$I$3)/血液浄化装置!$H$3),0)</f>
        <v>0</v>
      </c>
      <c r="W133" s="69">
        <f t="shared" si="32"/>
        <v>0</v>
      </c>
      <c r="X133" s="68">
        <f>IFERROR(SUMIF(気管支鏡!$C$30:$C$74,B133,気管支鏡!$K$30:$K$74)*((気管支鏡!$H$3-気管支鏡!$I$3)/気管支鏡!$H$3),0)</f>
        <v>0</v>
      </c>
      <c r="Y133" s="69">
        <f t="shared" si="18"/>
        <v>0</v>
      </c>
      <c r="Z133" s="68">
        <f>IFERROR(SUMIF(CT撮影装置!$C$30:$C$74,B133,CT撮影装置!$K$30:$K$74)*((CT撮影装置!$H$3-CT撮影装置!$I$3)/CT撮影装置!$H$3),0)</f>
        <v>0</v>
      </c>
      <c r="AA133" s="69">
        <f t="shared" si="33"/>
        <v>0</v>
      </c>
      <c r="AB133" s="68">
        <f>IFERROR(SUMIF(生体情報モニタ!$C$30:$C$74,B133,生体情報モニタ!$K$30:$K$74)*((生体情報モニタ!$H$3-生体情報モニタ!$I$3)/生体情報モニタ!$H$3),0)</f>
        <v>0</v>
      </c>
      <c r="AC133" s="69">
        <f t="shared" si="19"/>
        <v>0</v>
      </c>
      <c r="AD133" s="68">
        <f>IFERROR(SUMIF(分娩監視装置!$C$30:$C$74,B133,分娩監視装置!$K$30:$K$74)*((分娩監視装置!$H$3-分娩監視装置!$I$3)/分娩監視装置!$H$3),0)</f>
        <v>0</v>
      </c>
      <c r="AE133" s="69">
        <f t="shared" si="34"/>
        <v>0</v>
      </c>
      <c r="AF133" s="68">
        <f>IFERROR(SUMIF(新生児モニタ!$C$30:$C$74,B133,新生児モニタ!$K$30:$K$74)*((新生児モニタ!$H$3-新生児モニタ!$I$3)/新生児モニタ!$H$3),0)</f>
        <v>0</v>
      </c>
      <c r="AG133" s="69">
        <f t="shared" si="35"/>
        <v>0</v>
      </c>
    </row>
    <row r="134" spans="2:33">
      <c r="B134" s="65" t="s">
        <v>803</v>
      </c>
      <c r="C134" s="68">
        <f>IFERROR(SUMIF(初度設備!$C$30:$C$74,B134,初度設備!$N$30:$N$74)*((初度設備!$H$3-初度設備!$I$3)/初度設備!$H$3),0)</f>
        <v>0</v>
      </c>
      <c r="D134" s="69">
        <f t="shared" si="20"/>
        <v>0</v>
      </c>
      <c r="E134" s="68">
        <f>IFERROR(SUMIF(人工呼吸器!$C$30:$C$74,B134,人工呼吸器!$N$30:$N$74)*((人工呼吸器!$H$3-人工呼吸器!$I$3)/人工呼吸器!$H$3),0)</f>
        <v>0</v>
      </c>
      <c r="F134" s="69">
        <f t="shared" si="21"/>
        <v>0</v>
      </c>
      <c r="G134" s="69">
        <f t="shared" si="22"/>
        <v>0</v>
      </c>
      <c r="H134" s="69">
        <f t="shared" si="23"/>
        <v>0</v>
      </c>
      <c r="I134" s="68">
        <f>IFERROR(SUMIF(簡易陰圧装置!$C$30:$C$74,B134,簡易陰圧装置!$N$30:$N$74)*((簡易陰圧装置!$H$3-簡易陰圧装置!$I$3)/簡易陰圧装置!$H$3),0)</f>
        <v>0</v>
      </c>
      <c r="J134" s="69">
        <f t="shared" si="24"/>
        <v>0</v>
      </c>
      <c r="K134" s="68">
        <f>IFERROR(SUMIF(#REF!,B134,#REF!)*((#REF!-#REF!)/#REF!),0)</f>
        <v>0</v>
      </c>
      <c r="L134" s="69">
        <f t="shared" si="25"/>
        <v>0</v>
      </c>
      <c r="M134" s="68">
        <f>IFERROR(SUMIF(体外式膜型人工肺!$C$30:$C$74,B134,体外式膜型人工肺!$N$30:$N$74)*((体外式膜型人工肺!$H$3-体外式膜型人工肺!$I$3)/体外式膜型人工肺!$H$3),0)</f>
        <v>0</v>
      </c>
      <c r="N134" s="69">
        <f t="shared" si="26"/>
        <v>0</v>
      </c>
      <c r="O134" s="69">
        <f t="shared" si="27"/>
        <v>0</v>
      </c>
      <c r="P134" s="69">
        <f t="shared" si="28"/>
        <v>0</v>
      </c>
      <c r="Q134" s="68">
        <f>IFERROR(SUMIF(紫外線照射装置!$C$30:$C$74,B134,紫外線照射装置!$N$30:$N$74)*((紫外線照射装置!$H$3-紫外線照射装置!$I$3)/紫外線照射装置!$H$3),0)</f>
        <v>0</v>
      </c>
      <c r="R134" s="69">
        <f t="shared" si="29"/>
        <v>0</v>
      </c>
      <c r="S134" s="102">
        <f t="shared" si="30"/>
        <v>0</v>
      </c>
      <c r="T134" s="68">
        <f>IFERROR(SUMIF(超音波画像診断装置!$C$30:$C$74,B134,超音波画像診断装置!$K$30:$K$74)*((超音波画像診断装置!$H$3-超音波画像診断装置!$I$3)/超音波画像診断装置!$H$3),0)</f>
        <v>0</v>
      </c>
      <c r="U134" s="69">
        <f t="shared" si="31"/>
        <v>0</v>
      </c>
      <c r="V134" s="68">
        <f>IFERROR(SUMIF(血液浄化装置!$C$30:$C$74,B134,血液浄化装置!$K$30:$K$74)*((血液浄化装置!$H$3-血液浄化装置!$I$3)/血液浄化装置!$H$3),0)</f>
        <v>0</v>
      </c>
      <c r="W134" s="69">
        <f t="shared" si="32"/>
        <v>0</v>
      </c>
      <c r="X134" s="68">
        <f>IFERROR(SUMIF(気管支鏡!$C$30:$C$74,B134,気管支鏡!$K$30:$K$74)*((気管支鏡!$H$3-気管支鏡!$I$3)/気管支鏡!$H$3),0)</f>
        <v>0</v>
      </c>
      <c r="Y134" s="69">
        <f t="shared" si="18"/>
        <v>0</v>
      </c>
      <c r="Z134" s="68">
        <f>IFERROR(SUMIF(CT撮影装置!$C$30:$C$74,B134,CT撮影装置!$K$30:$K$74)*((CT撮影装置!$H$3-CT撮影装置!$I$3)/CT撮影装置!$H$3),0)</f>
        <v>0</v>
      </c>
      <c r="AA134" s="69">
        <f t="shared" si="33"/>
        <v>0</v>
      </c>
      <c r="AB134" s="68">
        <f>IFERROR(SUMIF(生体情報モニタ!$C$30:$C$74,B134,生体情報モニタ!$K$30:$K$74)*((生体情報モニタ!$H$3-生体情報モニタ!$I$3)/生体情報モニタ!$H$3),0)</f>
        <v>0</v>
      </c>
      <c r="AC134" s="69">
        <f t="shared" si="19"/>
        <v>0</v>
      </c>
      <c r="AD134" s="68">
        <f>IFERROR(SUMIF(分娩監視装置!$C$30:$C$74,B134,分娩監視装置!$K$30:$K$74)*((分娩監視装置!$H$3-分娩監視装置!$I$3)/分娩監視装置!$H$3),0)</f>
        <v>0</v>
      </c>
      <c r="AE134" s="69">
        <f t="shared" si="34"/>
        <v>0</v>
      </c>
      <c r="AF134" s="68">
        <f>IFERROR(SUMIF(新生児モニタ!$C$30:$C$74,B134,新生児モニタ!$K$30:$K$74)*((新生児モニタ!$H$3-新生児モニタ!$I$3)/新生児モニタ!$H$3),0)</f>
        <v>0</v>
      </c>
      <c r="AG134" s="69">
        <f t="shared" si="35"/>
        <v>0</v>
      </c>
    </row>
    <row r="135" spans="2:33">
      <c r="B135" s="65" t="s">
        <v>804</v>
      </c>
      <c r="C135" s="68">
        <f>IFERROR(SUMIF(初度設備!$C$30:$C$74,B135,初度設備!$N$30:$N$74)*((初度設備!$H$3-初度設備!$I$3)/初度設備!$H$3),0)</f>
        <v>0</v>
      </c>
      <c r="D135" s="69">
        <f t="shared" si="20"/>
        <v>0</v>
      </c>
      <c r="E135" s="68">
        <f>IFERROR(SUMIF(人工呼吸器!$C$30:$C$74,B135,人工呼吸器!$N$30:$N$74)*((人工呼吸器!$H$3-人工呼吸器!$I$3)/人工呼吸器!$H$3),0)</f>
        <v>0</v>
      </c>
      <c r="F135" s="69">
        <f t="shared" si="21"/>
        <v>0</v>
      </c>
      <c r="G135" s="69">
        <f t="shared" si="22"/>
        <v>0</v>
      </c>
      <c r="H135" s="69">
        <f t="shared" si="23"/>
        <v>0</v>
      </c>
      <c r="I135" s="68">
        <f>IFERROR(SUMIF(簡易陰圧装置!$C$30:$C$74,B135,簡易陰圧装置!$N$30:$N$74)*((簡易陰圧装置!$H$3-簡易陰圧装置!$I$3)/簡易陰圧装置!$H$3),0)</f>
        <v>0</v>
      </c>
      <c r="J135" s="69">
        <f t="shared" si="24"/>
        <v>0</v>
      </c>
      <c r="K135" s="68">
        <f>IFERROR(SUMIF(#REF!,B135,#REF!)*((#REF!-#REF!)/#REF!),0)</f>
        <v>0</v>
      </c>
      <c r="L135" s="69">
        <f t="shared" si="25"/>
        <v>0</v>
      </c>
      <c r="M135" s="68">
        <f>IFERROR(SUMIF(体外式膜型人工肺!$C$30:$C$74,B135,体外式膜型人工肺!$N$30:$N$74)*((体外式膜型人工肺!$H$3-体外式膜型人工肺!$I$3)/体外式膜型人工肺!$H$3),0)</f>
        <v>0</v>
      </c>
      <c r="N135" s="69">
        <f t="shared" si="26"/>
        <v>0</v>
      </c>
      <c r="O135" s="69">
        <f t="shared" si="27"/>
        <v>0</v>
      </c>
      <c r="P135" s="69">
        <f t="shared" si="28"/>
        <v>0</v>
      </c>
      <c r="Q135" s="68">
        <f>IFERROR(SUMIF(紫外線照射装置!$C$30:$C$74,B135,紫外線照射装置!$N$30:$N$74)*((紫外線照射装置!$H$3-紫外線照射装置!$I$3)/紫外線照射装置!$H$3),0)</f>
        <v>0</v>
      </c>
      <c r="R135" s="69">
        <f t="shared" si="29"/>
        <v>0</v>
      </c>
      <c r="S135" s="102">
        <f t="shared" si="30"/>
        <v>0</v>
      </c>
      <c r="T135" s="68">
        <f>IFERROR(SUMIF(超音波画像診断装置!$C$30:$C$74,B135,超音波画像診断装置!$K$30:$K$74)*((超音波画像診断装置!$H$3-超音波画像診断装置!$I$3)/超音波画像診断装置!$H$3),0)</f>
        <v>0</v>
      </c>
      <c r="U135" s="69">
        <f t="shared" si="31"/>
        <v>0</v>
      </c>
      <c r="V135" s="68">
        <f>IFERROR(SUMIF(血液浄化装置!$C$30:$C$74,B135,血液浄化装置!$K$30:$K$74)*((血液浄化装置!$H$3-血液浄化装置!$I$3)/血液浄化装置!$H$3),0)</f>
        <v>0</v>
      </c>
      <c r="W135" s="69">
        <f t="shared" si="32"/>
        <v>0</v>
      </c>
      <c r="X135" s="68">
        <f>IFERROR(SUMIF(気管支鏡!$C$30:$C$74,B135,気管支鏡!$K$30:$K$74)*((気管支鏡!$H$3-気管支鏡!$I$3)/気管支鏡!$H$3),0)</f>
        <v>0</v>
      </c>
      <c r="Y135" s="69">
        <f t="shared" si="18"/>
        <v>0</v>
      </c>
      <c r="Z135" s="68">
        <f>IFERROR(SUMIF(CT撮影装置!$C$30:$C$74,B135,CT撮影装置!$K$30:$K$74)*((CT撮影装置!$H$3-CT撮影装置!$I$3)/CT撮影装置!$H$3),0)</f>
        <v>0</v>
      </c>
      <c r="AA135" s="69">
        <f t="shared" si="33"/>
        <v>0</v>
      </c>
      <c r="AB135" s="68">
        <f>IFERROR(SUMIF(生体情報モニタ!$C$30:$C$74,B135,生体情報モニタ!$K$30:$K$74)*((生体情報モニタ!$H$3-生体情報モニタ!$I$3)/生体情報モニタ!$H$3),0)</f>
        <v>0</v>
      </c>
      <c r="AC135" s="69">
        <f t="shared" si="19"/>
        <v>0</v>
      </c>
      <c r="AD135" s="68">
        <f>IFERROR(SUMIF(分娩監視装置!$C$30:$C$74,B135,分娩監視装置!$K$30:$K$74)*((分娩監視装置!$H$3-分娩監視装置!$I$3)/分娩監視装置!$H$3),0)</f>
        <v>0</v>
      </c>
      <c r="AE135" s="69">
        <f t="shared" si="34"/>
        <v>0</v>
      </c>
      <c r="AF135" s="68">
        <f>IFERROR(SUMIF(新生児モニタ!$C$30:$C$74,B135,新生児モニタ!$K$30:$K$74)*((新生児モニタ!$H$3-新生児モニタ!$I$3)/新生児モニタ!$H$3),0)</f>
        <v>0</v>
      </c>
      <c r="AG135" s="69">
        <f t="shared" si="35"/>
        <v>0</v>
      </c>
    </row>
    <row r="136" spans="2:33">
      <c r="B136" s="65" t="s">
        <v>805</v>
      </c>
      <c r="C136" s="68">
        <f>IFERROR(SUMIF(初度設備!$C$30:$C$74,B136,初度設備!$N$30:$N$74)*((初度設備!$H$3-初度設備!$I$3)/初度設備!$H$3),0)</f>
        <v>0</v>
      </c>
      <c r="D136" s="69">
        <f t="shared" si="20"/>
        <v>0</v>
      </c>
      <c r="E136" s="68">
        <f>IFERROR(SUMIF(人工呼吸器!$C$30:$C$74,B136,人工呼吸器!$N$30:$N$74)*((人工呼吸器!$H$3-人工呼吸器!$I$3)/人工呼吸器!$H$3),0)</f>
        <v>0</v>
      </c>
      <c r="F136" s="69">
        <f t="shared" si="21"/>
        <v>0</v>
      </c>
      <c r="G136" s="69">
        <f t="shared" si="22"/>
        <v>0</v>
      </c>
      <c r="H136" s="69">
        <f t="shared" si="23"/>
        <v>0</v>
      </c>
      <c r="I136" s="68">
        <f>IFERROR(SUMIF(簡易陰圧装置!$C$30:$C$74,B136,簡易陰圧装置!$N$30:$N$74)*((簡易陰圧装置!$H$3-簡易陰圧装置!$I$3)/簡易陰圧装置!$H$3),0)</f>
        <v>0</v>
      </c>
      <c r="J136" s="69">
        <f t="shared" si="24"/>
        <v>0</v>
      </c>
      <c r="K136" s="68">
        <f>IFERROR(SUMIF(#REF!,B136,#REF!)*((#REF!-#REF!)/#REF!),0)</f>
        <v>0</v>
      </c>
      <c r="L136" s="69">
        <f t="shared" si="25"/>
        <v>0</v>
      </c>
      <c r="M136" s="68">
        <f>IFERROR(SUMIF(体外式膜型人工肺!$C$30:$C$74,B136,体外式膜型人工肺!$N$30:$N$74)*((体外式膜型人工肺!$H$3-体外式膜型人工肺!$I$3)/体外式膜型人工肺!$H$3),0)</f>
        <v>0</v>
      </c>
      <c r="N136" s="69">
        <f t="shared" si="26"/>
        <v>0</v>
      </c>
      <c r="O136" s="69">
        <f t="shared" si="27"/>
        <v>0</v>
      </c>
      <c r="P136" s="69">
        <f t="shared" si="28"/>
        <v>0</v>
      </c>
      <c r="Q136" s="68">
        <f>IFERROR(SUMIF(紫外線照射装置!$C$30:$C$74,B136,紫外線照射装置!$N$30:$N$74)*((紫外線照射装置!$H$3-紫外線照射装置!$I$3)/紫外線照射装置!$H$3),0)</f>
        <v>0</v>
      </c>
      <c r="R136" s="69">
        <f t="shared" si="29"/>
        <v>0</v>
      </c>
      <c r="S136" s="102">
        <f t="shared" si="30"/>
        <v>0</v>
      </c>
      <c r="T136" s="68">
        <f>IFERROR(SUMIF(超音波画像診断装置!$C$30:$C$74,B136,超音波画像診断装置!$K$30:$K$74)*((超音波画像診断装置!$H$3-超音波画像診断装置!$I$3)/超音波画像診断装置!$H$3),0)</f>
        <v>0</v>
      </c>
      <c r="U136" s="69">
        <f t="shared" si="31"/>
        <v>0</v>
      </c>
      <c r="V136" s="68">
        <f>IFERROR(SUMIF(血液浄化装置!$C$30:$C$74,B136,血液浄化装置!$K$30:$K$74)*((血液浄化装置!$H$3-血液浄化装置!$I$3)/血液浄化装置!$H$3),0)</f>
        <v>0</v>
      </c>
      <c r="W136" s="69">
        <f t="shared" si="32"/>
        <v>0</v>
      </c>
      <c r="X136" s="68">
        <f>IFERROR(SUMIF(気管支鏡!$C$30:$C$74,B136,気管支鏡!$K$30:$K$74)*((気管支鏡!$H$3-気管支鏡!$I$3)/気管支鏡!$H$3),0)</f>
        <v>0</v>
      </c>
      <c r="Y136" s="69">
        <f t="shared" si="18"/>
        <v>0</v>
      </c>
      <c r="Z136" s="68">
        <f>IFERROR(SUMIF(CT撮影装置!$C$30:$C$74,B136,CT撮影装置!$K$30:$K$74)*((CT撮影装置!$H$3-CT撮影装置!$I$3)/CT撮影装置!$H$3),0)</f>
        <v>0</v>
      </c>
      <c r="AA136" s="69">
        <f t="shared" si="33"/>
        <v>0</v>
      </c>
      <c r="AB136" s="68">
        <f>IFERROR(SUMIF(生体情報モニタ!$C$30:$C$74,B136,生体情報モニタ!$K$30:$K$74)*((生体情報モニタ!$H$3-生体情報モニタ!$I$3)/生体情報モニタ!$H$3),0)</f>
        <v>0</v>
      </c>
      <c r="AC136" s="69">
        <f t="shared" si="19"/>
        <v>0</v>
      </c>
      <c r="AD136" s="68">
        <f>IFERROR(SUMIF(分娩監視装置!$C$30:$C$74,B136,分娩監視装置!$K$30:$K$74)*((分娩監視装置!$H$3-分娩監視装置!$I$3)/分娩監視装置!$H$3),0)</f>
        <v>0</v>
      </c>
      <c r="AE136" s="69">
        <f t="shared" si="34"/>
        <v>0</v>
      </c>
      <c r="AF136" s="68">
        <f>IFERROR(SUMIF(新生児モニタ!$C$30:$C$74,B136,新生児モニタ!$K$30:$K$74)*((新生児モニタ!$H$3-新生児モニタ!$I$3)/新生児モニタ!$H$3),0)</f>
        <v>0</v>
      </c>
      <c r="AG136" s="69">
        <f t="shared" si="35"/>
        <v>0</v>
      </c>
    </row>
    <row r="137" spans="2:33">
      <c r="B137" s="65" t="s">
        <v>806</v>
      </c>
      <c r="C137" s="68">
        <f>IFERROR(SUMIF(初度設備!$C$30:$C$74,B137,初度設備!$N$30:$N$74)*((初度設備!$H$3-初度設備!$I$3)/初度設備!$H$3),0)</f>
        <v>0</v>
      </c>
      <c r="D137" s="69">
        <f t="shared" si="20"/>
        <v>0</v>
      </c>
      <c r="E137" s="68">
        <f>IFERROR(SUMIF(人工呼吸器!$C$30:$C$74,B137,人工呼吸器!$N$30:$N$74)*((人工呼吸器!$H$3-人工呼吸器!$I$3)/人工呼吸器!$H$3),0)</f>
        <v>0</v>
      </c>
      <c r="F137" s="69">
        <f t="shared" si="21"/>
        <v>0</v>
      </c>
      <c r="G137" s="69">
        <f t="shared" si="22"/>
        <v>0</v>
      </c>
      <c r="H137" s="69">
        <f t="shared" si="23"/>
        <v>0</v>
      </c>
      <c r="I137" s="68">
        <f>IFERROR(SUMIF(簡易陰圧装置!$C$30:$C$74,B137,簡易陰圧装置!$N$30:$N$74)*((簡易陰圧装置!$H$3-簡易陰圧装置!$I$3)/簡易陰圧装置!$H$3),0)</f>
        <v>0</v>
      </c>
      <c r="J137" s="69">
        <f t="shared" si="24"/>
        <v>0</v>
      </c>
      <c r="K137" s="68">
        <f>IFERROR(SUMIF(#REF!,B137,#REF!)*((#REF!-#REF!)/#REF!),0)</f>
        <v>0</v>
      </c>
      <c r="L137" s="69">
        <f t="shared" si="25"/>
        <v>0</v>
      </c>
      <c r="M137" s="68">
        <f>IFERROR(SUMIF(体外式膜型人工肺!$C$30:$C$74,B137,体外式膜型人工肺!$N$30:$N$74)*((体外式膜型人工肺!$H$3-体外式膜型人工肺!$I$3)/体外式膜型人工肺!$H$3),0)</f>
        <v>0</v>
      </c>
      <c r="N137" s="69">
        <f t="shared" si="26"/>
        <v>0</v>
      </c>
      <c r="O137" s="69">
        <f t="shared" si="27"/>
        <v>0</v>
      </c>
      <c r="P137" s="69">
        <f t="shared" si="28"/>
        <v>0</v>
      </c>
      <c r="Q137" s="68">
        <f>IFERROR(SUMIF(紫外線照射装置!$C$30:$C$74,B137,紫外線照射装置!$N$30:$N$74)*((紫外線照射装置!$H$3-紫外線照射装置!$I$3)/紫外線照射装置!$H$3),0)</f>
        <v>0</v>
      </c>
      <c r="R137" s="69">
        <f t="shared" si="29"/>
        <v>0</v>
      </c>
      <c r="S137" s="102">
        <f t="shared" si="30"/>
        <v>0</v>
      </c>
      <c r="T137" s="68">
        <f>IFERROR(SUMIF(超音波画像診断装置!$C$30:$C$74,B137,超音波画像診断装置!$K$30:$K$74)*((超音波画像診断装置!$H$3-超音波画像診断装置!$I$3)/超音波画像診断装置!$H$3),0)</f>
        <v>0</v>
      </c>
      <c r="U137" s="69">
        <f t="shared" si="31"/>
        <v>0</v>
      </c>
      <c r="V137" s="68">
        <f>IFERROR(SUMIF(血液浄化装置!$C$30:$C$74,B137,血液浄化装置!$K$30:$K$74)*((血液浄化装置!$H$3-血液浄化装置!$I$3)/血液浄化装置!$H$3),0)</f>
        <v>0</v>
      </c>
      <c r="W137" s="69">
        <f t="shared" si="32"/>
        <v>0</v>
      </c>
      <c r="X137" s="68">
        <f>IFERROR(SUMIF(気管支鏡!$C$30:$C$74,B137,気管支鏡!$K$30:$K$74)*((気管支鏡!$H$3-気管支鏡!$I$3)/気管支鏡!$H$3),0)</f>
        <v>0</v>
      </c>
      <c r="Y137" s="69">
        <f t="shared" si="18"/>
        <v>0</v>
      </c>
      <c r="Z137" s="68">
        <f>IFERROR(SUMIF(CT撮影装置!$C$30:$C$74,B137,CT撮影装置!$K$30:$K$74)*((CT撮影装置!$H$3-CT撮影装置!$I$3)/CT撮影装置!$H$3),0)</f>
        <v>0</v>
      </c>
      <c r="AA137" s="69">
        <f t="shared" si="33"/>
        <v>0</v>
      </c>
      <c r="AB137" s="68">
        <f>IFERROR(SUMIF(生体情報モニタ!$C$30:$C$74,B137,生体情報モニタ!$K$30:$K$74)*((生体情報モニタ!$H$3-生体情報モニタ!$I$3)/生体情報モニタ!$H$3),0)</f>
        <v>0</v>
      </c>
      <c r="AC137" s="69">
        <f t="shared" si="19"/>
        <v>0</v>
      </c>
      <c r="AD137" s="68">
        <f>IFERROR(SUMIF(分娩監視装置!$C$30:$C$74,B137,分娩監視装置!$K$30:$K$74)*((分娩監視装置!$H$3-分娩監視装置!$I$3)/分娩監視装置!$H$3),0)</f>
        <v>0</v>
      </c>
      <c r="AE137" s="69">
        <f t="shared" si="34"/>
        <v>0</v>
      </c>
      <c r="AF137" s="68">
        <f>IFERROR(SUMIF(新生児モニタ!$C$30:$C$74,B137,新生児モニタ!$K$30:$K$74)*((新生児モニタ!$H$3-新生児モニタ!$I$3)/新生児モニタ!$H$3),0)</f>
        <v>0</v>
      </c>
      <c r="AG137" s="69">
        <f t="shared" si="35"/>
        <v>0</v>
      </c>
    </row>
    <row r="138" spans="2:33">
      <c r="B138" s="65" t="s">
        <v>807</v>
      </c>
      <c r="C138" s="68">
        <f>IFERROR(SUMIF(初度設備!$C$30:$C$74,B138,初度設備!$N$30:$N$74)*((初度設備!$H$3-初度設備!$I$3)/初度設備!$H$3),0)</f>
        <v>0</v>
      </c>
      <c r="D138" s="69">
        <f t="shared" si="20"/>
        <v>0</v>
      </c>
      <c r="E138" s="68">
        <f>IFERROR(SUMIF(人工呼吸器!$C$30:$C$74,B138,人工呼吸器!$N$30:$N$74)*((人工呼吸器!$H$3-人工呼吸器!$I$3)/人工呼吸器!$H$3),0)</f>
        <v>0</v>
      </c>
      <c r="F138" s="69">
        <f t="shared" si="21"/>
        <v>0</v>
      </c>
      <c r="G138" s="69">
        <f t="shared" si="22"/>
        <v>0</v>
      </c>
      <c r="H138" s="69">
        <f t="shared" si="23"/>
        <v>0</v>
      </c>
      <c r="I138" s="68">
        <f>IFERROR(SUMIF(簡易陰圧装置!$C$30:$C$74,B138,簡易陰圧装置!$N$30:$N$74)*((簡易陰圧装置!$H$3-簡易陰圧装置!$I$3)/簡易陰圧装置!$H$3),0)</f>
        <v>0</v>
      </c>
      <c r="J138" s="69">
        <f t="shared" si="24"/>
        <v>0</v>
      </c>
      <c r="K138" s="68">
        <f>IFERROR(SUMIF(#REF!,B138,#REF!)*((#REF!-#REF!)/#REF!),0)</f>
        <v>0</v>
      </c>
      <c r="L138" s="69">
        <f t="shared" si="25"/>
        <v>0</v>
      </c>
      <c r="M138" s="68">
        <f>IFERROR(SUMIF(体外式膜型人工肺!$C$30:$C$74,B138,体外式膜型人工肺!$N$30:$N$74)*((体外式膜型人工肺!$H$3-体外式膜型人工肺!$I$3)/体外式膜型人工肺!$H$3),0)</f>
        <v>0</v>
      </c>
      <c r="N138" s="69">
        <f t="shared" si="26"/>
        <v>0</v>
      </c>
      <c r="O138" s="69">
        <f t="shared" si="27"/>
        <v>0</v>
      </c>
      <c r="P138" s="69">
        <f t="shared" si="28"/>
        <v>0</v>
      </c>
      <c r="Q138" s="68">
        <f>IFERROR(SUMIF(紫外線照射装置!$C$30:$C$74,B138,紫外線照射装置!$N$30:$N$74)*((紫外線照射装置!$H$3-紫外線照射装置!$I$3)/紫外線照射装置!$H$3),0)</f>
        <v>0</v>
      </c>
      <c r="R138" s="69">
        <f t="shared" si="29"/>
        <v>0</v>
      </c>
      <c r="S138" s="102">
        <f t="shared" si="30"/>
        <v>0</v>
      </c>
      <c r="T138" s="68">
        <f>IFERROR(SUMIF(超音波画像診断装置!$C$30:$C$74,B138,超音波画像診断装置!$K$30:$K$74)*((超音波画像診断装置!$H$3-超音波画像診断装置!$I$3)/超音波画像診断装置!$H$3),0)</f>
        <v>0</v>
      </c>
      <c r="U138" s="69">
        <f t="shared" si="31"/>
        <v>0</v>
      </c>
      <c r="V138" s="68">
        <f>IFERROR(SUMIF(血液浄化装置!$C$30:$C$74,B138,血液浄化装置!$K$30:$K$74)*((血液浄化装置!$H$3-血液浄化装置!$I$3)/血液浄化装置!$H$3),0)</f>
        <v>0</v>
      </c>
      <c r="W138" s="69">
        <f t="shared" si="32"/>
        <v>0</v>
      </c>
      <c r="X138" s="68">
        <f>IFERROR(SUMIF(気管支鏡!$C$30:$C$74,B138,気管支鏡!$K$30:$K$74)*((気管支鏡!$H$3-気管支鏡!$I$3)/気管支鏡!$H$3),0)</f>
        <v>0</v>
      </c>
      <c r="Y138" s="69">
        <f t="shared" si="18"/>
        <v>0</v>
      </c>
      <c r="Z138" s="68">
        <f>IFERROR(SUMIF(CT撮影装置!$C$30:$C$74,B138,CT撮影装置!$K$30:$K$74)*((CT撮影装置!$H$3-CT撮影装置!$I$3)/CT撮影装置!$H$3),0)</f>
        <v>0</v>
      </c>
      <c r="AA138" s="69">
        <f t="shared" si="33"/>
        <v>0</v>
      </c>
      <c r="AB138" s="68">
        <f>IFERROR(SUMIF(生体情報モニタ!$C$30:$C$74,B138,生体情報モニタ!$K$30:$K$74)*((生体情報モニタ!$H$3-生体情報モニタ!$I$3)/生体情報モニタ!$H$3),0)</f>
        <v>0</v>
      </c>
      <c r="AC138" s="69">
        <f t="shared" si="19"/>
        <v>0</v>
      </c>
      <c r="AD138" s="68">
        <f>IFERROR(SUMIF(分娩監視装置!$C$30:$C$74,B138,分娩監視装置!$K$30:$K$74)*((分娩監視装置!$H$3-分娩監視装置!$I$3)/分娩監視装置!$H$3),0)</f>
        <v>0</v>
      </c>
      <c r="AE138" s="69">
        <f t="shared" si="34"/>
        <v>0</v>
      </c>
      <c r="AF138" s="68">
        <f>IFERROR(SUMIF(新生児モニタ!$C$30:$C$74,B138,新生児モニタ!$K$30:$K$74)*((新生児モニタ!$H$3-新生児モニタ!$I$3)/新生児モニタ!$H$3),0)</f>
        <v>0</v>
      </c>
      <c r="AG138" s="69">
        <f t="shared" si="35"/>
        <v>0</v>
      </c>
    </row>
    <row r="139" spans="2:33">
      <c r="B139" s="65" t="s">
        <v>808</v>
      </c>
      <c r="C139" s="68">
        <f>IFERROR(SUMIF(初度設備!$C$30:$C$74,B139,初度設備!$N$30:$N$74)*((初度設備!$H$3-初度設備!$I$3)/初度設備!$H$3),0)</f>
        <v>0</v>
      </c>
      <c r="D139" s="69">
        <f t="shared" si="20"/>
        <v>0</v>
      </c>
      <c r="E139" s="68">
        <f>IFERROR(SUMIF(人工呼吸器!$C$30:$C$74,B139,人工呼吸器!$N$30:$N$74)*((人工呼吸器!$H$3-人工呼吸器!$I$3)/人工呼吸器!$H$3),0)</f>
        <v>0</v>
      </c>
      <c r="F139" s="69">
        <f t="shared" si="21"/>
        <v>0</v>
      </c>
      <c r="G139" s="69">
        <f t="shared" si="22"/>
        <v>0</v>
      </c>
      <c r="H139" s="69">
        <f t="shared" si="23"/>
        <v>0</v>
      </c>
      <c r="I139" s="68">
        <f>IFERROR(SUMIF(簡易陰圧装置!$C$30:$C$74,B139,簡易陰圧装置!$N$30:$N$74)*((簡易陰圧装置!$H$3-簡易陰圧装置!$I$3)/簡易陰圧装置!$H$3),0)</f>
        <v>0</v>
      </c>
      <c r="J139" s="69">
        <f t="shared" si="24"/>
        <v>0</v>
      </c>
      <c r="K139" s="68">
        <f>IFERROR(SUMIF(#REF!,B139,#REF!)*((#REF!-#REF!)/#REF!),0)</f>
        <v>0</v>
      </c>
      <c r="L139" s="69">
        <f t="shared" si="25"/>
        <v>0</v>
      </c>
      <c r="M139" s="68">
        <f>IFERROR(SUMIF(体外式膜型人工肺!$C$30:$C$74,B139,体外式膜型人工肺!$N$30:$N$74)*((体外式膜型人工肺!$H$3-体外式膜型人工肺!$I$3)/体外式膜型人工肺!$H$3),0)</f>
        <v>0</v>
      </c>
      <c r="N139" s="69">
        <f t="shared" si="26"/>
        <v>0</v>
      </c>
      <c r="O139" s="69">
        <f t="shared" si="27"/>
        <v>0</v>
      </c>
      <c r="P139" s="69">
        <f t="shared" si="28"/>
        <v>0</v>
      </c>
      <c r="Q139" s="68">
        <f>IFERROR(SUMIF(紫外線照射装置!$C$30:$C$74,B139,紫外線照射装置!$N$30:$N$74)*((紫外線照射装置!$H$3-紫外線照射装置!$I$3)/紫外線照射装置!$H$3),0)</f>
        <v>0</v>
      </c>
      <c r="R139" s="69">
        <f t="shared" si="29"/>
        <v>0</v>
      </c>
      <c r="S139" s="102">
        <f t="shared" si="30"/>
        <v>0</v>
      </c>
      <c r="T139" s="68">
        <f>IFERROR(SUMIF(超音波画像診断装置!$C$30:$C$74,B139,超音波画像診断装置!$K$30:$K$74)*((超音波画像診断装置!$H$3-超音波画像診断装置!$I$3)/超音波画像診断装置!$H$3),0)</f>
        <v>0</v>
      </c>
      <c r="U139" s="69">
        <f t="shared" si="31"/>
        <v>0</v>
      </c>
      <c r="V139" s="68">
        <f>IFERROR(SUMIF(血液浄化装置!$C$30:$C$74,B139,血液浄化装置!$K$30:$K$74)*((血液浄化装置!$H$3-血液浄化装置!$I$3)/血液浄化装置!$H$3),0)</f>
        <v>0</v>
      </c>
      <c r="W139" s="69">
        <f t="shared" si="32"/>
        <v>0</v>
      </c>
      <c r="X139" s="68">
        <f>IFERROR(SUMIF(気管支鏡!$C$30:$C$74,B139,気管支鏡!$K$30:$K$74)*((気管支鏡!$H$3-気管支鏡!$I$3)/気管支鏡!$H$3),0)</f>
        <v>0</v>
      </c>
      <c r="Y139" s="69">
        <f t="shared" si="18"/>
        <v>0</v>
      </c>
      <c r="Z139" s="68">
        <f>IFERROR(SUMIF(CT撮影装置!$C$30:$C$74,B139,CT撮影装置!$K$30:$K$74)*((CT撮影装置!$H$3-CT撮影装置!$I$3)/CT撮影装置!$H$3),0)</f>
        <v>0</v>
      </c>
      <c r="AA139" s="69">
        <f t="shared" si="33"/>
        <v>0</v>
      </c>
      <c r="AB139" s="68">
        <f>IFERROR(SUMIF(生体情報モニタ!$C$30:$C$74,B139,生体情報モニタ!$K$30:$K$74)*((生体情報モニタ!$H$3-生体情報モニタ!$I$3)/生体情報モニタ!$H$3),0)</f>
        <v>0</v>
      </c>
      <c r="AC139" s="69">
        <f t="shared" si="19"/>
        <v>0</v>
      </c>
      <c r="AD139" s="68">
        <f>IFERROR(SUMIF(分娩監視装置!$C$30:$C$74,B139,分娩監視装置!$K$30:$K$74)*((分娩監視装置!$H$3-分娩監視装置!$I$3)/分娩監視装置!$H$3),0)</f>
        <v>0</v>
      </c>
      <c r="AE139" s="69">
        <f t="shared" si="34"/>
        <v>0</v>
      </c>
      <c r="AF139" s="68">
        <f>IFERROR(SUMIF(新生児モニタ!$C$30:$C$74,B139,新生児モニタ!$K$30:$K$74)*((新生児モニタ!$H$3-新生児モニタ!$I$3)/新生児モニタ!$H$3),0)</f>
        <v>0</v>
      </c>
      <c r="AG139" s="69">
        <f t="shared" si="35"/>
        <v>0</v>
      </c>
    </row>
    <row r="140" spans="2:33">
      <c r="B140" s="65" t="s">
        <v>809</v>
      </c>
      <c r="C140" s="68">
        <f>IFERROR(SUMIF(初度設備!$C$30:$C$74,B140,初度設備!$N$30:$N$74)*((初度設備!$H$3-初度設備!$I$3)/初度設備!$H$3),0)</f>
        <v>0</v>
      </c>
      <c r="D140" s="69">
        <f t="shared" si="20"/>
        <v>0</v>
      </c>
      <c r="E140" s="68">
        <f>IFERROR(SUMIF(人工呼吸器!$C$30:$C$74,B140,人工呼吸器!$N$30:$N$74)*((人工呼吸器!$H$3-人工呼吸器!$I$3)/人工呼吸器!$H$3),0)</f>
        <v>0</v>
      </c>
      <c r="F140" s="69">
        <f t="shared" si="21"/>
        <v>0</v>
      </c>
      <c r="G140" s="69">
        <f t="shared" si="22"/>
        <v>0</v>
      </c>
      <c r="H140" s="69">
        <f t="shared" si="23"/>
        <v>0</v>
      </c>
      <c r="I140" s="68">
        <f>IFERROR(SUMIF(簡易陰圧装置!$C$30:$C$74,B140,簡易陰圧装置!$N$30:$N$74)*((簡易陰圧装置!$H$3-簡易陰圧装置!$I$3)/簡易陰圧装置!$H$3),0)</f>
        <v>0</v>
      </c>
      <c r="J140" s="69">
        <f t="shared" si="24"/>
        <v>0</v>
      </c>
      <c r="K140" s="68">
        <f>IFERROR(SUMIF(#REF!,B140,#REF!)*((#REF!-#REF!)/#REF!),0)</f>
        <v>0</v>
      </c>
      <c r="L140" s="69">
        <f t="shared" si="25"/>
        <v>0</v>
      </c>
      <c r="M140" s="68">
        <f>IFERROR(SUMIF(体外式膜型人工肺!$C$30:$C$74,B140,体外式膜型人工肺!$N$30:$N$74)*((体外式膜型人工肺!$H$3-体外式膜型人工肺!$I$3)/体外式膜型人工肺!$H$3),0)</f>
        <v>0</v>
      </c>
      <c r="N140" s="69">
        <f t="shared" si="26"/>
        <v>0</v>
      </c>
      <c r="O140" s="69">
        <f t="shared" si="27"/>
        <v>0</v>
      </c>
      <c r="P140" s="69">
        <f t="shared" si="28"/>
        <v>0</v>
      </c>
      <c r="Q140" s="68">
        <f>IFERROR(SUMIF(紫外線照射装置!$C$30:$C$74,B140,紫外線照射装置!$N$30:$N$74)*((紫外線照射装置!$H$3-紫外線照射装置!$I$3)/紫外線照射装置!$H$3),0)</f>
        <v>0</v>
      </c>
      <c r="R140" s="69">
        <f t="shared" si="29"/>
        <v>0</v>
      </c>
      <c r="S140" s="102">
        <f t="shared" si="30"/>
        <v>0</v>
      </c>
      <c r="T140" s="68">
        <f>IFERROR(SUMIF(超音波画像診断装置!$C$30:$C$74,B140,超音波画像診断装置!$K$30:$K$74)*((超音波画像診断装置!$H$3-超音波画像診断装置!$I$3)/超音波画像診断装置!$H$3),0)</f>
        <v>0</v>
      </c>
      <c r="U140" s="69">
        <f t="shared" si="31"/>
        <v>0</v>
      </c>
      <c r="V140" s="68">
        <f>IFERROR(SUMIF(血液浄化装置!$C$30:$C$74,B140,血液浄化装置!$K$30:$K$74)*((血液浄化装置!$H$3-血液浄化装置!$I$3)/血液浄化装置!$H$3),0)</f>
        <v>0</v>
      </c>
      <c r="W140" s="69">
        <f t="shared" si="32"/>
        <v>0</v>
      </c>
      <c r="X140" s="68">
        <f>IFERROR(SUMIF(気管支鏡!$C$30:$C$74,B140,気管支鏡!$K$30:$K$74)*((気管支鏡!$H$3-気管支鏡!$I$3)/気管支鏡!$H$3),0)</f>
        <v>0</v>
      </c>
      <c r="Y140" s="69">
        <f t="shared" si="18"/>
        <v>0</v>
      </c>
      <c r="Z140" s="68">
        <f>IFERROR(SUMIF(CT撮影装置!$C$30:$C$74,B140,CT撮影装置!$K$30:$K$74)*((CT撮影装置!$H$3-CT撮影装置!$I$3)/CT撮影装置!$H$3),0)</f>
        <v>0</v>
      </c>
      <c r="AA140" s="69">
        <f t="shared" si="33"/>
        <v>0</v>
      </c>
      <c r="AB140" s="68">
        <f>IFERROR(SUMIF(生体情報モニタ!$C$30:$C$74,B140,生体情報モニタ!$K$30:$K$74)*((生体情報モニタ!$H$3-生体情報モニタ!$I$3)/生体情報モニタ!$H$3),0)</f>
        <v>0</v>
      </c>
      <c r="AC140" s="69">
        <f t="shared" si="19"/>
        <v>0</v>
      </c>
      <c r="AD140" s="68">
        <f>IFERROR(SUMIF(分娩監視装置!$C$30:$C$74,B140,分娩監視装置!$K$30:$K$74)*((分娩監視装置!$H$3-分娩監視装置!$I$3)/分娩監視装置!$H$3),0)</f>
        <v>0</v>
      </c>
      <c r="AE140" s="69">
        <f t="shared" si="34"/>
        <v>0</v>
      </c>
      <c r="AF140" s="68">
        <f>IFERROR(SUMIF(新生児モニタ!$C$30:$C$74,B140,新生児モニタ!$K$30:$K$74)*((新生児モニタ!$H$3-新生児モニタ!$I$3)/新生児モニタ!$H$3),0)</f>
        <v>0</v>
      </c>
      <c r="AG140" s="69">
        <f t="shared" si="35"/>
        <v>0</v>
      </c>
    </row>
    <row r="141" spans="2:33">
      <c r="B141" s="65" t="s">
        <v>810</v>
      </c>
      <c r="C141" s="68">
        <f>IFERROR(SUMIF(初度設備!$C$30:$C$74,B141,初度設備!$N$30:$N$74)*((初度設備!$H$3-初度設備!$I$3)/初度設備!$H$3),0)</f>
        <v>0</v>
      </c>
      <c r="D141" s="69">
        <f t="shared" si="20"/>
        <v>0</v>
      </c>
      <c r="E141" s="68">
        <f>IFERROR(SUMIF(人工呼吸器!$C$30:$C$74,B141,人工呼吸器!$N$30:$N$74)*((人工呼吸器!$H$3-人工呼吸器!$I$3)/人工呼吸器!$H$3),0)</f>
        <v>0</v>
      </c>
      <c r="F141" s="69">
        <f t="shared" si="21"/>
        <v>0</v>
      </c>
      <c r="G141" s="69">
        <f t="shared" si="22"/>
        <v>0</v>
      </c>
      <c r="H141" s="69">
        <f t="shared" si="23"/>
        <v>0</v>
      </c>
      <c r="I141" s="68">
        <f>IFERROR(SUMIF(簡易陰圧装置!$C$30:$C$74,B141,簡易陰圧装置!$N$30:$N$74)*((簡易陰圧装置!$H$3-簡易陰圧装置!$I$3)/簡易陰圧装置!$H$3),0)</f>
        <v>0</v>
      </c>
      <c r="J141" s="69">
        <f t="shared" si="24"/>
        <v>0</v>
      </c>
      <c r="K141" s="68">
        <f>IFERROR(SUMIF(#REF!,B141,#REF!)*((#REF!-#REF!)/#REF!),0)</f>
        <v>0</v>
      </c>
      <c r="L141" s="69">
        <f t="shared" si="25"/>
        <v>0</v>
      </c>
      <c r="M141" s="68">
        <f>IFERROR(SUMIF(体外式膜型人工肺!$C$30:$C$74,B141,体外式膜型人工肺!$N$30:$N$74)*((体外式膜型人工肺!$H$3-体外式膜型人工肺!$I$3)/体外式膜型人工肺!$H$3),0)</f>
        <v>0</v>
      </c>
      <c r="N141" s="69">
        <f t="shared" si="26"/>
        <v>0</v>
      </c>
      <c r="O141" s="69">
        <f t="shared" si="27"/>
        <v>0</v>
      </c>
      <c r="P141" s="69">
        <f t="shared" si="28"/>
        <v>0</v>
      </c>
      <c r="Q141" s="68">
        <f>IFERROR(SUMIF(紫外線照射装置!$C$30:$C$74,B141,紫外線照射装置!$N$30:$N$74)*((紫外線照射装置!$H$3-紫外線照射装置!$I$3)/紫外線照射装置!$H$3),0)</f>
        <v>0</v>
      </c>
      <c r="R141" s="69">
        <f t="shared" si="29"/>
        <v>0</v>
      </c>
      <c r="S141" s="102">
        <f t="shared" si="30"/>
        <v>0</v>
      </c>
      <c r="T141" s="68">
        <f>IFERROR(SUMIF(超音波画像診断装置!$C$30:$C$74,B141,超音波画像診断装置!$K$30:$K$74)*((超音波画像診断装置!$H$3-超音波画像診断装置!$I$3)/超音波画像診断装置!$H$3),0)</f>
        <v>0</v>
      </c>
      <c r="U141" s="69">
        <f t="shared" si="31"/>
        <v>0</v>
      </c>
      <c r="V141" s="68">
        <f>IFERROR(SUMIF(血液浄化装置!$C$30:$C$74,B141,血液浄化装置!$K$30:$K$74)*((血液浄化装置!$H$3-血液浄化装置!$I$3)/血液浄化装置!$H$3),0)</f>
        <v>0</v>
      </c>
      <c r="W141" s="69">
        <f t="shared" si="32"/>
        <v>0</v>
      </c>
      <c r="X141" s="68">
        <f>IFERROR(SUMIF(気管支鏡!$C$30:$C$74,B141,気管支鏡!$K$30:$K$74)*((気管支鏡!$H$3-気管支鏡!$I$3)/気管支鏡!$H$3),0)</f>
        <v>0</v>
      </c>
      <c r="Y141" s="69">
        <f t="shared" si="18"/>
        <v>0</v>
      </c>
      <c r="Z141" s="68">
        <f>IFERROR(SUMIF(CT撮影装置!$C$30:$C$74,B141,CT撮影装置!$K$30:$K$74)*((CT撮影装置!$H$3-CT撮影装置!$I$3)/CT撮影装置!$H$3),0)</f>
        <v>0</v>
      </c>
      <c r="AA141" s="69">
        <f t="shared" si="33"/>
        <v>0</v>
      </c>
      <c r="AB141" s="68">
        <f>IFERROR(SUMIF(生体情報モニタ!$C$30:$C$74,B141,生体情報モニタ!$K$30:$K$74)*((生体情報モニタ!$H$3-生体情報モニタ!$I$3)/生体情報モニタ!$H$3),0)</f>
        <v>0</v>
      </c>
      <c r="AC141" s="69">
        <f t="shared" si="19"/>
        <v>0</v>
      </c>
      <c r="AD141" s="68">
        <f>IFERROR(SUMIF(分娩監視装置!$C$30:$C$74,B141,分娩監視装置!$K$30:$K$74)*((分娩監視装置!$H$3-分娩監視装置!$I$3)/分娩監視装置!$H$3),0)</f>
        <v>0</v>
      </c>
      <c r="AE141" s="69">
        <f t="shared" si="34"/>
        <v>0</v>
      </c>
      <c r="AF141" s="68">
        <f>IFERROR(SUMIF(新生児モニタ!$C$30:$C$74,B141,新生児モニタ!$K$30:$K$74)*((新生児モニタ!$H$3-新生児モニタ!$I$3)/新生児モニタ!$H$3),0)</f>
        <v>0</v>
      </c>
      <c r="AG141" s="69">
        <f t="shared" si="35"/>
        <v>0</v>
      </c>
    </row>
    <row r="142" spans="2:33">
      <c r="B142" s="65" t="s">
        <v>811</v>
      </c>
      <c r="C142" s="68">
        <f>IFERROR(SUMIF(初度設備!$C$30:$C$74,B142,初度設備!$N$30:$N$74)*((初度設備!$H$3-初度設備!$I$3)/初度設備!$H$3),0)</f>
        <v>0</v>
      </c>
      <c r="D142" s="69">
        <f t="shared" si="20"/>
        <v>0</v>
      </c>
      <c r="E142" s="68">
        <f>IFERROR(SUMIF(人工呼吸器!$C$30:$C$74,B142,人工呼吸器!$N$30:$N$74)*((人工呼吸器!$H$3-人工呼吸器!$I$3)/人工呼吸器!$H$3),0)</f>
        <v>0</v>
      </c>
      <c r="F142" s="69">
        <f t="shared" si="21"/>
        <v>0</v>
      </c>
      <c r="G142" s="69">
        <f t="shared" si="22"/>
        <v>0</v>
      </c>
      <c r="H142" s="69">
        <f t="shared" si="23"/>
        <v>0</v>
      </c>
      <c r="I142" s="68">
        <f>IFERROR(SUMIF(簡易陰圧装置!$C$30:$C$74,B142,簡易陰圧装置!$N$30:$N$74)*((簡易陰圧装置!$H$3-簡易陰圧装置!$I$3)/簡易陰圧装置!$H$3),0)</f>
        <v>0</v>
      </c>
      <c r="J142" s="69">
        <f t="shared" si="24"/>
        <v>0</v>
      </c>
      <c r="K142" s="68">
        <f>IFERROR(SUMIF(#REF!,B142,#REF!)*((#REF!-#REF!)/#REF!),0)</f>
        <v>0</v>
      </c>
      <c r="L142" s="69">
        <f t="shared" si="25"/>
        <v>0</v>
      </c>
      <c r="M142" s="68">
        <f>IFERROR(SUMIF(体外式膜型人工肺!$C$30:$C$74,B142,体外式膜型人工肺!$N$30:$N$74)*((体外式膜型人工肺!$H$3-体外式膜型人工肺!$I$3)/体外式膜型人工肺!$H$3),0)</f>
        <v>0</v>
      </c>
      <c r="N142" s="69">
        <f t="shared" si="26"/>
        <v>0</v>
      </c>
      <c r="O142" s="69">
        <f t="shared" si="27"/>
        <v>0</v>
      </c>
      <c r="P142" s="69">
        <f t="shared" si="28"/>
        <v>0</v>
      </c>
      <c r="Q142" s="68">
        <f>IFERROR(SUMIF(紫外線照射装置!$C$30:$C$74,B142,紫外線照射装置!$N$30:$N$74)*((紫外線照射装置!$H$3-紫外線照射装置!$I$3)/紫外線照射装置!$H$3),0)</f>
        <v>0</v>
      </c>
      <c r="R142" s="69">
        <f t="shared" si="29"/>
        <v>0</v>
      </c>
      <c r="S142" s="102">
        <f t="shared" si="30"/>
        <v>0</v>
      </c>
      <c r="T142" s="68">
        <f>IFERROR(SUMIF(超音波画像診断装置!$C$30:$C$74,B142,超音波画像診断装置!$K$30:$K$74)*((超音波画像診断装置!$H$3-超音波画像診断装置!$I$3)/超音波画像診断装置!$H$3),0)</f>
        <v>0</v>
      </c>
      <c r="U142" s="69">
        <f t="shared" si="31"/>
        <v>0</v>
      </c>
      <c r="V142" s="68">
        <f>IFERROR(SUMIF(血液浄化装置!$C$30:$C$74,B142,血液浄化装置!$K$30:$K$74)*((血液浄化装置!$H$3-血液浄化装置!$I$3)/血液浄化装置!$H$3),0)</f>
        <v>0</v>
      </c>
      <c r="W142" s="69">
        <f t="shared" si="32"/>
        <v>0</v>
      </c>
      <c r="X142" s="68">
        <f>IFERROR(SUMIF(気管支鏡!$C$30:$C$74,B142,気管支鏡!$K$30:$K$74)*((気管支鏡!$H$3-気管支鏡!$I$3)/気管支鏡!$H$3),0)</f>
        <v>0</v>
      </c>
      <c r="Y142" s="69">
        <f t="shared" si="18"/>
        <v>0</v>
      </c>
      <c r="Z142" s="68">
        <f>IFERROR(SUMIF(CT撮影装置!$C$30:$C$74,B142,CT撮影装置!$K$30:$K$74)*((CT撮影装置!$H$3-CT撮影装置!$I$3)/CT撮影装置!$H$3),0)</f>
        <v>0</v>
      </c>
      <c r="AA142" s="69">
        <f t="shared" si="33"/>
        <v>0</v>
      </c>
      <c r="AB142" s="68">
        <f>IFERROR(SUMIF(生体情報モニタ!$C$30:$C$74,B142,生体情報モニタ!$K$30:$K$74)*((生体情報モニタ!$H$3-生体情報モニタ!$I$3)/生体情報モニタ!$H$3),0)</f>
        <v>0</v>
      </c>
      <c r="AC142" s="69">
        <f t="shared" si="19"/>
        <v>0</v>
      </c>
      <c r="AD142" s="68">
        <f>IFERROR(SUMIF(分娩監視装置!$C$30:$C$74,B142,分娩監視装置!$K$30:$K$74)*((分娩監視装置!$H$3-分娩監視装置!$I$3)/分娩監視装置!$H$3),0)</f>
        <v>0</v>
      </c>
      <c r="AE142" s="69">
        <f t="shared" si="34"/>
        <v>0</v>
      </c>
      <c r="AF142" s="68">
        <f>IFERROR(SUMIF(新生児モニタ!$C$30:$C$74,B142,新生児モニタ!$K$30:$K$74)*((新生児モニタ!$H$3-新生児モニタ!$I$3)/新生児モニタ!$H$3),0)</f>
        <v>0</v>
      </c>
      <c r="AG142" s="69">
        <f t="shared" si="35"/>
        <v>0</v>
      </c>
    </row>
    <row r="143" spans="2:33">
      <c r="B143" s="65" t="s">
        <v>812</v>
      </c>
      <c r="C143" s="68">
        <f>IFERROR(SUMIF(初度設備!$C$30:$C$74,B143,初度設備!$N$30:$N$74)*((初度設備!$H$3-初度設備!$I$3)/初度設備!$H$3),0)</f>
        <v>0</v>
      </c>
      <c r="D143" s="69">
        <f t="shared" si="20"/>
        <v>0</v>
      </c>
      <c r="E143" s="68">
        <f>IFERROR(SUMIF(人工呼吸器!$C$30:$C$74,B143,人工呼吸器!$N$30:$N$74)*((人工呼吸器!$H$3-人工呼吸器!$I$3)/人工呼吸器!$H$3),0)</f>
        <v>0</v>
      </c>
      <c r="F143" s="69">
        <f t="shared" si="21"/>
        <v>0</v>
      </c>
      <c r="G143" s="69">
        <f t="shared" si="22"/>
        <v>0</v>
      </c>
      <c r="H143" s="69">
        <f t="shared" si="23"/>
        <v>0</v>
      </c>
      <c r="I143" s="68">
        <f>IFERROR(SUMIF(簡易陰圧装置!$C$30:$C$74,B143,簡易陰圧装置!$N$30:$N$74)*((簡易陰圧装置!$H$3-簡易陰圧装置!$I$3)/簡易陰圧装置!$H$3),0)</f>
        <v>0</v>
      </c>
      <c r="J143" s="69">
        <f t="shared" si="24"/>
        <v>0</v>
      </c>
      <c r="K143" s="68">
        <f>IFERROR(SUMIF(#REF!,B143,#REF!)*((#REF!-#REF!)/#REF!),0)</f>
        <v>0</v>
      </c>
      <c r="L143" s="69">
        <f t="shared" si="25"/>
        <v>0</v>
      </c>
      <c r="M143" s="68">
        <f>IFERROR(SUMIF(体外式膜型人工肺!$C$30:$C$74,B143,体外式膜型人工肺!$N$30:$N$74)*((体外式膜型人工肺!$H$3-体外式膜型人工肺!$I$3)/体外式膜型人工肺!$H$3),0)</f>
        <v>0</v>
      </c>
      <c r="N143" s="69">
        <f t="shared" si="26"/>
        <v>0</v>
      </c>
      <c r="O143" s="69">
        <f t="shared" si="27"/>
        <v>0</v>
      </c>
      <c r="P143" s="69">
        <f t="shared" si="28"/>
        <v>0</v>
      </c>
      <c r="Q143" s="68">
        <f>IFERROR(SUMIF(紫外線照射装置!$C$30:$C$74,B143,紫外線照射装置!$N$30:$N$74)*((紫外線照射装置!$H$3-紫外線照射装置!$I$3)/紫外線照射装置!$H$3),0)</f>
        <v>0</v>
      </c>
      <c r="R143" s="69">
        <f t="shared" si="29"/>
        <v>0</v>
      </c>
      <c r="S143" s="102">
        <f t="shared" si="30"/>
        <v>0</v>
      </c>
      <c r="T143" s="68">
        <f>IFERROR(SUMIF(超音波画像診断装置!$C$30:$C$74,B143,超音波画像診断装置!$K$30:$K$74)*((超音波画像診断装置!$H$3-超音波画像診断装置!$I$3)/超音波画像診断装置!$H$3),0)</f>
        <v>0</v>
      </c>
      <c r="U143" s="69">
        <f t="shared" si="31"/>
        <v>0</v>
      </c>
      <c r="V143" s="68">
        <f>IFERROR(SUMIF(血液浄化装置!$C$30:$C$74,B143,血液浄化装置!$K$30:$K$74)*((血液浄化装置!$H$3-血液浄化装置!$I$3)/血液浄化装置!$H$3),0)</f>
        <v>0</v>
      </c>
      <c r="W143" s="69">
        <f t="shared" si="32"/>
        <v>0</v>
      </c>
      <c r="X143" s="68">
        <f>IFERROR(SUMIF(気管支鏡!$C$30:$C$74,B143,気管支鏡!$K$30:$K$74)*((気管支鏡!$H$3-気管支鏡!$I$3)/気管支鏡!$H$3),0)</f>
        <v>0</v>
      </c>
      <c r="Y143" s="69">
        <f t="shared" si="18"/>
        <v>0</v>
      </c>
      <c r="Z143" s="68">
        <f>IFERROR(SUMIF(CT撮影装置!$C$30:$C$74,B143,CT撮影装置!$K$30:$K$74)*((CT撮影装置!$H$3-CT撮影装置!$I$3)/CT撮影装置!$H$3),0)</f>
        <v>0</v>
      </c>
      <c r="AA143" s="69">
        <f t="shared" si="33"/>
        <v>0</v>
      </c>
      <c r="AB143" s="68">
        <f>IFERROR(SUMIF(生体情報モニタ!$C$30:$C$74,B143,生体情報モニタ!$K$30:$K$74)*((生体情報モニタ!$H$3-生体情報モニタ!$I$3)/生体情報モニタ!$H$3),0)</f>
        <v>0</v>
      </c>
      <c r="AC143" s="69">
        <f t="shared" si="19"/>
        <v>0</v>
      </c>
      <c r="AD143" s="68">
        <f>IFERROR(SUMIF(分娩監視装置!$C$30:$C$74,B143,分娩監視装置!$K$30:$K$74)*((分娩監視装置!$H$3-分娩監視装置!$I$3)/分娩監視装置!$H$3),0)</f>
        <v>0</v>
      </c>
      <c r="AE143" s="69">
        <f t="shared" si="34"/>
        <v>0</v>
      </c>
      <c r="AF143" s="68">
        <f>IFERROR(SUMIF(新生児モニタ!$C$30:$C$74,B143,新生児モニタ!$K$30:$K$74)*((新生児モニタ!$H$3-新生児モニタ!$I$3)/新生児モニタ!$H$3),0)</f>
        <v>0</v>
      </c>
      <c r="AG143" s="69">
        <f t="shared" si="35"/>
        <v>0</v>
      </c>
    </row>
    <row r="144" spans="2:33">
      <c r="B144" s="65" t="s">
        <v>813</v>
      </c>
      <c r="C144" s="68">
        <f>IFERROR(SUMIF(初度設備!$C$30:$C$74,B144,初度設備!$N$30:$N$74)*((初度設備!$H$3-初度設備!$I$3)/初度設備!$H$3),0)</f>
        <v>0</v>
      </c>
      <c r="D144" s="69">
        <f t="shared" si="20"/>
        <v>0</v>
      </c>
      <c r="E144" s="68">
        <f>IFERROR(SUMIF(人工呼吸器!$C$30:$C$74,B144,人工呼吸器!$N$30:$N$74)*((人工呼吸器!$H$3-人工呼吸器!$I$3)/人工呼吸器!$H$3),0)</f>
        <v>0</v>
      </c>
      <c r="F144" s="69">
        <f t="shared" si="21"/>
        <v>0</v>
      </c>
      <c r="G144" s="69">
        <f t="shared" si="22"/>
        <v>0</v>
      </c>
      <c r="H144" s="69">
        <f t="shared" si="23"/>
        <v>0</v>
      </c>
      <c r="I144" s="68">
        <f>IFERROR(SUMIF(簡易陰圧装置!$C$30:$C$74,B144,簡易陰圧装置!$N$30:$N$74)*((簡易陰圧装置!$H$3-簡易陰圧装置!$I$3)/簡易陰圧装置!$H$3),0)</f>
        <v>0</v>
      </c>
      <c r="J144" s="69">
        <f t="shared" si="24"/>
        <v>0</v>
      </c>
      <c r="K144" s="68">
        <f>IFERROR(SUMIF(#REF!,B144,#REF!)*((#REF!-#REF!)/#REF!),0)</f>
        <v>0</v>
      </c>
      <c r="L144" s="69">
        <f t="shared" si="25"/>
        <v>0</v>
      </c>
      <c r="M144" s="68">
        <f>IFERROR(SUMIF(体外式膜型人工肺!$C$30:$C$74,B144,体外式膜型人工肺!$N$30:$N$74)*((体外式膜型人工肺!$H$3-体外式膜型人工肺!$I$3)/体外式膜型人工肺!$H$3),0)</f>
        <v>0</v>
      </c>
      <c r="N144" s="69">
        <f t="shared" si="26"/>
        <v>0</v>
      </c>
      <c r="O144" s="69">
        <f t="shared" si="27"/>
        <v>0</v>
      </c>
      <c r="P144" s="69">
        <f t="shared" si="28"/>
        <v>0</v>
      </c>
      <c r="Q144" s="68">
        <f>IFERROR(SUMIF(紫外線照射装置!$C$30:$C$74,B144,紫外線照射装置!$N$30:$N$74)*((紫外線照射装置!$H$3-紫外線照射装置!$I$3)/紫外線照射装置!$H$3),0)</f>
        <v>0</v>
      </c>
      <c r="R144" s="69">
        <f t="shared" si="29"/>
        <v>0</v>
      </c>
      <c r="S144" s="102">
        <f t="shared" si="30"/>
        <v>0</v>
      </c>
      <c r="T144" s="68">
        <f>IFERROR(SUMIF(超音波画像診断装置!$C$30:$C$74,B144,超音波画像診断装置!$K$30:$K$74)*((超音波画像診断装置!$H$3-超音波画像診断装置!$I$3)/超音波画像診断装置!$H$3),0)</f>
        <v>0</v>
      </c>
      <c r="U144" s="69">
        <f t="shared" si="31"/>
        <v>0</v>
      </c>
      <c r="V144" s="68">
        <f>IFERROR(SUMIF(血液浄化装置!$C$30:$C$74,B144,血液浄化装置!$K$30:$K$74)*((血液浄化装置!$H$3-血液浄化装置!$I$3)/血液浄化装置!$H$3),0)</f>
        <v>0</v>
      </c>
      <c r="W144" s="69">
        <f t="shared" si="32"/>
        <v>0</v>
      </c>
      <c r="X144" s="68">
        <f>IFERROR(SUMIF(気管支鏡!$C$30:$C$74,B144,気管支鏡!$K$30:$K$74)*((気管支鏡!$H$3-気管支鏡!$I$3)/気管支鏡!$H$3),0)</f>
        <v>0</v>
      </c>
      <c r="Y144" s="69">
        <f t="shared" si="18"/>
        <v>0</v>
      </c>
      <c r="Z144" s="68">
        <f>IFERROR(SUMIF(CT撮影装置!$C$30:$C$74,B144,CT撮影装置!$K$30:$K$74)*((CT撮影装置!$H$3-CT撮影装置!$I$3)/CT撮影装置!$H$3),0)</f>
        <v>0</v>
      </c>
      <c r="AA144" s="69">
        <f t="shared" si="33"/>
        <v>0</v>
      </c>
      <c r="AB144" s="68">
        <f>IFERROR(SUMIF(生体情報モニタ!$C$30:$C$74,B144,生体情報モニタ!$K$30:$K$74)*((生体情報モニタ!$H$3-生体情報モニタ!$I$3)/生体情報モニタ!$H$3),0)</f>
        <v>0</v>
      </c>
      <c r="AC144" s="69">
        <f t="shared" si="19"/>
        <v>0</v>
      </c>
      <c r="AD144" s="68">
        <f>IFERROR(SUMIF(分娩監視装置!$C$30:$C$74,B144,分娩監視装置!$K$30:$K$74)*((分娩監視装置!$H$3-分娩監視装置!$I$3)/分娩監視装置!$H$3),0)</f>
        <v>0</v>
      </c>
      <c r="AE144" s="69">
        <f t="shared" si="34"/>
        <v>0</v>
      </c>
      <c r="AF144" s="68">
        <f>IFERROR(SUMIF(新生児モニタ!$C$30:$C$74,B144,新生児モニタ!$K$30:$K$74)*((新生児モニタ!$H$3-新生児モニタ!$I$3)/新生児モニタ!$H$3),0)</f>
        <v>0</v>
      </c>
      <c r="AG144" s="69">
        <f t="shared" si="35"/>
        <v>0</v>
      </c>
    </row>
    <row r="145" spans="2:33">
      <c r="B145" s="65" t="s">
        <v>814</v>
      </c>
      <c r="C145" s="68">
        <f>IFERROR(SUMIF(初度設備!$C$30:$C$74,B145,初度設備!$N$30:$N$74)*((初度設備!$H$3-初度設備!$I$3)/初度設備!$H$3),0)</f>
        <v>0</v>
      </c>
      <c r="D145" s="69">
        <f t="shared" si="20"/>
        <v>0</v>
      </c>
      <c r="E145" s="68">
        <f>IFERROR(SUMIF(人工呼吸器!$C$30:$C$74,B145,人工呼吸器!$N$30:$N$74)*((人工呼吸器!$H$3-人工呼吸器!$I$3)/人工呼吸器!$H$3),0)</f>
        <v>0</v>
      </c>
      <c r="F145" s="69">
        <f t="shared" si="21"/>
        <v>0</v>
      </c>
      <c r="G145" s="69">
        <f t="shared" si="22"/>
        <v>0</v>
      </c>
      <c r="H145" s="69">
        <f t="shared" si="23"/>
        <v>0</v>
      </c>
      <c r="I145" s="68">
        <f>IFERROR(SUMIF(簡易陰圧装置!$C$30:$C$74,B145,簡易陰圧装置!$N$30:$N$74)*((簡易陰圧装置!$H$3-簡易陰圧装置!$I$3)/簡易陰圧装置!$H$3),0)</f>
        <v>0</v>
      </c>
      <c r="J145" s="69">
        <f t="shared" si="24"/>
        <v>0</v>
      </c>
      <c r="K145" s="68">
        <f>IFERROR(SUMIF(#REF!,B145,#REF!)*((#REF!-#REF!)/#REF!),0)</f>
        <v>0</v>
      </c>
      <c r="L145" s="69">
        <f t="shared" si="25"/>
        <v>0</v>
      </c>
      <c r="M145" s="68">
        <f>IFERROR(SUMIF(体外式膜型人工肺!$C$30:$C$74,B145,体外式膜型人工肺!$N$30:$N$74)*((体外式膜型人工肺!$H$3-体外式膜型人工肺!$I$3)/体外式膜型人工肺!$H$3),0)</f>
        <v>0</v>
      </c>
      <c r="N145" s="69">
        <f t="shared" si="26"/>
        <v>0</v>
      </c>
      <c r="O145" s="69">
        <f t="shared" si="27"/>
        <v>0</v>
      </c>
      <c r="P145" s="69">
        <f t="shared" si="28"/>
        <v>0</v>
      </c>
      <c r="Q145" s="68">
        <f>IFERROR(SUMIF(紫外線照射装置!$C$30:$C$74,B145,紫外線照射装置!$N$30:$N$74)*((紫外線照射装置!$H$3-紫外線照射装置!$I$3)/紫外線照射装置!$H$3),0)</f>
        <v>0</v>
      </c>
      <c r="R145" s="69">
        <f t="shared" si="29"/>
        <v>0</v>
      </c>
      <c r="S145" s="102">
        <f t="shared" si="30"/>
        <v>0</v>
      </c>
      <c r="T145" s="68">
        <f>IFERROR(SUMIF(超音波画像診断装置!$C$30:$C$74,B145,超音波画像診断装置!$K$30:$K$74)*((超音波画像診断装置!$H$3-超音波画像診断装置!$I$3)/超音波画像診断装置!$H$3),0)</f>
        <v>0</v>
      </c>
      <c r="U145" s="69">
        <f t="shared" si="31"/>
        <v>0</v>
      </c>
      <c r="V145" s="68">
        <f>IFERROR(SUMIF(血液浄化装置!$C$30:$C$74,B145,血液浄化装置!$K$30:$K$74)*((血液浄化装置!$H$3-血液浄化装置!$I$3)/血液浄化装置!$H$3),0)</f>
        <v>0</v>
      </c>
      <c r="W145" s="69">
        <f t="shared" si="32"/>
        <v>0</v>
      </c>
      <c r="X145" s="68">
        <f>IFERROR(SUMIF(気管支鏡!$C$30:$C$74,B145,気管支鏡!$K$30:$K$74)*((気管支鏡!$H$3-気管支鏡!$I$3)/気管支鏡!$H$3),0)</f>
        <v>0</v>
      </c>
      <c r="Y145" s="69">
        <f t="shared" si="18"/>
        <v>0</v>
      </c>
      <c r="Z145" s="68">
        <f>IFERROR(SUMIF(CT撮影装置!$C$30:$C$74,B145,CT撮影装置!$K$30:$K$74)*((CT撮影装置!$H$3-CT撮影装置!$I$3)/CT撮影装置!$H$3),0)</f>
        <v>0</v>
      </c>
      <c r="AA145" s="69">
        <f t="shared" si="33"/>
        <v>0</v>
      </c>
      <c r="AB145" s="68">
        <f>IFERROR(SUMIF(生体情報モニタ!$C$30:$C$74,B145,生体情報モニタ!$K$30:$K$74)*((生体情報モニタ!$H$3-生体情報モニタ!$I$3)/生体情報モニタ!$H$3),0)</f>
        <v>0</v>
      </c>
      <c r="AC145" s="69">
        <f t="shared" si="19"/>
        <v>0</v>
      </c>
      <c r="AD145" s="68">
        <f>IFERROR(SUMIF(分娩監視装置!$C$30:$C$74,B145,分娩監視装置!$K$30:$K$74)*((分娩監視装置!$H$3-分娩監視装置!$I$3)/分娩監視装置!$H$3),0)</f>
        <v>0</v>
      </c>
      <c r="AE145" s="69">
        <f t="shared" si="34"/>
        <v>0</v>
      </c>
      <c r="AF145" s="68">
        <f>IFERROR(SUMIF(新生児モニタ!$C$30:$C$74,B145,新生児モニタ!$K$30:$K$74)*((新生児モニタ!$H$3-新生児モニタ!$I$3)/新生児モニタ!$H$3),0)</f>
        <v>0</v>
      </c>
      <c r="AG145" s="69">
        <f t="shared" si="35"/>
        <v>0</v>
      </c>
    </row>
    <row r="146" spans="2:33">
      <c r="B146" s="65" t="s">
        <v>815</v>
      </c>
      <c r="C146" s="68">
        <f>IFERROR(SUMIF(初度設備!$C$30:$C$74,B146,初度設備!$N$30:$N$74)*((初度設備!$H$3-初度設備!$I$3)/初度設備!$H$3),0)</f>
        <v>0</v>
      </c>
      <c r="D146" s="69">
        <f t="shared" si="20"/>
        <v>0</v>
      </c>
      <c r="E146" s="68">
        <f>IFERROR(SUMIF(人工呼吸器!$C$30:$C$74,B146,人工呼吸器!$N$30:$N$74)*((人工呼吸器!$H$3-人工呼吸器!$I$3)/人工呼吸器!$H$3),0)</f>
        <v>0</v>
      </c>
      <c r="F146" s="69">
        <f t="shared" si="21"/>
        <v>0</v>
      </c>
      <c r="G146" s="69">
        <f t="shared" si="22"/>
        <v>0</v>
      </c>
      <c r="H146" s="69">
        <f t="shared" si="23"/>
        <v>0</v>
      </c>
      <c r="I146" s="68">
        <f>IFERROR(SUMIF(簡易陰圧装置!$C$30:$C$74,B146,簡易陰圧装置!$N$30:$N$74)*((簡易陰圧装置!$H$3-簡易陰圧装置!$I$3)/簡易陰圧装置!$H$3),0)</f>
        <v>0</v>
      </c>
      <c r="J146" s="69">
        <f t="shared" si="24"/>
        <v>0</v>
      </c>
      <c r="K146" s="68">
        <f>IFERROR(SUMIF(#REF!,B146,#REF!)*((#REF!-#REF!)/#REF!),0)</f>
        <v>0</v>
      </c>
      <c r="L146" s="69">
        <f t="shared" si="25"/>
        <v>0</v>
      </c>
      <c r="M146" s="68">
        <f>IFERROR(SUMIF(体外式膜型人工肺!$C$30:$C$74,B146,体外式膜型人工肺!$N$30:$N$74)*((体外式膜型人工肺!$H$3-体外式膜型人工肺!$I$3)/体外式膜型人工肺!$H$3),0)</f>
        <v>0</v>
      </c>
      <c r="N146" s="69">
        <f t="shared" si="26"/>
        <v>0</v>
      </c>
      <c r="O146" s="69">
        <f t="shared" si="27"/>
        <v>0</v>
      </c>
      <c r="P146" s="69">
        <f t="shared" si="28"/>
        <v>0</v>
      </c>
      <c r="Q146" s="68">
        <f>IFERROR(SUMIF(紫外線照射装置!$C$30:$C$74,B146,紫外線照射装置!$N$30:$N$74)*((紫外線照射装置!$H$3-紫外線照射装置!$I$3)/紫外線照射装置!$H$3),0)</f>
        <v>0</v>
      </c>
      <c r="R146" s="69">
        <f t="shared" si="29"/>
        <v>0</v>
      </c>
      <c r="S146" s="102">
        <f t="shared" si="30"/>
        <v>0</v>
      </c>
      <c r="T146" s="68">
        <f>IFERROR(SUMIF(超音波画像診断装置!$C$30:$C$74,B146,超音波画像診断装置!$K$30:$K$74)*((超音波画像診断装置!$H$3-超音波画像診断装置!$I$3)/超音波画像診断装置!$H$3),0)</f>
        <v>0</v>
      </c>
      <c r="U146" s="69">
        <f t="shared" si="31"/>
        <v>0</v>
      </c>
      <c r="V146" s="68">
        <f>IFERROR(SUMIF(血液浄化装置!$C$30:$C$74,B146,血液浄化装置!$K$30:$K$74)*((血液浄化装置!$H$3-血液浄化装置!$I$3)/血液浄化装置!$H$3),0)</f>
        <v>0</v>
      </c>
      <c r="W146" s="69">
        <f t="shared" si="32"/>
        <v>0</v>
      </c>
      <c r="X146" s="68">
        <f>IFERROR(SUMIF(気管支鏡!$C$30:$C$74,B146,気管支鏡!$K$30:$K$74)*((気管支鏡!$H$3-気管支鏡!$I$3)/気管支鏡!$H$3),0)</f>
        <v>0</v>
      </c>
      <c r="Y146" s="69">
        <f t="shared" si="18"/>
        <v>0</v>
      </c>
      <c r="Z146" s="68">
        <f>IFERROR(SUMIF(CT撮影装置!$C$30:$C$74,B146,CT撮影装置!$K$30:$K$74)*((CT撮影装置!$H$3-CT撮影装置!$I$3)/CT撮影装置!$H$3),0)</f>
        <v>0</v>
      </c>
      <c r="AA146" s="69">
        <f t="shared" si="33"/>
        <v>0</v>
      </c>
      <c r="AB146" s="68">
        <f>IFERROR(SUMIF(生体情報モニタ!$C$30:$C$74,B146,生体情報モニタ!$K$30:$K$74)*((生体情報モニタ!$H$3-生体情報モニタ!$I$3)/生体情報モニタ!$H$3),0)</f>
        <v>0</v>
      </c>
      <c r="AC146" s="69">
        <f t="shared" si="19"/>
        <v>0</v>
      </c>
      <c r="AD146" s="68">
        <f>IFERROR(SUMIF(分娩監視装置!$C$30:$C$74,B146,分娩監視装置!$K$30:$K$74)*((分娩監視装置!$H$3-分娩監視装置!$I$3)/分娩監視装置!$H$3),0)</f>
        <v>0</v>
      </c>
      <c r="AE146" s="69">
        <f t="shared" si="34"/>
        <v>0</v>
      </c>
      <c r="AF146" s="68">
        <f>IFERROR(SUMIF(新生児モニタ!$C$30:$C$74,B146,新生児モニタ!$K$30:$K$74)*((新生児モニタ!$H$3-新生児モニタ!$I$3)/新生児モニタ!$H$3),0)</f>
        <v>0</v>
      </c>
      <c r="AG146" s="69">
        <f t="shared" si="35"/>
        <v>0</v>
      </c>
    </row>
    <row r="147" spans="2:33">
      <c r="B147" s="65" t="s">
        <v>816</v>
      </c>
      <c r="C147" s="68">
        <f>IFERROR(SUMIF(初度設備!$C$30:$C$74,B147,初度設備!$N$30:$N$74)*((初度設備!$H$3-初度設備!$I$3)/初度設備!$H$3),0)</f>
        <v>0</v>
      </c>
      <c r="D147" s="69">
        <f t="shared" si="20"/>
        <v>0</v>
      </c>
      <c r="E147" s="68">
        <f>IFERROR(SUMIF(人工呼吸器!$C$30:$C$74,B147,人工呼吸器!$N$30:$N$74)*((人工呼吸器!$H$3-人工呼吸器!$I$3)/人工呼吸器!$H$3),0)</f>
        <v>0</v>
      </c>
      <c r="F147" s="69">
        <f t="shared" si="21"/>
        <v>0</v>
      </c>
      <c r="G147" s="69">
        <f t="shared" si="22"/>
        <v>0</v>
      </c>
      <c r="H147" s="69">
        <f t="shared" si="23"/>
        <v>0</v>
      </c>
      <c r="I147" s="68">
        <f>IFERROR(SUMIF(簡易陰圧装置!$C$30:$C$74,B147,簡易陰圧装置!$N$30:$N$74)*((簡易陰圧装置!$H$3-簡易陰圧装置!$I$3)/簡易陰圧装置!$H$3),0)</f>
        <v>0</v>
      </c>
      <c r="J147" s="69">
        <f t="shared" si="24"/>
        <v>0</v>
      </c>
      <c r="K147" s="68">
        <f>IFERROR(SUMIF(#REF!,B147,#REF!)*((#REF!-#REF!)/#REF!),0)</f>
        <v>0</v>
      </c>
      <c r="L147" s="69">
        <f t="shared" si="25"/>
        <v>0</v>
      </c>
      <c r="M147" s="68">
        <f>IFERROR(SUMIF(体外式膜型人工肺!$C$30:$C$74,B147,体外式膜型人工肺!$N$30:$N$74)*((体外式膜型人工肺!$H$3-体外式膜型人工肺!$I$3)/体外式膜型人工肺!$H$3),0)</f>
        <v>0</v>
      </c>
      <c r="N147" s="69">
        <f t="shared" si="26"/>
        <v>0</v>
      </c>
      <c r="O147" s="69">
        <f t="shared" si="27"/>
        <v>0</v>
      </c>
      <c r="P147" s="69">
        <f t="shared" si="28"/>
        <v>0</v>
      </c>
      <c r="Q147" s="68">
        <f>IFERROR(SUMIF(紫外線照射装置!$C$30:$C$74,B147,紫外線照射装置!$N$30:$N$74)*((紫外線照射装置!$H$3-紫外線照射装置!$I$3)/紫外線照射装置!$H$3),0)</f>
        <v>0</v>
      </c>
      <c r="R147" s="69">
        <f t="shared" si="29"/>
        <v>0</v>
      </c>
      <c r="S147" s="102">
        <f t="shared" si="30"/>
        <v>0</v>
      </c>
      <c r="T147" s="68">
        <f>IFERROR(SUMIF(超音波画像診断装置!$C$30:$C$74,B147,超音波画像診断装置!$K$30:$K$74)*((超音波画像診断装置!$H$3-超音波画像診断装置!$I$3)/超音波画像診断装置!$H$3),0)</f>
        <v>0</v>
      </c>
      <c r="U147" s="69">
        <f t="shared" si="31"/>
        <v>0</v>
      </c>
      <c r="V147" s="68">
        <f>IFERROR(SUMIF(血液浄化装置!$C$30:$C$74,B147,血液浄化装置!$K$30:$K$74)*((血液浄化装置!$H$3-血液浄化装置!$I$3)/血液浄化装置!$H$3),0)</f>
        <v>0</v>
      </c>
      <c r="W147" s="69">
        <f t="shared" si="32"/>
        <v>0</v>
      </c>
      <c r="X147" s="68">
        <f>IFERROR(SUMIF(気管支鏡!$C$30:$C$74,B147,気管支鏡!$K$30:$K$74)*((気管支鏡!$H$3-気管支鏡!$I$3)/気管支鏡!$H$3),0)</f>
        <v>0</v>
      </c>
      <c r="Y147" s="69">
        <f t="shared" si="18"/>
        <v>0</v>
      </c>
      <c r="Z147" s="68">
        <f>IFERROR(SUMIF(CT撮影装置!$C$30:$C$74,B147,CT撮影装置!$K$30:$K$74)*((CT撮影装置!$H$3-CT撮影装置!$I$3)/CT撮影装置!$H$3),0)</f>
        <v>0</v>
      </c>
      <c r="AA147" s="69">
        <f t="shared" si="33"/>
        <v>0</v>
      </c>
      <c r="AB147" s="68">
        <f>IFERROR(SUMIF(生体情報モニタ!$C$30:$C$74,B147,生体情報モニタ!$K$30:$K$74)*((生体情報モニタ!$H$3-生体情報モニタ!$I$3)/生体情報モニタ!$H$3),0)</f>
        <v>0</v>
      </c>
      <c r="AC147" s="69">
        <f t="shared" si="19"/>
        <v>0</v>
      </c>
      <c r="AD147" s="68">
        <f>IFERROR(SUMIF(分娩監視装置!$C$30:$C$74,B147,分娩監視装置!$K$30:$K$74)*((分娩監視装置!$H$3-分娩監視装置!$I$3)/分娩監視装置!$H$3),0)</f>
        <v>0</v>
      </c>
      <c r="AE147" s="69">
        <f t="shared" si="34"/>
        <v>0</v>
      </c>
      <c r="AF147" s="68">
        <f>IFERROR(SUMIF(新生児モニタ!$C$30:$C$74,B147,新生児モニタ!$K$30:$K$74)*((新生児モニタ!$H$3-新生児モニタ!$I$3)/新生児モニタ!$H$3),0)</f>
        <v>0</v>
      </c>
      <c r="AG147" s="69">
        <f t="shared" si="35"/>
        <v>0</v>
      </c>
    </row>
    <row r="148" spans="2:33">
      <c r="B148" s="65" t="s">
        <v>817</v>
      </c>
      <c r="C148" s="68">
        <f>IFERROR(SUMIF(初度設備!$C$30:$C$74,B148,初度設備!$N$30:$N$74)*((初度設備!$H$3-初度設備!$I$3)/初度設備!$H$3),0)</f>
        <v>0</v>
      </c>
      <c r="D148" s="69">
        <f t="shared" si="20"/>
        <v>0</v>
      </c>
      <c r="E148" s="68">
        <f>IFERROR(SUMIF(人工呼吸器!$C$30:$C$74,B148,人工呼吸器!$N$30:$N$74)*((人工呼吸器!$H$3-人工呼吸器!$I$3)/人工呼吸器!$H$3),0)</f>
        <v>0</v>
      </c>
      <c r="F148" s="69">
        <f t="shared" si="21"/>
        <v>0</v>
      </c>
      <c r="G148" s="69">
        <f t="shared" si="22"/>
        <v>0</v>
      </c>
      <c r="H148" s="69">
        <f t="shared" si="23"/>
        <v>0</v>
      </c>
      <c r="I148" s="68">
        <f>IFERROR(SUMIF(簡易陰圧装置!$C$30:$C$74,B148,簡易陰圧装置!$N$30:$N$74)*((簡易陰圧装置!$H$3-簡易陰圧装置!$I$3)/簡易陰圧装置!$H$3),0)</f>
        <v>0</v>
      </c>
      <c r="J148" s="69">
        <f t="shared" si="24"/>
        <v>0</v>
      </c>
      <c r="K148" s="68">
        <f>IFERROR(SUMIF(#REF!,B148,#REF!)*((#REF!-#REF!)/#REF!),0)</f>
        <v>0</v>
      </c>
      <c r="L148" s="69">
        <f t="shared" si="25"/>
        <v>0</v>
      </c>
      <c r="M148" s="68">
        <f>IFERROR(SUMIF(体外式膜型人工肺!$C$30:$C$74,B148,体外式膜型人工肺!$N$30:$N$74)*((体外式膜型人工肺!$H$3-体外式膜型人工肺!$I$3)/体外式膜型人工肺!$H$3),0)</f>
        <v>0</v>
      </c>
      <c r="N148" s="69">
        <f t="shared" si="26"/>
        <v>0</v>
      </c>
      <c r="O148" s="69">
        <f t="shared" si="27"/>
        <v>0</v>
      </c>
      <c r="P148" s="69">
        <f t="shared" si="28"/>
        <v>0</v>
      </c>
      <c r="Q148" s="68">
        <f>IFERROR(SUMIF(紫外線照射装置!$C$30:$C$74,B148,紫外線照射装置!$N$30:$N$74)*((紫外線照射装置!$H$3-紫外線照射装置!$I$3)/紫外線照射装置!$H$3),0)</f>
        <v>0</v>
      </c>
      <c r="R148" s="69">
        <f t="shared" si="29"/>
        <v>0</v>
      </c>
      <c r="S148" s="102">
        <f t="shared" si="30"/>
        <v>0</v>
      </c>
      <c r="T148" s="68">
        <f>IFERROR(SUMIF(超音波画像診断装置!$C$30:$C$74,B148,超音波画像診断装置!$K$30:$K$74)*((超音波画像診断装置!$H$3-超音波画像診断装置!$I$3)/超音波画像診断装置!$H$3),0)</f>
        <v>0</v>
      </c>
      <c r="U148" s="69">
        <f t="shared" si="31"/>
        <v>0</v>
      </c>
      <c r="V148" s="68">
        <f>IFERROR(SUMIF(血液浄化装置!$C$30:$C$74,B148,血液浄化装置!$K$30:$K$74)*((血液浄化装置!$H$3-血液浄化装置!$I$3)/血液浄化装置!$H$3),0)</f>
        <v>0</v>
      </c>
      <c r="W148" s="69">
        <f t="shared" si="32"/>
        <v>0</v>
      </c>
      <c r="X148" s="68">
        <f>IFERROR(SUMIF(気管支鏡!$C$30:$C$74,B148,気管支鏡!$K$30:$K$74)*((気管支鏡!$H$3-気管支鏡!$I$3)/気管支鏡!$H$3),0)</f>
        <v>0</v>
      </c>
      <c r="Y148" s="69">
        <f t="shared" si="18"/>
        <v>0</v>
      </c>
      <c r="Z148" s="68">
        <f>IFERROR(SUMIF(CT撮影装置!$C$30:$C$74,B148,CT撮影装置!$K$30:$K$74)*((CT撮影装置!$H$3-CT撮影装置!$I$3)/CT撮影装置!$H$3),0)</f>
        <v>0</v>
      </c>
      <c r="AA148" s="69">
        <f t="shared" si="33"/>
        <v>0</v>
      </c>
      <c r="AB148" s="68">
        <f>IFERROR(SUMIF(生体情報モニタ!$C$30:$C$74,B148,生体情報モニタ!$K$30:$K$74)*((生体情報モニタ!$H$3-生体情報モニタ!$I$3)/生体情報モニタ!$H$3),0)</f>
        <v>0</v>
      </c>
      <c r="AC148" s="69">
        <f t="shared" si="19"/>
        <v>0</v>
      </c>
      <c r="AD148" s="68">
        <f>IFERROR(SUMIF(分娩監視装置!$C$30:$C$74,B148,分娩監視装置!$K$30:$K$74)*((分娩監視装置!$H$3-分娩監視装置!$I$3)/分娩監視装置!$H$3),0)</f>
        <v>0</v>
      </c>
      <c r="AE148" s="69">
        <f t="shared" si="34"/>
        <v>0</v>
      </c>
      <c r="AF148" s="68">
        <f>IFERROR(SUMIF(新生児モニタ!$C$30:$C$74,B148,新生児モニタ!$K$30:$K$74)*((新生児モニタ!$H$3-新生児モニタ!$I$3)/新生児モニタ!$H$3),0)</f>
        <v>0</v>
      </c>
      <c r="AG148" s="69">
        <f t="shared" si="35"/>
        <v>0</v>
      </c>
    </row>
    <row r="149" spans="2:33">
      <c r="B149" s="65" t="s">
        <v>818</v>
      </c>
      <c r="C149" s="68">
        <f>IFERROR(SUMIF(初度設備!$C$30:$C$74,B149,初度設備!$N$30:$N$74)*((初度設備!$H$3-初度設備!$I$3)/初度設備!$H$3),0)</f>
        <v>0</v>
      </c>
      <c r="D149" s="69">
        <f t="shared" si="20"/>
        <v>0</v>
      </c>
      <c r="E149" s="68">
        <f>IFERROR(SUMIF(人工呼吸器!$C$30:$C$74,B149,人工呼吸器!$N$30:$N$74)*((人工呼吸器!$H$3-人工呼吸器!$I$3)/人工呼吸器!$H$3),0)</f>
        <v>0</v>
      </c>
      <c r="F149" s="69">
        <f t="shared" si="21"/>
        <v>0</v>
      </c>
      <c r="G149" s="69">
        <f t="shared" si="22"/>
        <v>0</v>
      </c>
      <c r="H149" s="69">
        <f t="shared" si="23"/>
        <v>0</v>
      </c>
      <c r="I149" s="68">
        <f>IFERROR(SUMIF(簡易陰圧装置!$C$30:$C$74,B149,簡易陰圧装置!$N$30:$N$74)*((簡易陰圧装置!$H$3-簡易陰圧装置!$I$3)/簡易陰圧装置!$H$3),0)</f>
        <v>0</v>
      </c>
      <c r="J149" s="69">
        <f t="shared" si="24"/>
        <v>0</v>
      </c>
      <c r="K149" s="68">
        <f>IFERROR(SUMIF(#REF!,B149,#REF!)*((#REF!-#REF!)/#REF!),0)</f>
        <v>0</v>
      </c>
      <c r="L149" s="69">
        <f t="shared" si="25"/>
        <v>0</v>
      </c>
      <c r="M149" s="68">
        <f>IFERROR(SUMIF(体外式膜型人工肺!$C$30:$C$74,B149,体外式膜型人工肺!$N$30:$N$74)*((体外式膜型人工肺!$H$3-体外式膜型人工肺!$I$3)/体外式膜型人工肺!$H$3),0)</f>
        <v>0</v>
      </c>
      <c r="N149" s="69">
        <f t="shared" si="26"/>
        <v>0</v>
      </c>
      <c r="O149" s="69">
        <f t="shared" si="27"/>
        <v>0</v>
      </c>
      <c r="P149" s="69">
        <f t="shared" si="28"/>
        <v>0</v>
      </c>
      <c r="Q149" s="68">
        <f>IFERROR(SUMIF(紫外線照射装置!$C$30:$C$74,B149,紫外線照射装置!$N$30:$N$74)*((紫外線照射装置!$H$3-紫外線照射装置!$I$3)/紫外線照射装置!$H$3),0)</f>
        <v>0</v>
      </c>
      <c r="R149" s="69">
        <f t="shared" si="29"/>
        <v>0</v>
      </c>
      <c r="S149" s="102">
        <f t="shared" si="30"/>
        <v>0</v>
      </c>
      <c r="T149" s="68">
        <f>IFERROR(SUMIF(超音波画像診断装置!$C$30:$C$74,B149,超音波画像診断装置!$K$30:$K$74)*((超音波画像診断装置!$H$3-超音波画像診断装置!$I$3)/超音波画像診断装置!$H$3),0)</f>
        <v>0</v>
      </c>
      <c r="U149" s="69">
        <f t="shared" si="31"/>
        <v>0</v>
      </c>
      <c r="V149" s="68">
        <f>IFERROR(SUMIF(血液浄化装置!$C$30:$C$74,B149,血液浄化装置!$K$30:$K$74)*((血液浄化装置!$H$3-血液浄化装置!$I$3)/血液浄化装置!$H$3),0)</f>
        <v>0</v>
      </c>
      <c r="W149" s="69">
        <f t="shared" si="32"/>
        <v>0</v>
      </c>
      <c r="X149" s="68">
        <f>IFERROR(SUMIF(気管支鏡!$C$30:$C$74,B149,気管支鏡!$K$30:$K$74)*((気管支鏡!$H$3-気管支鏡!$I$3)/気管支鏡!$H$3),0)</f>
        <v>0</v>
      </c>
      <c r="Y149" s="69">
        <f t="shared" si="18"/>
        <v>0</v>
      </c>
      <c r="Z149" s="68">
        <f>IFERROR(SUMIF(CT撮影装置!$C$30:$C$74,B149,CT撮影装置!$K$30:$K$74)*((CT撮影装置!$H$3-CT撮影装置!$I$3)/CT撮影装置!$H$3),0)</f>
        <v>0</v>
      </c>
      <c r="AA149" s="69">
        <f t="shared" si="33"/>
        <v>0</v>
      </c>
      <c r="AB149" s="68">
        <f>IFERROR(SUMIF(生体情報モニタ!$C$30:$C$74,B149,生体情報モニタ!$K$30:$K$74)*((生体情報モニタ!$H$3-生体情報モニタ!$I$3)/生体情報モニタ!$H$3),0)</f>
        <v>0</v>
      </c>
      <c r="AC149" s="69">
        <f t="shared" si="19"/>
        <v>0</v>
      </c>
      <c r="AD149" s="68">
        <f>IFERROR(SUMIF(分娩監視装置!$C$30:$C$74,B149,分娩監視装置!$K$30:$K$74)*((分娩監視装置!$H$3-分娩監視装置!$I$3)/分娩監視装置!$H$3),0)</f>
        <v>0</v>
      </c>
      <c r="AE149" s="69">
        <f t="shared" si="34"/>
        <v>0</v>
      </c>
      <c r="AF149" s="68">
        <f>IFERROR(SUMIF(新生児モニタ!$C$30:$C$74,B149,新生児モニタ!$K$30:$K$74)*((新生児モニタ!$H$3-新生児モニタ!$I$3)/新生児モニタ!$H$3),0)</f>
        <v>0</v>
      </c>
      <c r="AG149" s="69">
        <f t="shared" si="35"/>
        <v>0</v>
      </c>
    </row>
    <row r="150" spans="2:33">
      <c r="B150" s="65" t="s">
        <v>819</v>
      </c>
      <c r="C150" s="68">
        <f>IFERROR(SUMIF(初度設備!$C$30:$C$74,B150,初度設備!$N$30:$N$74)*((初度設備!$H$3-初度設備!$I$3)/初度設備!$H$3),0)</f>
        <v>0</v>
      </c>
      <c r="D150" s="69">
        <f t="shared" si="20"/>
        <v>0</v>
      </c>
      <c r="E150" s="68">
        <f>IFERROR(SUMIF(人工呼吸器!$C$30:$C$74,B150,人工呼吸器!$N$30:$N$74)*((人工呼吸器!$H$3-人工呼吸器!$I$3)/人工呼吸器!$H$3),0)</f>
        <v>0</v>
      </c>
      <c r="F150" s="69">
        <f t="shared" si="21"/>
        <v>0</v>
      </c>
      <c r="G150" s="69">
        <f t="shared" si="22"/>
        <v>0</v>
      </c>
      <c r="H150" s="69">
        <f t="shared" si="23"/>
        <v>0</v>
      </c>
      <c r="I150" s="68">
        <f>IFERROR(SUMIF(簡易陰圧装置!$C$30:$C$74,B150,簡易陰圧装置!$N$30:$N$74)*((簡易陰圧装置!$H$3-簡易陰圧装置!$I$3)/簡易陰圧装置!$H$3),0)</f>
        <v>0</v>
      </c>
      <c r="J150" s="69">
        <f t="shared" si="24"/>
        <v>0</v>
      </c>
      <c r="K150" s="68">
        <f>IFERROR(SUMIF(#REF!,B150,#REF!)*((#REF!-#REF!)/#REF!),0)</f>
        <v>0</v>
      </c>
      <c r="L150" s="69">
        <f t="shared" si="25"/>
        <v>0</v>
      </c>
      <c r="M150" s="68">
        <f>IFERROR(SUMIF(体外式膜型人工肺!$C$30:$C$74,B150,体外式膜型人工肺!$N$30:$N$74)*((体外式膜型人工肺!$H$3-体外式膜型人工肺!$I$3)/体外式膜型人工肺!$H$3),0)</f>
        <v>0</v>
      </c>
      <c r="N150" s="69">
        <f t="shared" si="26"/>
        <v>0</v>
      </c>
      <c r="O150" s="69">
        <f t="shared" si="27"/>
        <v>0</v>
      </c>
      <c r="P150" s="69">
        <f t="shared" si="28"/>
        <v>0</v>
      </c>
      <c r="Q150" s="68">
        <f>IFERROR(SUMIF(紫外線照射装置!$C$30:$C$74,B150,紫外線照射装置!$N$30:$N$74)*((紫外線照射装置!$H$3-紫外線照射装置!$I$3)/紫外線照射装置!$H$3),0)</f>
        <v>0</v>
      </c>
      <c r="R150" s="69">
        <f t="shared" si="29"/>
        <v>0</v>
      </c>
      <c r="S150" s="102">
        <f t="shared" si="30"/>
        <v>0</v>
      </c>
      <c r="T150" s="68">
        <f>IFERROR(SUMIF(超音波画像診断装置!$C$30:$C$74,B150,超音波画像診断装置!$K$30:$K$74)*((超音波画像診断装置!$H$3-超音波画像診断装置!$I$3)/超音波画像診断装置!$H$3),0)</f>
        <v>0</v>
      </c>
      <c r="U150" s="69">
        <f t="shared" si="31"/>
        <v>0</v>
      </c>
      <c r="V150" s="68">
        <f>IFERROR(SUMIF(血液浄化装置!$C$30:$C$74,B150,血液浄化装置!$K$30:$K$74)*((血液浄化装置!$H$3-血液浄化装置!$I$3)/血液浄化装置!$H$3),0)</f>
        <v>0</v>
      </c>
      <c r="W150" s="69">
        <f t="shared" si="32"/>
        <v>0</v>
      </c>
      <c r="X150" s="68">
        <f>IFERROR(SUMIF(気管支鏡!$C$30:$C$74,B150,気管支鏡!$K$30:$K$74)*((気管支鏡!$H$3-気管支鏡!$I$3)/気管支鏡!$H$3),0)</f>
        <v>0</v>
      </c>
      <c r="Y150" s="69">
        <f t="shared" si="18"/>
        <v>0</v>
      </c>
      <c r="Z150" s="68">
        <f>IFERROR(SUMIF(CT撮影装置!$C$30:$C$74,B150,CT撮影装置!$K$30:$K$74)*((CT撮影装置!$H$3-CT撮影装置!$I$3)/CT撮影装置!$H$3),0)</f>
        <v>0</v>
      </c>
      <c r="AA150" s="69">
        <f t="shared" si="33"/>
        <v>0</v>
      </c>
      <c r="AB150" s="68">
        <f>IFERROR(SUMIF(生体情報モニタ!$C$30:$C$74,B150,生体情報モニタ!$K$30:$K$74)*((生体情報モニタ!$H$3-生体情報モニタ!$I$3)/生体情報モニタ!$H$3),0)</f>
        <v>0</v>
      </c>
      <c r="AC150" s="69">
        <f t="shared" si="19"/>
        <v>0</v>
      </c>
      <c r="AD150" s="68">
        <f>IFERROR(SUMIF(分娩監視装置!$C$30:$C$74,B150,分娩監視装置!$K$30:$K$74)*((分娩監視装置!$H$3-分娩監視装置!$I$3)/分娩監視装置!$H$3),0)</f>
        <v>0</v>
      </c>
      <c r="AE150" s="69">
        <f t="shared" si="34"/>
        <v>0</v>
      </c>
      <c r="AF150" s="68">
        <f>IFERROR(SUMIF(新生児モニタ!$C$30:$C$74,B150,新生児モニタ!$K$30:$K$74)*((新生児モニタ!$H$3-新生児モニタ!$I$3)/新生児モニタ!$H$3),0)</f>
        <v>0</v>
      </c>
      <c r="AG150" s="69">
        <f t="shared" si="35"/>
        <v>0</v>
      </c>
    </row>
    <row r="151" spans="2:33">
      <c r="B151" s="65" t="s">
        <v>820</v>
      </c>
      <c r="C151" s="68">
        <f>IFERROR(SUMIF(初度設備!$C$30:$C$74,B151,初度設備!$N$30:$N$74)*((初度設備!$H$3-初度設備!$I$3)/初度設備!$H$3),0)</f>
        <v>0</v>
      </c>
      <c r="D151" s="69">
        <f t="shared" si="20"/>
        <v>0</v>
      </c>
      <c r="E151" s="68">
        <f>IFERROR(SUMIF(人工呼吸器!$C$30:$C$74,B151,人工呼吸器!$N$30:$N$74)*((人工呼吸器!$H$3-人工呼吸器!$I$3)/人工呼吸器!$H$3),0)</f>
        <v>0</v>
      </c>
      <c r="F151" s="69">
        <f t="shared" si="21"/>
        <v>0</v>
      </c>
      <c r="G151" s="69">
        <f t="shared" si="22"/>
        <v>0</v>
      </c>
      <c r="H151" s="69">
        <f t="shared" si="23"/>
        <v>0</v>
      </c>
      <c r="I151" s="68">
        <f>IFERROR(SUMIF(簡易陰圧装置!$C$30:$C$74,B151,簡易陰圧装置!$N$30:$N$74)*((簡易陰圧装置!$H$3-簡易陰圧装置!$I$3)/簡易陰圧装置!$H$3),0)</f>
        <v>0</v>
      </c>
      <c r="J151" s="69">
        <f t="shared" si="24"/>
        <v>0</v>
      </c>
      <c r="K151" s="68">
        <f>IFERROR(SUMIF(#REF!,B151,#REF!)*((#REF!-#REF!)/#REF!),0)</f>
        <v>0</v>
      </c>
      <c r="L151" s="69">
        <f t="shared" si="25"/>
        <v>0</v>
      </c>
      <c r="M151" s="68">
        <f>IFERROR(SUMIF(体外式膜型人工肺!$C$30:$C$74,B151,体外式膜型人工肺!$N$30:$N$74)*((体外式膜型人工肺!$H$3-体外式膜型人工肺!$I$3)/体外式膜型人工肺!$H$3),0)</f>
        <v>0</v>
      </c>
      <c r="N151" s="69">
        <f t="shared" si="26"/>
        <v>0</v>
      </c>
      <c r="O151" s="69">
        <f t="shared" si="27"/>
        <v>0</v>
      </c>
      <c r="P151" s="69">
        <f t="shared" si="28"/>
        <v>0</v>
      </c>
      <c r="Q151" s="68">
        <f>IFERROR(SUMIF(紫外線照射装置!$C$30:$C$74,B151,紫外線照射装置!$N$30:$N$74)*((紫外線照射装置!$H$3-紫外線照射装置!$I$3)/紫外線照射装置!$H$3),0)</f>
        <v>0</v>
      </c>
      <c r="R151" s="69">
        <f t="shared" si="29"/>
        <v>0</v>
      </c>
      <c r="S151" s="102">
        <f t="shared" si="30"/>
        <v>0</v>
      </c>
      <c r="T151" s="68">
        <f>IFERROR(SUMIF(超音波画像診断装置!$C$30:$C$74,B151,超音波画像診断装置!$K$30:$K$74)*((超音波画像診断装置!$H$3-超音波画像診断装置!$I$3)/超音波画像診断装置!$H$3),0)</f>
        <v>0</v>
      </c>
      <c r="U151" s="69">
        <f t="shared" si="31"/>
        <v>0</v>
      </c>
      <c r="V151" s="68">
        <f>IFERROR(SUMIF(血液浄化装置!$C$30:$C$74,B151,血液浄化装置!$K$30:$K$74)*((血液浄化装置!$H$3-血液浄化装置!$I$3)/血液浄化装置!$H$3),0)</f>
        <v>0</v>
      </c>
      <c r="W151" s="69">
        <f t="shared" si="32"/>
        <v>0</v>
      </c>
      <c r="X151" s="68">
        <f>IFERROR(SUMIF(気管支鏡!$C$30:$C$74,B151,気管支鏡!$K$30:$K$74)*((気管支鏡!$H$3-気管支鏡!$I$3)/気管支鏡!$H$3),0)</f>
        <v>0</v>
      </c>
      <c r="Y151" s="69">
        <f t="shared" ref="Y151:Y214" si="36">ROUNDDOWN(MIN(X151,$Y$21),-3)</f>
        <v>0</v>
      </c>
      <c r="Z151" s="68">
        <f>IFERROR(SUMIF(CT撮影装置!$C$30:$C$74,B151,CT撮影装置!$K$30:$K$74)*((CT撮影装置!$H$3-CT撮影装置!$I$3)/CT撮影装置!$H$3),0)</f>
        <v>0</v>
      </c>
      <c r="AA151" s="69">
        <f t="shared" si="33"/>
        <v>0</v>
      </c>
      <c r="AB151" s="68">
        <f>IFERROR(SUMIF(生体情報モニタ!$C$30:$C$74,B151,生体情報モニタ!$K$30:$K$74)*((生体情報モニタ!$H$3-生体情報モニタ!$I$3)/生体情報モニタ!$H$3),0)</f>
        <v>0</v>
      </c>
      <c r="AC151" s="69">
        <f t="shared" ref="AC151:AC214" si="37">ROUNDDOWN(MIN(AB151,$AC$21),-3)</f>
        <v>0</v>
      </c>
      <c r="AD151" s="68">
        <f>IFERROR(SUMIF(分娩監視装置!$C$30:$C$74,B151,分娩監視装置!$K$30:$K$74)*((分娩監視装置!$H$3-分娩監視装置!$I$3)/分娩監視装置!$H$3),0)</f>
        <v>0</v>
      </c>
      <c r="AE151" s="69">
        <f t="shared" si="34"/>
        <v>0</v>
      </c>
      <c r="AF151" s="68">
        <f>IFERROR(SUMIF(新生児モニタ!$C$30:$C$74,B151,新生児モニタ!$K$30:$K$74)*((新生児モニタ!$H$3-新生児モニタ!$I$3)/新生児モニタ!$H$3),0)</f>
        <v>0</v>
      </c>
      <c r="AG151" s="69">
        <f t="shared" si="35"/>
        <v>0</v>
      </c>
    </row>
    <row r="152" spans="2:33">
      <c r="B152" s="65" t="s">
        <v>821</v>
      </c>
      <c r="C152" s="68">
        <f>IFERROR(SUMIF(初度設備!$C$30:$C$74,B152,初度設備!$N$30:$N$74)*((初度設備!$H$3-初度設備!$I$3)/初度設備!$H$3),0)</f>
        <v>0</v>
      </c>
      <c r="D152" s="69">
        <f t="shared" ref="D152:D215" si="38">ROUNDDOWN(MIN(C152,$D$21),-3)</f>
        <v>0</v>
      </c>
      <c r="E152" s="68">
        <f>IFERROR(SUMIF(人工呼吸器!$C$30:$C$74,B152,人工呼吸器!$N$30:$N$74)*((人工呼吸器!$H$3-人工呼吸器!$I$3)/人工呼吸器!$H$3),0)</f>
        <v>0</v>
      </c>
      <c r="F152" s="69">
        <f t="shared" ref="F152:F215" si="39">ROUNDDOWN(E152,-3)</f>
        <v>0</v>
      </c>
      <c r="G152" s="69">
        <f t="shared" ref="G152:G215" si="40">IF(F152&gt;=5000000,5000000,F152)</f>
        <v>0</v>
      </c>
      <c r="H152" s="69">
        <f t="shared" ref="H152:H215" si="41">IF(G152=5000000,F152-5000000,0)</f>
        <v>0</v>
      </c>
      <c r="I152" s="68">
        <f>IFERROR(SUMIF(簡易陰圧装置!$C$30:$C$74,B152,簡易陰圧装置!$N$30:$N$74)*((簡易陰圧装置!$H$3-簡易陰圧装置!$I$3)/簡易陰圧装置!$H$3),0)</f>
        <v>0</v>
      </c>
      <c r="J152" s="69">
        <f t="shared" ref="J152:J215" si="42">ROUNDDOWN(MIN(I152,$J$21),-3)</f>
        <v>0</v>
      </c>
      <c r="K152" s="68">
        <f>IFERROR(SUMIF(#REF!,B152,#REF!)*((#REF!-#REF!)/#REF!),0)</f>
        <v>0</v>
      </c>
      <c r="L152" s="69">
        <f t="shared" ref="L152:L215" si="43">ROUNDDOWN(MIN(K152,$L$21),-3)</f>
        <v>0</v>
      </c>
      <c r="M152" s="68">
        <f>IFERROR(SUMIF(体外式膜型人工肺!$C$30:$C$74,B152,体外式膜型人工肺!$N$30:$N$74)*((体外式膜型人工肺!$H$3-体外式膜型人工肺!$I$3)/体外式膜型人工肺!$H$3),0)</f>
        <v>0</v>
      </c>
      <c r="N152" s="69">
        <f t="shared" ref="N152:N215" si="44">ROUNDDOWN(M152,-3)</f>
        <v>0</v>
      </c>
      <c r="O152" s="69">
        <f t="shared" ref="O152:O215" si="45">IF(N152&gt;=21000000,21000000,N152)</f>
        <v>0</v>
      </c>
      <c r="P152" s="69">
        <f t="shared" ref="P152:P215" si="46">IF(O152=21000000,N152-21000000,0)</f>
        <v>0</v>
      </c>
      <c r="Q152" s="68">
        <f>IFERROR(SUMIF(紫外線照射装置!$C$30:$C$74,B152,紫外線照射装置!$N$30:$N$74)*((紫外線照射装置!$H$3-紫外線照射装置!$I$3)/紫外線照射装置!$H$3),0)</f>
        <v>0</v>
      </c>
      <c r="R152" s="69">
        <f t="shared" ref="R152:R215" si="47">IFERROR(ROUNDDOWN(MIN(Q152,$R$21)/2,-3),0)</f>
        <v>0</v>
      </c>
      <c r="S152" s="102">
        <f t="shared" ref="S152:S215" si="48">R152</f>
        <v>0</v>
      </c>
      <c r="T152" s="68">
        <f>IFERROR(SUMIF(超音波画像診断装置!$C$30:$C$74,B152,超音波画像診断装置!$K$30:$K$74)*((超音波画像診断装置!$H$3-超音波画像診断装置!$I$3)/超音波画像診断装置!$H$3),0)</f>
        <v>0</v>
      </c>
      <c r="U152" s="69">
        <f t="shared" ref="U152:U215" si="49">ROUNDDOWN(MIN(T152,$U$21),-3)</f>
        <v>0</v>
      </c>
      <c r="V152" s="68">
        <f>IFERROR(SUMIF(血液浄化装置!$C$30:$C$74,B152,血液浄化装置!$K$30:$K$74)*((血液浄化装置!$H$3-血液浄化装置!$I$3)/血液浄化装置!$H$3),0)</f>
        <v>0</v>
      </c>
      <c r="W152" s="69">
        <f t="shared" ref="W152:W215" si="50">ROUNDDOWN(MIN(V152,$W$21),-3)</f>
        <v>0</v>
      </c>
      <c r="X152" s="68">
        <f>IFERROR(SUMIF(気管支鏡!$C$30:$C$74,B152,気管支鏡!$K$30:$K$74)*((気管支鏡!$H$3-気管支鏡!$I$3)/気管支鏡!$H$3),0)</f>
        <v>0</v>
      </c>
      <c r="Y152" s="69">
        <f t="shared" si="36"/>
        <v>0</v>
      </c>
      <c r="Z152" s="68">
        <f>IFERROR(SUMIF(CT撮影装置!$C$30:$C$74,B152,CT撮影装置!$K$30:$K$74)*((CT撮影装置!$H$3-CT撮影装置!$I$3)/CT撮影装置!$H$3),0)</f>
        <v>0</v>
      </c>
      <c r="AA152" s="69">
        <f t="shared" ref="AA152:AA215" si="51">ROUNDDOWN(MIN(Z152,$AA$21),-3)</f>
        <v>0</v>
      </c>
      <c r="AB152" s="68">
        <f>IFERROR(SUMIF(生体情報モニタ!$C$30:$C$74,B152,生体情報モニタ!$K$30:$K$74)*((生体情報モニタ!$H$3-生体情報モニタ!$I$3)/生体情報モニタ!$H$3),0)</f>
        <v>0</v>
      </c>
      <c r="AC152" s="69">
        <f t="shared" si="37"/>
        <v>0</v>
      </c>
      <c r="AD152" s="68">
        <f>IFERROR(SUMIF(分娩監視装置!$C$30:$C$74,B152,分娩監視装置!$K$30:$K$74)*((分娩監視装置!$H$3-分娩監視装置!$I$3)/分娩監視装置!$H$3),0)</f>
        <v>0</v>
      </c>
      <c r="AE152" s="69">
        <f t="shared" ref="AE152:AE215" si="52">ROUNDDOWN(MIN(AD152,$AE$21),-3)</f>
        <v>0</v>
      </c>
      <c r="AF152" s="68">
        <f>IFERROR(SUMIF(新生児モニタ!$C$30:$C$74,B152,新生児モニタ!$K$30:$K$74)*((新生児モニタ!$H$3-新生児モニタ!$I$3)/新生児モニタ!$H$3),0)</f>
        <v>0</v>
      </c>
      <c r="AG152" s="69">
        <f t="shared" ref="AG152:AG215" si="53">ROUNDDOWN(MIN(AF152,$AG$21),-3)</f>
        <v>0</v>
      </c>
    </row>
    <row r="153" spans="2:33">
      <c r="B153" s="65" t="s">
        <v>822</v>
      </c>
      <c r="C153" s="68">
        <f>IFERROR(SUMIF(初度設備!$C$30:$C$74,B153,初度設備!$N$30:$N$74)*((初度設備!$H$3-初度設備!$I$3)/初度設備!$H$3),0)</f>
        <v>0</v>
      </c>
      <c r="D153" s="69">
        <f t="shared" si="38"/>
        <v>0</v>
      </c>
      <c r="E153" s="68">
        <f>IFERROR(SUMIF(人工呼吸器!$C$30:$C$74,B153,人工呼吸器!$N$30:$N$74)*((人工呼吸器!$H$3-人工呼吸器!$I$3)/人工呼吸器!$H$3),0)</f>
        <v>0</v>
      </c>
      <c r="F153" s="69">
        <f t="shared" si="39"/>
        <v>0</v>
      </c>
      <c r="G153" s="69">
        <f t="shared" si="40"/>
        <v>0</v>
      </c>
      <c r="H153" s="69">
        <f t="shared" si="41"/>
        <v>0</v>
      </c>
      <c r="I153" s="68">
        <f>IFERROR(SUMIF(簡易陰圧装置!$C$30:$C$74,B153,簡易陰圧装置!$N$30:$N$74)*((簡易陰圧装置!$H$3-簡易陰圧装置!$I$3)/簡易陰圧装置!$H$3),0)</f>
        <v>0</v>
      </c>
      <c r="J153" s="69">
        <f t="shared" si="42"/>
        <v>0</v>
      </c>
      <c r="K153" s="68">
        <f>IFERROR(SUMIF(#REF!,B153,#REF!)*((#REF!-#REF!)/#REF!),0)</f>
        <v>0</v>
      </c>
      <c r="L153" s="69">
        <f t="shared" si="43"/>
        <v>0</v>
      </c>
      <c r="M153" s="68">
        <f>IFERROR(SUMIF(体外式膜型人工肺!$C$30:$C$74,B153,体外式膜型人工肺!$N$30:$N$74)*((体外式膜型人工肺!$H$3-体外式膜型人工肺!$I$3)/体外式膜型人工肺!$H$3),0)</f>
        <v>0</v>
      </c>
      <c r="N153" s="69">
        <f t="shared" si="44"/>
        <v>0</v>
      </c>
      <c r="O153" s="69">
        <f t="shared" si="45"/>
        <v>0</v>
      </c>
      <c r="P153" s="69">
        <f t="shared" si="46"/>
        <v>0</v>
      </c>
      <c r="Q153" s="68">
        <f>IFERROR(SUMIF(紫外線照射装置!$C$30:$C$74,B153,紫外線照射装置!$N$30:$N$74)*((紫外線照射装置!$H$3-紫外線照射装置!$I$3)/紫外線照射装置!$H$3),0)</f>
        <v>0</v>
      </c>
      <c r="R153" s="69">
        <f t="shared" si="47"/>
        <v>0</v>
      </c>
      <c r="S153" s="102">
        <f t="shared" si="48"/>
        <v>0</v>
      </c>
      <c r="T153" s="68">
        <f>IFERROR(SUMIF(超音波画像診断装置!$C$30:$C$74,B153,超音波画像診断装置!$K$30:$K$74)*((超音波画像診断装置!$H$3-超音波画像診断装置!$I$3)/超音波画像診断装置!$H$3),0)</f>
        <v>0</v>
      </c>
      <c r="U153" s="69">
        <f t="shared" si="49"/>
        <v>0</v>
      </c>
      <c r="V153" s="68">
        <f>IFERROR(SUMIF(血液浄化装置!$C$30:$C$74,B153,血液浄化装置!$K$30:$K$74)*((血液浄化装置!$H$3-血液浄化装置!$I$3)/血液浄化装置!$H$3),0)</f>
        <v>0</v>
      </c>
      <c r="W153" s="69">
        <f t="shared" si="50"/>
        <v>0</v>
      </c>
      <c r="X153" s="68">
        <f>IFERROR(SUMIF(気管支鏡!$C$30:$C$74,B153,気管支鏡!$K$30:$K$74)*((気管支鏡!$H$3-気管支鏡!$I$3)/気管支鏡!$H$3),0)</f>
        <v>0</v>
      </c>
      <c r="Y153" s="69">
        <f t="shared" si="36"/>
        <v>0</v>
      </c>
      <c r="Z153" s="68">
        <f>IFERROR(SUMIF(CT撮影装置!$C$30:$C$74,B153,CT撮影装置!$K$30:$K$74)*((CT撮影装置!$H$3-CT撮影装置!$I$3)/CT撮影装置!$H$3),0)</f>
        <v>0</v>
      </c>
      <c r="AA153" s="69">
        <f t="shared" si="51"/>
        <v>0</v>
      </c>
      <c r="AB153" s="68">
        <f>IFERROR(SUMIF(生体情報モニタ!$C$30:$C$74,B153,生体情報モニタ!$K$30:$K$74)*((生体情報モニタ!$H$3-生体情報モニタ!$I$3)/生体情報モニタ!$H$3),0)</f>
        <v>0</v>
      </c>
      <c r="AC153" s="69">
        <f t="shared" si="37"/>
        <v>0</v>
      </c>
      <c r="AD153" s="68">
        <f>IFERROR(SUMIF(分娩監視装置!$C$30:$C$74,B153,分娩監視装置!$K$30:$K$74)*((分娩監視装置!$H$3-分娩監視装置!$I$3)/分娩監視装置!$H$3),0)</f>
        <v>0</v>
      </c>
      <c r="AE153" s="69">
        <f t="shared" si="52"/>
        <v>0</v>
      </c>
      <c r="AF153" s="68">
        <f>IFERROR(SUMIF(新生児モニタ!$C$30:$C$74,B153,新生児モニタ!$K$30:$K$74)*((新生児モニタ!$H$3-新生児モニタ!$I$3)/新生児モニタ!$H$3),0)</f>
        <v>0</v>
      </c>
      <c r="AG153" s="69">
        <f t="shared" si="53"/>
        <v>0</v>
      </c>
    </row>
    <row r="154" spans="2:33">
      <c r="B154" s="65" t="s">
        <v>823</v>
      </c>
      <c r="C154" s="68">
        <f>IFERROR(SUMIF(初度設備!$C$30:$C$74,B154,初度設備!$N$30:$N$74)*((初度設備!$H$3-初度設備!$I$3)/初度設備!$H$3),0)</f>
        <v>0</v>
      </c>
      <c r="D154" s="69">
        <f t="shared" si="38"/>
        <v>0</v>
      </c>
      <c r="E154" s="68">
        <f>IFERROR(SUMIF(人工呼吸器!$C$30:$C$74,B154,人工呼吸器!$N$30:$N$74)*((人工呼吸器!$H$3-人工呼吸器!$I$3)/人工呼吸器!$H$3),0)</f>
        <v>0</v>
      </c>
      <c r="F154" s="69">
        <f t="shared" si="39"/>
        <v>0</v>
      </c>
      <c r="G154" s="69">
        <f t="shared" si="40"/>
        <v>0</v>
      </c>
      <c r="H154" s="69">
        <f t="shared" si="41"/>
        <v>0</v>
      </c>
      <c r="I154" s="68">
        <f>IFERROR(SUMIF(簡易陰圧装置!$C$30:$C$74,B154,簡易陰圧装置!$N$30:$N$74)*((簡易陰圧装置!$H$3-簡易陰圧装置!$I$3)/簡易陰圧装置!$H$3),0)</f>
        <v>0</v>
      </c>
      <c r="J154" s="69">
        <f t="shared" si="42"/>
        <v>0</v>
      </c>
      <c r="K154" s="68">
        <f>IFERROR(SUMIF(#REF!,B154,#REF!)*((#REF!-#REF!)/#REF!),0)</f>
        <v>0</v>
      </c>
      <c r="L154" s="69">
        <f t="shared" si="43"/>
        <v>0</v>
      </c>
      <c r="M154" s="68">
        <f>IFERROR(SUMIF(体外式膜型人工肺!$C$30:$C$74,B154,体外式膜型人工肺!$N$30:$N$74)*((体外式膜型人工肺!$H$3-体外式膜型人工肺!$I$3)/体外式膜型人工肺!$H$3),0)</f>
        <v>0</v>
      </c>
      <c r="N154" s="69">
        <f t="shared" si="44"/>
        <v>0</v>
      </c>
      <c r="O154" s="69">
        <f t="shared" si="45"/>
        <v>0</v>
      </c>
      <c r="P154" s="69">
        <f t="shared" si="46"/>
        <v>0</v>
      </c>
      <c r="Q154" s="68">
        <f>IFERROR(SUMIF(紫外線照射装置!$C$30:$C$74,B154,紫外線照射装置!$N$30:$N$74)*((紫外線照射装置!$H$3-紫外線照射装置!$I$3)/紫外線照射装置!$H$3),0)</f>
        <v>0</v>
      </c>
      <c r="R154" s="69">
        <f t="shared" si="47"/>
        <v>0</v>
      </c>
      <c r="S154" s="102">
        <f t="shared" si="48"/>
        <v>0</v>
      </c>
      <c r="T154" s="68">
        <f>IFERROR(SUMIF(超音波画像診断装置!$C$30:$C$74,B154,超音波画像診断装置!$K$30:$K$74)*((超音波画像診断装置!$H$3-超音波画像診断装置!$I$3)/超音波画像診断装置!$H$3),0)</f>
        <v>0</v>
      </c>
      <c r="U154" s="69">
        <f t="shared" si="49"/>
        <v>0</v>
      </c>
      <c r="V154" s="68">
        <f>IFERROR(SUMIF(血液浄化装置!$C$30:$C$74,B154,血液浄化装置!$K$30:$K$74)*((血液浄化装置!$H$3-血液浄化装置!$I$3)/血液浄化装置!$H$3),0)</f>
        <v>0</v>
      </c>
      <c r="W154" s="69">
        <f t="shared" si="50"/>
        <v>0</v>
      </c>
      <c r="X154" s="68">
        <f>IFERROR(SUMIF(気管支鏡!$C$30:$C$74,B154,気管支鏡!$K$30:$K$74)*((気管支鏡!$H$3-気管支鏡!$I$3)/気管支鏡!$H$3),0)</f>
        <v>0</v>
      </c>
      <c r="Y154" s="69">
        <f t="shared" si="36"/>
        <v>0</v>
      </c>
      <c r="Z154" s="68">
        <f>IFERROR(SUMIF(CT撮影装置!$C$30:$C$74,B154,CT撮影装置!$K$30:$K$74)*((CT撮影装置!$H$3-CT撮影装置!$I$3)/CT撮影装置!$H$3),0)</f>
        <v>0</v>
      </c>
      <c r="AA154" s="69">
        <f t="shared" si="51"/>
        <v>0</v>
      </c>
      <c r="AB154" s="68">
        <f>IFERROR(SUMIF(生体情報モニタ!$C$30:$C$74,B154,生体情報モニタ!$K$30:$K$74)*((生体情報モニタ!$H$3-生体情報モニタ!$I$3)/生体情報モニタ!$H$3),0)</f>
        <v>0</v>
      </c>
      <c r="AC154" s="69">
        <f t="shared" si="37"/>
        <v>0</v>
      </c>
      <c r="AD154" s="68">
        <f>IFERROR(SUMIF(分娩監視装置!$C$30:$C$74,B154,分娩監視装置!$K$30:$K$74)*((分娩監視装置!$H$3-分娩監視装置!$I$3)/分娩監視装置!$H$3),0)</f>
        <v>0</v>
      </c>
      <c r="AE154" s="69">
        <f t="shared" si="52"/>
        <v>0</v>
      </c>
      <c r="AF154" s="68">
        <f>IFERROR(SUMIF(新生児モニタ!$C$30:$C$74,B154,新生児モニタ!$K$30:$K$74)*((新生児モニタ!$H$3-新生児モニタ!$I$3)/新生児モニタ!$H$3),0)</f>
        <v>0</v>
      </c>
      <c r="AG154" s="69">
        <f t="shared" si="53"/>
        <v>0</v>
      </c>
    </row>
    <row r="155" spans="2:33">
      <c r="B155" s="65" t="s">
        <v>824</v>
      </c>
      <c r="C155" s="68">
        <f>IFERROR(SUMIF(初度設備!$C$30:$C$74,B155,初度設備!$N$30:$N$74)*((初度設備!$H$3-初度設備!$I$3)/初度設備!$H$3),0)</f>
        <v>0</v>
      </c>
      <c r="D155" s="69">
        <f t="shared" si="38"/>
        <v>0</v>
      </c>
      <c r="E155" s="68">
        <f>IFERROR(SUMIF(人工呼吸器!$C$30:$C$74,B155,人工呼吸器!$N$30:$N$74)*((人工呼吸器!$H$3-人工呼吸器!$I$3)/人工呼吸器!$H$3),0)</f>
        <v>0</v>
      </c>
      <c r="F155" s="69">
        <f t="shared" si="39"/>
        <v>0</v>
      </c>
      <c r="G155" s="69">
        <f t="shared" si="40"/>
        <v>0</v>
      </c>
      <c r="H155" s="69">
        <f t="shared" si="41"/>
        <v>0</v>
      </c>
      <c r="I155" s="68">
        <f>IFERROR(SUMIF(簡易陰圧装置!$C$30:$C$74,B155,簡易陰圧装置!$N$30:$N$74)*((簡易陰圧装置!$H$3-簡易陰圧装置!$I$3)/簡易陰圧装置!$H$3),0)</f>
        <v>0</v>
      </c>
      <c r="J155" s="69">
        <f t="shared" si="42"/>
        <v>0</v>
      </c>
      <c r="K155" s="68">
        <f>IFERROR(SUMIF(#REF!,B155,#REF!)*((#REF!-#REF!)/#REF!),0)</f>
        <v>0</v>
      </c>
      <c r="L155" s="69">
        <f t="shared" si="43"/>
        <v>0</v>
      </c>
      <c r="M155" s="68">
        <f>IFERROR(SUMIF(体外式膜型人工肺!$C$30:$C$74,B155,体外式膜型人工肺!$N$30:$N$74)*((体外式膜型人工肺!$H$3-体外式膜型人工肺!$I$3)/体外式膜型人工肺!$H$3),0)</f>
        <v>0</v>
      </c>
      <c r="N155" s="69">
        <f t="shared" si="44"/>
        <v>0</v>
      </c>
      <c r="O155" s="69">
        <f t="shared" si="45"/>
        <v>0</v>
      </c>
      <c r="P155" s="69">
        <f t="shared" si="46"/>
        <v>0</v>
      </c>
      <c r="Q155" s="68">
        <f>IFERROR(SUMIF(紫外線照射装置!$C$30:$C$74,B155,紫外線照射装置!$N$30:$N$74)*((紫外線照射装置!$H$3-紫外線照射装置!$I$3)/紫外線照射装置!$H$3),0)</f>
        <v>0</v>
      </c>
      <c r="R155" s="69">
        <f t="shared" si="47"/>
        <v>0</v>
      </c>
      <c r="S155" s="102">
        <f t="shared" si="48"/>
        <v>0</v>
      </c>
      <c r="T155" s="68">
        <f>IFERROR(SUMIF(超音波画像診断装置!$C$30:$C$74,B155,超音波画像診断装置!$K$30:$K$74)*((超音波画像診断装置!$H$3-超音波画像診断装置!$I$3)/超音波画像診断装置!$H$3),0)</f>
        <v>0</v>
      </c>
      <c r="U155" s="69">
        <f t="shared" si="49"/>
        <v>0</v>
      </c>
      <c r="V155" s="68">
        <f>IFERROR(SUMIF(血液浄化装置!$C$30:$C$74,B155,血液浄化装置!$K$30:$K$74)*((血液浄化装置!$H$3-血液浄化装置!$I$3)/血液浄化装置!$H$3),0)</f>
        <v>0</v>
      </c>
      <c r="W155" s="69">
        <f t="shared" si="50"/>
        <v>0</v>
      </c>
      <c r="X155" s="68">
        <f>IFERROR(SUMIF(気管支鏡!$C$30:$C$74,B155,気管支鏡!$K$30:$K$74)*((気管支鏡!$H$3-気管支鏡!$I$3)/気管支鏡!$H$3),0)</f>
        <v>0</v>
      </c>
      <c r="Y155" s="69">
        <f t="shared" si="36"/>
        <v>0</v>
      </c>
      <c r="Z155" s="68">
        <f>IFERROR(SUMIF(CT撮影装置!$C$30:$C$74,B155,CT撮影装置!$K$30:$K$74)*((CT撮影装置!$H$3-CT撮影装置!$I$3)/CT撮影装置!$H$3),0)</f>
        <v>0</v>
      </c>
      <c r="AA155" s="69">
        <f t="shared" si="51"/>
        <v>0</v>
      </c>
      <c r="AB155" s="68">
        <f>IFERROR(SUMIF(生体情報モニタ!$C$30:$C$74,B155,生体情報モニタ!$K$30:$K$74)*((生体情報モニタ!$H$3-生体情報モニタ!$I$3)/生体情報モニタ!$H$3),0)</f>
        <v>0</v>
      </c>
      <c r="AC155" s="69">
        <f t="shared" si="37"/>
        <v>0</v>
      </c>
      <c r="AD155" s="68">
        <f>IFERROR(SUMIF(分娩監視装置!$C$30:$C$74,B155,分娩監視装置!$K$30:$K$74)*((分娩監視装置!$H$3-分娩監視装置!$I$3)/分娩監視装置!$H$3),0)</f>
        <v>0</v>
      </c>
      <c r="AE155" s="69">
        <f t="shared" si="52"/>
        <v>0</v>
      </c>
      <c r="AF155" s="68">
        <f>IFERROR(SUMIF(新生児モニタ!$C$30:$C$74,B155,新生児モニタ!$K$30:$K$74)*((新生児モニタ!$H$3-新生児モニタ!$I$3)/新生児モニタ!$H$3),0)</f>
        <v>0</v>
      </c>
      <c r="AG155" s="69">
        <f t="shared" si="53"/>
        <v>0</v>
      </c>
    </row>
    <row r="156" spans="2:33">
      <c r="B156" s="65" t="s">
        <v>825</v>
      </c>
      <c r="C156" s="68">
        <f>IFERROR(SUMIF(初度設備!$C$30:$C$74,B156,初度設備!$N$30:$N$74)*((初度設備!$H$3-初度設備!$I$3)/初度設備!$H$3),0)</f>
        <v>0</v>
      </c>
      <c r="D156" s="69">
        <f t="shared" si="38"/>
        <v>0</v>
      </c>
      <c r="E156" s="68">
        <f>IFERROR(SUMIF(人工呼吸器!$C$30:$C$74,B156,人工呼吸器!$N$30:$N$74)*((人工呼吸器!$H$3-人工呼吸器!$I$3)/人工呼吸器!$H$3),0)</f>
        <v>0</v>
      </c>
      <c r="F156" s="69">
        <f t="shared" si="39"/>
        <v>0</v>
      </c>
      <c r="G156" s="69">
        <f t="shared" si="40"/>
        <v>0</v>
      </c>
      <c r="H156" s="69">
        <f t="shared" si="41"/>
        <v>0</v>
      </c>
      <c r="I156" s="68">
        <f>IFERROR(SUMIF(簡易陰圧装置!$C$30:$C$74,B156,簡易陰圧装置!$N$30:$N$74)*((簡易陰圧装置!$H$3-簡易陰圧装置!$I$3)/簡易陰圧装置!$H$3),0)</f>
        <v>0</v>
      </c>
      <c r="J156" s="69">
        <f t="shared" si="42"/>
        <v>0</v>
      </c>
      <c r="K156" s="68">
        <f>IFERROR(SUMIF(#REF!,B156,#REF!)*((#REF!-#REF!)/#REF!),0)</f>
        <v>0</v>
      </c>
      <c r="L156" s="69">
        <f t="shared" si="43"/>
        <v>0</v>
      </c>
      <c r="M156" s="68">
        <f>IFERROR(SUMIF(体外式膜型人工肺!$C$30:$C$74,B156,体外式膜型人工肺!$N$30:$N$74)*((体外式膜型人工肺!$H$3-体外式膜型人工肺!$I$3)/体外式膜型人工肺!$H$3),0)</f>
        <v>0</v>
      </c>
      <c r="N156" s="69">
        <f t="shared" si="44"/>
        <v>0</v>
      </c>
      <c r="O156" s="69">
        <f t="shared" si="45"/>
        <v>0</v>
      </c>
      <c r="P156" s="69">
        <f t="shared" si="46"/>
        <v>0</v>
      </c>
      <c r="Q156" s="68">
        <f>IFERROR(SUMIF(紫外線照射装置!$C$30:$C$74,B156,紫外線照射装置!$N$30:$N$74)*((紫外線照射装置!$H$3-紫外線照射装置!$I$3)/紫外線照射装置!$H$3),0)</f>
        <v>0</v>
      </c>
      <c r="R156" s="69">
        <f t="shared" si="47"/>
        <v>0</v>
      </c>
      <c r="S156" s="102">
        <f t="shared" si="48"/>
        <v>0</v>
      </c>
      <c r="T156" s="68">
        <f>IFERROR(SUMIF(超音波画像診断装置!$C$30:$C$74,B156,超音波画像診断装置!$K$30:$K$74)*((超音波画像診断装置!$H$3-超音波画像診断装置!$I$3)/超音波画像診断装置!$H$3),0)</f>
        <v>0</v>
      </c>
      <c r="U156" s="69">
        <f t="shared" si="49"/>
        <v>0</v>
      </c>
      <c r="V156" s="68">
        <f>IFERROR(SUMIF(血液浄化装置!$C$30:$C$74,B156,血液浄化装置!$K$30:$K$74)*((血液浄化装置!$H$3-血液浄化装置!$I$3)/血液浄化装置!$H$3),0)</f>
        <v>0</v>
      </c>
      <c r="W156" s="69">
        <f t="shared" si="50"/>
        <v>0</v>
      </c>
      <c r="X156" s="68">
        <f>IFERROR(SUMIF(気管支鏡!$C$30:$C$74,B156,気管支鏡!$K$30:$K$74)*((気管支鏡!$H$3-気管支鏡!$I$3)/気管支鏡!$H$3),0)</f>
        <v>0</v>
      </c>
      <c r="Y156" s="69">
        <f t="shared" si="36"/>
        <v>0</v>
      </c>
      <c r="Z156" s="68">
        <f>IFERROR(SUMIF(CT撮影装置!$C$30:$C$74,B156,CT撮影装置!$K$30:$K$74)*((CT撮影装置!$H$3-CT撮影装置!$I$3)/CT撮影装置!$H$3),0)</f>
        <v>0</v>
      </c>
      <c r="AA156" s="69">
        <f t="shared" si="51"/>
        <v>0</v>
      </c>
      <c r="AB156" s="68">
        <f>IFERROR(SUMIF(生体情報モニタ!$C$30:$C$74,B156,生体情報モニタ!$K$30:$K$74)*((生体情報モニタ!$H$3-生体情報モニタ!$I$3)/生体情報モニタ!$H$3),0)</f>
        <v>0</v>
      </c>
      <c r="AC156" s="69">
        <f t="shared" si="37"/>
        <v>0</v>
      </c>
      <c r="AD156" s="68">
        <f>IFERROR(SUMIF(分娩監視装置!$C$30:$C$74,B156,分娩監視装置!$K$30:$K$74)*((分娩監視装置!$H$3-分娩監視装置!$I$3)/分娩監視装置!$H$3),0)</f>
        <v>0</v>
      </c>
      <c r="AE156" s="69">
        <f t="shared" si="52"/>
        <v>0</v>
      </c>
      <c r="AF156" s="68">
        <f>IFERROR(SUMIF(新生児モニタ!$C$30:$C$74,B156,新生児モニタ!$K$30:$K$74)*((新生児モニタ!$H$3-新生児モニタ!$I$3)/新生児モニタ!$H$3),0)</f>
        <v>0</v>
      </c>
      <c r="AG156" s="69">
        <f t="shared" si="53"/>
        <v>0</v>
      </c>
    </row>
    <row r="157" spans="2:33">
      <c r="B157" s="65" t="s">
        <v>826</v>
      </c>
      <c r="C157" s="68">
        <f>IFERROR(SUMIF(初度設備!$C$30:$C$74,B157,初度設備!$N$30:$N$74)*((初度設備!$H$3-初度設備!$I$3)/初度設備!$H$3),0)</f>
        <v>0</v>
      </c>
      <c r="D157" s="69">
        <f t="shared" si="38"/>
        <v>0</v>
      </c>
      <c r="E157" s="68">
        <f>IFERROR(SUMIF(人工呼吸器!$C$30:$C$74,B157,人工呼吸器!$N$30:$N$74)*((人工呼吸器!$H$3-人工呼吸器!$I$3)/人工呼吸器!$H$3),0)</f>
        <v>0</v>
      </c>
      <c r="F157" s="69">
        <f t="shared" si="39"/>
        <v>0</v>
      </c>
      <c r="G157" s="69">
        <f t="shared" si="40"/>
        <v>0</v>
      </c>
      <c r="H157" s="69">
        <f t="shared" si="41"/>
        <v>0</v>
      </c>
      <c r="I157" s="68">
        <f>IFERROR(SUMIF(簡易陰圧装置!$C$30:$C$74,B157,簡易陰圧装置!$N$30:$N$74)*((簡易陰圧装置!$H$3-簡易陰圧装置!$I$3)/簡易陰圧装置!$H$3),0)</f>
        <v>0</v>
      </c>
      <c r="J157" s="69">
        <f t="shared" si="42"/>
        <v>0</v>
      </c>
      <c r="K157" s="68">
        <f>IFERROR(SUMIF(#REF!,B157,#REF!)*((#REF!-#REF!)/#REF!),0)</f>
        <v>0</v>
      </c>
      <c r="L157" s="69">
        <f t="shared" si="43"/>
        <v>0</v>
      </c>
      <c r="M157" s="68">
        <f>IFERROR(SUMIF(体外式膜型人工肺!$C$30:$C$74,B157,体外式膜型人工肺!$N$30:$N$74)*((体外式膜型人工肺!$H$3-体外式膜型人工肺!$I$3)/体外式膜型人工肺!$H$3),0)</f>
        <v>0</v>
      </c>
      <c r="N157" s="69">
        <f t="shared" si="44"/>
        <v>0</v>
      </c>
      <c r="O157" s="69">
        <f t="shared" si="45"/>
        <v>0</v>
      </c>
      <c r="P157" s="69">
        <f t="shared" si="46"/>
        <v>0</v>
      </c>
      <c r="Q157" s="68">
        <f>IFERROR(SUMIF(紫外線照射装置!$C$30:$C$74,B157,紫外線照射装置!$N$30:$N$74)*((紫外線照射装置!$H$3-紫外線照射装置!$I$3)/紫外線照射装置!$H$3),0)</f>
        <v>0</v>
      </c>
      <c r="R157" s="69">
        <f t="shared" si="47"/>
        <v>0</v>
      </c>
      <c r="S157" s="102">
        <f t="shared" si="48"/>
        <v>0</v>
      </c>
      <c r="T157" s="68">
        <f>IFERROR(SUMIF(超音波画像診断装置!$C$30:$C$74,B157,超音波画像診断装置!$K$30:$K$74)*((超音波画像診断装置!$H$3-超音波画像診断装置!$I$3)/超音波画像診断装置!$H$3),0)</f>
        <v>0</v>
      </c>
      <c r="U157" s="69">
        <f t="shared" si="49"/>
        <v>0</v>
      </c>
      <c r="V157" s="68">
        <f>IFERROR(SUMIF(血液浄化装置!$C$30:$C$74,B157,血液浄化装置!$K$30:$K$74)*((血液浄化装置!$H$3-血液浄化装置!$I$3)/血液浄化装置!$H$3),0)</f>
        <v>0</v>
      </c>
      <c r="W157" s="69">
        <f t="shared" si="50"/>
        <v>0</v>
      </c>
      <c r="X157" s="68">
        <f>IFERROR(SUMIF(気管支鏡!$C$30:$C$74,B157,気管支鏡!$K$30:$K$74)*((気管支鏡!$H$3-気管支鏡!$I$3)/気管支鏡!$H$3),0)</f>
        <v>0</v>
      </c>
      <c r="Y157" s="69">
        <f t="shared" si="36"/>
        <v>0</v>
      </c>
      <c r="Z157" s="68">
        <f>IFERROR(SUMIF(CT撮影装置!$C$30:$C$74,B157,CT撮影装置!$K$30:$K$74)*((CT撮影装置!$H$3-CT撮影装置!$I$3)/CT撮影装置!$H$3),0)</f>
        <v>0</v>
      </c>
      <c r="AA157" s="69">
        <f t="shared" si="51"/>
        <v>0</v>
      </c>
      <c r="AB157" s="68">
        <f>IFERROR(SUMIF(生体情報モニタ!$C$30:$C$74,B157,生体情報モニタ!$K$30:$K$74)*((生体情報モニタ!$H$3-生体情報モニタ!$I$3)/生体情報モニタ!$H$3),0)</f>
        <v>0</v>
      </c>
      <c r="AC157" s="69">
        <f t="shared" si="37"/>
        <v>0</v>
      </c>
      <c r="AD157" s="68">
        <f>IFERROR(SUMIF(分娩監視装置!$C$30:$C$74,B157,分娩監視装置!$K$30:$K$74)*((分娩監視装置!$H$3-分娩監視装置!$I$3)/分娩監視装置!$H$3),0)</f>
        <v>0</v>
      </c>
      <c r="AE157" s="69">
        <f t="shared" si="52"/>
        <v>0</v>
      </c>
      <c r="AF157" s="68">
        <f>IFERROR(SUMIF(新生児モニタ!$C$30:$C$74,B157,新生児モニタ!$K$30:$K$74)*((新生児モニタ!$H$3-新生児モニタ!$I$3)/新生児モニタ!$H$3),0)</f>
        <v>0</v>
      </c>
      <c r="AG157" s="69">
        <f t="shared" si="53"/>
        <v>0</v>
      </c>
    </row>
    <row r="158" spans="2:33">
      <c r="B158" s="65" t="s">
        <v>827</v>
      </c>
      <c r="C158" s="68">
        <f>IFERROR(SUMIF(初度設備!$C$30:$C$74,B158,初度設備!$N$30:$N$74)*((初度設備!$H$3-初度設備!$I$3)/初度設備!$H$3),0)</f>
        <v>0</v>
      </c>
      <c r="D158" s="69">
        <f t="shared" si="38"/>
        <v>0</v>
      </c>
      <c r="E158" s="68">
        <f>IFERROR(SUMIF(人工呼吸器!$C$30:$C$74,B158,人工呼吸器!$N$30:$N$74)*((人工呼吸器!$H$3-人工呼吸器!$I$3)/人工呼吸器!$H$3),0)</f>
        <v>0</v>
      </c>
      <c r="F158" s="69">
        <f t="shared" si="39"/>
        <v>0</v>
      </c>
      <c r="G158" s="69">
        <f t="shared" si="40"/>
        <v>0</v>
      </c>
      <c r="H158" s="69">
        <f t="shared" si="41"/>
        <v>0</v>
      </c>
      <c r="I158" s="68">
        <f>IFERROR(SUMIF(簡易陰圧装置!$C$30:$C$74,B158,簡易陰圧装置!$N$30:$N$74)*((簡易陰圧装置!$H$3-簡易陰圧装置!$I$3)/簡易陰圧装置!$H$3),0)</f>
        <v>0</v>
      </c>
      <c r="J158" s="69">
        <f t="shared" si="42"/>
        <v>0</v>
      </c>
      <c r="K158" s="68">
        <f>IFERROR(SUMIF(#REF!,B158,#REF!)*((#REF!-#REF!)/#REF!),0)</f>
        <v>0</v>
      </c>
      <c r="L158" s="69">
        <f t="shared" si="43"/>
        <v>0</v>
      </c>
      <c r="M158" s="68">
        <f>IFERROR(SUMIF(体外式膜型人工肺!$C$30:$C$74,B158,体外式膜型人工肺!$N$30:$N$74)*((体外式膜型人工肺!$H$3-体外式膜型人工肺!$I$3)/体外式膜型人工肺!$H$3),0)</f>
        <v>0</v>
      </c>
      <c r="N158" s="69">
        <f t="shared" si="44"/>
        <v>0</v>
      </c>
      <c r="O158" s="69">
        <f t="shared" si="45"/>
        <v>0</v>
      </c>
      <c r="P158" s="69">
        <f t="shared" si="46"/>
        <v>0</v>
      </c>
      <c r="Q158" s="68">
        <f>IFERROR(SUMIF(紫外線照射装置!$C$30:$C$74,B158,紫外線照射装置!$N$30:$N$74)*((紫外線照射装置!$H$3-紫外線照射装置!$I$3)/紫外線照射装置!$H$3),0)</f>
        <v>0</v>
      </c>
      <c r="R158" s="69">
        <f t="shared" si="47"/>
        <v>0</v>
      </c>
      <c r="S158" s="102">
        <f t="shared" si="48"/>
        <v>0</v>
      </c>
      <c r="T158" s="68">
        <f>IFERROR(SUMIF(超音波画像診断装置!$C$30:$C$74,B158,超音波画像診断装置!$K$30:$K$74)*((超音波画像診断装置!$H$3-超音波画像診断装置!$I$3)/超音波画像診断装置!$H$3),0)</f>
        <v>0</v>
      </c>
      <c r="U158" s="69">
        <f t="shared" si="49"/>
        <v>0</v>
      </c>
      <c r="V158" s="68">
        <f>IFERROR(SUMIF(血液浄化装置!$C$30:$C$74,B158,血液浄化装置!$K$30:$K$74)*((血液浄化装置!$H$3-血液浄化装置!$I$3)/血液浄化装置!$H$3),0)</f>
        <v>0</v>
      </c>
      <c r="W158" s="69">
        <f t="shared" si="50"/>
        <v>0</v>
      </c>
      <c r="X158" s="68">
        <f>IFERROR(SUMIF(気管支鏡!$C$30:$C$74,B158,気管支鏡!$K$30:$K$74)*((気管支鏡!$H$3-気管支鏡!$I$3)/気管支鏡!$H$3),0)</f>
        <v>0</v>
      </c>
      <c r="Y158" s="69">
        <f t="shared" si="36"/>
        <v>0</v>
      </c>
      <c r="Z158" s="68">
        <f>IFERROR(SUMIF(CT撮影装置!$C$30:$C$74,B158,CT撮影装置!$K$30:$K$74)*((CT撮影装置!$H$3-CT撮影装置!$I$3)/CT撮影装置!$H$3),0)</f>
        <v>0</v>
      </c>
      <c r="AA158" s="69">
        <f t="shared" si="51"/>
        <v>0</v>
      </c>
      <c r="AB158" s="68">
        <f>IFERROR(SUMIF(生体情報モニタ!$C$30:$C$74,B158,生体情報モニタ!$K$30:$K$74)*((生体情報モニタ!$H$3-生体情報モニタ!$I$3)/生体情報モニタ!$H$3),0)</f>
        <v>0</v>
      </c>
      <c r="AC158" s="69">
        <f t="shared" si="37"/>
        <v>0</v>
      </c>
      <c r="AD158" s="68">
        <f>IFERROR(SUMIF(分娩監視装置!$C$30:$C$74,B158,分娩監視装置!$K$30:$K$74)*((分娩監視装置!$H$3-分娩監視装置!$I$3)/分娩監視装置!$H$3),0)</f>
        <v>0</v>
      </c>
      <c r="AE158" s="69">
        <f t="shared" si="52"/>
        <v>0</v>
      </c>
      <c r="AF158" s="68">
        <f>IFERROR(SUMIF(新生児モニタ!$C$30:$C$74,B158,新生児モニタ!$K$30:$K$74)*((新生児モニタ!$H$3-新生児モニタ!$I$3)/新生児モニタ!$H$3),0)</f>
        <v>0</v>
      </c>
      <c r="AG158" s="69">
        <f t="shared" si="53"/>
        <v>0</v>
      </c>
    </row>
    <row r="159" spans="2:33">
      <c r="B159" s="65" t="s">
        <v>828</v>
      </c>
      <c r="C159" s="68">
        <f>IFERROR(SUMIF(初度設備!$C$30:$C$74,B159,初度設備!$N$30:$N$74)*((初度設備!$H$3-初度設備!$I$3)/初度設備!$H$3),0)</f>
        <v>0</v>
      </c>
      <c r="D159" s="69">
        <f t="shared" si="38"/>
        <v>0</v>
      </c>
      <c r="E159" s="68">
        <f>IFERROR(SUMIF(人工呼吸器!$C$30:$C$74,B159,人工呼吸器!$N$30:$N$74)*((人工呼吸器!$H$3-人工呼吸器!$I$3)/人工呼吸器!$H$3),0)</f>
        <v>0</v>
      </c>
      <c r="F159" s="69">
        <f t="shared" si="39"/>
        <v>0</v>
      </c>
      <c r="G159" s="69">
        <f t="shared" si="40"/>
        <v>0</v>
      </c>
      <c r="H159" s="69">
        <f t="shared" si="41"/>
        <v>0</v>
      </c>
      <c r="I159" s="68">
        <f>IFERROR(SUMIF(簡易陰圧装置!$C$30:$C$74,B159,簡易陰圧装置!$N$30:$N$74)*((簡易陰圧装置!$H$3-簡易陰圧装置!$I$3)/簡易陰圧装置!$H$3),0)</f>
        <v>0</v>
      </c>
      <c r="J159" s="69">
        <f t="shared" si="42"/>
        <v>0</v>
      </c>
      <c r="K159" s="68">
        <f>IFERROR(SUMIF(#REF!,B159,#REF!)*((#REF!-#REF!)/#REF!),0)</f>
        <v>0</v>
      </c>
      <c r="L159" s="69">
        <f t="shared" si="43"/>
        <v>0</v>
      </c>
      <c r="M159" s="68">
        <f>IFERROR(SUMIF(体外式膜型人工肺!$C$30:$C$74,B159,体外式膜型人工肺!$N$30:$N$74)*((体外式膜型人工肺!$H$3-体外式膜型人工肺!$I$3)/体外式膜型人工肺!$H$3),0)</f>
        <v>0</v>
      </c>
      <c r="N159" s="69">
        <f t="shared" si="44"/>
        <v>0</v>
      </c>
      <c r="O159" s="69">
        <f t="shared" si="45"/>
        <v>0</v>
      </c>
      <c r="P159" s="69">
        <f t="shared" si="46"/>
        <v>0</v>
      </c>
      <c r="Q159" s="68">
        <f>IFERROR(SUMIF(紫外線照射装置!$C$30:$C$74,B159,紫外線照射装置!$N$30:$N$74)*((紫外線照射装置!$H$3-紫外線照射装置!$I$3)/紫外線照射装置!$H$3),0)</f>
        <v>0</v>
      </c>
      <c r="R159" s="69">
        <f t="shared" si="47"/>
        <v>0</v>
      </c>
      <c r="S159" s="102">
        <f t="shared" si="48"/>
        <v>0</v>
      </c>
      <c r="T159" s="68">
        <f>IFERROR(SUMIF(超音波画像診断装置!$C$30:$C$74,B159,超音波画像診断装置!$K$30:$K$74)*((超音波画像診断装置!$H$3-超音波画像診断装置!$I$3)/超音波画像診断装置!$H$3),0)</f>
        <v>0</v>
      </c>
      <c r="U159" s="69">
        <f t="shared" si="49"/>
        <v>0</v>
      </c>
      <c r="V159" s="68">
        <f>IFERROR(SUMIF(血液浄化装置!$C$30:$C$74,B159,血液浄化装置!$K$30:$K$74)*((血液浄化装置!$H$3-血液浄化装置!$I$3)/血液浄化装置!$H$3),0)</f>
        <v>0</v>
      </c>
      <c r="W159" s="69">
        <f t="shared" si="50"/>
        <v>0</v>
      </c>
      <c r="X159" s="68">
        <f>IFERROR(SUMIF(気管支鏡!$C$30:$C$74,B159,気管支鏡!$K$30:$K$74)*((気管支鏡!$H$3-気管支鏡!$I$3)/気管支鏡!$H$3),0)</f>
        <v>0</v>
      </c>
      <c r="Y159" s="69">
        <f t="shared" si="36"/>
        <v>0</v>
      </c>
      <c r="Z159" s="68">
        <f>IFERROR(SUMIF(CT撮影装置!$C$30:$C$74,B159,CT撮影装置!$K$30:$K$74)*((CT撮影装置!$H$3-CT撮影装置!$I$3)/CT撮影装置!$H$3),0)</f>
        <v>0</v>
      </c>
      <c r="AA159" s="69">
        <f t="shared" si="51"/>
        <v>0</v>
      </c>
      <c r="AB159" s="68">
        <f>IFERROR(SUMIF(生体情報モニタ!$C$30:$C$74,B159,生体情報モニタ!$K$30:$K$74)*((生体情報モニタ!$H$3-生体情報モニタ!$I$3)/生体情報モニタ!$H$3),0)</f>
        <v>0</v>
      </c>
      <c r="AC159" s="69">
        <f t="shared" si="37"/>
        <v>0</v>
      </c>
      <c r="AD159" s="68">
        <f>IFERROR(SUMIF(分娩監視装置!$C$30:$C$74,B159,分娩監視装置!$K$30:$K$74)*((分娩監視装置!$H$3-分娩監視装置!$I$3)/分娩監視装置!$H$3),0)</f>
        <v>0</v>
      </c>
      <c r="AE159" s="69">
        <f t="shared" si="52"/>
        <v>0</v>
      </c>
      <c r="AF159" s="68">
        <f>IFERROR(SUMIF(新生児モニタ!$C$30:$C$74,B159,新生児モニタ!$K$30:$K$74)*((新生児モニタ!$H$3-新生児モニタ!$I$3)/新生児モニタ!$H$3),0)</f>
        <v>0</v>
      </c>
      <c r="AG159" s="69">
        <f t="shared" si="53"/>
        <v>0</v>
      </c>
    </row>
    <row r="160" spans="2:33">
      <c r="B160" s="65" t="s">
        <v>829</v>
      </c>
      <c r="C160" s="68">
        <f>IFERROR(SUMIF(初度設備!$C$30:$C$74,B160,初度設備!$N$30:$N$74)*((初度設備!$H$3-初度設備!$I$3)/初度設備!$H$3),0)</f>
        <v>0</v>
      </c>
      <c r="D160" s="69">
        <f t="shared" si="38"/>
        <v>0</v>
      </c>
      <c r="E160" s="68">
        <f>IFERROR(SUMIF(人工呼吸器!$C$30:$C$74,B160,人工呼吸器!$N$30:$N$74)*((人工呼吸器!$H$3-人工呼吸器!$I$3)/人工呼吸器!$H$3),0)</f>
        <v>0</v>
      </c>
      <c r="F160" s="69">
        <f t="shared" si="39"/>
        <v>0</v>
      </c>
      <c r="G160" s="69">
        <f t="shared" si="40"/>
        <v>0</v>
      </c>
      <c r="H160" s="69">
        <f t="shared" si="41"/>
        <v>0</v>
      </c>
      <c r="I160" s="68">
        <f>IFERROR(SUMIF(簡易陰圧装置!$C$30:$C$74,B160,簡易陰圧装置!$N$30:$N$74)*((簡易陰圧装置!$H$3-簡易陰圧装置!$I$3)/簡易陰圧装置!$H$3),0)</f>
        <v>0</v>
      </c>
      <c r="J160" s="69">
        <f t="shared" si="42"/>
        <v>0</v>
      </c>
      <c r="K160" s="68">
        <f>IFERROR(SUMIF(#REF!,B160,#REF!)*((#REF!-#REF!)/#REF!),0)</f>
        <v>0</v>
      </c>
      <c r="L160" s="69">
        <f t="shared" si="43"/>
        <v>0</v>
      </c>
      <c r="M160" s="68">
        <f>IFERROR(SUMIF(体外式膜型人工肺!$C$30:$C$74,B160,体外式膜型人工肺!$N$30:$N$74)*((体外式膜型人工肺!$H$3-体外式膜型人工肺!$I$3)/体外式膜型人工肺!$H$3),0)</f>
        <v>0</v>
      </c>
      <c r="N160" s="69">
        <f t="shared" si="44"/>
        <v>0</v>
      </c>
      <c r="O160" s="69">
        <f t="shared" si="45"/>
        <v>0</v>
      </c>
      <c r="P160" s="69">
        <f t="shared" si="46"/>
        <v>0</v>
      </c>
      <c r="Q160" s="68">
        <f>IFERROR(SUMIF(紫外線照射装置!$C$30:$C$74,B160,紫外線照射装置!$N$30:$N$74)*((紫外線照射装置!$H$3-紫外線照射装置!$I$3)/紫外線照射装置!$H$3),0)</f>
        <v>0</v>
      </c>
      <c r="R160" s="69">
        <f t="shared" si="47"/>
        <v>0</v>
      </c>
      <c r="S160" s="102">
        <f t="shared" si="48"/>
        <v>0</v>
      </c>
      <c r="T160" s="68">
        <f>IFERROR(SUMIF(超音波画像診断装置!$C$30:$C$74,B160,超音波画像診断装置!$K$30:$K$74)*((超音波画像診断装置!$H$3-超音波画像診断装置!$I$3)/超音波画像診断装置!$H$3),0)</f>
        <v>0</v>
      </c>
      <c r="U160" s="69">
        <f t="shared" si="49"/>
        <v>0</v>
      </c>
      <c r="V160" s="68">
        <f>IFERROR(SUMIF(血液浄化装置!$C$30:$C$74,B160,血液浄化装置!$K$30:$K$74)*((血液浄化装置!$H$3-血液浄化装置!$I$3)/血液浄化装置!$H$3),0)</f>
        <v>0</v>
      </c>
      <c r="W160" s="69">
        <f t="shared" si="50"/>
        <v>0</v>
      </c>
      <c r="X160" s="68">
        <f>IFERROR(SUMIF(気管支鏡!$C$30:$C$74,B160,気管支鏡!$K$30:$K$74)*((気管支鏡!$H$3-気管支鏡!$I$3)/気管支鏡!$H$3),0)</f>
        <v>0</v>
      </c>
      <c r="Y160" s="69">
        <f t="shared" si="36"/>
        <v>0</v>
      </c>
      <c r="Z160" s="68">
        <f>IFERROR(SUMIF(CT撮影装置!$C$30:$C$74,B160,CT撮影装置!$K$30:$K$74)*((CT撮影装置!$H$3-CT撮影装置!$I$3)/CT撮影装置!$H$3),0)</f>
        <v>0</v>
      </c>
      <c r="AA160" s="69">
        <f t="shared" si="51"/>
        <v>0</v>
      </c>
      <c r="AB160" s="68">
        <f>IFERROR(SUMIF(生体情報モニタ!$C$30:$C$74,B160,生体情報モニタ!$K$30:$K$74)*((生体情報モニタ!$H$3-生体情報モニタ!$I$3)/生体情報モニタ!$H$3),0)</f>
        <v>0</v>
      </c>
      <c r="AC160" s="69">
        <f t="shared" si="37"/>
        <v>0</v>
      </c>
      <c r="AD160" s="68">
        <f>IFERROR(SUMIF(分娩監視装置!$C$30:$C$74,B160,分娩監視装置!$K$30:$K$74)*((分娩監視装置!$H$3-分娩監視装置!$I$3)/分娩監視装置!$H$3),0)</f>
        <v>0</v>
      </c>
      <c r="AE160" s="69">
        <f t="shared" si="52"/>
        <v>0</v>
      </c>
      <c r="AF160" s="68">
        <f>IFERROR(SUMIF(新生児モニタ!$C$30:$C$74,B160,新生児モニタ!$K$30:$K$74)*((新生児モニタ!$H$3-新生児モニタ!$I$3)/新生児モニタ!$H$3),0)</f>
        <v>0</v>
      </c>
      <c r="AG160" s="69">
        <f t="shared" si="53"/>
        <v>0</v>
      </c>
    </row>
    <row r="161" spans="2:33">
      <c r="B161" s="65" t="s">
        <v>830</v>
      </c>
      <c r="C161" s="68">
        <f>IFERROR(SUMIF(初度設備!$C$30:$C$74,B161,初度設備!$N$30:$N$74)*((初度設備!$H$3-初度設備!$I$3)/初度設備!$H$3),0)</f>
        <v>0</v>
      </c>
      <c r="D161" s="69">
        <f t="shared" si="38"/>
        <v>0</v>
      </c>
      <c r="E161" s="68">
        <f>IFERROR(SUMIF(人工呼吸器!$C$30:$C$74,B161,人工呼吸器!$N$30:$N$74)*((人工呼吸器!$H$3-人工呼吸器!$I$3)/人工呼吸器!$H$3),0)</f>
        <v>0</v>
      </c>
      <c r="F161" s="69">
        <f t="shared" si="39"/>
        <v>0</v>
      </c>
      <c r="G161" s="69">
        <f t="shared" si="40"/>
        <v>0</v>
      </c>
      <c r="H161" s="69">
        <f t="shared" si="41"/>
        <v>0</v>
      </c>
      <c r="I161" s="68">
        <f>IFERROR(SUMIF(簡易陰圧装置!$C$30:$C$74,B161,簡易陰圧装置!$N$30:$N$74)*((簡易陰圧装置!$H$3-簡易陰圧装置!$I$3)/簡易陰圧装置!$H$3),0)</f>
        <v>0</v>
      </c>
      <c r="J161" s="69">
        <f t="shared" si="42"/>
        <v>0</v>
      </c>
      <c r="K161" s="68">
        <f>IFERROR(SUMIF(#REF!,B161,#REF!)*((#REF!-#REF!)/#REF!),0)</f>
        <v>0</v>
      </c>
      <c r="L161" s="69">
        <f t="shared" si="43"/>
        <v>0</v>
      </c>
      <c r="M161" s="68">
        <f>IFERROR(SUMIF(体外式膜型人工肺!$C$30:$C$74,B161,体外式膜型人工肺!$N$30:$N$74)*((体外式膜型人工肺!$H$3-体外式膜型人工肺!$I$3)/体外式膜型人工肺!$H$3),0)</f>
        <v>0</v>
      </c>
      <c r="N161" s="69">
        <f t="shared" si="44"/>
        <v>0</v>
      </c>
      <c r="O161" s="69">
        <f t="shared" si="45"/>
        <v>0</v>
      </c>
      <c r="P161" s="69">
        <f t="shared" si="46"/>
        <v>0</v>
      </c>
      <c r="Q161" s="68">
        <f>IFERROR(SUMIF(紫外線照射装置!$C$30:$C$74,B161,紫外線照射装置!$N$30:$N$74)*((紫外線照射装置!$H$3-紫外線照射装置!$I$3)/紫外線照射装置!$H$3),0)</f>
        <v>0</v>
      </c>
      <c r="R161" s="69">
        <f t="shared" si="47"/>
        <v>0</v>
      </c>
      <c r="S161" s="102">
        <f t="shared" si="48"/>
        <v>0</v>
      </c>
      <c r="T161" s="68">
        <f>IFERROR(SUMIF(超音波画像診断装置!$C$30:$C$74,B161,超音波画像診断装置!$K$30:$K$74)*((超音波画像診断装置!$H$3-超音波画像診断装置!$I$3)/超音波画像診断装置!$H$3),0)</f>
        <v>0</v>
      </c>
      <c r="U161" s="69">
        <f t="shared" si="49"/>
        <v>0</v>
      </c>
      <c r="V161" s="68">
        <f>IFERROR(SUMIF(血液浄化装置!$C$30:$C$74,B161,血液浄化装置!$K$30:$K$74)*((血液浄化装置!$H$3-血液浄化装置!$I$3)/血液浄化装置!$H$3),0)</f>
        <v>0</v>
      </c>
      <c r="W161" s="69">
        <f t="shared" si="50"/>
        <v>0</v>
      </c>
      <c r="X161" s="68">
        <f>IFERROR(SUMIF(気管支鏡!$C$30:$C$74,B161,気管支鏡!$K$30:$K$74)*((気管支鏡!$H$3-気管支鏡!$I$3)/気管支鏡!$H$3),0)</f>
        <v>0</v>
      </c>
      <c r="Y161" s="69">
        <f t="shared" si="36"/>
        <v>0</v>
      </c>
      <c r="Z161" s="68">
        <f>IFERROR(SUMIF(CT撮影装置!$C$30:$C$74,B161,CT撮影装置!$K$30:$K$74)*((CT撮影装置!$H$3-CT撮影装置!$I$3)/CT撮影装置!$H$3),0)</f>
        <v>0</v>
      </c>
      <c r="AA161" s="69">
        <f t="shared" si="51"/>
        <v>0</v>
      </c>
      <c r="AB161" s="68">
        <f>IFERROR(SUMIF(生体情報モニタ!$C$30:$C$74,B161,生体情報モニタ!$K$30:$K$74)*((生体情報モニタ!$H$3-生体情報モニタ!$I$3)/生体情報モニタ!$H$3),0)</f>
        <v>0</v>
      </c>
      <c r="AC161" s="69">
        <f t="shared" si="37"/>
        <v>0</v>
      </c>
      <c r="AD161" s="68">
        <f>IFERROR(SUMIF(分娩監視装置!$C$30:$C$74,B161,分娩監視装置!$K$30:$K$74)*((分娩監視装置!$H$3-分娩監視装置!$I$3)/分娩監視装置!$H$3),0)</f>
        <v>0</v>
      </c>
      <c r="AE161" s="69">
        <f t="shared" si="52"/>
        <v>0</v>
      </c>
      <c r="AF161" s="68">
        <f>IFERROR(SUMIF(新生児モニタ!$C$30:$C$74,B161,新生児モニタ!$K$30:$K$74)*((新生児モニタ!$H$3-新生児モニタ!$I$3)/新生児モニタ!$H$3),0)</f>
        <v>0</v>
      </c>
      <c r="AG161" s="69">
        <f t="shared" si="53"/>
        <v>0</v>
      </c>
    </row>
    <row r="162" spans="2:33">
      <c r="B162" s="65" t="s">
        <v>831</v>
      </c>
      <c r="C162" s="68">
        <f>IFERROR(SUMIF(初度設備!$C$30:$C$74,B162,初度設備!$N$30:$N$74)*((初度設備!$H$3-初度設備!$I$3)/初度設備!$H$3),0)</f>
        <v>0</v>
      </c>
      <c r="D162" s="69">
        <f t="shared" si="38"/>
        <v>0</v>
      </c>
      <c r="E162" s="68">
        <f>IFERROR(SUMIF(人工呼吸器!$C$30:$C$74,B162,人工呼吸器!$N$30:$N$74)*((人工呼吸器!$H$3-人工呼吸器!$I$3)/人工呼吸器!$H$3),0)</f>
        <v>0</v>
      </c>
      <c r="F162" s="69">
        <f t="shared" si="39"/>
        <v>0</v>
      </c>
      <c r="G162" s="69">
        <f t="shared" si="40"/>
        <v>0</v>
      </c>
      <c r="H162" s="69">
        <f t="shared" si="41"/>
        <v>0</v>
      </c>
      <c r="I162" s="68">
        <f>IFERROR(SUMIF(簡易陰圧装置!$C$30:$C$74,B162,簡易陰圧装置!$N$30:$N$74)*((簡易陰圧装置!$H$3-簡易陰圧装置!$I$3)/簡易陰圧装置!$H$3),0)</f>
        <v>0</v>
      </c>
      <c r="J162" s="69">
        <f t="shared" si="42"/>
        <v>0</v>
      </c>
      <c r="K162" s="68">
        <f>IFERROR(SUMIF(#REF!,B162,#REF!)*((#REF!-#REF!)/#REF!),0)</f>
        <v>0</v>
      </c>
      <c r="L162" s="69">
        <f t="shared" si="43"/>
        <v>0</v>
      </c>
      <c r="M162" s="68">
        <f>IFERROR(SUMIF(体外式膜型人工肺!$C$30:$C$74,B162,体外式膜型人工肺!$N$30:$N$74)*((体外式膜型人工肺!$H$3-体外式膜型人工肺!$I$3)/体外式膜型人工肺!$H$3),0)</f>
        <v>0</v>
      </c>
      <c r="N162" s="69">
        <f t="shared" si="44"/>
        <v>0</v>
      </c>
      <c r="O162" s="69">
        <f t="shared" si="45"/>
        <v>0</v>
      </c>
      <c r="P162" s="69">
        <f t="shared" si="46"/>
        <v>0</v>
      </c>
      <c r="Q162" s="68">
        <f>IFERROR(SUMIF(紫外線照射装置!$C$30:$C$74,B162,紫外線照射装置!$N$30:$N$74)*((紫外線照射装置!$H$3-紫外線照射装置!$I$3)/紫外線照射装置!$H$3),0)</f>
        <v>0</v>
      </c>
      <c r="R162" s="69">
        <f t="shared" si="47"/>
        <v>0</v>
      </c>
      <c r="S162" s="102">
        <f t="shared" si="48"/>
        <v>0</v>
      </c>
      <c r="T162" s="68">
        <f>IFERROR(SUMIF(超音波画像診断装置!$C$30:$C$74,B162,超音波画像診断装置!$K$30:$K$74)*((超音波画像診断装置!$H$3-超音波画像診断装置!$I$3)/超音波画像診断装置!$H$3),0)</f>
        <v>0</v>
      </c>
      <c r="U162" s="69">
        <f t="shared" si="49"/>
        <v>0</v>
      </c>
      <c r="V162" s="68">
        <f>IFERROR(SUMIF(血液浄化装置!$C$30:$C$74,B162,血液浄化装置!$K$30:$K$74)*((血液浄化装置!$H$3-血液浄化装置!$I$3)/血液浄化装置!$H$3),0)</f>
        <v>0</v>
      </c>
      <c r="W162" s="69">
        <f t="shared" si="50"/>
        <v>0</v>
      </c>
      <c r="X162" s="68">
        <f>IFERROR(SUMIF(気管支鏡!$C$30:$C$74,B162,気管支鏡!$K$30:$K$74)*((気管支鏡!$H$3-気管支鏡!$I$3)/気管支鏡!$H$3),0)</f>
        <v>0</v>
      </c>
      <c r="Y162" s="69">
        <f t="shared" si="36"/>
        <v>0</v>
      </c>
      <c r="Z162" s="68">
        <f>IFERROR(SUMIF(CT撮影装置!$C$30:$C$74,B162,CT撮影装置!$K$30:$K$74)*((CT撮影装置!$H$3-CT撮影装置!$I$3)/CT撮影装置!$H$3),0)</f>
        <v>0</v>
      </c>
      <c r="AA162" s="69">
        <f t="shared" si="51"/>
        <v>0</v>
      </c>
      <c r="AB162" s="68">
        <f>IFERROR(SUMIF(生体情報モニタ!$C$30:$C$74,B162,生体情報モニタ!$K$30:$K$74)*((生体情報モニタ!$H$3-生体情報モニタ!$I$3)/生体情報モニタ!$H$3),0)</f>
        <v>0</v>
      </c>
      <c r="AC162" s="69">
        <f t="shared" si="37"/>
        <v>0</v>
      </c>
      <c r="AD162" s="68">
        <f>IFERROR(SUMIF(分娩監視装置!$C$30:$C$74,B162,分娩監視装置!$K$30:$K$74)*((分娩監視装置!$H$3-分娩監視装置!$I$3)/分娩監視装置!$H$3),0)</f>
        <v>0</v>
      </c>
      <c r="AE162" s="69">
        <f t="shared" si="52"/>
        <v>0</v>
      </c>
      <c r="AF162" s="68">
        <f>IFERROR(SUMIF(新生児モニタ!$C$30:$C$74,B162,新生児モニタ!$K$30:$K$74)*((新生児モニタ!$H$3-新生児モニタ!$I$3)/新生児モニタ!$H$3),0)</f>
        <v>0</v>
      </c>
      <c r="AG162" s="69">
        <f t="shared" si="53"/>
        <v>0</v>
      </c>
    </row>
    <row r="163" spans="2:33">
      <c r="B163" s="65" t="s">
        <v>832</v>
      </c>
      <c r="C163" s="68">
        <f>IFERROR(SUMIF(初度設備!$C$30:$C$74,B163,初度設備!$N$30:$N$74)*((初度設備!$H$3-初度設備!$I$3)/初度設備!$H$3),0)</f>
        <v>0</v>
      </c>
      <c r="D163" s="69">
        <f t="shared" si="38"/>
        <v>0</v>
      </c>
      <c r="E163" s="68">
        <f>IFERROR(SUMIF(人工呼吸器!$C$30:$C$74,B163,人工呼吸器!$N$30:$N$74)*((人工呼吸器!$H$3-人工呼吸器!$I$3)/人工呼吸器!$H$3),0)</f>
        <v>0</v>
      </c>
      <c r="F163" s="69">
        <f t="shared" si="39"/>
        <v>0</v>
      </c>
      <c r="G163" s="69">
        <f t="shared" si="40"/>
        <v>0</v>
      </c>
      <c r="H163" s="69">
        <f t="shared" si="41"/>
        <v>0</v>
      </c>
      <c r="I163" s="68">
        <f>IFERROR(SUMIF(簡易陰圧装置!$C$30:$C$74,B163,簡易陰圧装置!$N$30:$N$74)*((簡易陰圧装置!$H$3-簡易陰圧装置!$I$3)/簡易陰圧装置!$H$3),0)</f>
        <v>0</v>
      </c>
      <c r="J163" s="69">
        <f t="shared" si="42"/>
        <v>0</v>
      </c>
      <c r="K163" s="68">
        <f>IFERROR(SUMIF(#REF!,B163,#REF!)*((#REF!-#REF!)/#REF!),0)</f>
        <v>0</v>
      </c>
      <c r="L163" s="69">
        <f t="shared" si="43"/>
        <v>0</v>
      </c>
      <c r="M163" s="68">
        <f>IFERROR(SUMIF(体外式膜型人工肺!$C$30:$C$74,B163,体外式膜型人工肺!$N$30:$N$74)*((体外式膜型人工肺!$H$3-体外式膜型人工肺!$I$3)/体外式膜型人工肺!$H$3),0)</f>
        <v>0</v>
      </c>
      <c r="N163" s="69">
        <f t="shared" si="44"/>
        <v>0</v>
      </c>
      <c r="O163" s="69">
        <f t="shared" si="45"/>
        <v>0</v>
      </c>
      <c r="P163" s="69">
        <f t="shared" si="46"/>
        <v>0</v>
      </c>
      <c r="Q163" s="68">
        <f>IFERROR(SUMIF(紫外線照射装置!$C$30:$C$74,B163,紫外線照射装置!$N$30:$N$74)*((紫外線照射装置!$H$3-紫外線照射装置!$I$3)/紫外線照射装置!$H$3),0)</f>
        <v>0</v>
      </c>
      <c r="R163" s="69">
        <f t="shared" si="47"/>
        <v>0</v>
      </c>
      <c r="S163" s="102">
        <f t="shared" si="48"/>
        <v>0</v>
      </c>
      <c r="T163" s="68">
        <f>IFERROR(SUMIF(超音波画像診断装置!$C$30:$C$74,B163,超音波画像診断装置!$K$30:$K$74)*((超音波画像診断装置!$H$3-超音波画像診断装置!$I$3)/超音波画像診断装置!$H$3),0)</f>
        <v>0</v>
      </c>
      <c r="U163" s="69">
        <f t="shared" si="49"/>
        <v>0</v>
      </c>
      <c r="V163" s="68">
        <f>IFERROR(SUMIF(血液浄化装置!$C$30:$C$74,B163,血液浄化装置!$K$30:$K$74)*((血液浄化装置!$H$3-血液浄化装置!$I$3)/血液浄化装置!$H$3),0)</f>
        <v>0</v>
      </c>
      <c r="W163" s="69">
        <f t="shared" si="50"/>
        <v>0</v>
      </c>
      <c r="X163" s="68">
        <f>IFERROR(SUMIF(気管支鏡!$C$30:$C$74,B163,気管支鏡!$K$30:$K$74)*((気管支鏡!$H$3-気管支鏡!$I$3)/気管支鏡!$H$3),0)</f>
        <v>0</v>
      </c>
      <c r="Y163" s="69">
        <f t="shared" si="36"/>
        <v>0</v>
      </c>
      <c r="Z163" s="68">
        <f>IFERROR(SUMIF(CT撮影装置!$C$30:$C$74,B163,CT撮影装置!$K$30:$K$74)*((CT撮影装置!$H$3-CT撮影装置!$I$3)/CT撮影装置!$H$3),0)</f>
        <v>0</v>
      </c>
      <c r="AA163" s="69">
        <f t="shared" si="51"/>
        <v>0</v>
      </c>
      <c r="AB163" s="68">
        <f>IFERROR(SUMIF(生体情報モニタ!$C$30:$C$74,B163,生体情報モニタ!$K$30:$K$74)*((生体情報モニタ!$H$3-生体情報モニタ!$I$3)/生体情報モニタ!$H$3),0)</f>
        <v>0</v>
      </c>
      <c r="AC163" s="69">
        <f t="shared" si="37"/>
        <v>0</v>
      </c>
      <c r="AD163" s="68">
        <f>IFERROR(SUMIF(分娩監視装置!$C$30:$C$74,B163,分娩監視装置!$K$30:$K$74)*((分娩監視装置!$H$3-分娩監視装置!$I$3)/分娩監視装置!$H$3),0)</f>
        <v>0</v>
      </c>
      <c r="AE163" s="69">
        <f t="shared" si="52"/>
        <v>0</v>
      </c>
      <c r="AF163" s="68">
        <f>IFERROR(SUMIF(新生児モニタ!$C$30:$C$74,B163,新生児モニタ!$K$30:$K$74)*((新生児モニタ!$H$3-新生児モニタ!$I$3)/新生児モニタ!$H$3),0)</f>
        <v>0</v>
      </c>
      <c r="AG163" s="69">
        <f t="shared" si="53"/>
        <v>0</v>
      </c>
    </row>
    <row r="164" spans="2:33">
      <c r="B164" s="65" t="s">
        <v>833</v>
      </c>
      <c r="C164" s="68">
        <f>IFERROR(SUMIF(初度設備!$C$30:$C$74,B164,初度設備!$N$30:$N$74)*((初度設備!$H$3-初度設備!$I$3)/初度設備!$H$3),0)</f>
        <v>0</v>
      </c>
      <c r="D164" s="69">
        <f t="shared" si="38"/>
        <v>0</v>
      </c>
      <c r="E164" s="68">
        <f>IFERROR(SUMIF(人工呼吸器!$C$30:$C$74,B164,人工呼吸器!$N$30:$N$74)*((人工呼吸器!$H$3-人工呼吸器!$I$3)/人工呼吸器!$H$3),0)</f>
        <v>0</v>
      </c>
      <c r="F164" s="69">
        <f t="shared" si="39"/>
        <v>0</v>
      </c>
      <c r="G164" s="69">
        <f t="shared" si="40"/>
        <v>0</v>
      </c>
      <c r="H164" s="69">
        <f t="shared" si="41"/>
        <v>0</v>
      </c>
      <c r="I164" s="68">
        <f>IFERROR(SUMIF(簡易陰圧装置!$C$30:$C$74,B164,簡易陰圧装置!$N$30:$N$74)*((簡易陰圧装置!$H$3-簡易陰圧装置!$I$3)/簡易陰圧装置!$H$3),0)</f>
        <v>0</v>
      </c>
      <c r="J164" s="69">
        <f t="shared" si="42"/>
        <v>0</v>
      </c>
      <c r="K164" s="68">
        <f>IFERROR(SUMIF(#REF!,B164,#REF!)*((#REF!-#REF!)/#REF!),0)</f>
        <v>0</v>
      </c>
      <c r="L164" s="69">
        <f t="shared" si="43"/>
        <v>0</v>
      </c>
      <c r="M164" s="68">
        <f>IFERROR(SUMIF(体外式膜型人工肺!$C$30:$C$74,B164,体外式膜型人工肺!$N$30:$N$74)*((体外式膜型人工肺!$H$3-体外式膜型人工肺!$I$3)/体外式膜型人工肺!$H$3),0)</f>
        <v>0</v>
      </c>
      <c r="N164" s="69">
        <f t="shared" si="44"/>
        <v>0</v>
      </c>
      <c r="O164" s="69">
        <f t="shared" si="45"/>
        <v>0</v>
      </c>
      <c r="P164" s="69">
        <f t="shared" si="46"/>
        <v>0</v>
      </c>
      <c r="Q164" s="68">
        <f>IFERROR(SUMIF(紫外線照射装置!$C$30:$C$74,B164,紫外線照射装置!$N$30:$N$74)*((紫外線照射装置!$H$3-紫外線照射装置!$I$3)/紫外線照射装置!$H$3),0)</f>
        <v>0</v>
      </c>
      <c r="R164" s="69">
        <f t="shared" si="47"/>
        <v>0</v>
      </c>
      <c r="S164" s="102">
        <f t="shared" si="48"/>
        <v>0</v>
      </c>
      <c r="T164" s="68">
        <f>IFERROR(SUMIF(超音波画像診断装置!$C$30:$C$74,B164,超音波画像診断装置!$K$30:$K$74)*((超音波画像診断装置!$H$3-超音波画像診断装置!$I$3)/超音波画像診断装置!$H$3),0)</f>
        <v>0</v>
      </c>
      <c r="U164" s="69">
        <f t="shared" si="49"/>
        <v>0</v>
      </c>
      <c r="V164" s="68">
        <f>IFERROR(SUMIF(血液浄化装置!$C$30:$C$74,B164,血液浄化装置!$K$30:$K$74)*((血液浄化装置!$H$3-血液浄化装置!$I$3)/血液浄化装置!$H$3),0)</f>
        <v>0</v>
      </c>
      <c r="W164" s="69">
        <f t="shared" si="50"/>
        <v>0</v>
      </c>
      <c r="X164" s="68">
        <f>IFERROR(SUMIF(気管支鏡!$C$30:$C$74,B164,気管支鏡!$K$30:$K$74)*((気管支鏡!$H$3-気管支鏡!$I$3)/気管支鏡!$H$3),0)</f>
        <v>0</v>
      </c>
      <c r="Y164" s="69">
        <f t="shared" si="36"/>
        <v>0</v>
      </c>
      <c r="Z164" s="68">
        <f>IFERROR(SUMIF(CT撮影装置!$C$30:$C$74,B164,CT撮影装置!$K$30:$K$74)*((CT撮影装置!$H$3-CT撮影装置!$I$3)/CT撮影装置!$H$3),0)</f>
        <v>0</v>
      </c>
      <c r="AA164" s="69">
        <f t="shared" si="51"/>
        <v>0</v>
      </c>
      <c r="AB164" s="68">
        <f>IFERROR(SUMIF(生体情報モニタ!$C$30:$C$74,B164,生体情報モニタ!$K$30:$K$74)*((生体情報モニタ!$H$3-生体情報モニタ!$I$3)/生体情報モニタ!$H$3),0)</f>
        <v>0</v>
      </c>
      <c r="AC164" s="69">
        <f t="shared" si="37"/>
        <v>0</v>
      </c>
      <c r="AD164" s="68">
        <f>IFERROR(SUMIF(分娩監視装置!$C$30:$C$74,B164,分娩監視装置!$K$30:$K$74)*((分娩監視装置!$H$3-分娩監視装置!$I$3)/分娩監視装置!$H$3),0)</f>
        <v>0</v>
      </c>
      <c r="AE164" s="69">
        <f t="shared" si="52"/>
        <v>0</v>
      </c>
      <c r="AF164" s="68">
        <f>IFERROR(SUMIF(新生児モニタ!$C$30:$C$74,B164,新生児モニタ!$K$30:$K$74)*((新生児モニタ!$H$3-新生児モニタ!$I$3)/新生児モニタ!$H$3),0)</f>
        <v>0</v>
      </c>
      <c r="AG164" s="69">
        <f t="shared" si="53"/>
        <v>0</v>
      </c>
    </row>
    <row r="165" spans="2:33">
      <c r="B165" s="65" t="s">
        <v>834</v>
      </c>
      <c r="C165" s="68">
        <f>IFERROR(SUMIF(初度設備!$C$30:$C$74,B165,初度設備!$N$30:$N$74)*((初度設備!$H$3-初度設備!$I$3)/初度設備!$H$3),0)</f>
        <v>0</v>
      </c>
      <c r="D165" s="69">
        <f t="shared" si="38"/>
        <v>0</v>
      </c>
      <c r="E165" s="68">
        <f>IFERROR(SUMIF(人工呼吸器!$C$30:$C$74,B165,人工呼吸器!$N$30:$N$74)*((人工呼吸器!$H$3-人工呼吸器!$I$3)/人工呼吸器!$H$3),0)</f>
        <v>0</v>
      </c>
      <c r="F165" s="69">
        <f t="shared" si="39"/>
        <v>0</v>
      </c>
      <c r="G165" s="69">
        <f t="shared" si="40"/>
        <v>0</v>
      </c>
      <c r="H165" s="69">
        <f t="shared" si="41"/>
        <v>0</v>
      </c>
      <c r="I165" s="68">
        <f>IFERROR(SUMIF(簡易陰圧装置!$C$30:$C$74,B165,簡易陰圧装置!$N$30:$N$74)*((簡易陰圧装置!$H$3-簡易陰圧装置!$I$3)/簡易陰圧装置!$H$3),0)</f>
        <v>0</v>
      </c>
      <c r="J165" s="69">
        <f t="shared" si="42"/>
        <v>0</v>
      </c>
      <c r="K165" s="68">
        <f>IFERROR(SUMIF(#REF!,B165,#REF!)*((#REF!-#REF!)/#REF!),0)</f>
        <v>0</v>
      </c>
      <c r="L165" s="69">
        <f t="shared" si="43"/>
        <v>0</v>
      </c>
      <c r="M165" s="68">
        <f>IFERROR(SUMIF(体外式膜型人工肺!$C$30:$C$74,B165,体外式膜型人工肺!$N$30:$N$74)*((体外式膜型人工肺!$H$3-体外式膜型人工肺!$I$3)/体外式膜型人工肺!$H$3),0)</f>
        <v>0</v>
      </c>
      <c r="N165" s="69">
        <f t="shared" si="44"/>
        <v>0</v>
      </c>
      <c r="O165" s="69">
        <f t="shared" si="45"/>
        <v>0</v>
      </c>
      <c r="P165" s="69">
        <f t="shared" si="46"/>
        <v>0</v>
      </c>
      <c r="Q165" s="68">
        <f>IFERROR(SUMIF(紫外線照射装置!$C$30:$C$74,B165,紫外線照射装置!$N$30:$N$74)*((紫外線照射装置!$H$3-紫外線照射装置!$I$3)/紫外線照射装置!$H$3),0)</f>
        <v>0</v>
      </c>
      <c r="R165" s="69">
        <f t="shared" si="47"/>
        <v>0</v>
      </c>
      <c r="S165" s="102">
        <f t="shared" si="48"/>
        <v>0</v>
      </c>
      <c r="T165" s="68">
        <f>IFERROR(SUMIF(超音波画像診断装置!$C$30:$C$74,B165,超音波画像診断装置!$K$30:$K$74)*((超音波画像診断装置!$H$3-超音波画像診断装置!$I$3)/超音波画像診断装置!$H$3),0)</f>
        <v>0</v>
      </c>
      <c r="U165" s="69">
        <f t="shared" si="49"/>
        <v>0</v>
      </c>
      <c r="V165" s="68">
        <f>IFERROR(SUMIF(血液浄化装置!$C$30:$C$74,B165,血液浄化装置!$K$30:$K$74)*((血液浄化装置!$H$3-血液浄化装置!$I$3)/血液浄化装置!$H$3),0)</f>
        <v>0</v>
      </c>
      <c r="W165" s="69">
        <f t="shared" si="50"/>
        <v>0</v>
      </c>
      <c r="X165" s="68">
        <f>IFERROR(SUMIF(気管支鏡!$C$30:$C$74,B165,気管支鏡!$K$30:$K$74)*((気管支鏡!$H$3-気管支鏡!$I$3)/気管支鏡!$H$3),0)</f>
        <v>0</v>
      </c>
      <c r="Y165" s="69">
        <f t="shared" si="36"/>
        <v>0</v>
      </c>
      <c r="Z165" s="68">
        <f>IFERROR(SUMIF(CT撮影装置!$C$30:$C$74,B165,CT撮影装置!$K$30:$K$74)*((CT撮影装置!$H$3-CT撮影装置!$I$3)/CT撮影装置!$H$3),0)</f>
        <v>0</v>
      </c>
      <c r="AA165" s="69">
        <f t="shared" si="51"/>
        <v>0</v>
      </c>
      <c r="AB165" s="68">
        <f>IFERROR(SUMIF(生体情報モニタ!$C$30:$C$74,B165,生体情報モニタ!$K$30:$K$74)*((生体情報モニタ!$H$3-生体情報モニタ!$I$3)/生体情報モニタ!$H$3),0)</f>
        <v>0</v>
      </c>
      <c r="AC165" s="69">
        <f t="shared" si="37"/>
        <v>0</v>
      </c>
      <c r="AD165" s="68">
        <f>IFERROR(SUMIF(分娩監視装置!$C$30:$C$74,B165,分娩監視装置!$K$30:$K$74)*((分娩監視装置!$H$3-分娩監視装置!$I$3)/分娩監視装置!$H$3),0)</f>
        <v>0</v>
      </c>
      <c r="AE165" s="69">
        <f t="shared" si="52"/>
        <v>0</v>
      </c>
      <c r="AF165" s="68">
        <f>IFERROR(SUMIF(新生児モニタ!$C$30:$C$74,B165,新生児モニタ!$K$30:$K$74)*((新生児モニタ!$H$3-新生児モニタ!$I$3)/新生児モニタ!$H$3),0)</f>
        <v>0</v>
      </c>
      <c r="AG165" s="69">
        <f t="shared" si="53"/>
        <v>0</v>
      </c>
    </row>
    <row r="166" spans="2:33">
      <c r="B166" s="65" t="s">
        <v>835</v>
      </c>
      <c r="C166" s="68">
        <f>IFERROR(SUMIF(初度設備!$C$30:$C$74,B166,初度設備!$N$30:$N$74)*((初度設備!$H$3-初度設備!$I$3)/初度設備!$H$3),0)</f>
        <v>0</v>
      </c>
      <c r="D166" s="69">
        <f t="shared" si="38"/>
        <v>0</v>
      </c>
      <c r="E166" s="68">
        <f>IFERROR(SUMIF(人工呼吸器!$C$30:$C$74,B166,人工呼吸器!$N$30:$N$74)*((人工呼吸器!$H$3-人工呼吸器!$I$3)/人工呼吸器!$H$3),0)</f>
        <v>0</v>
      </c>
      <c r="F166" s="69">
        <f t="shared" si="39"/>
        <v>0</v>
      </c>
      <c r="G166" s="69">
        <f t="shared" si="40"/>
        <v>0</v>
      </c>
      <c r="H166" s="69">
        <f t="shared" si="41"/>
        <v>0</v>
      </c>
      <c r="I166" s="68">
        <f>IFERROR(SUMIF(簡易陰圧装置!$C$30:$C$74,B166,簡易陰圧装置!$N$30:$N$74)*((簡易陰圧装置!$H$3-簡易陰圧装置!$I$3)/簡易陰圧装置!$H$3),0)</f>
        <v>0</v>
      </c>
      <c r="J166" s="69">
        <f t="shared" si="42"/>
        <v>0</v>
      </c>
      <c r="K166" s="68">
        <f>IFERROR(SUMIF(#REF!,B166,#REF!)*((#REF!-#REF!)/#REF!),0)</f>
        <v>0</v>
      </c>
      <c r="L166" s="69">
        <f t="shared" si="43"/>
        <v>0</v>
      </c>
      <c r="M166" s="68">
        <f>IFERROR(SUMIF(体外式膜型人工肺!$C$30:$C$74,B166,体外式膜型人工肺!$N$30:$N$74)*((体外式膜型人工肺!$H$3-体外式膜型人工肺!$I$3)/体外式膜型人工肺!$H$3),0)</f>
        <v>0</v>
      </c>
      <c r="N166" s="69">
        <f t="shared" si="44"/>
        <v>0</v>
      </c>
      <c r="O166" s="69">
        <f t="shared" si="45"/>
        <v>0</v>
      </c>
      <c r="P166" s="69">
        <f t="shared" si="46"/>
        <v>0</v>
      </c>
      <c r="Q166" s="68">
        <f>IFERROR(SUMIF(紫外線照射装置!$C$30:$C$74,B166,紫外線照射装置!$N$30:$N$74)*((紫外線照射装置!$H$3-紫外線照射装置!$I$3)/紫外線照射装置!$H$3),0)</f>
        <v>0</v>
      </c>
      <c r="R166" s="69">
        <f t="shared" si="47"/>
        <v>0</v>
      </c>
      <c r="S166" s="102">
        <f t="shared" si="48"/>
        <v>0</v>
      </c>
      <c r="T166" s="68">
        <f>IFERROR(SUMIF(超音波画像診断装置!$C$30:$C$74,B166,超音波画像診断装置!$K$30:$K$74)*((超音波画像診断装置!$H$3-超音波画像診断装置!$I$3)/超音波画像診断装置!$H$3),0)</f>
        <v>0</v>
      </c>
      <c r="U166" s="69">
        <f t="shared" si="49"/>
        <v>0</v>
      </c>
      <c r="V166" s="68">
        <f>IFERROR(SUMIF(血液浄化装置!$C$30:$C$74,B166,血液浄化装置!$K$30:$K$74)*((血液浄化装置!$H$3-血液浄化装置!$I$3)/血液浄化装置!$H$3),0)</f>
        <v>0</v>
      </c>
      <c r="W166" s="69">
        <f t="shared" si="50"/>
        <v>0</v>
      </c>
      <c r="X166" s="68">
        <f>IFERROR(SUMIF(気管支鏡!$C$30:$C$74,B166,気管支鏡!$K$30:$K$74)*((気管支鏡!$H$3-気管支鏡!$I$3)/気管支鏡!$H$3),0)</f>
        <v>0</v>
      </c>
      <c r="Y166" s="69">
        <f t="shared" si="36"/>
        <v>0</v>
      </c>
      <c r="Z166" s="68">
        <f>IFERROR(SUMIF(CT撮影装置!$C$30:$C$74,B166,CT撮影装置!$K$30:$K$74)*((CT撮影装置!$H$3-CT撮影装置!$I$3)/CT撮影装置!$H$3),0)</f>
        <v>0</v>
      </c>
      <c r="AA166" s="69">
        <f t="shared" si="51"/>
        <v>0</v>
      </c>
      <c r="AB166" s="68">
        <f>IFERROR(SUMIF(生体情報モニタ!$C$30:$C$74,B166,生体情報モニタ!$K$30:$K$74)*((生体情報モニタ!$H$3-生体情報モニタ!$I$3)/生体情報モニタ!$H$3),0)</f>
        <v>0</v>
      </c>
      <c r="AC166" s="69">
        <f t="shared" si="37"/>
        <v>0</v>
      </c>
      <c r="AD166" s="68">
        <f>IFERROR(SUMIF(分娩監視装置!$C$30:$C$74,B166,分娩監視装置!$K$30:$K$74)*((分娩監視装置!$H$3-分娩監視装置!$I$3)/分娩監視装置!$H$3),0)</f>
        <v>0</v>
      </c>
      <c r="AE166" s="69">
        <f t="shared" si="52"/>
        <v>0</v>
      </c>
      <c r="AF166" s="68">
        <f>IFERROR(SUMIF(新生児モニタ!$C$30:$C$74,B166,新生児モニタ!$K$30:$K$74)*((新生児モニタ!$H$3-新生児モニタ!$I$3)/新生児モニタ!$H$3),0)</f>
        <v>0</v>
      </c>
      <c r="AG166" s="69">
        <f t="shared" si="53"/>
        <v>0</v>
      </c>
    </row>
    <row r="167" spans="2:33">
      <c r="B167" s="65" t="s">
        <v>836</v>
      </c>
      <c r="C167" s="68">
        <f>IFERROR(SUMIF(初度設備!$C$30:$C$74,B167,初度設備!$N$30:$N$74)*((初度設備!$H$3-初度設備!$I$3)/初度設備!$H$3),0)</f>
        <v>0</v>
      </c>
      <c r="D167" s="69">
        <f t="shared" si="38"/>
        <v>0</v>
      </c>
      <c r="E167" s="68">
        <f>IFERROR(SUMIF(人工呼吸器!$C$30:$C$74,B167,人工呼吸器!$N$30:$N$74)*((人工呼吸器!$H$3-人工呼吸器!$I$3)/人工呼吸器!$H$3),0)</f>
        <v>0</v>
      </c>
      <c r="F167" s="69">
        <f t="shared" si="39"/>
        <v>0</v>
      </c>
      <c r="G167" s="69">
        <f t="shared" si="40"/>
        <v>0</v>
      </c>
      <c r="H167" s="69">
        <f t="shared" si="41"/>
        <v>0</v>
      </c>
      <c r="I167" s="68">
        <f>IFERROR(SUMIF(簡易陰圧装置!$C$30:$C$74,B167,簡易陰圧装置!$N$30:$N$74)*((簡易陰圧装置!$H$3-簡易陰圧装置!$I$3)/簡易陰圧装置!$H$3),0)</f>
        <v>0</v>
      </c>
      <c r="J167" s="69">
        <f t="shared" si="42"/>
        <v>0</v>
      </c>
      <c r="K167" s="68">
        <f>IFERROR(SUMIF(#REF!,B167,#REF!)*((#REF!-#REF!)/#REF!),0)</f>
        <v>0</v>
      </c>
      <c r="L167" s="69">
        <f t="shared" si="43"/>
        <v>0</v>
      </c>
      <c r="M167" s="68">
        <f>IFERROR(SUMIF(体外式膜型人工肺!$C$30:$C$74,B167,体外式膜型人工肺!$N$30:$N$74)*((体外式膜型人工肺!$H$3-体外式膜型人工肺!$I$3)/体外式膜型人工肺!$H$3),0)</f>
        <v>0</v>
      </c>
      <c r="N167" s="69">
        <f t="shared" si="44"/>
        <v>0</v>
      </c>
      <c r="O167" s="69">
        <f t="shared" si="45"/>
        <v>0</v>
      </c>
      <c r="P167" s="69">
        <f t="shared" si="46"/>
        <v>0</v>
      </c>
      <c r="Q167" s="68">
        <f>IFERROR(SUMIF(紫外線照射装置!$C$30:$C$74,B167,紫外線照射装置!$N$30:$N$74)*((紫外線照射装置!$H$3-紫外線照射装置!$I$3)/紫外線照射装置!$H$3),0)</f>
        <v>0</v>
      </c>
      <c r="R167" s="69">
        <f t="shared" si="47"/>
        <v>0</v>
      </c>
      <c r="S167" s="102">
        <f t="shared" si="48"/>
        <v>0</v>
      </c>
      <c r="T167" s="68">
        <f>IFERROR(SUMIF(超音波画像診断装置!$C$30:$C$74,B167,超音波画像診断装置!$K$30:$K$74)*((超音波画像診断装置!$H$3-超音波画像診断装置!$I$3)/超音波画像診断装置!$H$3),0)</f>
        <v>0</v>
      </c>
      <c r="U167" s="69">
        <f t="shared" si="49"/>
        <v>0</v>
      </c>
      <c r="V167" s="68">
        <f>IFERROR(SUMIF(血液浄化装置!$C$30:$C$74,B167,血液浄化装置!$K$30:$K$74)*((血液浄化装置!$H$3-血液浄化装置!$I$3)/血液浄化装置!$H$3),0)</f>
        <v>0</v>
      </c>
      <c r="W167" s="69">
        <f t="shared" si="50"/>
        <v>0</v>
      </c>
      <c r="X167" s="68">
        <f>IFERROR(SUMIF(気管支鏡!$C$30:$C$74,B167,気管支鏡!$K$30:$K$74)*((気管支鏡!$H$3-気管支鏡!$I$3)/気管支鏡!$H$3),0)</f>
        <v>0</v>
      </c>
      <c r="Y167" s="69">
        <f t="shared" si="36"/>
        <v>0</v>
      </c>
      <c r="Z167" s="68">
        <f>IFERROR(SUMIF(CT撮影装置!$C$30:$C$74,B167,CT撮影装置!$K$30:$K$74)*((CT撮影装置!$H$3-CT撮影装置!$I$3)/CT撮影装置!$H$3),0)</f>
        <v>0</v>
      </c>
      <c r="AA167" s="69">
        <f t="shared" si="51"/>
        <v>0</v>
      </c>
      <c r="AB167" s="68">
        <f>IFERROR(SUMIF(生体情報モニタ!$C$30:$C$74,B167,生体情報モニタ!$K$30:$K$74)*((生体情報モニタ!$H$3-生体情報モニタ!$I$3)/生体情報モニタ!$H$3),0)</f>
        <v>0</v>
      </c>
      <c r="AC167" s="69">
        <f t="shared" si="37"/>
        <v>0</v>
      </c>
      <c r="AD167" s="68">
        <f>IFERROR(SUMIF(分娩監視装置!$C$30:$C$74,B167,分娩監視装置!$K$30:$K$74)*((分娩監視装置!$H$3-分娩監視装置!$I$3)/分娩監視装置!$H$3),0)</f>
        <v>0</v>
      </c>
      <c r="AE167" s="69">
        <f t="shared" si="52"/>
        <v>0</v>
      </c>
      <c r="AF167" s="68">
        <f>IFERROR(SUMIF(新生児モニタ!$C$30:$C$74,B167,新生児モニタ!$K$30:$K$74)*((新生児モニタ!$H$3-新生児モニタ!$I$3)/新生児モニタ!$H$3),0)</f>
        <v>0</v>
      </c>
      <c r="AG167" s="69">
        <f t="shared" si="53"/>
        <v>0</v>
      </c>
    </row>
    <row r="168" spans="2:33">
      <c r="B168" s="65" t="s">
        <v>837</v>
      </c>
      <c r="C168" s="68">
        <f>IFERROR(SUMIF(初度設備!$C$30:$C$74,B168,初度設備!$N$30:$N$74)*((初度設備!$H$3-初度設備!$I$3)/初度設備!$H$3),0)</f>
        <v>0</v>
      </c>
      <c r="D168" s="69">
        <f t="shared" si="38"/>
        <v>0</v>
      </c>
      <c r="E168" s="68">
        <f>IFERROR(SUMIF(人工呼吸器!$C$30:$C$74,B168,人工呼吸器!$N$30:$N$74)*((人工呼吸器!$H$3-人工呼吸器!$I$3)/人工呼吸器!$H$3),0)</f>
        <v>0</v>
      </c>
      <c r="F168" s="69">
        <f t="shared" si="39"/>
        <v>0</v>
      </c>
      <c r="G168" s="69">
        <f t="shared" si="40"/>
        <v>0</v>
      </c>
      <c r="H168" s="69">
        <f t="shared" si="41"/>
        <v>0</v>
      </c>
      <c r="I168" s="68">
        <f>IFERROR(SUMIF(簡易陰圧装置!$C$30:$C$74,B168,簡易陰圧装置!$N$30:$N$74)*((簡易陰圧装置!$H$3-簡易陰圧装置!$I$3)/簡易陰圧装置!$H$3),0)</f>
        <v>0</v>
      </c>
      <c r="J168" s="69">
        <f t="shared" si="42"/>
        <v>0</v>
      </c>
      <c r="K168" s="68">
        <f>IFERROR(SUMIF(#REF!,B168,#REF!)*((#REF!-#REF!)/#REF!),0)</f>
        <v>0</v>
      </c>
      <c r="L168" s="69">
        <f t="shared" si="43"/>
        <v>0</v>
      </c>
      <c r="M168" s="68">
        <f>IFERROR(SUMIF(体外式膜型人工肺!$C$30:$C$74,B168,体外式膜型人工肺!$N$30:$N$74)*((体外式膜型人工肺!$H$3-体外式膜型人工肺!$I$3)/体外式膜型人工肺!$H$3),0)</f>
        <v>0</v>
      </c>
      <c r="N168" s="69">
        <f t="shared" si="44"/>
        <v>0</v>
      </c>
      <c r="O168" s="69">
        <f t="shared" si="45"/>
        <v>0</v>
      </c>
      <c r="P168" s="69">
        <f t="shared" si="46"/>
        <v>0</v>
      </c>
      <c r="Q168" s="68">
        <f>IFERROR(SUMIF(紫外線照射装置!$C$30:$C$74,B168,紫外線照射装置!$N$30:$N$74)*((紫外線照射装置!$H$3-紫外線照射装置!$I$3)/紫外線照射装置!$H$3),0)</f>
        <v>0</v>
      </c>
      <c r="R168" s="69">
        <f t="shared" si="47"/>
        <v>0</v>
      </c>
      <c r="S168" s="102">
        <f t="shared" si="48"/>
        <v>0</v>
      </c>
      <c r="T168" s="68">
        <f>IFERROR(SUMIF(超音波画像診断装置!$C$30:$C$74,B168,超音波画像診断装置!$K$30:$K$74)*((超音波画像診断装置!$H$3-超音波画像診断装置!$I$3)/超音波画像診断装置!$H$3),0)</f>
        <v>0</v>
      </c>
      <c r="U168" s="69">
        <f t="shared" si="49"/>
        <v>0</v>
      </c>
      <c r="V168" s="68">
        <f>IFERROR(SUMIF(血液浄化装置!$C$30:$C$74,B168,血液浄化装置!$K$30:$K$74)*((血液浄化装置!$H$3-血液浄化装置!$I$3)/血液浄化装置!$H$3),0)</f>
        <v>0</v>
      </c>
      <c r="W168" s="69">
        <f t="shared" si="50"/>
        <v>0</v>
      </c>
      <c r="X168" s="68">
        <f>IFERROR(SUMIF(気管支鏡!$C$30:$C$74,B168,気管支鏡!$K$30:$K$74)*((気管支鏡!$H$3-気管支鏡!$I$3)/気管支鏡!$H$3),0)</f>
        <v>0</v>
      </c>
      <c r="Y168" s="69">
        <f t="shared" si="36"/>
        <v>0</v>
      </c>
      <c r="Z168" s="68">
        <f>IFERROR(SUMIF(CT撮影装置!$C$30:$C$74,B168,CT撮影装置!$K$30:$K$74)*((CT撮影装置!$H$3-CT撮影装置!$I$3)/CT撮影装置!$H$3),0)</f>
        <v>0</v>
      </c>
      <c r="AA168" s="69">
        <f t="shared" si="51"/>
        <v>0</v>
      </c>
      <c r="AB168" s="68">
        <f>IFERROR(SUMIF(生体情報モニタ!$C$30:$C$74,B168,生体情報モニタ!$K$30:$K$74)*((生体情報モニタ!$H$3-生体情報モニタ!$I$3)/生体情報モニタ!$H$3),0)</f>
        <v>0</v>
      </c>
      <c r="AC168" s="69">
        <f t="shared" si="37"/>
        <v>0</v>
      </c>
      <c r="AD168" s="68">
        <f>IFERROR(SUMIF(分娩監視装置!$C$30:$C$74,B168,分娩監視装置!$K$30:$K$74)*((分娩監視装置!$H$3-分娩監視装置!$I$3)/分娩監視装置!$H$3),0)</f>
        <v>0</v>
      </c>
      <c r="AE168" s="69">
        <f t="shared" si="52"/>
        <v>0</v>
      </c>
      <c r="AF168" s="68">
        <f>IFERROR(SUMIF(新生児モニタ!$C$30:$C$74,B168,新生児モニタ!$K$30:$K$74)*((新生児モニタ!$H$3-新生児モニタ!$I$3)/新生児モニタ!$H$3),0)</f>
        <v>0</v>
      </c>
      <c r="AG168" s="69">
        <f t="shared" si="53"/>
        <v>0</v>
      </c>
    </row>
    <row r="169" spans="2:33">
      <c r="B169" s="65" t="s">
        <v>838</v>
      </c>
      <c r="C169" s="68">
        <f>IFERROR(SUMIF(初度設備!$C$30:$C$74,B169,初度設備!$N$30:$N$74)*((初度設備!$H$3-初度設備!$I$3)/初度設備!$H$3),0)</f>
        <v>0</v>
      </c>
      <c r="D169" s="69">
        <f t="shared" si="38"/>
        <v>0</v>
      </c>
      <c r="E169" s="68">
        <f>IFERROR(SUMIF(人工呼吸器!$C$30:$C$74,B169,人工呼吸器!$N$30:$N$74)*((人工呼吸器!$H$3-人工呼吸器!$I$3)/人工呼吸器!$H$3),0)</f>
        <v>0</v>
      </c>
      <c r="F169" s="69">
        <f t="shared" si="39"/>
        <v>0</v>
      </c>
      <c r="G169" s="69">
        <f t="shared" si="40"/>
        <v>0</v>
      </c>
      <c r="H169" s="69">
        <f t="shared" si="41"/>
        <v>0</v>
      </c>
      <c r="I169" s="68">
        <f>IFERROR(SUMIF(簡易陰圧装置!$C$30:$C$74,B169,簡易陰圧装置!$N$30:$N$74)*((簡易陰圧装置!$H$3-簡易陰圧装置!$I$3)/簡易陰圧装置!$H$3),0)</f>
        <v>0</v>
      </c>
      <c r="J169" s="69">
        <f t="shared" si="42"/>
        <v>0</v>
      </c>
      <c r="K169" s="68">
        <f>IFERROR(SUMIF(#REF!,B169,#REF!)*((#REF!-#REF!)/#REF!),0)</f>
        <v>0</v>
      </c>
      <c r="L169" s="69">
        <f t="shared" si="43"/>
        <v>0</v>
      </c>
      <c r="M169" s="68">
        <f>IFERROR(SUMIF(体外式膜型人工肺!$C$30:$C$74,B169,体外式膜型人工肺!$N$30:$N$74)*((体外式膜型人工肺!$H$3-体外式膜型人工肺!$I$3)/体外式膜型人工肺!$H$3),0)</f>
        <v>0</v>
      </c>
      <c r="N169" s="69">
        <f t="shared" si="44"/>
        <v>0</v>
      </c>
      <c r="O169" s="69">
        <f t="shared" si="45"/>
        <v>0</v>
      </c>
      <c r="P169" s="69">
        <f t="shared" si="46"/>
        <v>0</v>
      </c>
      <c r="Q169" s="68">
        <f>IFERROR(SUMIF(紫外線照射装置!$C$30:$C$74,B169,紫外線照射装置!$N$30:$N$74)*((紫外線照射装置!$H$3-紫外線照射装置!$I$3)/紫外線照射装置!$H$3),0)</f>
        <v>0</v>
      </c>
      <c r="R169" s="69">
        <f t="shared" si="47"/>
        <v>0</v>
      </c>
      <c r="S169" s="102">
        <f t="shared" si="48"/>
        <v>0</v>
      </c>
      <c r="T169" s="68">
        <f>IFERROR(SUMIF(超音波画像診断装置!$C$30:$C$74,B169,超音波画像診断装置!$K$30:$K$74)*((超音波画像診断装置!$H$3-超音波画像診断装置!$I$3)/超音波画像診断装置!$H$3),0)</f>
        <v>0</v>
      </c>
      <c r="U169" s="69">
        <f t="shared" si="49"/>
        <v>0</v>
      </c>
      <c r="V169" s="68">
        <f>IFERROR(SUMIF(血液浄化装置!$C$30:$C$74,B169,血液浄化装置!$K$30:$K$74)*((血液浄化装置!$H$3-血液浄化装置!$I$3)/血液浄化装置!$H$3),0)</f>
        <v>0</v>
      </c>
      <c r="W169" s="69">
        <f t="shared" si="50"/>
        <v>0</v>
      </c>
      <c r="X169" s="68">
        <f>IFERROR(SUMIF(気管支鏡!$C$30:$C$74,B169,気管支鏡!$K$30:$K$74)*((気管支鏡!$H$3-気管支鏡!$I$3)/気管支鏡!$H$3),0)</f>
        <v>0</v>
      </c>
      <c r="Y169" s="69">
        <f t="shared" si="36"/>
        <v>0</v>
      </c>
      <c r="Z169" s="68">
        <f>IFERROR(SUMIF(CT撮影装置!$C$30:$C$74,B169,CT撮影装置!$K$30:$K$74)*((CT撮影装置!$H$3-CT撮影装置!$I$3)/CT撮影装置!$H$3),0)</f>
        <v>0</v>
      </c>
      <c r="AA169" s="69">
        <f t="shared" si="51"/>
        <v>0</v>
      </c>
      <c r="AB169" s="68">
        <f>IFERROR(SUMIF(生体情報モニタ!$C$30:$C$74,B169,生体情報モニタ!$K$30:$K$74)*((生体情報モニタ!$H$3-生体情報モニタ!$I$3)/生体情報モニタ!$H$3),0)</f>
        <v>0</v>
      </c>
      <c r="AC169" s="69">
        <f t="shared" si="37"/>
        <v>0</v>
      </c>
      <c r="AD169" s="68">
        <f>IFERROR(SUMIF(分娩監視装置!$C$30:$C$74,B169,分娩監視装置!$K$30:$K$74)*((分娩監視装置!$H$3-分娩監視装置!$I$3)/分娩監視装置!$H$3),0)</f>
        <v>0</v>
      </c>
      <c r="AE169" s="69">
        <f t="shared" si="52"/>
        <v>0</v>
      </c>
      <c r="AF169" s="68">
        <f>IFERROR(SUMIF(新生児モニタ!$C$30:$C$74,B169,新生児モニタ!$K$30:$K$74)*((新生児モニタ!$H$3-新生児モニタ!$I$3)/新生児モニタ!$H$3),0)</f>
        <v>0</v>
      </c>
      <c r="AG169" s="69">
        <f t="shared" si="53"/>
        <v>0</v>
      </c>
    </row>
    <row r="170" spans="2:33">
      <c r="B170" s="65" t="s">
        <v>839</v>
      </c>
      <c r="C170" s="68">
        <f>IFERROR(SUMIF(初度設備!$C$30:$C$74,B170,初度設備!$N$30:$N$74)*((初度設備!$H$3-初度設備!$I$3)/初度設備!$H$3),0)</f>
        <v>0</v>
      </c>
      <c r="D170" s="69">
        <f t="shared" si="38"/>
        <v>0</v>
      </c>
      <c r="E170" s="68">
        <f>IFERROR(SUMIF(人工呼吸器!$C$30:$C$74,B170,人工呼吸器!$N$30:$N$74)*((人工呼吸器!$H$3-人工呼吸器!$I$3)/人工呼吸器!$H$3),0)</f>
        <v>0</v>
      </c>
      <c r="F170" s="69">
        <f t="shared" si="39"/>
        <v>0</v>
      </c>
      <c r="G170" s="69">
        <f t="shared" si="40"/>
        <v>0</v>
      </c>
      <c r="H170" s="69">
        <f t="shared" si="41"/>
        <v>0</v>
      </c>
      <c r="I170" s="68">
        <f>IFERROR(SUMIF(簡易陰圧装置!$C$30:$C$74,B170,簡易陰圧装置!$N$30:$N$74)*((簡易陰圧装置!$H$3-簡易陰圧装置!$I$3)/簡易陰圧装置!$H$3),0)</f>
        <v>0</v>
      </c>
      <c r="J170" s="69">
        <f t="shared" si="42"/>
        <v>0</v>
      </c>
      <c r="K170" s="68">
        <f>IFERROR(SUMIF(#REF!,B170,#REF!)*((#REF!-#REF!)/#REF!),0)</f>
        <v>0</v>
      </c>
      <c r="L170" s="69">
        <f t="shared" si="43"/>
        <v>0</v>
      </c>
      <c r="M170" s="68">
        <f>IFERROR(SUMIF(体外式膜型人工肺!$C$30:$C$74,B170,体外式膜型人工肺!$N$30:$N$74)*((体外式膜型人工肺!$H$3-体外式膜型人工肺!$I$3)/体外式膜型人工肺!$H$3),0)</f>
        <v>0</v>
      </c>
      <c r="N170" s="69">
        <f t="shared" si="44"/>
        <v>0</v>
      </c>
      <c r="O170" s="69">
        <f t="shared" si="45"/>
        <v>0</v>
      </c>
      <c r="P170" s="69">
        <f t="shared" si="46"/>
        <v>0</v>
      </c>
      <c r="Q170" s="68">
        <f>IFERROR(SUMIF(紫外線照射装置!$C$30:$C$74,B170,紫外線照射装置!$N$30:$N$74)*((紫外線照射装置!$H$3-紫外線照射装置!$I$3)/紫外線照射装置!$H$3),0)</f>
        <v>0</v>
      </c>
      <c r="R170" s="69">
        <f t="shared" si="47"/>
        <v>0</v>
      </c>
      <c r="S170" s="102">
        <f t="shared" si="48"/>
        <v>0</v>
      </c>
      <c r="T170" s="68">
        <f>IFERROR(SUMIF(超音波画像診断装置!$C$30:$C$74,B170,超音波画像診断装置!$K$30:$K$74)*((超音波画像診断装置!$H$3-超音波画像診断装置!$I$3)/超音波画像診断装置!$H$3),0)</f>
        <v>0</v>
      </c>
      <c r="U170" s="69">
        <f t="shared" si="49"/>
        <v>0</v>
      </c>
      <c r="V170" s="68">
        <f>IFERROR(SUMIF(血液浄化装置!$C$30:$C$74,B170,血液浄化装置!$K$30:$K$74)*((血液浄化装置!$H$3-血液浄化装置!$I$3)/血液浄化装置!$H$3),0)</f>
        <v>0</v>
      </c>
      <c r="W170" s="69">
        <f t="shared" si="50"/>
        <v>0</v>
      </c>
      <c r="X170" s="68">
        <f>IFERROR(SUMIF(気管支鏡!$C$30:$C$74,B170,気管支鏡!$K$30:$K$74)*((気管支鏡!$H$3-気管支鏡!$I$3)/気管支鏡!$H$3),0)</f>
        <v>0</v>
      </c>
      <c r="Y170" s="69">
        <f t="shared" si="36"/>
        <v>0</v>
      </c>
      <c r="Z170" s="68">
        <f>IFERROR(SUMIF(CT撮影装置!$C$30:$C$74,B170,CT撮影装置!$K$30:$K$74)*((CT撮影装置!$H$3-CT撮影装置!$I$3)/CT撮影装置!$H$3),0)</f>
        <v>0</v>
      </c>
      <c r="AA170" s="69">
        <f t="shared" si="51"/>
        <v>0</v>
      </c>
      <c r="AB170" s="68">
        <f>IFERROR(SUMIF(生体情報モニタ!$C$30:$C$74,B170,生体情報モニタ!$K$30:$K$74)*((生体情報モニタ!$H$3-生体情報モニタ!$I$3)/生体情報モニタ!$H$3),0)</f>
        <v>0</v>
      </c>
      <c r="AC170" s="69">
        <f t="shared" si="37"/>
        <v>0</v>
      </c>
      <c r="AD170" s="68">
        <f>IFERROR(SUMIF(分娩監視装置!$C$30:$C$74,B170,分娩監視装置!$K$30:$K$74)*((分娩監視装置!$H$3-分娩監視装置!$I$3)/分娩監視装置!$H$3),0)</f>
        <v>0</v>
      </c>
      <c r="AE170" s="69">
        <f t="shared" si="52"/>
        <v>0</v>
      </c>
      <c r="AF170" s="68">
        <f>IFERROR(SUMIF(新生児モニタ!$C$30:$C$74,B170,新生児モニタ!$K$30:$K$74)*((新生児モニタ!$H$3-新生児モニタ!$I$3)/新生児モニタ!$H$3),0)</f>
        <v>0</v>
      </c>
      <c r="AG170" s="69">
        <f t="shared" si="53"/>
        <v>0</v>
      </c>
    </row>
    <row r="171" spans="2:33">
      <c r="B171" s="65" t="s">
        <v>840</v>
      </c>
      <c r="C171" s="68">
        <f>IFERROR(SUMIF(初度設備!$C$30:$C$74,B171,初度設備!$N$30:$N$74)*((初度設備!$H$3-初度設備!$I$3)/初度設備!$H$3),0)</f>
        <v>0</v>
      </c>
      <c r="D171" s="69">
        <f t="shared" si="38"/>
        <v>0</v>
      </c>
      <c r="E171" s="68">
        <f>IFERROR(SUMIF(人工呼吸器!$C$30:$C$74,B171,人工呼吸器!$N$30:$N$74)*((人工呼吸器!$H$3-人工呼吸器!$I$3)/人工呼吸器!$H$3),0)</f>
        <v>0</v>
      </c>
      <c r="F171" s="69">
        <f t="shared" si="39"/>
        <v>0</v>
      </c>
      <c r="G171" s="69">
        <f t="shared" si="40"/>
        <v>0</v>
      </c>
      <c r="H171" s="69">
        <f t="shared" si="41"/>
        <v>0</v>
      </c>
      <c r="I171" s="68">
        <f>IFERROR(SUMIF(簡易陰圧装置!$C$30:$C$74,B171,簡易陰圧装置!$N$30:$N$74)*((簡易陰圧装置!$H$3-簡易陰圧装置!$I$3)/簡易陰圧装置!$H$3),0)</f>
        <v>0</v>
      </c>
      <c r="J171" s="69">
        <f t="shared" si="42"/>
        <v>0</v>
      </c>
      <c r="K171" s="68">
        <f>IFERROR(SUMIF(#REF!,B171,#REF!)*((#REF!-#REF!)/#REF!),0)</f>
        <v>0</v>
      </c>
      <c r="L171" s="69">
        <f t="shared" si="43"/>
        <v>0</v>
      </c>
      <c r="M171" s="68">
        <f>IFERROR(SUMIF(体外式膜型人工肺!$C$30:$C$74,B171,体外式膜型人工肺!$N$30:$N$74)*((体外式膜型人工肺!$H$3-体外式膜型人工肺!$I$3)/体外式膜型人工肺!$H$3),0)</f>
        <v>0</v>
      </c>
      <c r="N171" s="69">
        <f t="shared" si="44"/>
        <v>0</v>
      </c>
      <c r="O171" s="69">
        <f t="shared" si="45"/>
        <v>0</v>
      </c>
      <c r="P171" s="69">
        <f t="shared" si="46"/>
        <v>0</v>
      </c>
      <c r="Q171" s="68">
        <f>IFERROR(SUMIF(紫外線照射装置!$C$30:$C$74,B171,紫外線照射装置!$N$30:$N$74)*((紫外線照射装置!$H$3-紫外線照射装置!$I$3)/紫外線照射装置!$H$3),0)</f>
        <v>0</v>
      </c>
      <c r="R171" s="69">
        <f t="shared" si="47"/>
        <v>0</v>
      </c>
      <c r="S171" s="102">
        <f t="shared" si="48"/>
        <v>0</v>
      </c>
      <c r="T171" s="68">
        <f>IFERROR(SUMIF(超音波画像診断装置!$C$30:$C$74,B171,超音波画像診断装置!$K$30:$K$74)*((超音波画像診断装置!$H$3-超音波画像診断装置!$I$3)/超音波画像診断装置!$H$3),0)</f>
        <v>0</v>
      </c>
      <c r="U171" s="69">
        <f t="shared" si="49"/>
        <v>0</v>
      </c>
      <c r="V171" s="68">
        <f>IFERROR(SUMIF(血液浄化装置!$C$30:$C$74,B171,血液浄化装置!$K$30:$K$74)*((血液浄化装置!$H$3-血液浄化装置!$I$3)/血液浄化装置!$H$3),0)</f>
        <v>0</v>
      </c>
      <c r="W171" s="69">
        <f t="shared" si="50"/>
        <v>0</v>
      </c>
      <c r="X171" s="68">
        <f>IFERROR(SUMIF(気管支鏡!$C$30:$C$74,B171,気管支鏡!$K$30:$K$74)*((気管支鏡!$H$3-気管支鏡!$I$3)/気管支鏡!$H$3),0)</f>
        <v>0</v>
      </c>
      <c r="Y171" s="69">
        <f t="shared" si="36"/>
        <v>0</v>
      </c>
      <c r="Z171" s="68">
        <f>IFERROR(SUMIF(CT撮影装置!$C$30:$C$74,B171,CT撮影装置!$K$30:$K$74)*((CT撮影装置!$H$3-CT撮影装置!$I$3)/CT撮影装置!$H$3),0)</f>
        <v>0</v>
      </c>
      <c r="AA171" s="69">
        <f t="shared" si="51"/>
        <v>0</v>
      </c>
      <c r="AB171" s="68">
        <f>IFERROR(SUMIF(生体情報モニタ!$C$30:$C$74,B171,生体情報モニタ!$K$30:$K$74)*((生体情報モニタ!$H$3-生体情報モニタ!$I$3)/生体情報モニタ!$H$3),0)</f>
        <v>0</v>
      </c>
      <c r="AC171" s="69">
        <f t="shared" si="37"/>
        <v>0</v>
      </c>
      <c r="AD171" s="68">
        <f>IFERROR(SUMIF(分娩監視装置!$C$30:$C$74,B171,分娩監視装置!$K$30:$K$74)*((分娩監視装置!$H$3-分娩監視装置!$I$3)/分娩監視装置!$H$3),0)</f>
        <v>0</v>
      </c>
      <c r="AE171" s="69">
        <f t="shared" si="52"/>
        <v>0</v>
      </c>
      <c r="AF171" s="68">
        <f>IFERROR(SUMIF(新生児モニタ!$C$30:$C$74,B171,新生児モニタ!$K$30:$K$74)*((新生児モニタ!$H$3-新生児モニタ!$I$3)/新生児モニタ!$H$3),0)</f>
        <v>0</v>
      </c>
      <c r="AG171" s="69">
        <f t="shared" si="53"/>
        <v>0</v>
      </c>
    </row>
    <row r="172" spans="2:33">
      <c r="B172" s="65" t="s">
        <v>841</v>
      </c>
      <c r="C172" s="68">
        <f>IFERROR(SUMIF(初度設備!$C$30:$C$74,B172,初度設備!$N$30:$N$74)*((初度設備!$H$3-初度設備!$I$3)/初度設備!$H$3),0)</f>
        <v>0</v>
      </c>
      <c r="D172" s="69">
        <f t="shared" si="38"/>
        <v>0</v>
      </c>
      <c r="E172" s="68">
        <f>IFERROR(SUMIF(人工呼吸器!$C$30:$C$74,B172,人工呼吸器!$N$30:$N$74)*((人工呼吸器!$H$3-人工呼吸器!$I$3)/人工呼吸器!$H$3),0)</f>
        <v>0</v>
      </c>
      <c r="F172" s="69">
        <f t="shared" si="39"/>
        <v>0</v>
      </c>
      <c r="G172" s="69">
        <f t="shared" si="40"/>
        <v>0</v>
      </c>
      <c r="H172" s="69">
        <f t="shared" si="41"/>
        <v>0</v>
      </c>
      <c r="I172" s="68">
        <f>IFERROR(SUMIF(簡易陰圧装置!$C$30:$C$74,B172,簡易陰圧装置!$N$30:$N$74)*((簡易陰圧装置!$H$3-簡易陰圧装置!$I$3)/簡易陰圧装置!$H$3),0)</f>
        <v>0</v>
      </c>
      <c r="J172" s="69">
        <f t="shared" si="42"/>
        <v>0</v>
      </c>
      <c r="K172" s="68">
        <f>IFERROR(SUMIF(#REF!,B172,#REF!)*((#REF!-#REF!)/#REF!),0)</f>
        <v>0</v>
      </c>
      <c r="L172" s="69">
        <f t="shared" si="43"/>
        <v>0</v>
      </c>
      <c r="M172" s="68">
        <f>IFERROR(SUMIF(体外式膜型人工肺!$C$30:$C$74,B172,体外式膜型人工肺!$N$30:$N$74)*((体外式膜型人工肺!$H$3-体外式膜型人工肺!$I$3)/体外式膜型人工肺!$H$3),0)</f>
        <v>0</v>
      </c>
      <c r="N172" s="69">
        <f t="shared" si="44"/>
        <v>0</v>
      </c>
      <c r="O172" s="69">
        <f t="shared" si="45"/>
        <v>0</v>
      </c>
      <c r="P172" s="69">
        <f t="shared" si="46"/>
        <v>0</v>
      </c>
      <c r="Q172" s="68">
        <f>IFERROR(SUMIF(紫外線照射装置!$C$30:$C$74,B172,紫外線照射装置!$N$30:$N$74)*((紫外線照射装置!$H$3-紫外線照射装置!$I$3)/紫外線照射装置!$H$3),0)</f>
        <v>0</v>
      </c>
      <c r="R172" s="69">
        <f t="shared" si="47"/>
        <v>0</v>
      </c>
      <c r="S172" s="102">
        <f t="shared" si="48"/>
        <v>0</v>
      </c>
      <c r="T172" s="68">
        <f>IFERROR(SUMIF(超音波画像診断装置!$C$30:$C$74,B172,超音波画像診断装置!$K$30:$K$74)*((超音波画像診断装置!$H$3-超音波画像診断装置!$I$3)/超音波画像診断装置!$H$3),0)</f>
        <v>0</v>
      </c>
      <c r="U172" s="69">
        <f t="shared" si="49"/>
        <v>0</v>
      </c>
      <c r="V172" s="68">
        <f>IFERROR(SUMIF(血液浄化装置!$C$30:$C$74,B172,血液浄化装置!$K$30:$K$74)*((血液浄化装置!$H$3-血液浄化装置!$I$3)/血液浄化装置!$H$3),0)</f>
        <v>0</v>
      </c>
      <c r="W172" s="69">
        <f t="shared" si="50"/>
        <v>0</v>
      </c>
      <c r="X172" s="68">
        <f>IFERROR(SUMIF(気管支鏡!$C$30:$C$74,B172,気管支鏡!$K$30:$K$74)*((気管支鏡!$H$3-気管支鏡!$I$3)/気管支鏡!$H$3),0)</f>
        <v>0</v>
      </c>
      <c r="Y172" s="69">
        <f t="shared" si="36"/>
        <v>0</v>
      </c>
      <c r="Z172" s="68">
        <f>IFERROR(SUMIF(CT撮影装置!$C$30:$C$74,B172,CT撮影装置!$K$30:$K$74)*((CT撮影装置!$H$3-CT撮影装置!$I$3)/CT撮影装置!$H$3),0)</f>
        <v>0</v>
      </c>
      <c r="AA172" s="69">
        <f t="shared" si="51"/>
        <v>0</v>
      </c>
      <c r="AB172" s="68">
        <f>IFERROR(SUMIF(生体情報モニタ!$C$30:$C$74,B172,生体情報モニタ!$K$30:$K$74)*((生体情報モニタ!$H$3-生体情報モニタ!$I$3)/生体情報モニタ!$H$3),0)</f>
        <v>0</v>
      </c>
      <c r="AC172" s="69">
        <f t="shared" si="37"/>
        <v>0</v>
      </c>
      <c r="AD172" s="68">
        <f>IFERROR(SUMIF(分娩監視装置!$C$30:$C$74,B172,分娩監視装置!$K$30:$K$74)*((分娩監視装置!$H$3-分娩監視装置!$I$3)/分娩監視装置!$H$3),0)</f>
        <v>0</v>
      </c>
      <c r="AE172" s="69">
        <f t="shared" si="52"/>
        <v>0</v>
      </c>
      <c r="AF172" s="68">
        <f>IFERROR(SUMIF(新生児モニタ!$C$30:$C$74,B172,新生児モニタ!$K$30:$K$74)*((新生児モニタ!$H$3-新生児モニタ!$I$3)/新生児モニタ!$H$3),0)</f>
        <v>0</v>
      </c>
      <c r="AG172" s="69">
        <f t="shared" si="53"/>
        <v>0</v>
      </c>
    </row>
    <row r="173" spans="2:33">
      <c r="B173" s="65" t="s">
        <v>842</v>
      </c>
      <c r="C173" s="68">
        <f>IFERROR(SUMIF(初度設備!$C$30:$C$74,B173,初度設備!$N$30:$N$74)*((初度設備!$H$3-初度設備!$I$3)/初度設備!$H$3),0)</f>
        <v>0</v>
      </c>
      <c r="D173" s="69">
        <f t="shared" si="38"/>
        <v>0</v>
      </c>
      <c r="E173" s="68">
        <f>IFERROR(SUMIF(人工呼吸器!$C$30:$C$74,B173,人工呼吸器!$N$30:$N$74)*((人工呼吸器!$H$3-人工呼吸器!$I$3)/人工呼吸器!$H$3),0)</f>
        <v>0</v>
      </c>
      <c r="F173" s="69">
        <f t="shared" si="39"/>
        <v>0</v>
      </c>
      <c r="G173" s="69">
        <f t="shared" si="40"/>
        <v>0</v>
      </c>
      <c r="H173" s="69">
        <f t="shared" si="41"/>
        <v>0</v>
      </c>
      <c r="I173" s="68">
        <f>IFERROR(SUMIF(簡易陰圧装置!$C$30:$C$74,B173,簡易陰圧装置!$N$30:$N$74)*((簡易陰圧装置!$H$3-簡易陰圧装置!$I$3)/簡易陰圧装置!$H$3),0)</f>
        <v>0</v>
      </c>
      <c r="J173" s="69">
        <f t="shared" si="42"/>
        <v>0</v>
      </c>
      <c r="K173" s="68">
        <f>IFERROR(SUMIF(#REF!,B173,#REF!)*((#REF!-#REF!)/#REF!),0)</f>
        <v>0</v>
      </c>
      <c r="L173" s="69">
        <f t="shared" si="43"/>
        <v>0</v>
      </c>
      <c r="M173" s="68">
        <f>IFERROR(SUMIF(体外式膜型人工肺!$C$30:$C$74,B173,体外式膜型人工肺!$N$30:$N$74)*((体外式膜型人工肺!$H$3-体外式膜型人工肺!$I$3)/体外式膜型人工肺!$H$3),0)</f>
        <v>0</v>
      </c>
      <c r="N173" s="69">
        <f t="shared" si="44"/>
        <v>0</v>
      </c>
      <c r="O173" s="69">
        <f t="shared" si="45"/>
        <v>0</v>
      </c>
      <c r="P173" s="69">
        <f t="shared" si="46"/>
        <v>0</v>
      </c>
      <c r="Q173" s="68">
        <f>IFERROR(SUMIF(紫外線照射装置!$C$30:$C$74,B173,紫外線照射装置!$N$30:$N$74)*((紫外線照射装置!$H$3-紫外線照射装置!$I$3)/紫外線照射装置!$H$3),0)</f>
        <v>0</v>
      </c>
      <c r="R173" s="69">
        <f t="shared" si="47"/>
        <v>0</v>
      </c>
      <c r="S173" s="102">
        <f t="shared" si="48"/>
        <v>0</v>
      </c>
      <c r="T173" s="68">
        <f>IFERROR(SUMIF(超音波画像診断装置!$C$30:$C$74,B173,超音波画像診断装置!$K$30:$K$74)*((超音波画像診断装置!$H$3-超音波画像診断装置!$I$3)/超音波画像診断装置!$H$3),0)</f>
        <v>15400000</v>
      </c>
      <c r="U173" s="69">
        <f t="shared" si="49"/>
        <v>11000000</v>
      </c>
      <c r="V173" s="68">
        <f>IFERROR(SUMIF(血液浄化装置!$C$30:$C$74,B173,血液浄化装置!$K$30:$K$74)*((血液浄化装置!$H$3-血液浄化装置!$I$3)/血液浄化装置!$H$3),0)</f>
        <v>17600000</v>
      </c>
      <c r="W173" s="69">
        <f t="shared" si="50"/>
        <v>6600000</v>
      </c>
      <c r="X173" s="68">
        <f>IFERROR(SUMIF(気管支鏡!$C$30:$C$74,B173,気管支鏡!$K$30:$K$74)*((気管支鏡!$H$3-気管支鏡!$I$3)/気管支鏡!$H$3),0)</f>
        <v>19800000</v>
      </c>
      <c r="Y173" s="69">
        <f t="shared" si="36"/>
        <v>5500000</v>
      </c>
      <c r="Z173" s="68">
        <f>IFERROR(SUMIF(CT撮影装置!$C$30:$C$74,B173,CT撮影装置!$K$30:$K$74)*((CT撮影装置!$H$3-CT撮影装置!$I$3)/CT撮影装置!$H$3),0)</f>
        <v>24200000</v>
      </c>
      <c r="AA173" s="69">
        <f t="shared" si="51"/>
        <v>24200000</v>
      </c>
      <c r="AB173" s="68">
        <f>IFERROR(SUMIF(生体情報モニタ!$C$30:$C$74,B173,生体情報モニタ!$K$30:$K$74)*((生体情報モニタ!$H$3-生体情報モニタ!$I$3)/生体情報モニタ!$H$3),0)</f>
        <v>26400000</v>
      </c>
      <c r="AC173" s="69">
        <f t="shared" si="37"/>
        <v>1100000</v>
      </c>
      <c r="AD173" s="68">
        <f>IFERROR(SUMIF(分娩監視装置!$C$30:$C$74,B173,分娩監視装置!$K$30:$K$74)*((分娩監視装置!$H$3-分娩監視装置!$I$3)/分娩監視装置!$H$3),0)</f>
        <v>28600000</v>
      </c>
      <c r="AE173" s="69">
        <f t="shared" si="52"/>
        <v>2200000</v>
      </c>
      <c r="AF173" s="68">
        <f>IFERROR(SUMIF(新生児モニタ!$C$30:$C$74,B173,新生児モニタ!$K$30:$K$74)*((新生児モニタ!$H$3-新生児モニタ!$I$3)/新生児モニタ!$H$3),0)</f>
        <v>30800000</v>
      </c>
      <c r="AG173" s="69">
        <f t="shared" si="53"/>
        <v>1100000</v>
      </c>
    </row>
    <row r="174" spans="2:33">
      <c r="B174" s="65" t="s">
        <v>843</v>
      </c>
      <c r="C174" s="68">
        <f>IFERROR(SUMIF(初度設備!$C$30:$C$74,B174,初度設備!$N$30:$N$74)*((初度設備!$H$3-初度設備!$I$3)/初度設備!$H$3),0)</f>
        <v>0</v>
      </c>
      <c r="D174" s="69">
        <f t="shared" si="38"/>
        <v>0</v>
      </c>
      <c r="E174" s="68">
        <f>IFERROR(SUMIF(人工呼吸器!$C$30:$C$74,B174,人工呼吸器!$N$30:$N$74)*((人工呼吸器!$H$3-人工呼吸器!$I$3)/人工呼吸器!$H$3),0)</f>
        <v>0</v>
      </c>
      <c r="F174" s="69">
        <f t="shared" si="39"/>
        <v>0</v>
      </c>
      <c r="G174" s="69">
        <f t="shared" si="40"/>
        <v>0</v>
      </c>
      <c r="H174" s="69">
        <f t="shared" si="41"/>
        <v>0</v>
      </c>
      <c r="I174" s="68">
        <f>IFERROR(SUMIF(簡易陰圧装置!$C$30:$C$74,B174,簡易陰圧装置!$N$30:$N$74)*((簡易陰圧装置!$H$3-簡易陰圧装置!$I$3)/簡易陰圧装置!$H$3),0)</f>
        <v>0</v>
      </c>
      <c r="J174" s="69">
        <f t="shared" si="42"/>
        <v>0</v>
      </c>
      <c r="K174" s="68">
        <f>IFERROR(SUMIF(#REF!,B174,#REF!)*((#REF!-#REF!)/#REF!),0)</f>
        <v>0</v>
      </c>
      <c r="L174" s="69">
        <f t="shared" si="43"/>
        <v>0</v>
      </c>
      <c r="M174" s="68">
        <f>IFERROR(SUMIF(体外式膜型人工肺!$C$30:$C$74,B174,体外式膜型人工肺!$N$30:$N$74)*((体外式膜型人工肺!$H$3-体外式膜型人工肺!$I$3)/体外式膜型人工肺!$H$3),0)</f>
        <v>0</v>
      </c>
      <c r="N174" s="69">
        <f t="shared" si="44"/>
        <v>0</v>
      </c>
      <c r="O174" s="69">
        <f t="shared" si="45"/>
        <v>0</v>
      </c>
      <c r="P174" s="69">
        <f t="shared" si="46"/>
        <v>0</v>
      </c>
      <c r="Q174" s="68">
        <f>IFERROR(SUMIF(紫外線照射装置!$C$30:$C$74,B174,紫外線照射装置!$N$30:$N$74)*((紫外線照射装置!$H$3-紫外線照射装置!$I$3)/紫外線照射装置!$H$3),0)</f>
        <v>0</v>
      </c>
      <c r="R174" s="69">
        <f t="shared" si="47"/>
        <v>0</v>
      </c>
      <c r="S174" s="102">
        <f t="shared" si="48"/>
        <v>0</v>
      </c>
      <c r="T174" s="68">
        <f>IFERROR(SUMIF(超音波画像診断装置!$C$30:$C$74,B174,超音波画像診断装置!$K$30:$K$74)*((超音波画像診断装置!$H$3-超音波画像診断装置!$I$3)/超音波画像診断装置!$H$3),0)</f>
        <v>0</v>
      </c>
      <c r="U174" s="69">
        <f t="shared" si="49"/>
        <v>0</v>
      </c>
      <c r="V174" s="68">
        <f>IFERROR(SUMIF(血液浄化装置!$C$30:$C$74,B174,血液浄化装置!$K$30:$K$74)*((血液浄化装置!$H$3-血液浄化装置!$I$3)/血液浄化装置!$H$3),0)</f>
        <v>0</v>
      </c>
      <c r="W174" s="69">
        <f t="shared" si="50"/>
        <v>0</v>
      </c>
      <c r="X174" s="68">
        <f>IFERROR(SUMIF(気管支鏡!$C$30:$C$74,B174,気管支鏡!$K$30:$K$74)*((気管支鏡!$H$3-気管支鏡!$I$3)/気管支鏡!$H$3),0)</f>
        <v>0</v>
      </c>
      <c r="Y174" s="69">
        <f t="shared" si="36"/>
        <v>0</v>
      </c>
      <c r="Z174" s="68">
        <f>IFERROR(SUMIF(CT撮影装置!$C$30:$C$74,B174,CT撮影装置!$K$30:$K$74)*((CT撮影装置!$H$3-CT撮影装置!$I$3)/CT撮影装置!$H$3),0)</f>
        <v>0</v>
      </c>
      <c r="AA174" s="69">
        <f t="shared" si="51"/>
        <v>0</v>
      </c>
      <c r="AB174" s="68">
        <f>IFERROR(SUMIF(生体情報モニタ!$C$30:$C$74,B174,生体情報モニタ!$K$30:$K$74)*((生体情報モニタ!$H$3-生体情報モニタ!$I$3)/生体情報モニタ!$H$3),0)</f>
        <v>0</v>
      </c>
      <c r="AC174" s="69">
        <f t="shared" si="37"/>
        <v>0</v>
      </c>
      <c r="AD174" s="68">
        <f>IFERROR(SUMIF(分娩監視装置!$C$30:$C$74,B174,分娩監視装置!$K$30:$K$74)*((分娩監視装置!$H$3-分娩監視装置!$I$3)/分娩監視装置!$H$3),0)</f>
        <v>0</v>
      </c>
      <c r="AE174" s="69">
        <f t="shared" si="52"/>
        <v>0</v>
      </c>
      <c r="AF174" s="68">
        <f>IFERROR(SUMIF(新生児モニタ!$C$30:$C$74,B174,新生児モニタ!$K$30:$K$74)*((新生児モニタ!$H$3-新生児モニタ!$I$3)/新生児モニタ!$H$3),0)</f>
        <v>0</v>
      </c>
      <c r="AG174" s="69">
        <f t="shared" si="53"/>
        <v>0</v>
      </c>
    </row>
    <row r="175" spans="2:33">
      <c r="B175" s="65" t="s">
        <v>844</v>
      </c>
      <c r="C175" s="68">
        <f>IFERROR(SUMIF(初度設備!$C$30:$C$74,B175,初度設備!$N$30:$N$74)*((初度設備!$H$3-初度設備!$I$3)/初度設備!$H$3),0)</f>
        <v>0</v>
      </c>
      <c r="D175" s="69">
        <f t="shared" si="38"/>
        <v>0</v>
      </c>
      <c r="E175" s="68">
        <f>IFERROR(SUMIF(人工呼吸器!$C$30:$C$74,B175,人工呼吸器!$N$30:$N$74)*((人工呼吸器!$H$3-人工呼吸器!$I$3)/人工呼吸器!$H$3),0)</f>
        <v>0</v>
      </c>
      <c r="F175" s="69">
        <f t="shared" si="39"/>
        <v>0</v>
      </c>
      <c r="G175" s="69">
        <f t="shared" si="40"/>
        <v>0</v>
      </c>
      <c r="H175" s="69">
        <f t="shared" si="41"/>
        <v>0</v>
      </c>
      <c r="I175" s="68">
        <f>IFERROR(SUMIF(簡易陰圧装置!$C$30:$C$74,B175,簡易陰圧装置!$N$30:$N$74)*((簡易陰圧装置!$H$3-簡易陰圧装置!$I$3)/簡易陰圧装置!$H$3),0)</f>
        <v>0</v>
      </c>
      <c r="J175" s="69">
        <f t="shared" si="42"/>
        <v>0</v>
      </c>
      <c r="K175" s="68">
        <f>IFERROR(SUMIF(#REF!,B175,#REF!)*((#REF!-#REF!)/#REF!),0)</f>
        <v>0</v>
      </c>
      <c r="L175" s="69">
        <f t="shared" si="43"/>
        <v>0</v>
      </c>
      <c r="M175" s="68">
        <f>IFERROR(SUMIF(体外式膜型人工肺!$C$30:$C$74,B175,体外式膜型人工肺!$N$30:$N$74)*((体外式膜型人工肺!$H$3-体外式膜型人工肺!$I$3)/体外式膜型人工肺!$H$3),0)</f>
        <v>0</v>
      </c>
      <c r="N175" s="69">
        <f t="shared" si="44"/>
        <v>0</v>
      </c>
      <c r="O175" s="69">
        <f t="shared" si="45"/>
        <v>0</v>
      </c>
      <c r="P175" s="69">
        <f t="shared" si="46"/>
        <v>0</v>
      </c>
      <c r="Q175" s="68">
        <f>IFERROR(SUMIF(紫外線照射装置!$C$30:$C$74,B175,紫外線照射装置!$N$30:$N$74)*((紫外線照射装置!$H$3-紫外線照射装置!$I$3)/紫外線照射装置!$H$3),0)</f>
        <v>0</v>
      </c>
      <c r="R175" s="69">
        <f t="shared" si="47"/>
        <v>0</v>
      </c>
      <c r="S175" s="102">
        <f t="shared" si="48"/>
        <v>0</v>
      </c>
      <c r="T175" s="68">
        <f>IFERROR(SUMIF(超音波画像診断装置!$C$30:$C$74,B175,超音波画像診断装置!$K$30:$K$74)*((超音波画像診断装置!$H$3-超音波画像診断装置!$I$3)/超音波画像診断装置!$H$3),0)</f>
        <v>0</v>
      </c>
      <c r="U175" s="69">
        <f t="shared" si="49"/>
        <v>0</v>
      </c>
      <c r="V175" s="68">
        <f>IFERROR(SUMIF(血液浄化装置!$C$30:$C$74,B175,血液浄化装置!$K$30:$K$74)*((血液浄化装置!$H$3-血液浄化装置!$I$3)/血液浄化装置!$H$3),0)</f>
        <v>0</v>
      </c>
      <c r="W175" s="69">
        <f t="shared" si="50"/>
        <v>0</v>
      </c>
      <c r="X175" s="68">
        <f>IFERROR(SUMIF(気管支鏡!$C$30:$C$74,B175,気管支鏡!$K$30:$K$74)*((気管支鏡!$H$3-気管支鏡!$I$3)/気管支鏡!$H$3),0)</f>
        <v>0</v>
      </c>
      <c r="Y175" s="69">
        <f t="shared" si="36"/>
        <v>0</v>
      </c>
      <c r="Z175" s="68">
        <f>IFERROR(SUMIF(CT撮影装置!$C$30:$C$74,B175,CT撮影装置!$K$30:$K$74)*((CT撮影装置!$H$3-CT撮影装置!$I$3)/CT撮影装置!$H$3),0)</f>
        <v>0</v>
      </c>
      <c r="AA175" s="69">
        <f t="shared" si="51"/>
        <v>0</v>
      </c>
      <c r="AB175" s="68">
        <f>IFERROR(SUMIF(生体情報モニタ!$C$30:$C$74,B175,生体情報モニタ!$K$30:$K$74)*((生体情報モニタ!$H$3-生体情報モニタ!$I$3)/生体情報モニタ!$H$3),0)</f>
        <v>0</v>
      </c>
      <c r="AC175" s="69">
        <f t="shared" si="37"/>
        <v>0</v>
      </c>
      <c r="AD175" s="68">
        <f>IFERROR(SUMIF(分娩監視装置!$C$30:$C$74,B175,分娩監視装置!$K$30:$K$74)*((分娩監視装置!$H$3-分娩監視装置!$I$3)/分娩監視装置!$H$3),0)</f>
        <v>0</v>
      </c>
      <c r="AE175" s="69">
        <f t="shared" si="52"/>
        <v>0</v>
      </c>
      <c r="AF175" s="68">
        <f>IFERROR(SUMIF(新生児モニタ!$C$30:$C$74,B175,新生児モニタ!$K$30:$K$74)*((新生児モニタ!$H$3-新生児モニタ!$I$3)/新生児モニタ!$H$3),0)</f>
        <v>0</v>
      </c>
      <c r="AG175" s="69">
        <f t="shared" si="53"/>
        <v>0</v>
      </c>
    </row>
    <row r="176" spans="2:33">
      <c r="B176" s="65" t="s">
        <v>845</v>
      </c>
      <c r="C176" s="68">
        <f>IFERROR(SUMIF(初度設備!$C$30:$C$74,B176,初度設備!$N$30:$N$74)*((初度設備!$H$3-初度設備!$I$3)/初度設備!$H$3),0)</f>
        <v>0</v>
      </c>
      <c r="D176" s="69">
        <f t="shared" si="38"/>
        <v>0</v>
      </c>
      <c r="E176" s="68">
        <f>IFERROR(SUMIF(人工呼吸器!$C$30:$C$74,B176,人工呼吸器!$N$30:$N$74)*((人工呼吸器!$H$3-人工呼吸器!$I$3)/人工呼吸器!$H$3),0)</f>
        <v>0</v>
      </c>
      <c r="F176" s="69">
        <f t="shared" si="39"/>
        <v>0</v>
      </c>
      <c r="G176" s="69">
        <f t="shared" si="40"/>
        <v>0</v>
      </c>
      <c r="H176" s="69">
        <f t="shared" si="41"/>
        <v>0</v>
      </c>
      <c r="I176" s="68">
        <f>IFERROR(SUMIF(簡易陰圧装置!$C$30:$C$74,B176,簡易陰圧装置!$N$30:$N$74)*((簡易陰圧装置!$H$3-簡易陰圧装置!$I$3)/簡易陰圧装置!$H$3),0)</f>
        <v>0</v>
      </c>
      <c r="J176" s="69">
        <f t="shared" si="42"/>
        <v>0</v>
      </c>
      <c r="K176" s="68">
        <f>IFERROR(SUMIF(#REF!,B176,#REF!)*((#REF!-#REF!)/#REF!),0)</f>
        <v>0</v>
      </c>
      <c r="L176" s="69">
        <f t="shared" si="43"/>
        <v>0</v>
      </c>
      <c r="M176" s="68">
        <f>IFERROR(SUMIF(体外式膜型人工肺!$C$30:$C$74,B176,体外式膜型人工肺!$N$30:$N$74)*((体外式膜型人工肺!$H$3-体外式膜型人工肺!$I$3)/体外式膜型人工肺!$H$3),0)</f>
        <v>0</v>
      </c>
      <c r="N176" s="69">
        <f t="shared" si="44"/>
        <v>0</v>
      </c>
      <c r="O176" s="69">
        <f t="shared" si="45"/>
        <v>0</v>
      </c>
      <c r="P176" s="69">
        <f t="shared" si="46"/>
        <v>0</v>
      </c>
      <c r="Q176" s="68">
        <f>IFERROR(SUMIF(紫外線照射装置!$C$30:$C$74,B176,紫外線照射装置!$N$30:$N$74)*((紫外線照射装置!$H$3-紫外線照射装置!$I$3)/紫外線照射装置!$H$3),0)</f>
        <v>0</v>
      </c>
      <c r="R176" s="69">
        <f t="shared" si="47"/>
        <v>0</v>
      </c>
      <c r="S176" s="102">
        <f t="shared" si="48"/>
        <v>0</v>
      </c>
      <c r="T176" s="68">
        <f>IFERROR(SUMIF(超音波画像診断装置!$C$30:$C$74,B176,超音波画像診断装置!$K$30:$K$74)*((超音波画像診断装置!$H$3-超音波画像診断装置!$I$3)/超音波画像診断装置!$H$3),0)</f>
        <v>0</v>
      </c>
      <c r="U176" s="69">
        <f t="shared" si="49"/>
        <v>0</v>
      </c>
      <c r="V176" s="68">
        <f>IFERROR(SUMIF(血液浄化装置!$C$30:$C$74,B176,血液浄化装置!$K$30:$K$74)*((血液浄化装置!$H$3-血液浄化装置!$I$3)/血液浄化装置!$H$3),0)</f>
        <v>0</v>
      </c>
      <c r="W176" s="69">
        <f t="shared" si="50"/>
        <v>0</v>
      </c>
      <c r="X176" s="68">
        <f>IFERROR(SUMIF(気管支鏡!$C$30:$C$74,B176,気管支鏡!$K$30:$K$74)*((気管支鏡!$H$3-気管支鏡!$I$3)/気管支鏡!$H$3),0)</f>
        <v>0</v>
      </c>
      <c r="Y176" s="69">
        <f t="shared" si="36"/>
        <v>0</v>
      </c>
      <c r="Z176" s="68">
        <f>IFERROR(SUMIF(CT撮影装置!$C$30:$C$74,B176,CT撮影装置!$K$30:$K$74)*((CT撮影装置!$H$3-CT撮影装置!$I$3)/CT撮影装置!$H$3),0)</f>
        <v>0</v>
      </c>
      <c r="AA176" s="69">
        <f t="shared" si="51"/>
        <v>0</v>
      </c>
      <c r="AB176" s="68">
        <f>IFERROR(SUMIF(生体情報モニタ!$C$30:$C$74,B176,生体情報モニタ!$K$30:$K$74)*((生体情報モニタ!$H$3-生体情報モニタ!$I$3)/生体情報モニタ!$H$3),0)</f>
        <v>0</v>
      </c>
      <c r="AC176" s="69">
        <f t="shared" si="37"/>
        <v>0</v>
      </c>
      <c r="AD176" s="68">
        <f>IFERROR(SUMIF(分娩監視装置!$C$30:$C$74,B176,分娩監視装置!$K$30:$K$74)*((分娩監視装置!$H$3-分娩監視装置!$I$3)/分娩監視装置!$H$3),0)</f>
        <v>0</v>
      </c>
      <c r="AE176" s="69">
        <f t="shared" si="52"/>
        <v>0</v>
      </c>
      <c r="AF176" s="68">
        <f>IFERROR(SUMIF(新生児モニタ!$C$30:$C$74,B176,新生児モニタ!$K$30:$K$74)*((新生児モニタ!$H$3-新生児モニタ!$I$3)/新生児モニタ!$H$3),0)</f>
        <v>0</v>
      </c>
      <c r="AG176" s="69">
        <f t="shared" si="53"/>
        <v>0</v>
      </c>
    </row>
    <row r="177" spans="2:33">
      <c r="B177" s="65" t="s">
        <v>846</v>
      </c>
      <c r="C177" s="68">
        <f>IFERROR(SUMIF(初度設備!$C$30:$C$74,B177,初度設備!$N$30:$N$74)*((初度設備!$H$3-初度設備!$I$3)/初度設備!$H$3),0)</f>
        <v>0</v>
      </c>
      <c r="D177" s="69">
        <f t="shared" si="38"/>
        <v>0</v>
      </c>
      <c r="E177" s="68">
        <f>IFERROR(SUMIF(人工呼吸器!$C$30:$C$74,B177,人工呼吸器!$N$30:$N$74)*((人工呼吸器!$H$3-人工呼吸器!$I$3)/人工呼吸器!$H$3),0)</f>
        <v>0</v>
      </c>
      <c r="F177" s="69">
        <f t="shared" si="39"/>
        <v>0</v>
      </c>
      <c r="G177" s="69">
        <f t="shared" si="40"/>
        <v>0</v>
      </c>
      <c r="H177" s="69">
        <f t="shared" si="41"/>
        <v>0</v>
      </c>
      <c r="I177" s="68">
        <f>IFERROR(SUMIF(簡易陰圧装置!$C$30:$C$74,B177,簡易陰圧装置!$N$30:$N$74)*((簡易陰圧装置!$H$3-簡易陰圧装置!$I$3)/簡易陰圧装置!$H$3),0)</f>
        <v>0</v>
      </c>
      <c r="J177" s="69">
        <f t="shared" si="42"/>
        <v>0</v>
      </c>
      <c r="K177" s="68">
        <f>IFERROR(SUMIF(#REF!,B177,#REF!)*((#REF!-#REF!)/#REF!),0)</f>
        <v>0</v>
      </c>
      <c r="L177" s="69">
        <f t="shared" si="43"/>
        <v>0</v>
      </c>
      <c r="M177" s="68">
        <f>IFERROR(SUMIF(体外式膜型人工肺!$C$30:$C$74,B177,体外式膜型人工肺!$N$30:$N$74)*((体外式膜型人工肺!$H$3-体外式膜型人工肺!$I$3)/体外式膜型人工肺!$H$3),0)</f>
        <v>0</v>
      </c>
      <c r="N177" s="69">
        <f t="shared" si="44"/>
        <v>0</v>
      </c>
      <c r="O177" s="69">
        <f t="shared" si="45"/>
        <v>0</v>
      </c>
      <c r="P177" s="69">
        <f t="shared" si="46"/>
        <v>0</v>
      </c>
      <c r="Q177" s="68">
        <f>IFERROR(SUMIF(紫外線照射装置!$C$30:$C$74,B177,紫外線照射装置!$N$30:$N$74)*((紫外線照射装置!$H$3-紫外線照射装置!$I$3)/紫外線照射装置!$H$3),0)</f>
        <v>0</v>
      </c>
      <c r="R177" s="69">
        <f t="shared" si="47"/>
        <v>0</v>
      </c>
      <c r="S177" s="102">
        <f t="shared" si="48"/>
        <v>0</v>
      </c>
      <c r="T177" s="68">
        <f>IFERROR(SUMIF(超音波画像診断装置!$C$30:$C$74,B177,超音波画像診断装置!$K$30:$K$74)*((超音波画像診断装置!$H$3-超音波画像診断装置!$I$3)/超音波画像診断装置!$H$3),0)</f>
        <v>0</v>
      </c>
      <c r="U177" s="69">
        <f t="shared" si="49"/>
        <v>0</v>
      </c>
      <c r="V177" s="68">
        <f>IFERROR(SUMIF(血液浄化装置!$C$30:$C$74,B177,血液浄化装置!$K$30:$K$74)*((血液浄化装置!$H$3-血液浄化装置!$I$3)/血液浄化装置!$H$3),0)</f>
        <v>0</v>
      </c>
      <c r="W177" s="69">
        <f t="shared" si="50"/>
        <v>0</v>
      </c>
      <c r="X177" s="68">
        <f>IFERROR(SUMIF(気管支鏡!$C$30:$C$74,B177,気管支鏡!$K$30:$K$74)*((気管支鏡!$H$3-気管支鏡!$I$3)/気管支鏡!$H$3),0)</f>
        <v>0</v>
      </c>
      <c r="Y177" s="69">
        <f t="shared" si="36"/>
        <v>0</v>
      </c>
      <c r="Z177" s="68">
        <f>IFERROR(SUMIF(CT撮影装置!$C$30:$C$74,B177,CT撮影装置!$K$30:$K$74)*((CT撮影装置!$H$3-CT撮影装置!$I$3)/CT撮影装置!$H$3),0)</f>
        <v>0</v>
      </c>
      <c r="AA177" s="69">
        <f t="shared" si="51"/>
        <v>0</v>
      </c>
      <c r="AB177" s="68">
        <f>IFERROR(SUMIF(生体情報モニタ!$C$30:$C$74,B177,生体情報モニタ!$K$30:$K$74)*((生体情報モニタ!$H$3-生体情報モニタ!$I$3)/生体情報モニタ!$H$3),0)</f>
        <v>0</v>
      </c>
      <c r="AC177" s="69">
        <f t="shared" si="37"/>
        <v>0</v>
      </c>
      <c r="AD177" s="68">
        <f>IFERROR(SUMIF(分娩監視装置!$C$30:$C$74,B177,分娩監視装置!$K$30:$K$74)*((分娩監視装置!$H$3-分娩監視装置!$I$3)/分娩監視装置!$H$3),0)</f>
        <v>0</v>
      </c>
      <c r="AE177" s="69">
        <f t="shared" si="52"/>
        <v>0</v>
      </c>
      <c r="AF177" s="68">
        <f>IFERROR(SUMIF(新生児モニタ!$C$30:$C$74,B177,新生児モニタ!$K$30:$K$74)*((新生児モニタ!$H$3-新生児モニタ!$I$3)/新生児モニタ!$H$3),0)</f>
        <v>0</v>
      </c>
      <c r="AG177" s="69">
        <f t="shared" si="53"/>
        <v>0</v>
      </c>
    </row>
    <row r="178" spans="2:33">
      <c r="B178" s="65" t="s">
        <v>847</v>
      </c>
      <c r="C178" s="68">
        <f>IFERROR(SUMIF(初度設備!$C$30:$C$74,B178,初度設備!$N$30:$N$74)*((初度設備!$H$3-初度設備!$I$3)/初度設備!$H$3),0)</f>
        <v>0</v>
      </c>
      <c r="D178" s="69">
        <f t="shared" si="38"/>
        <v>0</v>
      </c>
      <c r="E178" s="68">
        <f>IFERROR(SUMIF(人工呼吸器!$C$30:$C$74,B178,人工呼吸器!$N$30:$N$74)*((人工呼吸器!$H$3-人工呼吸器!$I$3)/人工呼吸器!$H$3),0)</f>
        <v>0</v>
      </c>
      <c r="F178" s="69">
        <f t="shared" si="39"/>
        <v>0</v>
      </c>
      <c r="G178" s="69">
        <f t="shared" si="40"/>
        <v>0</v>
      </c>
      <c r="H178" s="69">
        <f t="shared" si="41"/>
        <v>0</v>
      </c>
      <c r="I178" s="68">
        <f>IFERROR(SUMIF(簡易陰圧装置!$C$30:$C$74,B178,簡易陰圧装置!$N$30:$N$74)*((簡易陰圧装置!$H$3-簡易陰圧装置!$I$3)/簡易陰圧装置!$H$3),0)</f>
        <v>0</v>
      </c>
      <c r="J178" s="69">
        <f t="shared" si="42"/>
        <v>0</v>
      </c>
      <c r="K178" s="68">
        <f>IFERROR(SUMIF(#REF!,B178,#REF!)*((#REF!-#REF!)/#REF!),0)</f>
        <v>0</v>
      </c>
      <c r="L178" s="69">
        <f t="shared" si="43"/>
        <v>0</v>
      </c>
      <c r="M178" s="68">
        <f>IFERROR(SUMIF(体外式膜型人工肺!$C$30:$C$74,B178,体外式膜型人工肺!$N$30:$N$74)*((体外式膜型人工肺!$H$3-体外式膜型人工肺!$I$3)/体外式膜型人工肺!$H$3),0)</f>
        <v>0</v>
      </c>
      <c r="N178" s="69">
        <f t="shared" si="44"/>
        <v>0</v>
      </c>
      <c r="O178" s="69">
        <f t="shared" si="45"/>
        <v>0</v>
      </c>
      <c r="P178" s="69">
        <f t="shared" si="46"/>
        <v>0</v>
      </c>
      <c r="Q178" s="68">
        <f>IFERROR(SUMIF(紫外線照射装置!$C$30:$C$74,B178,紫外線照射装置!$N$30:$N$74)*((紫外線照射装置!$H$3-紫外線照射装置!$I$3)/紫外線照射装置!$H$3),0)</f>
        <v>0</v>
      </c>
      <c r="R178" s="69">
        <f t="shared" si="47"/>
        <v>0</v>
      </c>
      <c r="S178" s="102">
        <f t="shared" si="48"/>
        <v>0</v>
      </c>
      <c r="T178" s="68">
        <f>IFERROR(SUMIF(超音波画像診断装置!$C$30:$C$74,B178,超音波画像診断装置!$K$30:$K$74)*((超音波画像診断装置!$H$3-超音波画像診断装置!$I$3)/超音波画像診断装置!$H$3),0)</f>
        <v>0</v>
      </c>
      <c r="U178" s="69">
        <f t="shared" si="49"/>
        <v>0</v>
      </c>
      <c r="V178" s="68">
        <f>IFERROR(SUMIF(血液浄化装置!$C$30:$C$74,B178,血液浄化装置!$K$30:$K$74)*((血液浄化装置!$H$3-血液浄化装置!$I$3)/血液浄化装置!$H$3),0)</f>
        <v>0</v>
      </c>
      <c r="W178" s="69">
        <f t="shared" si="50"/>
        <v>0</v>
      </c>
      <c r="X178" s="68">
        <f>IFERROR(SUMIF(気管支鏡!$C$30:$C$74,B178,気管支鏡!$K$30:$K$74)*((気管支鏡!$H$3-気管支鏡!$I$3)/気管支鏡!$H$3),0)</f>
        <v>0</v>
      </c>
      <c r="Y178" s="69">
        <f t="shared" si="36"/>
        <v>0</v>
      </c>
      <c r="Z178" s="68">
        <f>IFERROR(SUMIF(CT撮影装置!$C$30:$C$74,B178,CT撮影装置!$K$30:$K$74)*((CT撮影装置!$H$3-CT撮影装置!$I$3)/CT撮影装置!$H$3),0)</f>
        <v>0</v>
      </c>
      <c r="AA178" s="69">
        <f t="shared" si="51"/>
        <v>0</v>
      </c>
      <c r="AB178" s="68">
        <f>IFERROR(SUMIF(生体情報モニタ!$C$30:$C$74,B178,生体情報モニタ!$K$30:$K$74)*((生体情報モニタ!$H$3-生体情報モニタ!$I$3)/生体情報モニタ!$H$3),0)</f>
        <v>0</v>
      </c>
      <c r="AC178" s="69">
        <f t="shared" si="37"/>
        <v>0</v>
      </c>
      <c r="AD178" s="68">
        <f>IFERROR(SUMIF(分娩監視装置!$C$30:$C$74,B178,分娩監視装置!$K$30:$K$74)*((分娩監視装置!$H$3-分娩監視装置!$I$3)/分娩監視装置!$H$3),0)</f>
        <v>0</v>
      </c>
      <c r="AE178" s="69">
        <f t="shared" si="52"/>
        <v>0</v>
      </c>
      <c r="AF178" s="68">
        <f>IFERROR(SUMIF(新生児モニタ!$C$30:$C$74,B178,新生児モニタ!$K$30:$K$74)*((新生児モニタ!$H$3-新生児モニタ!$I$3)/新生児モニタ!$H$3),0)</f>
        <v>0</v>
      </c>
      <c r="AG178" s="69">
        <f t="shared" si="53"/>
        <v>0</v>
      </c>
    </row>
    <row r="179" spans="2:33">
      <c r="B179" s="65" t="s">
        <v>848</v>
      </c>
      <c r="C179" s="68">
        <f>IFERROR(SUMIF(初度設備!$C$30:$C$74,B179,初度設備!$N$30:$N$74)*((初度設備!$H$3-初度設備!$I$3)/初度設備!$H$3),0)</f>
        <v>0</v>
      </c>
      <c r="D179" s="69">
        <f t="shared" si="38"/>
        <v>0</v>
      </c>
      <c r="E179" s="68">
        <f>IFERROR(SUMIF(人工呼吸器!$C$30:$C$74,B179,人工呼吸器!$N$30:$N$74)*((人工呼吸器!$H$3-人工呼吸器!$I$3)/人工呼吸器!$H$3),0)</f>
        <v>0</v>
      </c>
      <c r="F179" s="69">
        <f t="shared" si="39"/>
        <v>0</v>
      </c>
      <c r="G179" s="69">
        <f t="shared" si="40"/>
        <v>0</v>
      </c>
      <c r="H179" s="69">
        <f t="shared" si="41"/>
        <v>0</v>
      </c>
      <c r="I179" s="68">
        <f>IFERROR(SUMIF(簡易陰圧装置!$C$30:$C$74,B179,簡易陰圧装置!$N$30:$N$74)*((簡易陰圧装置!$H$3-簡易陰圧装置!$I$3)/簡易陰圧装置!$H$3),0)</f>
        <v>0</v>
      </c>
      <c r="J179" s="69">
        <f t="shared" si="42"/>
        <v>0</v>
      </c>
      <c r="K179" s="68">
        <f>IFERROR(SUMIF(#REF!,B179,#REF!)*((#REF!-#REF!)/#REF!),0)</f>
        <v>0</v>
      </c>
      <c r="L179" s="69">
        <f t="shared" si="43"/>
        <v>0</v>
      </c>
      <c r="M179" s="68">
        <f>IFERROR(SUMIF(体外式膜型人工肺!$C$30:$C$74,B179,体外式膜型人工肺!$N$30:$N$74)*((体外式膜型人工肺!$H$3-体外式膜型人工肺!$I$3)/体外式膜型人工肺!$H$3),0)</f>
        <v>0</v>
      </c>
      <c r="N179" s="69">
        <f t="shared" si="44"/>
        <v>0</v>
      </c>
      <c r="O179" s="69">
        <f t="shared" si="45"/>
        <v>0</v>
      </c>
      <c r="P179" s="69">
        <f t="shared" si="46"/>
        <v>0</v>
      </c>
      <c r="Q179" s="68">
        <f>IFERROR(SUMIF(紫外線照射装置!$C$30:$C$74,B179,紫外線照射装置!$N$30:$N$74)*((紫外線照射装置!$H$3-紫外線照射装置!$I$3)/紫外線照射装置!$H$3),0)</f>
        <v>0</v>
      </c>
      <c r="R179" s="69">
        <f t="shared" si="47"/>
        <v>0</v>
      </c>
      <c r="S179" s="102">
        <f t="shared" si="48"/>
        <v>0</v>
      </c>
      <c r="T179" s="68">
        <f>IFERROR(SUMIF(超音波画像診断装置!$C$30:$C$74,B179,超音波画像診断装置!$K$30:$K$74)*((超音波画像診断装置!$H$3-超音波画像診断装置!$I$3)/超音波画像診断装置!$H$3),0)</f>
        <v>0</v>
      </c>
      <c r="U179" s="69">
        <f t="shared" si="49"/>
        <v>0</v>
      </c>
      <c r="V179" s="68">
        <f>IFERROR(SUMIF(血液浄化装置!$C$30:$C$74,B179,血液浄化装置!$K$30:$K$74)*((血液浄化装置!$H$3-血液浄化装置!$I$3)/血液浄化装置!$H$3),0)</f>
        <v>0</v>
      </c>
      <c r="W179" s="69">
        <f t="shared" si="50"/>
        <v>0</v>
      </c>
      <c r="X179" s="68">
        <f>IFERROR(SUMIF(気管支鏡!$C$30:$C$74,B179,気管支鏡!$K$30:$K$74)*((気管支鏡!$H$3-気管支鏡!$I$3)/気管支鏡!$H$3),0)</f>
        <v>0</v>
      </c>
      <c r="Y179" s="69">
        <f t="shared" si="36"/>
        <v>0</v>
      </c>
      <c r="Z179" s="68">
        <f>IFERROR(SUMIF(CT撮影装置!$C$30:$C$74,B179,CT撮影装置!$K$30:$K$74)*((CT撮影装置!$H$3-CT撮影装置!$I$3)/CT撮影装置!$H$3),0)</f>
        <v>0</v>
      </c>
      <c r="AA179" s="69">
        <f t="shared" si="51"/>
        <v>0</v>
      </c>
      <c r="AB179" s="68">
        <f>IFERROR(SUMIF(生体情報モニタ!$C$30:$C$74,B179,生体情報モニタ!$K$30:$K$74)*((生体情報モニタ!$H$3-生体情報モニタ!$I$3)/生体情報モニタ!$H$3),0)</f>
        <v>0</v>
      </c>
      <c r="AC179" s="69">
        <f t="shared" si="37"/>
        <v>0</v>
      </c>
      <c r="AD179" s="68">
        <f>IFERROR(SUMIF(分娩監視装置!$C$30:$C$74,B179,分娩監視装置!$K$30:$K$74)*((分娩監視装置!$H$3-分娩監視装置!$I$3)/分娩監視装置!$H$3),0)</f>
        <v>0</v>
      </c>
      <c r="AE179" s="69">
        <f t="shared" si="52"/>
        <v>0</v>
      </c>
      <c r="AF179" s="68">
        <f>IFERROR(SUMIF(新生児モニタ!$C$30:$C$74,B179,新生児モニタ!$K$30:$K$74)*((新生児モニタ!$H$3-新生児モニタ!$I$3)/新生児モニタ!$H$3),0)</f>
        <v>0</v>
      </c>
      <c r="AG179" s="69">
        <f t="shared" si="53"/>
        <v>0</v>
      </c>
    </row>
    <row r="180" spans="2:33">
      <c r="B180" s="65" t="s">
        <v>849</v>
      </c>
      <c r="C180" s="68">
        <f>IFERROR(SUMIF(初度設備!$C$30:$C$74,B180,初度設備!$N$30:$N$74)*((初度設備!$H$3-初度設備!$I$3)/初度設備!$H$3),0)</f>
        <v>0</v>
      </c>
      <c r="D180" s="69">
        <f t="shared" si="38"/>
        <v>0</v>
      </c>
      <c r="E180" s="68">
        <f>IFERROR(SUMIF(人工呼吸器!$C$30:$C$74,B180,人工呼吸器!$N$30:$N$74)*((人工呼吸器!$H$3-人工呼吸器!$I$3)/人工呼吸器!$H$3),0)</f>
        <v>0</v>
      </c>
      <c r="F180" s="69">
        <f t="shared" si="39"/>
        <v>0</v>
      </c>
      <c r="G180" s="69">
        <f t="shared" si="40"/>
        <v>0</v>
      </c>
      <c r="H180" s="69">
        <f t="shared" si="41"/>
        <v>0</v>
      </c>
      <c r="I180" s="68">
        <f>IFERROR(SUMIF(簡易陰圧装置!$C$30:$C$74,B180,簡易陰圧装置!$N$30:$N$74)*((簡易陰圧装置!$H$3-簡易陰圧装置!$I$3)/簡易陰圧装置!$H$3),0)</f>
        <v>0</v>
      </c>
      <c r="J180" s="69">
        <f t="shared" si="42"/>
        <v>0</v>
      </c>
      <c r="K180" s="68">
        <f>IFERROR(SUMIF(#REF!,B180,#REF!)*((#REF!-#REF!)/#REF!),0)</f>
        <v>0</v>
      </c>
      <c r="L180" s="69">
        <f t="shared" si="43"/>
        <v>0</v>
      </c>
      <c r="M180" s="68">
        <f>IFERROR(SUMIF(体外式膜型人工肺!$C$30:$C$74,B180,体外式膜型人工肺!$N$30:$N$74)*((体外式膜型人工肺!$H$3-体外式膜型人工肺!$I$3)/体外式膜型人工肺!$H$3),0)</f>
        <v>0</v>
      </c>
      <c r="N180" s="69">
        <f t="shared" si="44"/>
        <v>0</v>
      </c>
      <c r="O180" s="69">
        <f t="shared" si="45"/>
        <v>0</v>
      </c>
      <c r="P180" s="69">
        <f t="shared" si="46"/>
        <v>0</v>
      </c>
      <c r="Q180" s="68">
        <f>IFERROR(SUMIF(紫外線照射装置!$C$30:$C$74,B180,紫外線照射装置!$N$30:$N$74)*((紫外線照射装置!$H$3-紫外線照射装置!$I$3)/紫外線照射装置!$H$3),0)</f>
        <v>0</v>
      </c>
      <c r="R180" s="69">
        <f t="shared" si="47"/>
        <v>0</v>
      </c>
      <c r="S180" s="102">
        <f t="shared" si="48"/>
        <v>0</v>
      </c>
      <c r="T180" s="68">
        <f>IFERROR(SUMIF(超音波画像診断装置!$C$30:$C$74,B180,超音波画像診断装置!$K$30:$K$74)*((超音波画像診断装置!$H$3-超音波画像診断装置!$I$3)/超音波画像診断装置!$H$3),0)</f>
        <v>0</v>
      </c>
      <c r="U180" s="69">
        <f t="shared" si="49"/>
        <v>0</v>
      </c>
      <c r="V180" s="68">
        <f>IFERROR(SUMIF(血液浄化装置!$C$30:$C$74,B180,血液浄化装置!$K$30:$K$74)*((血液浄化装置!$H$3-血液浄化装置!$I$3)/血液浄化装置!$H$3),0)</f>
        <v>0</v>
      </c>
      <c r="W180" s="69">
        <f t="shared" si="50"/>
        <v>0</v>
      </c>
      <c r="X180" s="68">
        <f>IFERROR(SUMIF(気管支鏡!$C$30:$C$74,B180,気管支鏡!$K$30:$K$74)*((気管支鏡!$H$3-気管支鏡!$I$3)/気管支鏡!$H$3),0)</f>
        <v>0</v>
      </c>
      <c r="Y180" s="69">
        <f t="shared" si="36"/>
        <v>0</v>
      </c>
      <c r="Z180" s="68">
        <f>IFERROR(SUMIF(CT撮影装置!$C$30:$C$74,B180,CT撮影装置!$K$30:$K$74)*((CT撮影装置!$H$3-CT撮影装置!$I$3)/CT撮影装置!$H$3),0)</f>
        <v>0</v>
      </c>
      <c r="AA180" s="69">
        <f t="shared" si="51"/>
        <v>0</v>
      </c>
      <c r="AB180" s="68">
        <f>IFERROR(SUMIF(生体情報モニタ!$C$30:$C$74,B180,生体情報モニタ!$K$30:$K$74)*((生体情報モニタ!$H$3-生体情報モニタ!$I$3)/生体情報モニタ!$H$3),0)</f>
        <v>0</v>
      </c>
      <c r="AC180" s="69">
        <f t="shared" si="37"/>
        <v>0</v>
      </c>
      <c r="AD180" s="68">
        <f>IFERROR(SUMIF(分娩監視装置!$C$30:$C$74,B180,分娩監視装置!$K$30:$K$74)*((分娩監視装置!$H$3-分娩監視装置!$I$3)/分娩監視装置!$H$3),0)</f>
        <v>0</v>
      </c>
      <c r="AE180" s="69">
        <f t="shared" si="52"/>
        <v>0</v>
      </c>
      <c r="AF180" s="68">
        <f>IFERROR(SUMIF(新生児モニタ!$C$30:$C$74,B180,新生児モニタ!$K$30:$K$74)*((新生児モニタ!$H$3-新生児モニタ!$I$3)/新生児モニタ!$H$3),0)</f>
        <v>0</v>
      </c>
      <c r="AG180" s="69">
        <f t="shared" si="53"/>
        <v>0</v>
      </c>
    </row>
    <row r="181" spans="2:33">
      <c r="B181" s="65" t="s">
        <v>850</v>
      </c>
      <c r="C181" s="68">
        <f>IFERROR(SUMIF(初度設備!$C$30:$C$74,B181,初度設備!$N$30:$N$74)*((初度設備!$H$3-初度設備!$I$3)/初度設備!$H$3),0)</f>
        <v>0</v>
      </c>
      <c r="D181" s="69">
        <f t="shared" si="38"/>
        <v>0</v>
      </c>
      <c r="E181" s="68">
        <f>IFERROR(SUMIF(人工呼吸器!$C$30:$C$74,B181,人工呼吸器!$N$30:$N$74)*((人工呼吸器!$H$3-人工呼吸器!$I$3)/人工呼吸器!$H$3),0)</f>
        <v>0</v>
      </c>
      <c r="F181" s="69">
        <f t="shared" si="39"/>
        <v>0</v>
      </c>
      <c r="G181" s="69">
        <f t="shared" si="40"/>
        <v>0</v>
      </c>
      <c r="H181" s="69">
        <f t="shared" si="41"/>
        <v>0</v>
      </c>
      <c r="I181" s="68">
        <f>IFERROR(SUMIF(簡易陰圧装置!$C$30:$C$74,B181,簡易陰圧装置!$N$30:$N$74)*((簡易陰圧装置!$H$3-簡易陰圧装置!$I$3)/簡易陰圧装置!$H$3),0)</f>
        <v>0</v>
      </c>
      <c r="J181" s="69">
        <f t="shared" si="42"/>
        <v>0</v>
      </c>
      <c r="K181" s="68">
        <f>IFERROR(SUMIF(#REF!,B181,#REF!)*((#REF!-#REF!)/#REF!),0)</f>
        <v>0</v>
      </c>
      <c r="L181" s="69">
        <f t="shared" si="43"/>
        <v>0</v>
      </c>
      <c r="M181" s="68">
        <f>IFERROR(SUMIF(体外式膜型人工肺!$C$30:$C$74,B181,体外式膜型人工肺!$N$30:$N$74)*((体外式膜型人工肺!$H$3-体外式膜型人工肺!$I$3)/体外式膜型人工肺!$H$3),0)</f>
        <v>0</v>
      </c>
      <c r="N181" s="69">
        <f t="shared" si="44"/>
        <v>0</v>
      </c>
      <c r="O181" s="69">
        <f t="shared" si="45"/>
        <v>0</v>
      </c>
      <c r="P181" s="69">
        <f t="shared" si="46"/>
        <v>0</v>
      </c>
      <c r="Q181" s="68">
        <f>IFERROR(SUMIF(紫外線照射装置!$C$30:$C$74,B181,紫外線照射装置!$N$30:$N$74)*((紫外線照射装置!$H$3-紫外線照射装置!$I$3)/紫外線照射装置!$H$3),0)</f>
        <v>0</v>
      </c>
      <c r="R181" s="69">
        <f t="shared" si="47"/>
        <v>0</v>
      </c>
      <c r="S181" s="102">
        <f t="shared" si="48"/>
        <v>0</v>
      </c>
      <c r="T181" s="68">
        <f>IFERROR(SUMIF(超音波画像診断装置!$C$30:$C$74,B181,超音波画像診断装置!$K$30:$K$74)*((超音波画像診断装置!$H$3-超音波画像診断装置!$I$3)/超音波画像診断装置!$H$3),0)</f>
        <v>0</v>
      </c>
      <c r="U181" s="69">
        <f t="shared" si="49"/>
        <v>0</v>
      </c>
      <c r="V181" s="68">
        <f>IFERROR(SUMIF(血液浄化装置!$C$30:$C$74,B181,血液浄化装置!$K$30:$K$74)*((血液浄化装置!$H$3-血液浄化装置!$I$3)/血液浄化装置!$H$3),0)</f>
        <v>0</v>
      </c>
      <c r="W181" s="69">
        <f t="shared" si="50"/>
        <v>0</v>
      </c>
      <c r="X181" s="68">
        <f>IFERROR(SUMIF(気管支鏡!$C$30:$C$74,B181,気管支鏡!$K$30:$K$74)*((気管支鏡!$H$3-気管支鏡!$I$3)/気管支鏡!$H$3),0)</f>
        <v>0</v>
      </c>
      <c r="Y181" s="69">
        <f t="shared" si="36"/>
        <v>0</v>
      </c>
      <c r="Z181" s="68">
        <f>IFERROR(SUMIF(CT撮影装置!$C$30:$C$74,B181,CT撮影装置!$K$30:$K$74)*((CT撮影装置!$H$3-CT撮影装置!$I$3)/CT撮影装置!$H$3),0)</f>
        <v>0</v>
      </c>
      <c r="AA181" s="69">
        <f t="shared" si="51"/>
        <v>0</v>
      </c>
      <c r="AB181" s="68">
        <f>IFERROR(SUMIF(生体情報モニタ!$C$30:$C$74,B181,生体情報モニタ!$K$30:$K$74)*((生体情報モニタ!$H$3-生体情報モニタ!$I$3)/生体情報モニタ!$H$3),0)</f>
        <v>0</v>
      </c>
      <c r="AC181" s="69">
        <f t="shared" si="37"/>
        <v>0</v>
      </c>
      <c r="AD181" s="68">
        <f>IFERROR(SUMIF(分娩監視装置!$C$30:$C$74,B181,分娩監視装置!$K$30:$K$74)*((分娩監視装置!$H$3-分娩監視装置!$I$3)/分娩監視装置!$H$3),0)</f>
        <v>0</v>
      </c>
      <c r="AE181" s="69">
        <f t="shared" si="52"/>
        <v>0</v>
      </c>
      <c r="AF181" s="68">
        <f>IFERROR(SUMIF(新生児モニタ!$C$30:$C$74,B181,新生児モニタ!$K$30:$K$74)*((新生児モニタ!$H$3-新生児モニタ!$I$3)/新生児モニタ!$H$3),0)</f>
        <v>0</v>
      </c>
      <c r="AG181" s="69">
        <f t="shared" si="53"/>
        <v>0</v>
      </c>
    </row>
    <row r="182" spans="2:33">
      <c r="B182" s="65" t="s">
        <v>851</v>
      </c>
      <c r="C182" s="68">
        <f>IFERROR(SUMIF(初度設備!$C$30:$C$74,B182,初度設備!$N$30:$N$74)*((初度設備!$H$3-初度設備!$I$3)/初度設備!$H$3),0)</f>
        <v>0</v>
      </c>
      <c r="D182" s="69">
        <f t="shared" si="38"/>
        <v>0</v>
      </c>
      <c r="E182" s="68">
        <f>IFERROR(SUMIF(人工呼吸器!$C$30:$C$74,B182,人工呼吸器!$N$30:$N$74)*((人工呼吸器!$H$3-人工呼吸器!$I$3)/人工呼吸器!$H$3),0)</f>
        <v>0</v>
      </c>
      <c r="F182" s="69">
        <f t="shared" si="39"/>
        <v>0</v>
      </c>
      <c r="G182" s="69">
        <f t="shared" si="40"/>
        <v>0</v>
      </c>
      <c r="H182" s="69">
        <f t="shared" si="41"/>
        <v>0</v>
      </c>
      <c r="I182" s="68">
        <f>IFERROR(SUMIF(簡易陰圧装置!$C$30:$C$74,B182,簡易陰圧装置!$N$30:$N$74)*((簡易陰圧装置!$H$3-簡易陰圧装置!$I$3)/簡易陰圧装置!$H$3),0)</f>
        <v>0</v>
      </c>
      <c r="J182" s="69">
        <f t="shared" si="42"/>
        <v>0</v>
      </c>
      <c r="K182" s="68">
        <f>IFERROR(SUMIF(#REF!,B182,#REF!)*((#REF!-#REF!)/#REF!),0)</f>
        <v>0</v>
      </c>
      <c r="L182" s="69">
        <f t="shared" si="43"/>
        <v>0</v>
      </c>
      <c r="M182" s="68">
        <f>IFERROR(SUMIF(体外式膜型人工肺!$C$30:$C$74,B182,体外式膜型人工肺!$N$30:$N$74)*((体外式膜型人工肺!$H$3-体外式膜型人工肺!$I$3)/体外式膜型人工肺!$H$3),0)</f>
        <v>0</v>
      </c>
      <c r="N182" s="69">
        <f t="shared" si="44"/>
        <v>0</v>
      </c>
      <c r="O182" s="69">
        <f t="shared" si="45"/>
        <v>0</v>
      </c>
      <c r="P182" s="69">
        <f t="shared" si="46"/>
        <v>0</v>
      </c>
      <c r="Q182" s="68">
        <f>IFERROR(SUMIF(紫外線照射装置!$C$30:$C$74,B182,紫外線照射装置!$N$30:$N$74)*((紫外線照射装置!$H$3-紫外線照射装置!$I$3)/紫外線照射装置!$H$3),0)</f>
        <v>0</v>
      </c>
      <c r="R182" s="69">
        <f t="shared" si="47"/>
        <v>0</v>
      </c>
      <c r="S182" s="102">
        <f t="shared" si="48"/>
        <v>0</v>
      </c>
      <c r="T182" s="68">
        <f>IFERROR(SUMIF(超音波画像診断装置!$C$30:$C$74,B182,超音波画像診断装置!$K$30:$K$74)*((超音波画像診断装置!$H$3-超音波画像診断装置!$I$3)/超音波画像診断装置!$H$3),0)</f>
        <v>0</v>
      </c>
      <c r="U182" s="69">
        <f t="shared" si="49"/>
        <v>0</v>
      </c>
      <c r="V182" s="68">
        <f>IFERROR(SUMIF(血液浄化装置!$C$30:$C$74,B182,血液浄化装置!$K$30:$K$74)*((血液浄化装置!$H$3-血液浄化装置!$I$3)/血液浄化装置!$H$3),0)</f>
        <v>0</v>
      </c>
      <c r="W182" s="69">
        <f t="shared" si="50"/>
        <v>0</v>
      </c>
      <c r="X182" s="68">
        <f>IFERROR(SUMIF(気管支鏡!$C$30:$C$74,B182,気管支鏡!$K$30:$K$74)*((気管支鏡!$H$3-気管支鏡!$I$3)/気管支鏡!$H$3),0)</f>
        <v>0</v>
      </c>
      <c r="Y182" s="69">
        <f t="shared" si="36"/>
        <v>0</v>
      </c>
      <c r="Z182" s="68">
        <f>IFERROR(SUMIF(CT撮影装置!$C$30:$C$74,B182,CT撮影装置!$K$30:$K$74)*((CT撮影装置!$H$3-CT撮影装置!$I$3)/CT撮影装置!$H$3),0)</f>
        <v>0</v>
      </c>
      <c r="AA182" s="69">
        <f t="shared" si="51"/>
        <v>0</v>
      </c>
      <c r="AB182" s="68">
        <f>IFERROR(SUMIF(生体情報モニタ!$C$30:$C$74,B182,生体情報モニタ!$K$30:$K$74)*((生体情報モニタ!$H$3-生体情報モニタ!$I$3)/生体情報モニタ!$H$3),0)</f>
        <v>0</v>
      </c>
      <c r="AC182" s="69">
        <f t="shared" si="37"/>
        <v>0</v>
      </c>
      <c r="AD182" s="68">
        <f>IFERROR(SUMIF(分娩監視装置!$C$30:$C$74,B182,分娩監視装置!$K$30:$K$74)*((分娩監視装置!$H$3-分娩監視装置!$I$3)/分娩監視装置!$H$3),0)</f>
        <v>0</v>
      </c>
      <c r="AE182" s="69">
        <f t="shared" si="52"/>
        <v>0</v>
      </c>
      <c r="AF182" s="68">
        <f>IFERROR(SUMIF(新生児モニタ!$C$30:$C$74,B182,新生児モニタ!$K$30:$K$74)*((新生児モニタ!$H$3-新生児モニタ!$I$3)/新生児モニタ!$H$3),0)</f>
        <v>0</v>
      </c>
      <c r="AG182" s="69">
        <f t="shared" si="53"/>
        <v>0</v>
      </c>
    </row>
    <row r="183" spans="2:33">
      <c r="B183" s="65" t="s">
        <v>852</v>
      </c>
      <c r="C183" s="68">
        <f>IFERROR(SUMIF(初度設備!$C$30:$C$74,B183,初度設備!$N$30:$N$74)*((初度設備!$H$3-初度設備!$I$3)/初度設備!$H$3),0)</f>
        <v>0</v>
      </c>
      <c r="D183" s="69">
        <f t="shared" si="38"/>
        <v>0</v>
      </c>
      <c r="E183" s="68">
        <f>IFERROR(SUMIF(人工呼吸器!$C$30:$C$74,B183,人工呼吸器!$N$30:$N$74)*((人工呼吸器!$H$3-人工呼吸器!$I$3)/人工呼吸器!$H$3),0)</f>
        <v>0</v>
      </c>
      <c r="F183" s="69">
        <f t="shared" si="39"/>
        <v>0</v>
      </c>
      <c r="G183" s="69">
        <f t="shared" si="40"/>
        <v>0</v>
      </c>
      <c r="H183" s="69">
        <f t="shared" si="41"/>
        <v>0</v>
      </c>
      <c r="I183" s="68">
        <f>IFERROR(SUMIF(簡易陰圧装置!$C$30:$C$74,B183,簡易陰圧装置!$N$30:$N$74)*((簡易陰圧装置!$H$3-簡易陰圧装置!$I$3)/簡易陰圧装置!$H$3),0)</f>
        <v>0</v>
      </c>
      <c r="J183" s="69">
        <f t="shared" si="42"/>
        <v>0</v>
      </c>
      <c r="K183" s="68">
        <f>IFERROR(SUMIF(#REF!,B183,#REF!)*((#REF!-#REF!)/#REF!),0)</f>
        <v>0</v>
      </c>
      <c r="L183" s="69">
        <f t="shared" si="43"/>
        <v>0</v>
      </c>
      <c r="M183" s="68">
        <f>IFERROR(SUMIF(体外式膜型人工肺!$C$30:$C$74,B183,体外式膜型人工肺!$N$30:$N$74)*((体外式膜型人工肺!$H$3-体外式膜型人工肺!$I$3)/体外式膜型人工肺!$H$3),0)</f>
        <v>0</v>
      </c>
      <c r="N183" s="69">
        <f t="shared" si="44"/>
        <v>0</v>
      </c>
      <c r="O183" s="69">
        <f t="shared" si="45"/>
        <v>0</v>
      </c>
      <c r="P183" s="69">
        <f t="shared" si="46"/>
        <v>0</v>
      </c>
      <c r="Q183" s="68">
        <f>IFERROR(SUMIF(紫外線照射装置!$C$30:$C$74,B183,紫外線照射装置!$N$30:$N$74)*((紫外線照射装置!$H$3-紫外線照射装置!$I$3)/紫外線照射装置!$H$3),0)</f>
        <v>0</v>
      </c>
      <c r="R183" s="69">
        <f t="shared" si="47"/>
        <v>0</v>
      </c>
      <c r="S183" s="102">
        <f t="shared" si="48"/>
        <v>0</v>
      </c>
      <c r="T183" s="68">
        <f>IFERROR(SUMIF(超音波画像診断装置!$C$30:$C$74,B183,超音波画像診断装置!$K$30:$K$74)*((超音波画像診断装置!$H$3-超音波画像診断装置!$I$3)/超音波画像診断装置!$H$3),0)</f>
        <v>0</v>
      </c>
      <c r="U183" s="69">
        <f t="shared" si="49"/>
        <v>0</v>
      </c>
      <c r="V183" s="68">
        <f>IFERROR(SUMIF(血液浄化装置!$C$30:$C$74,B183,血液浄化装置!$K$30:$K$74)*((血液浄化装置!$H$3-血液浄化装置!$I$3)/血液浄化装置!$H$3),0)</f>
        <v>0</v>
      </c>
      <c r="W183" s="69">
        <f t="shared" si="50"/>
        <v>0</v>
      </c>
      <c r="X183" s="68">
        <f>IFERROR(SUMIF(気管支鏡!$C$30:$C$74,B183,気管支鏡!$K$30:$K$74)*((気管支鏡!$H$3-気管支鏡!$I$3)/気管支鏡!$H$3),0)</f>
        <v>0</v>
      </c>
      <c r="Y183" s="69">
        <f t="shared" si="36"/>
        <v>0</v>
      </c>
      <c r="Z183" s="68">
        <f>IFERROR(SUMIF(CT撮影装置!$C$30:$C$74,B183,CT撮影装置!$K$30:$K$74)*((CT撮影装置!$H$3-CT撮影装置!$I$3)/CT撮影装置!$H$3),0)</f>
        <v>0</v>
      </c>
      <c r="AA183" s="69">
        <f t="shared" si="51"/>
        <v>0</v>
      </c>
      <c r="AB183" s="68">
        <f>IFERROR(SUMIF(生体情報モニタ!$C$30:$C$74,B183,生体情報モニタ!$K$30:$K$74)*((生体情報モニタ!$H$3-生体情報モニタ!$I$3)/生体情報モニタ!$H$3),0)</f>
        <v>0</v>
      </c>
      <c r="AC183" s="69">
        <f t="shared" si="37"/>
        <v>0</v>
      </c>
      <c r="AD183" s="68">
        <f>IFERROR(SUMIF(分娩監視装置!$C$30:$C$74,B183,分娩監視装置!$K$30:$K$74)*((分娩監視装置!$H$3-分娩監視装置!$I$3)/分娩監視装置!$H$3),0)</f>
        <v>0</v>
      </c>
      <c r="AE183" s="69">
        <f t="shared" si="52"/>
        <v>0</v>
      </c>
      <c r="AF183" s="68">
        <f>IFERROR(SUMIF(新生児モニタ!$C$30:$C$74,B183,新生児モニタ!$K$30:$K$74)*((新生児モニタ!$H$3-新生児モニタ!$I$3)/新生児モニタ!$H$3),0)</f>
        <v>0</v>
      </c>
      <c r="AG183" s="69">
        <f t="shared" si="53"/>
        <v>0</v>
      </c>
    </row>
    <row r="184" spans="2:33">
      <c r="B184" s="65" t="s">
        <v>853</v>
      </c>
      <c r="C184" s="68">
        <f>IFERROR(SUMIF(初度設備!$C$30:$C$74,B184,初度設備!$N$30:$N$74)*((初度設備!$H$3-初度設備!$I$3)/初度設備!$H$3),0)</f>
        <v>0</v>
      </c>
      <c r="D184" s="69">
        <f t="shared" si="38"/>
        <v>0</v>
      </c>
      <c r="E184" s="68">
        <f>IFERROR(SUMIF(人工呼吸器!$C$30:$C$74,B184,人工呼吸器!$N$30:$N$74)*((人工呼吸器!$H$3-人工呼吸器!$I$3)/人工呼吸器!$H$3),0)</f>
        <v>0</v>
      </c>
      <c r="F184" s="69">
        <f t="shared" si="39"/>
        <v>0</v>
      </c>
      <c r="G184" s="69">
        <f t="shared" si="40"/>
        <v>0</v>
      </c>
      <c r="H184" s="69">
        <f t="shared" si="41"/>
        <v>0</v>
      </c>
      <c r="I184" s="68">
        <f>IFERROR(SUMIF(簡易陰圧装置!$C$30:$C$74,B184,簡易陰圧装置!$N$30:$N$74)*((簡易陰圧装置!$H$3-簡易陰圧装置!$I$3)/簡易陰圧装置!$H$3),0)</f>
        <v>0</v>
      </c>
      <c r="J184" s="69">
        <f t="shared" si="42"/>
        <v>0</v>
      </c>
      <c r="K184" s="68">
        <f>IFERROR(SUMIF(#REF!,B184,#REF!)*((#REF!-#REF!)/#REF!),0)</f>
        <v>0</v>
      </c>
      <c r="L184" s="69">
        <f t="shared" si="43"/>
        <v>0</v>
      </c>
      <c r="M184" s="68">
        <f>IFERROR(SUMIF(体外式膜型人工肺!$C$30:$C$74,B184,体外式膜型人工肺!$N$30:$N$74)*((体外式膜型人工肺!$H$3-体外式膜型人工肺!$I$3)/体外式膜型人工肺!$H$3),0)</f>
        <v>0</v>
      </c>
      <c r="N184" s="69">
        <f t="shared" si="44"/>
        <v>0</v>
      </c>
      <c r="O184" s="69">
        <f t="shared" si="45"/>
        <v>0</v>
      </c>
      <c r="P184" s="69">
        <f t="shared" si="46"/>
        <v>0</v>
      </c>
      <c r="Q184" s="68">
        <f>IFERROR(SUMIF(紫外線照射装置!$C$30:$C$74,B184,紫外線照射装置!$N$30:$N$74)*((紫外線照射装置!$H$3-紫外線照射装置!$I$3)/紫外線照射装置!$H$3),0)</f>
        <v>0</v>
      </c>
      <c r="R184" s="69">
        <f t="shared" si="47"/>
        <v>0</v>
      </c>
      <c r="S184" s="102">
        <f t="shared" si="48"/>
        <v>0</v>
      </c>
      <c r="T184" s="68">
        <f>IFERROR(SUMIF(超音波画像診断装置!$C$30:$C$74,B184,超音波画像診断装置!$K$30:$K$74)*((超音波画像診断装置!$H$3-超音波画像診断装置!$I$3)/超音波画像診断装置!$H$3),0)</f>
        <v>0</v>
      </c>
      <c r="U184" s="69">
        <f t="shared" si="49"/>
        <v>0</v>
      </c>
      <c r="V184" s="68">
        <f>IFERROR(SUMIF(血液浄化装置!$C$30:$C$74,B184,血液浄化装置!$K$30:$K$74)*((血液浄化装置!$H$3-血液浄化装置!$I$3)/血液浄化装置!$H$3),0)</f>
        <v>0</v>
      </c>
      <c r="W184" s="69">
        <f t="shared" si="50"/>
        <v>0</v>
      </c>
      <c r="X184" s="68">
        <f>IFERROR(SUMIF(気管支鏡!$C$30:$C$74,B184,気管支鏡!$K$30:$K$74)*((気管支鏡!$H$3-気管支鏡!$I$3)/気管支鏡!$H$3),0)</f>
        <v>0</v>
      </c>
      <c r="Y184" s="69">
        <f t="shared" si="36"/>
        <v>0</v>
      </c>
      <c r="Z184" s="68">
        <f>IFERROR(SUMIF(CT撮影装置!$C$30:$C$74,B184,CT撮影装置!$K$30:$K$74)*((CT撮影装置!$H$3-CT撮影装置!$I$3)/CT撮影装置!$H$3),0)</f>
        <v>0</v>
      </c>
      <c r="AA184" s="69">
        <f t="shared" si="51"/>
        <v>0</v>
      </c>
      <c r="AB184" s="68">
        <f>IFERROR(SUMIF(生体情報モニタ!$C$30:$C$74,B184,生体情報モニタ!$K$30:$K$74)*((生体情報モニタ!$H$3-生体情報モニタ!$I$3)/生体情報モニタ!$H$3),0)</f>
        <v>0</v>
      </c>
      <c r="AC184" s="69">
        <f t="shared" si="37"/>
        <v>0</v>
      </c>
      <c r="AD184" s="68">
        <f>IFERROR(SUMIF(分娩監視装置!$C$30:$C$74,B184,分娩監視装置!$K$30:$K$74)*((分娩監視装置!$H$3-分娩監視装置!$I$3)/分娩監視装置!$H$3),0)</f>
        <v>0</v>
      </c>
      <c r="AE184" s="69">
        <f t="shared" si="52"/>
        <v>0</v>
      </c>
      <c r="AF184" s="68">
        <f>IFERROR(SUMIF(新生児モニタ!$C$30:$C$74,B184,新生児モニタ!$K$30:$K$74)*((新生児モニタ!$H$3-新生児モニタ!$I$3)/新生児モニタ!$H$3),0)</f>
        <v>0</v>
      </c>
      <c r="AG184" s="69">
        <f t="shared" si="53"/>
        <v>0</v>
      </c>
    </row>
    <row r="185" spans="2:33">
      <c r="B185" s="65" t="s">
        <v>854</v>
      </c>
      <c r="C185" s="68">
        <f>IFERROR(SUMIF(初度設備!$C$30:$C$74,B185,初度設備!$N$30:$N$74)*((初度設備!$H$3-初度設備!$I$3)/初度設備!$H$3),0)</f>
        <v>0</v>
      </c>
      <c r="D185" s="69">
        <f t="shared" si="38"/>
        <v>0</v>
      </c>
      <c r="E185" s="68">
        <f>IFERROR(SUMIF(人工呼吸器!$C$30:$C$74,B185,人工呼吸器!$N$30:$N$74)*((人工呼吸器!$H$3-人工呼吸器!$I$3)/人工呼吸器!$H$3),0)</f>
        <v>0</v>
      </c>
      <c r="F185" s="69">
        <f t="shared" si="39"/>
        <v>0</v>
      </c>
      <c r="G185" s="69">
        <f t="shared" si="40"/>
        <v>0</v>
      </c>
      <c r="H185" s="69">
        <f t="shared" si="41"/>
        <v>0</v>
      </c>
      <c r="I185" s="68">
        <f>IFERROR(SUMIF(簡易陰圧装置!$C$30:$C$74,B185,簡易陰圧装置!$N$30:$N$74)*((簡易陰圧装置!$H$3-簡易陰圧装置!$I$3)/簡易陰圧装置!$H$3),0)</f>
        <v>0</v>
      </c>
      <c r="J185" s="69">
        <f t="shared" si="42"/>
        <v>0</v>
      </c>
      <c r="K185" s="68">
        <f>IFERROR(SUMIF(#REF!,B185,#REF!)*((#REF!-#REF!)/#REF!),0)</f>
        <v>0</v>
      </c>
      <c r="L185" s="69">
        <f t="shared" si="43"/>
        <v>0</v>
      </c>
      <c r="M185" s="68">
        <f>IFERROR(SUMIF(体外式膜型人工肺!$C$30:$C$74,B185,体外式膜型人工肺!$N$30:$N$74)*((体外式膜型人工肺!$H$3-体外式膜型人工肺!$I$3)/体外式膜型人工肺!$H$3),0)</f>
        <v>0</v>
      </c>
      <c r="N185" s="69">
        <f t="shared" si="44"/>
        <v>0</v>
      </c>
      <c r="O185" s="69">
        <f t="shared" si="45"/>
        <v>0</v>
      </c>
      <c r="P185" s="69">
        <f t="shared" si="46"/>
        <v>0</v>
      </c>
      <c r="Q185" s="68">
        <f>IFERROR(SUMIF(紫外線照射装置!$C$30:$C$74,B185,紫外線照射装置!$N$30:$N$74)*((紫外線照射装置!$H$3-紫外線照射装置!$I$3)/紫外線照射装置!$H$3),0)</f>
        <v>0</v>
      </c>
      <c r="R185" s="69">
        <f t="shared" si="47"/>
        <v>0</v>
      </c>
      <c r="S185" s="102">
        <f t="shared" si="48"/>
        <v>0</v>
      </c>
      <c r="T185" s="68">
        <f>IFERROR(SUMIF(超音波画像診断装置!$C$30:$C$74,B185,超音波画像診断装置!$K$30:$K$74)*((超音波画像診断装置!$H$3-超音波画像診断装置!$I$3)/超音波画像診断装置!$H$3),0)</f>
        <v>0</v>
      </c>
      <c r="U185" s="69">
        <f t="shared" si="49"/>
        <v>0</v>
      </c>
      <c r="V185" s="68">
        <f>IFERROR(SUMIF(血液浄化装置!$C$30:$C$74,B185,血液浄化装置!$K$30:$K$74)*((血液浄化装置!$H$3-血液浄化装置!$I$3)/血液浄化装置!$H$3),0)</f>
        <v>0</v>
      </c>
      <c r="W185" s="69">
        <f t="shared" si="50"/>
        <v>0</v>
      </c>
      <c r="X185" s="68">
        <f>IFERROR(SUMIF(気管支鏡!$C$30:$C$74,B185,気管支鏡!$K$30:$K$74)*((気管支鏡!$H$3-気管支鏡!$I$3)/気管支鏡!$H$3),0)</f>
        <v>0</v>
      </c>
      <c r="Y185" s="69">
        <f t="shared" si="36"/>
        <v>0</v>
      </c>
      <c r="Z185" s="68">
        <f>IFERROR(SUMIF(CT撮影装置!$C$30:$C$74,B185,CT撮影装置!$K$30:$K$74)*((CT撮影装置!$H$3-CT撮影装置!$I$3)/CT撮影装置!$H$3),0)</f>
        <v>0</v>
      </c>
      <c r="AA185" s="69">
        <f t="shared" si="51"/>
        <v>0</v>
      </c>
      <c r="AB185" s="68">
        <f>IFERROR(SUMIF(生体情報モニタ!$C$30:$C$74,B185,生体情報モニタ!$K$30:$K$74)*((生体情報モニタ!$H$3-生体情報モニタ!$I$3)/生体情報モニタ!$H$3),0)</f>
        <v>0</v>
      </c>
      <c r="AC185" s="69">
        <f t="shared" si="37"/>
        <v>0</v>
      </c>
      <c r="AD185" s="68">
        <f>IFERROR(SUMIF(分娩監視装置!$C$30:$C$74,B185,分娩監視装置!$K$30:$K$74)*((分娩監視装置!$H$3-分娩監視装置!$I$3)/分娩監視装置!$H$3),0)</f>
        <v>0</v>
      </c>
      <c r="AE185" s="69">
        <f t="shared" si="52"/>
        <v>0</v>
      </c>
      <c r="AF185" s="68">
        <f>IFERROR(SUMIF(新生児モニタ!$C$30:$C$74,B185,新生児モニタ!$K$30:$K$74)*((新生児モニタ!$H$3-新生児モニタ!$I$3)/新生児モニタ!$H$3),0)</f>
        <v>0</v>
      </c>
      <c r="AG185" s="69">
        <f t="shared" si="53"/>
        <v>0</v>
      </c>
    </row>
    <row r="186" spans="2:33">
      <c r="B186" s="65" t="s">
        <v>855</v>
      </c>
      <c r="C186" s="68">
        <f>IFERROR(SUMIF(初度設備!$C$30:$C$74,B186,初度設備!$N$30:$N$74)*((初度設備!$H$3-初度設備!$I$3)/初度設備!$H$3),0)</f>
        <v>0</v>
      </c>
      <c r="D186" s="69">
        <f t="shared" si="38"/>
        <v>0</v>
      </c>
      <c r="E186" s="68">
        <f>IFERROR(SUMIF(人工呼吸器!$C$30:$C$74,B186,人工呼吸器!$N$30:$N$74)*((人工呼吸器!$H$3-人工呼吸器!$I$3)/人工呼吸器!$H$3),0)</f>
        <v>0</v>
      </c>
      <c r="F186" s="69">
        <f t="shared" si="39"/>
        <v>0</v>
      </c>
      <c r="G186" s="69">
        <f t="shared" si="40"/>
        <v>0</v>
      </c>
      <c r="H186" s="69">
        <f t="shared" si="41"/>
        <v>0</v>
      </c>
      <c r="I186" s="68">
        <f>IFERROR(SUMIF(簡易陰圧装置!$C$30:$C$74,B186,簡易陰圧装置!$N$30:$N$74)*((簡易陰圧装置!$H$3-簡易陰圧装置!$I$3)/簡易陰圧装置!$H$3),0)</f>
        <v>0</v>
      </c>
      <c r="J186" s="69">
        <f t="shared" si="42"/>
        <v>0</v>
      </c>
      <c r="K186" s="68">
        <f>IFERROR(SUMIF(#REF!,B186,#REF!)*((#REF!-#REF!)/#REF!),0)</f>
        <v>0</v>
      </c>
      <c r="L186" s="69">
        <f t="shared" si="43"/>
        <v>0</v>
      </c>
      <c r="M186" s="68">
        <f>IFERROR(SUMIF(体外式膜型人工肺!$C$30:$C$74,B186,体外式膜型人工肺!$N$30:$N$74)*((体外式膜型人工肺!$H$3-体外式膜型人工肺!$I$3)/体外式膜型人工肺!$H$3),0)</f>
        <v>0</v>
      </c>
      <c r="N186" s="69">
        <f t="shared" si="44"/>
        <v>0</v>
      </c>
      <c r="O186" s="69">
        <f t="shared" si="45"/>
        <v>0</v>
      </c>
      <c r="P186" s="69">
        <f t="shared" si="46"/>
        <v>0</v>
      </c>
      <c r="Q186" s="68">
        <f>IFERROR(SUMIF(紫外線照射装置!$C$30:$C$74,B186,紫外線照射装置!$N$30:$N$74)*((紫外線照射装置!$H$3-紫外線照射装置!$I$3)/紫外線照射装置!$H$3),0)</f>
        <v>0</v>
      </c>
      <c r="R186" s="69">
        <f t="shared" si="47"/>
        <v>0</v>
      </c>
      <c r="S186" s="102">
        <f t="shared" si="48"/>
        <v>0</v>
      </c>
      <c r="T186" s="68">
        <f>IFERROR(SUMIF(超音波画像診断装置!$C$30:$C$74,B186,超音波画像診断装置!$K$30:$K$74)*((超音波画像診断装置!$H$3-超音波画像診断装置!$I$3)/超音波画像診断装置!$H$3),0)</f>
        <v>0</v>
      </c>
      <c r="U186" s="69">
        <f t="shared" si="49"/>
        <v>0</v>
      </c>
      <c r="V186" s="68">
        <f>IFERROR(SUMIF(血液浄化装置!$C$30:$C$74,B186,血液浄化装置!$K$30:$K$74)*((血液浄化装置!$H$3-血液浄化装置!$I$3)/血液浄化装置!$H$3),0)</f>
        <v>0</v>
      </c>
      <c r="W186" s="69">
        <f t="shared" si="50"/>
        <v>0</v>
      </c>
      <c r="X186" s="68">
        <f>IFERROR(SUMIF(気管支鏡!$C$30:$C$74,B186,気管支鏡!$K$30:$K$74)*((気管支鏡!$H$3-気管支鏡!$I$3)/気管支鏡!$H$3),0)</f>
        <v>0</v>
      </c>
      <c r="Y186" s="69">
        <f t="shared" si="36"/>
        <v>0</v>
      </c>
      <c r="Z186" s="68">
        <f>IFERROR(SUMIF(CT撮影装置!$C$30:$C$74,B186,CT撮影装置!$K$30:$K$74)*((CT撮影装置!$H$3-CT撮影装置!$I$3)/CT撮影装置!$H$3),0)</f>
        <v>0</v>
      </c>
      <c r="AA186" s="69">
        <f t="shared" si="51"/>
        <v>0</v>
      </c>
      <c r="AB186" s="68">
        <f>IFERROR(SUMIF(生体情報モニタ!$C$30:$C$74,B186,生体情報モニタ!$K$30:$K$74)*((生体情報モニタ!$H$3-生体情報モニタ!$I$3)/生体情報モニタ!$H$3),0)</f>
        <v>0</v>
      </c>
      <c r="AC186" s="69">
        <f t="shared" si="37"/>
        <v>0</v>
      </c>
      <c r="AD186" s="68">
        <f>IFERROR(SUMIF(分娩監視装置!$C$30:$C$74,B186,分娩監視装置!$K$30:$K$74)*((分娩監視装置!$H$3-分娩監視装置!$I$3)/分娩監視装置!$H$3),0)</f>
        <v>0</v>
      </c>
      <c r="AE186" s="69">
        <f t="shared" si="52"/>
        <v>0</v>
      </c>
      <c r="AF186" s="68">
        <f>IFERROR(SUMIF(新生児モニタ!$C$30:$C$74,B186,新生児モニタ!$K$30:$K$74)*((新生児モニタ!$H$3-新生児モニタ!$I$3)/新生児モニタ!$H$3),0)</f>
        <v>0</v>
      </c>
      <c r="AG186" s="69">
        <f t="shared" si="53"/>
        <v>0</v>
      </c>
    </row>
    <row r="187" spans="2:33">
      <c r="B187" s="65" t="s">
        <v>856</v>
      </c>
      <c r="C187" s="68">
        <f>IFERROR(SUMIF(初度設備!$C$30:$C$74,B187,初度設備!$N$30:$N$74)*((初度設備!$H$3-初度設備!$I$3)/初度設備!$H$3),0)</f>
        <v>0</v>
      </c>
      <c r="D187" s="69">
        <f t="shared" si="38"/>
        <v>0</v>
      </c>
      <c r="E187" s="68">
        <f>IFERROR(SUMIF(人工呼吸器!$C$30:$C$74,B187,人工呼吸器!$N$30:$N$74)*((人工呼吸器!$H$3-人工呼吸器!$I$3)/人工呼吸器!$H$3),0)</f>
        <v>0</v>
      </c>
      <c r="F187" s="69">
        <f t="shared" si="39"/>
        <v>0</v>
      </c>
      <c r="G187" s="69">
        <f t="shared" si="40"/>
        <v>0</v>
      </c>
      <c r="H187" s="69">
        <f t="shared" si="41"/>
        <v>0</v>
      </c>
      <c r="I187" s="68">
        <f>IFERROR(SUMIF(簡易陰圧装置!$C$30:$C$74,B187,簡易陰圧装置!$N$30:$N$74)*((簡易陰圧装置!$H$3-簡易陰圧装置!$I$3)/簡易陰圧装置!$H$3),0)</f>
        <v>0</v>
      </c>
      <c r="J187" s="69">
        <f t="shared" si="42"/>
        <v>0</v>
      </c>
      <c r="K187" s="68">
        <f>IFERROR(SUMIF(#REF!,B187,#REF!)*((#REF!-#REF!)/#REF!),0)</f>
        <v>0</v>
      </c>
      <c r="L187" s="69">
        <f t="shared" si="43"/>
        <v>0</v>
      </c>
      <c r="M187" s="68">
        <f>IFERROR(SUMIF(体外式膜型人工肺!$C$30:$C$74,B187,体外式膜型人工肺!$N$30:$N$74)*((体外式膜型人工肺!$H$3-体外式膜型人工肺!$I$3)/体外式膜型人工肺!$H$3),0)</f>
        <v>0</v>
      </c>
      <c r="N187" s="69">
        <f t="shared" si="44"/>
        <v>0</v>
      </c>
      <c r="O187" s="69">
        <f t="shared" si="45"/>
        <v>0</v>
      </c>
      <c r="P187" s="69">
        <f t="shared" si="46"/>
        <v>0</v>
      </c>
      <c r="Q187" s="68">
        <f>IFERROR(SUMIF(紫外線照射装置!$C$30:$C$74,B187,紫外線照射装置!$N$30:$N$74)*((紫外線照射装置!$H$3-紫外線照射装置!$I$3)/紫外線照射装置!$H$3),0)</f>
        <v>0</v>
      </c>
      <c r="R187" s="69">
        <f t="shared" si="47"/>
        <v>0</v>
      </c>
      <c r="S187" s="102">
        <f t="shared" si="48"/>
        <v>0</v>
      </c>
      <c r="T187" s="68">
        <f>IFERROR(SUMIF(超音波画像診断装置!$C$30:$C$74,B187,超音波画像診断装置!$K$30:$K$74)*((超音波画像診断装置!$H$3-超音波画像診断装置!$I$3)/超音波画像診断装置!$H$3),0)</f>
        <v>0</v>
      </c>
      <c r="U187" s="69">
        <f t="shared" si="49"/>
        <v>0</v>
      </c>
      <c r="V187" s="68">
        <f>IFERROR(SUMIF(血液浄化装置!$C$30:$C$74,B187,血液浄化装置!$K$30:$K$74)*((血液浄化装置!$H$3-血液浄化装置!$I$3)/血液浄化装置!$H$3),0)</f>
        <v>0</v>
      </c>
      <c r="W187" s="69">
        <f t="shared" si="50"/>
        <v>0</v>
      </c>
      <c r="X187" s="68">
        <f>IFERROR(SUMIF(気管支鏡!$C$30:$C$74,B187,気管支鏡!$K$30:$K$74)*((気管支鏡!$H$3-気管支鏡!$I$3)/気管支鏡!$H$3),0)</f>
        <v>0</v>
      </c>
      <c r="Y187" s="69">
        <f t="shared" si="36"/>
        <v>0</v>
      </c>
      <c r="Z187" s="68">
        <f>IFERROR(SUMIF(CT撮影装置!$C$30:$C$74,B187,CT撮影装置!$K$30:$K$74)*((CT撮影装置!$H$3-CT撮影装置!$I$3)/CT撮影装置!$H$3),0)</f>
        <v>0</v>
      </c>
      <c r="AA187" s="69">
        <f t="shared" si="51"/>
        <v>0</v>
      </c>
      <c r="AB187" s="68">
        <f>IFERROR(SUMIF(生体情報モニタ!$C$30:$C$74,B187,生体情報モニタ!$K$30:$K$74)*((生体情報モニタ!$H$3-生体情報モニタ!$I$3)/生体情報モニタ!$H$3),0)</f>
        <v>0</v>
      </c>
      <c r="AC187" s="69">
        <f t="shared" si="37"/>
        <v>0</v>
      </c>
      <c r="AD187" s="68">
        <f>IFERROR(SUMIF(分娩監視装置!$C$30:$C$74,B187,分娩監視装置!$K$30:$K$74)*((分娩監視装置!$H$3-分娩監視装置!$I$3)/分娩監視装置!$H$3),0)</f>
        <v>0</v>
      </c>
      <c r="AE187" s="69">
        <f t="shared" si="52"/>
        <v>0</v>
      </c>
      <c r="AF187" s="68">
        <f>IFERROR(SUMIF(新生児モニタ!$C$30:$C$74,B187,新生児モニタ!$K$30:$K$74)*((新生児モニタ!$H$3-新生児モニタ!$I$3)/新生児モニタ!$H$3),0)</f>
        <v>0</v>
      </c>
      <c r="AG187" s="69">
        <f t="shared" si="53"/>
        <v>0</v>
      </c>
    </row>
    <row r="188" spans="2:33">
      <c r="B188" s="65" t="s">
        <v>857</v>
      </c>
      <c r="C188" s="68">
        <f>IFERROR(SUMIF(初度設備!$C$30:$C$74,B188,初度設備!$N$30:$N$74)*((初度設備!$H$3-初度設備!$I$3)/初度設備!$H$3),0)</f>
        <v>0</v>
      </c>
      <c r="D188" s="69">
        <f t="shared" si="38"/>
        <v>0</v>
      </c>
      <c r="E188" s="68">
        <f>IFERROR(SUMIF(人工呼吸器!$C$30:$C$74,B188,人工呼吸器!$N$30:$N$74)*((人工呼吸器!$H$3-人工呼吸器!$I$3)/人工呼吸器!$H$3),0)</f>
        <v>0</v>
      </c>
      <c r="F188" s="69">
        <f t="shared" si="39"/>
        <v>0</v>
      </c>
      <c r="G188" s="69">
        <f t="shared" si="40"/>
        <v>0</v>
      </c>
      <c r="H188" s="69">
        <f t="shared" si="41"/>
        <v>0</v>
      </c>
      <c r="I188" s="68">
        <f>IFERROR(SUMIF(簡易陰圧装置!$C$30:$C$74,B188,簡易陰圧装置!$N$30:$N$74)*((簡易陰圧装置!$H$3-簡易陰圧装置!$I$3)/簡易陰圧装置!$H$3),0)</f>
        <v>0</v>
      </c>
      <c r="J188" s="69">
        <f t="shared" si="42"/>
        <v>0</v>
      </c>
      <c r="K188" s="68">
        <f>IFERROR(SUMIF(#REF!,B188,#REF!)*((#REF!-#REF!)/#REF!),0)</f>
        <v>0</v>
      </c>
      <c r="L188" s="69">
        <f t="shared" si="43"/>
        <v>0</v>
      </c>
      <c r="M188" s="68">
        <f>IFERROR(SUMIF(体外式膜型人工肺!$C$30:$C$74,B188,体外式膜型人工肺!$N$30:$N$74)*((体外式膜型人工肺!$H$3-体外式膜型人工肺!$I$3)/体外式膜型人工肺!$H$3),0)</f>
        <v>0</v>
      </c>
      <c r="N188" s="69">
        <f t="shared" si="44"/>
        <v>0</v>
      </c>
      <c r="O188" s="69">
        <f t="shared" si="45"/>
        <v>0</v>
      </c>
      <c r="P188" s="69">
        <f t="shared" si="46"/>
        <v>0</v>
      </c>
      <c r="Q188" s="68">
        <f>IFERROR(SUMIF(紫外線照射装置!$C$30:$C$74,B188,紫外線照射装置!$N$30:$N$74)*((紫外線照射装置!$H$3-紫外線照射装置!$I$3)/紫外線照射装置!$H$3),0)</f>
        <v>0</v>
      </c>
      <c r="R188" s="69">
        <f t="shared" si="47"/>
        <v>0</v>
      </c>
      <c r="S188" s="102">
        <f t="shared" si="48"/>
        <v>0</v>
      </c>
      <c r="T188" s="68">
        <f>IFERROR(SUMIF(超音波画像診断装置!$C$30:$C$74,B188,超音波画像診断装置!$K$30:$K$74)*((超音波画像診断装置!$H$3-超音波画像診断装置!$I$3)/超音波画像診断装置!$H$3),0)</f>
        <v>0</v>
      </c>
      <c r="U188" s="69">
        <f t="shared" si="49"/>
        <v>0</v>
      </c>
      <c r="V188" s="68">
        <f>IFERROR(SUMIF(血液浄化装置!$C$30:$C$74,B188,血液浄化装置!$K$30:$K$74)*((血液浄化装置!$H$3-血液浄化装置!$I$3)/血液浄化装置!$H$3),0)</f>
        <v>0</v>
      </c>
      <c r="W188" s="69">
        <f t="shared" si="50"/>
        <v>0</v>
      </c>
      <c r="X188" s="68">
        <f>IFERROR(SUMIF(気管支鏡!$C$30:$C$74,B188,気管支鏡!$K$30:$K$74)*((気管支鏡!$H$3-気管支鏡!$I$3)/気管支鏡!$H$3),0)</f>
        <v>0</v>
      </c>
      <c r="Y188" s="69">
        <f t="shared" si="36"/>
        <v>0</v>
      </c>
      <c r="Z188" s="68">
        <f>IFERROR(SUMIF(CT撮影装置!$C$30:$C$74,B188,CT撮影装置!$K$30:$K$74)*((CT撮影装置!$H$3-CT撮影装置!$I$3)/CT撮影装置!$H$3),0)</f>
        <v>0</v>
      </c>
      <c r="AA188" s="69">
        <f t="shared" si="51"/>
        <v>0</v>
      </c>
      <c r="AB188" s="68">
        <f>IFERROR(SUMIF(生体情報モニタ!$C$30:$C$74,B188,生体情報モニタ!$K$30:$K$74)*((生体情報モニタ!$H$3-生体情報モニタ!$I$3)/生体情報モニタ!$H$3),0)</f>
        <v>0</v>
      </c>
      <c r="AC188" s="69">
        <f t="shared" si="37"/>
        <v>0</v>
      </c>
      <c r="AD188" s="68">
        <f>IFERROR(SUMIF(分娩監視装置!$C$30:$C$74,B188,分娩監視装置!$K$30:$K$74)*((分娩監視装置!$H$3-分娩監視装置!$I$3)/分娩監視装置!$H$3),0)</f>
        <v>0</v>
      </c>
      <c r="AE188" s="69">
        <f t="shared" si="52"/>
        <v>0</v>
      </c>
      <c r="AF188" s="68">
        <f>IFERROR(SUMIF(新生児モニタ!$C$30:$C$74,B188,新生児モニタ!$K$30:$K$74)*((新生児モニタ!$H$3-新生児モニタ!$I$3)/新生児モニタ!$H$3),0)</f>
        <v>0</v>
      </c>
      <c r="AG188" s="69">
        <f t="shared" si="53"/>
        <v>0</v>
      </c>
    </row>
    <row r="189" spans="2:33">
      <c r="B189" s="65" t="s">
        <v>858</v>
      </c>
      <c r="C189" s="68">
        <f>IFERROR(SUMIF(初度設備!$C$30:$C$74,B189,初度設備!$N$30:$N$74)*((初度設備!$H$3-初度設備!$I$3)/初度設備!$H$3),0)</f>
        <v>0</v>
      </c>
      <c r="D189" s="69">
        <f t="shared" si="38"/>
        <v>0</v>
      </c>
      <c r="E189" s="68">
        <f>IFERROR(SUMIF(人工呼吸器!$C$30:$C$74,B189,人工呼吸器!$N$30:$N$74)*((人工呼吸器!$H$3-人工呼吸器!$I$3)/人工呼吸器!$H$3),0)</f>
        <v>0</v>
      </c>
      <c r="F189" s="69">
        <f t="shared" si="39"/>
        <v>0</v>
      </c>
      <c r="G189" s="69">
        <f t="shared" si="40"/>
        <v>0</v>
      </c>
      <c r="H189" s="69">
        <f t="shared" si="41"/>
        <v>0</v>
      </c>
      <c r="I189" s="68">
        <f>IFERROR(SUMIF(簡易陰圧装置!$C$30:$C$74,B189,簡易陰圧装置!$N$30:$N$74)*((簡易陰圧装置!$H$3-簡易陰圧装置!$I$3)/簡易陰圧装置!$H$3),0)</f>
        <v>0</v>
      </c>
      <c r="J189" s="69">
        <f t="shared" si="42"/>
        <v>0</v>
      </c>
      <c r="K189" s="68">
        <f>IFERROR(SUMIF(#REF!,B189,#REF!)*((#REF!-#REF!)/#REF!),0)</f>
        <v>0</v>
      </c>
      <c r="L189" s="69">
        <f t="shared" si="43"/>
        <v>0</v>
      </c>
      <c r="M189" s="68">
        <f>IFERROR(SUMIF(体外式膜型人工肺!$C$30:$C$74,B189,体外式膜型人工肺!$N$30:$N$74)*((体外式膜型人工肺!$H$3-体外式膜型人工肺!$I$3)/体外式膜型人工肺!$H$3),0)</f>
        <v>0</v>
      </c>
      <c r="N189" s="69">
        <f t="shared" si="44"/>
        <v>0</v>
      </c>
      <c r="O189" s="69">
        <f t="shared" si="45"/>
        <v>0</v>
      </c>
      <c r="P189" s="69">
        <f t="shared" si="46"/>
        <v>0</v>
      </c>
      <c r="Q189" s="68">
        <f>IFERROR(SUMIF(紫外線照射装置!$C$30:$C$74,B189,紫外線照射装置!$N$30:$N$74)*((紫外線照射装置!$H$3-紫外線照射装置!$I$3)/紫外線照射装置!$H$3),0)</f>
        <v>0</v>
      </c>
      <c r="R189" s="69">
        <f t="shared" si="47"/>
        <v>0</v>
      </c>
      <c r="S189" s="102">
        <f t="shared" si="48"/>
        <v>0</v>
      </c>
      <c r="T189" s="68">
        <f>IFERROR(SUMIF(超音波画像診断装置!$C$30:$C$74,B189,超音波画像診断装置!$K$30:$K$74)*((超音波画像診断装置!$H$3-超音波画像診断装置!$I$3)/超音波画像診断装置!$H$3),0)</f>
        <v>0</v>
      </c>
      <c r="U189" s="69">
        <f t="shared" si="49"/>
        <v>0</v>
      </c>
      <c r="V189" s="68">
        <f>IFERROR(SUMIF(血液浄化装置!$C$30:$C$74,B189,血液浄化装置!$K$30:$K$74)*((血液浄化装置!$H$3-血液浄化装置!$I$3)/血液浄化装置!$H$3),0)</f>
        <v>0</v>
      </c>
      <c r="W189" s="69">
        <f t="shared" si="50"/>
        <v>0</v>
      </c>
      <c r="X189" s="68">
        <f>IFERROR(SUMIF(気管支鏡!$C$30:$C$74,B189,気管支鏡!$K$30:$K$74)*((気管支鏡!$H$3-気管支鏡!$I$3)/気管支鏡!$H$3),0)</f>
        <v>0</v>
      </c>
      <c r="Y189" s="69">
        <f t="shared" si="36"/>
        <v>0</v>
      </c>
      <c r="Z189" s="68">
        <f>IFERROR(SUMIF(CT撮影装置!$C$30:$C$74,B189,CT撮影装置!$K$30:$K$74)*((CT撮影装置!$H$3-CT撮影装置!$I$3)/CT撮影装置!$H$3),0)</f>
        <v>0</v>
      </c>
      <c r="AA189" s="69">
        <f t="shared" si="51"/>
        <v>0</v>
      </c>
      <c r="AB189" s="68">
        <f>IFERROR(SUMIF(生体情報モニタ!$C$30:$C$74,B189,生体情報モニタ!$K$30:$K$74)*((生体情報モニタ!$H$3-生体情報モニタ!$I$3)/生体情報モニタ!$H$3),0)</f>
        <v>0</v>
      </c>
      <c r="AC189" s="69">
        <f t="shared" si="37"/>
        <v>0</v>
      </c>
      <c r="AD189" s="68">
        <f>IFERROR(SUMIF(分娩監視装置!$C$30:$C$74,B189,分娩監視装置!$K$30:$K$74)*((分娩監視装置!$H$3-分娩監視装置!$I$3)/分娩監視装置!$H$3),0)</f>
        <v>0</v>
      </c>
      <c r="AE189" s="69">
        <f t="shared" si="52"/>
        <v>0</v>
      </c>
      <c r="AF189" s="68">
        <f>IFERROR(SUMIF(新生児モニタ!$C$30:$C$74,B189,新生児モニタ!$K$30:$K$74)*((新生児モニタ!$H$3-新生児モニタ!$I$3)/新生児モニタ!$H$3),0)</f>
        <v>0</v>
      </c>
      <c r="AG189" s="69">
        <f t="shared" si="53"/>
        <v>0</v>
      </c>
    </row>
    <row r="190" spans="2:33">
      <c r="B190" s="65" t="s">
        <v>859</v>
      </c>
      <c r="C190" s="68">
        <f>IFERROR(SUMIF(初度設備!$C$30:$C$74,B190,初度設備!$N$30:$N$74)*((初度設備!$H$3-初度設備!$I$3)/初度設備!$H$3),0)</f>
        <v>0</v>
      </c>
      <c r="D190" s="69">
        <f t="shared" si="38"/>
        <v>0</v>
      </c>
      <c r="E190" s="68">
        <f>IFERROR(SUMIF(人工呼吸器!$C$30:$C$74,B190,人工呼吸器!$N$30:$N$74)*((人工呼吸器!$H$3-人工呼吸器!$I$3)/人工呼吸器!$H$3),0)</f>
        <v>0</v>
      </c>
      <c r="F190" s="69">
        <f t="shared" si="39"/>
        <v>0</v>
      </c>
      <c r="G190" s="69">
        <f t="shared" si="40"/>
        <v>0</v>
      </c>
      <c r="H190" s="69">
        <f t="shared" si="41"/>
        <v>0</v>
      </c>
      <c r="I190" s="68">
        <f>IFERROR(SUMIF(簡易陰圧装置!$C$30:$C$74,B190,簡易陰圧装置!$N$30:$N$74)*((簡易陰圧装置!$H$3-簡易陰圧装置!$I$3)/簡易陰圧装置!$H$3),0)</f>
        <v>0</v>
      </c>
      <c r="J190" s="69">
        <f t="shared" si="42"/>
        <v>0</v>
      </c>
      <c r="K190" s="68">
        <f>IFERROR(SUMIF(#REF!,B190,#REF!)*((#REF!-#REF!)/#REF!),0)</f>
        <v>0</v>
      </c>
      <c r="L190" s="69">
        <f t="shared" si="43"/>
        <v>0</v>
      </c>
      <c r="M190" s="68">
        <f>IFERROR(SUMIF(体外式膜型人工肺!$C$30:$C$74,B190,体外式膜型人工肺!$N$30:$N$74)*((体外式膜型人工肺!$H$3-体外式膜型人工肺!$I$3)/体外式膜型人工肺!$H$3),0)</f>
        <v>0</v>
      </c>
      <c r="N190" s="69">
        <f t="shared" si="44"/>
        <v>0</v>
      </c>
      <c r="O190" s="69">
        <f t="shared" si="45"/>
        <v>0</v>
      </c>
      <c r="P190" s="69">
        <f t="shared" si="46"/>
        <v>0</v>
      </c>
      <c r="Q190" s="68">
        <f>IFERROR(SUMIF(紫外線照射装置!$C$30:$C$74,B190,紫外線照射装置!$N$30:$N$74)*((紫外線照射装置!$H$3-紫外線照射装置!$I$3)/紫外線照射装置!$H$3),0)</f>
        <v>0</v>
      </c>
      <c r="R190" s="69">
        <f t="shared" si="47"/>
        <v>0</v>
      </c>
      <c r="S190" s="102">
        <f t="shared" si="48"/>
        <v>0</v>
      </c>
      <c r="T190" s="68">
        <f>IFERROR(SUMIF(超音波画像診断装置!$C$30:$C$74,B190,超音波画像診断装置!$K$30:$K$74)*((超音波画像診断装置!$H$3-超音波画像診断装置!$I$3)/超音波画像診断装置!$H$3),0)</f>
        <v>0</v>
      </c>
      <c r="U190" s="69">
        <f t="shared" si="49"/>
        <v>0</v>
      </c>
      <c r="V190" s="68">
        <f>IFERROR(SUMIF(血液浄化装置!$C$30:$C$74,B190,血液浄化装置!$K$30:$K$74)*((血液浄化装置!$H$3-血液浄化装置!$I$3)/血液浄化装置!$H$3),0)</f>
        <v>0</v>
      </c>
      <c r="W190" s="69">
        <f t="shared" si="50"/>
        <v>0</v>
      </c>
      <c r="X190" s="68">
        <f>IFERROR(SUMIF(気管支鏡!$C$30:$C$74,B190,気管支鏡!$K$30:$K$74)*((気管支鏡!$H$3-気管支鏡!$I$3)/気管支鏡!$H$3),0)</f>
        <v>0</v>
      </c>
      <c r="Y190" s="69">
        <f t="shared" si="36"/>
        <v>0</v>
      </c>
      <c r="Z190" s="68">
        <f>IFERROR(SUMIF(CT撮影装置!$C$30:$C$74,B190,CT撮影装置!$K$30:$K$74)*((CT撮影装置!$H$3-CT撮影装置!$I$3)/CT撮影装置!$H$3),0)</f>
        <v>0</v>
      </c>
      <c r="AA190" s="69">
        <f t="shared" si="51"/>
        <v>0</v>
      </c>
      <c r="AB190" s="68">
        <f>IFERROR(SUMIF(生体情報モニタ!$C$30:$C$74,B190,生体情報モニタ!$K$30:$K$74)*((生体情報モニタ!$H$3-生体情報モニタ!$I$3)/生体情報モニタ!$H$3),0)</f>
        <v>0</v>
      </c>
      <c r="AC190" s="69">
        <f t="shared" si="37"/>
        <v>0</v>
      </c>
      <c r="AD190" s="68">
        <f>IFERROR(SUMIF(分娩監視装置!$C$30:$C$74,B190,分娩監視装置!$K$30:$K$74)*((分娩監視装置!$H$3-分娩監視装置!$I$3)/分娩監視装置!$H$3),0)</f>
        <v>0</v>
      </c>
      <c r="AE190" s="69">
        <f t="shared" si="52"/>
        <v>0</v>
      </c>
      <c r="AF190" s="68">
        <f>IFERROR(SUMIF(新生児モニタ!$C$30:$C$74,B190,新生児モニタ!$K$30:$K$74)*((新生児モニタ!$H$3-新生児モニタ!$I$3)/新生児モニタ!$H$3),0)</f>
        <v>0</v>
      </c>
      <c r="AG190" s="69">
        <f t="shared" si="53"/>
        <v>0</v>
      </c>
    </row>
    <row r="191" spans="2:33">
      <c r="B191" s="65" t="s">
        <v>860</v>
      </c>
      <c r="C191" s="68">
        <f>IFERROR(SUMIF(初度設備!$C$30:$C$74,B191,初度設備!$N$30:$N$74)*((初度設備!$H$3-初度設備!$I$3)/初度設備!$H$3),0)</f>
        <v>0</v>
      </c>
      <c r="D191" s="69">
        <f t="shared" si="38"/>
        <v>0</v>
      </c>
      <c r="E191" s="68">
        <f>IFERROR(SUMIF(人工呼吸器!$C$30:$C$74,B191,人工呼吸器!$N$30:$N$74)*((人工呼吸器!$H$3-人工呼吸器!$I$3)/人工呼吸器!$H$3),0)</f>
        <v>0</v>
      </c>
      <c r="F191" s="69">
        <f t="shared" si="39"/>
        <v>0</v>
      </c>
      <c r="G191" s="69">
        <f t="shared" si="40"/>
        <v>0</v>
      </c>
      <c r="H191" s="69">
        <f t="shared" si="41"/>
        <v>0</v>
      </c>
      <c r="I191" s="68">
        <f>IFERROR(SUMIF(簡易陰圧装置!$C$30:$C$74,B191,簡易陰圧装置!$N$30:$N$74)*((簡易陰圧装置!$H$3-簡易陰圧装置!$I$3)/簡易陰圧装置!$H$3),0)</f>
        <v>0</v>
      </c>
      <c r="J191" s="69">
        <f t="shared" si="42"/>
        <v>0</v>
      </c>
      <c r="K191" s="68">
        <f>IFERROR(SUMIF(#REF!,B191,#REF!)*((#REF!-#REF!)/#REF!),0)</f>
        <v>0</v>
      </c>
      <c r="L191" s="69">
        <f t="shared" si="43"/>
        <v>0</v>
      </c>
      <c r="M191" s="68">
        <f>IFERROR(SUMIF(体外式膜型人工肺!$C$30:$C$74,B191,体外式膜型人工肺!$N$30:$N$74)*((体外式膜型人工肺!$H$3-体外式膜型人工肺!$I$3)/体外式膜型人工肺!$H$3),0)</f>
        <v>0</v>
      </c>
      <c r="N191" s="69">
        <f t="shared" si="44"/>
        <v>0</v>
      </c>
      <c r="O191" s="69">
        <f t="shared" si="45"/>
        <v>0</v>
      </c>
      <c r="P191" s="69">
        <f t="shared" si="46"/>
        <v>0</v>
      </c>
      <c r="Q191" s="68">
        <f>IFERROR(SUMIF(紫外線照射装置!$C$30:$C$74,B191,紫外線照射装置!$N$30:$N$74)*((紫外線照射装置!$H$3-紫外線照射装置!$I$3)/紫外線照射装置!$H$3),0)</f>
        <v>0</v>
      </c>
      <c r="R191" s="69">
        <f t="shared" si="47"/>
        <v>0</v>
      </c>
      <c r="S191" s="102">
        <f t="shared" si="48"/>
        <v>0</v>
      </c>
      <c r="T191" s="68">
        <f>IFERROR(SUMIF(超音波画像診断装置!$C$30:$C$74,B191,超音波画像診断装置!$K$30:$K$74)*((超音波画像診断装置!$H$3-超音波画像診断装置!$I$3)/超音波画像診断装置!$H$3),0)</f>
        <v>0</v>
      </c>
      <c r="U191" s="69">
        <f t="shared" si="49"/>
        <v>0</v>
      </c>
      <c r="V191" s="68">
        <f>IFERROR(SUMIF(血液浄化装置!$C$30:$C$74,B191,血液浄化装置!$K$30:$K$74)*((血液浄化装置!$H$3-血液浄化装置!$I$3)/血液浄化装置!$H$3),0)</f>
        <v>0</v>
      </c>
      <c r="W191" s="69">
        <f t="shared" si="50"/>
        <v>0</v>
      </c>
      <c r="X191" s="68">
        <f>IFERROR(SUMIF(気管支鏡!$C$30:$C$74,B191,気管支鏡!$K$30:$K$74)*((気管支鏡!$H$3-気管支鏡!$I$3)/気管支鏡!$H$3),0)</f>
        <v>0</v>
      </c>
      <c r="Y191" s="69">
        <f t="shared" si="36"/>
        <v>0</v>
      </c>
      <c r="Z191" s="68">
        <f>IFERROR(SUMIF(CT撮影装置!$C$30:$C$74,B191,CT撮影装置!$K$30:$K$74)*((CT撮影装置!$H$3-CT撮影装置!$I$3)/CT撮影装置!$H$3),0)</f>
        <v>0</v>
      </c>
      <c r="AA191" s="69">
        <f t="shared" si="51"/>
        <v>0</v>
      </c>
      <c r="AB191" s="68">
        <f>IFERROR(SUMIF(生体情報モニタ!$C$30:$C$74,B191,生体情報モニタ!$K$30:$K$74)*((生体情報モニタ!$H$3-生体情報モニタ!$I$3)/生体情報モニタ!$H$3),0)</f>
        <v>0</v>
      </c>
      <c r="AC191" s="69">
        <f t="shared" si="37"/>
        <v>0</v>
      </c>
      <c r="AD191" s="68">
        <f>IFERROR(SUMIF(分娩監視装置!$C$30:$C$74,B191,分娩監視装置!$K$30:$K$74)*((分娩監視装置!$H$3-分娩監視装置!$I$3)/分娩監視装置!$H$3),0)</f>
        <v>0</v>
      </c>
      <c r="AE191" s="69">
        <f t="shared" si="52"/>
        <v>0</v>
      </c>
      <c r="AF191" s="68">
        <f>IFERROR(SUMIF(新生児モニタ!$C$30:$C$74,B191,新生児モニタ!$K$30:$K$74)*((新生児モニタ!$H$3-新生児モニタ!$I$3)/新生児モニタ!$H$3),0)</f>
        <v>0</v>
      </c>
      <c r="AG191" s="69">
        <f t="shared" si="53"/>
        <v>0</v>
      </c>
    </row>
    <row r="192" spans="2:33">
      <c r="B192" s="65" t="s">
        <v>861</v>
      </c>
      <c r="C192" s="68">
        <f>IFERROR(SUMIF(初度設備!$C$30:$C$74,B192,初度設備!$N$30:$N$74)*((初度設備!$H$3-初度設備!$I$3)/初度設備!$H$3),0)</f>
        <v>0</v>
      </c>
      <c r="D192" s="69">
        <f t="shared" si="38"/>
        <v>0</v>
      </c>
      <c r="E192" s="68">
        <f>IFERROR(SUMIF(人工呼吸器!$C$30:$C$74,B192,人工呼吸器!$N$30:$N$74)*((人工呼吸器!$H$3-人工呼吸器!$I$3)/人工呼吸器!$H$3),0)</f>
        <v>0</v>
      </c>
      <c r="F192" s="69">
        <f t="shared" si="39"/>
        <v>0</v>
      </c>
      <c r="G192" s="69">
        <f t="shared" si="40"/>
        <v>0</v>
      </c>
      <c r="H192" s="69">
        <f t="shared" si="41"/>
        <v>0</v>
      </c>
      <c r="I192" s="68">
        <f>IFERROR(SUMIF(簡易陰圧装置!$C$30:$C$74,B192,簡易陰圧装置!$N$30:$N$74)*((簡易陰圧装置!$H$3-簡易陰圧装置!$I$3)/簡易陰圧装置!$H$3),0)</f>
        <v>0</v>
      </c>
      <c r="J192" s="69">
        <f t="shared" si="42"/>
        <v>0</v>
      </c>
      <c r="K192" s="68">
        <f>IFERROR(SUMIF(#REF!,B192,#REF!)*((#REF!-#REF!)/#REF!),0)</f>
        <v>0</v>
      </c>
      <c r="L192" s="69">
        <f t="shared" si="43"/>
        <v>0</v>
      </c>
      <c r="M192" s="68">
        <f>IFERROR(SUMIF(体外式膜型人工肺!$C$30:$C$74,B192,体外式膜型人工肺!$N$30:$N$74)*((体外式膜型人工肺!$H$3-体外式膜型人工肺!$I$3)/体外式膜型人工肺!$H$3),0)</f>
        <v>0</v>
      </c>
      <c r="N192" s="69">
        <f t="shared" si="44"/>
        <v>0</v>
      </c>
      <c r="O192" s="69">
        <f t="shared" si="45"/>
        <v>0</v>
      </c>
      <c r="P192" s="69">
        <f t="shared" si="46"/>
        <v>0</v>
      </c>
      <c r="Q192" s="68">
        <f>IFERROR(SUMIF(紫外線照射装置!$C$30:$C$74,B192,紫外線照射装置!$N$30:$N$74)*((紫外線照射装置!$H$3-紫外線照射装置!$I$3)/紫外線照射装置!$H$3),0)</f>
        <v>0</v>
      </c>
      <c r="R192" s="69">
        <f t="shared" si="47"/>
        <v>0</v>
      </c>
      <c r="S192" s="102">
        <f t="shared" si="48"/>
        <v>0</v>
      </c>
      <c r="T192" s="68">
        <f>IFERROR(SUMIF(超音波画像診断装置!$C$30:$C$74,B192,超音波画像診断装置!$K$30:$K$74)*((超音波画像診断装置!$H$3-超音波画像診断装置!$I$3)/超音波画像診断装置!$H$3),0)</f>
        <v>0</v>
      </c>
      <c r="U192" s="69">
        <f t="shared" si="49"/>
        <v>0</v>
      </c>
      <c r="V192" s="68">
        <f>IFERROR(SUMIF(血液浄化装置!$C$30:$C$74,B192,血液浄化装置!$K$30:$K$74)*((血液浄化装置!$H$3-血液浄化装置!$I$3)/血液浄化装置!$H$3),0)</f>
        <v>0</v>
      </c>
      <c r="W192" s="69">
        <f t="shared" si="50"/>
        <v>0</v>
      </c>
      <c r="X192" s="68">
        <f>IFERROR(SUMIF(気管支鏡!$C$30:$C$74,B192,気管支鏡!$K$30:$K$74)*((気管支鏡!$H$3-気管支鏡!$I$3)/気管支鏡!$H$3),0)</f>
        <v>0</v>
      </c>
      <c r="Y192" s="69">
        <f t="shared" si="36"/>
        <v>0</v>
      </c>
      <c r="Z192" s="68">
        <f>IFERROR(SUMIF(CT撮影装置!$C$30:$C$74,B192,CT撮影装置!$K$30:$K$74)*((CT撮影装置!$H$3-CT撮影装置!$I$3)/CT撮影装置!$H$3),0)</f>
        <v>0</v>
      </c>
      <c r="AA192" s="69">
        <f t="shared" si="51"/>
        <v>0</v>
      </c>
      <c r="AB192" s="68">
        <f>IFERROR(SUMIF(生体情報モニタ!$C$30:$C$74,B192,生体情報モニタ!$K$30:$K$74)*((生体情報モニタ!$H$3-生体情報モニタ!$I$3)/生体情報モニタ!$H$3),0)</f>
        <v>0</v>
      </c>
      <c r="AC192" s="69">
        <f t="shared" si="37"/>
        <v>0</v>
      </c>
      <c r="AD192" s="68">
        <f>IFERROR(SUMIF(分娩監視装置!$C$30:$C$74,B192,分娩監視装置!$K$30:$K$74)*((分娩監視装置!$H$3-分娩監視装置!$I$3)/分娩監視装置!$H$3),0)</f>
        <v>0</v>
      </c>
      <c r="AE192" s="69">
        <f t="shared" si="52"/>
        <v>0</v>
      </c>
      <c r="AF192" s="68">
        <f>IFERROR(SUMIF(新生児モニタ!$C$30:$C$74,B192,新生児モニタ!$K$30:$K$74)*((新生児モニタ!$H$3-新生児モニタ!$I$3)/新生児モニタ!$H$3),0)</f>
        <v>0</v>
      </c>
      <c r="AG192" s="69">
        <f t="shared" si="53"/>
        <v>0</v>
      </c>
    </row>
    <row r="193" spans="2:33">
      <c r="B193" s="65" t="s">
        <v>862</v>
      </c>
      <c r="C193" s="68">
        <f>IFERROR(SUMIF(初度設備!$C$30:$C$74,B193,初度設備!$N$30:$N$74)*((初度設備!$H$3-初度設備!$I$3)/初度設備!$H$3),0)</f>
        <v>0</v>
      </c>
      <c r="D193" s="69">
        <f t="shared" si="38"/>
        <v>0</v>
      </c>
      <c r="E193" s="68">
        <f>IFERROR(SUMIF(人工呼吸器!$C$30:$C$74,B193,人工呼吸器!$N$30:$N$74)*((人工呼吸器!$H$3-人工呼吸器!$I$3)/人工呼吸器!$H$3),0)</f>
        <v>0</v>
      </c>
      <c r="F193" s="69">
        <f t="shared" si="39"/>
        <v>0</v>
      </c>
      <c r="G193" s="69">
        <f t="shared" si="40"/>
        <v>0</v>
      </c>
      <c r="H193" s="69">
        <f t="shared" si="41"/>
        <v>0</v>
      </c>
      <c r="I193" s="68">
        <f>IFERROR(SUMIF(簡易陰圧装置!$C$30:$C$74,B193,簡易陰圧装置!$N$30:$N$74)*((簡易陰圧装置!$H$3-簡易陰圧装置!$I$3)/簡易陰圧装置!$H$3),0)</f>
        <v>0</v>
      </c>
      <c r="J193" s="69">
        <f t="shared" si="42"/>
        <v>0</v>
      </c>
      <c r="K193" s="68">
        <f>IFERROR(SUMIF(#REF!,B193,#REF!)*((#REF!-#REF!)/#REF!),0)</f>
        <v>0</v>
      </c>
      <c r="L193" s="69">
        <f t="shared" si="43"/>
        <v>0</v>
      </c>
      <c r="M193" s="68">
        <f>IFERROR(SUMIF(体外式膜型人工肺!$C$30:$C$74,B193,体外式膜型人工肺!$N$30:$N$74)*((体外式膜型人工肺!$H$3-体外式膜型人工肺!$I$3)/体外式膜型人工肺!$H$3),0)</f>
        <v>0</v>
      </c>
      <c r="N193" s="69">
        <f t="shared" si="44"/>
        <v>0</v>
      </c>
      <c r="O193" s="69">
        <f t="shared" si="45"/>
        <v>0</v>
      </c>
      <c r="P193" s="69">
        <f t="shared" si="46"/>
        <v>0</v>
      </c>
      <c r="Q193" s="68">
        <f>IFERROR(SUMIF(紫外線照射装置!$C$30:$C$74,B193,紫外線照射装置!$N$30:$N$74)*((紫外線照射装置!$H$3-紫外線照射装置!$I$3)/紫外線照射装置!$H$3),0)</f>
        <v>0</v>
      </c>
      <c r="R193" s="69">
        <f t="shared" si="47"/>
        <v>0</v>
      </c>
      <c r="S193" s="102">
        <f t="shared" si="48"/>
        <v>0</v>
      </c>
      <c r="T193" s="68">
        <f>IFERROR(SUMIF(超音波画像診断装置!$C$30:$C$74,B193,超音波画像診断装置!$K$30:$K$74)*((超音波画像診断装置!$H$3-超音波画像診断装置!$I$3)/超音波画像診断装置!$H$3),0)</f>
        <v>0</v>
      </c>
      <c r="U193" s="69">
        <f t="shared" si="49"/>
        <v>0</v>
      </c>
      <c r="V193" s="68">
        <f>IFERROR(SUMIF(血液浄化装置!$C$30:$C$74,B193,血液浄化装置!$K$30:$K$74)*((血液浄化装置!$H$3-血液浄化装置!$I$3)/血液浄化装置!$H$3),0)</f>
        <v>0</v>
      </c>
      <c r="W193" s="69">
        <f t="shared" si="50"/>
        <v>0</v>
      </c>
      <c r="X193" s="68">
        <f>IFERROR(SUMIF(気管支鏡!$C$30:$C$74,B193,気管支鏡!$K$30:$K$74)*((気管支鏡!$H$3-気管支鏡!$I$3)/気管支鏡!$H$3),0)</f>
        <v>0</v>
      </c>
      <c r="Y193" s="69">
        <f t="shared" si="36"/>
        <v>0</v>
      </c>
      <c r="Z193" s="68">
        <f>IFERROR(SUMIF(CT撮影装置!$C$30:$C$74,B193,CT撮影装置!$K$30:$K$74)*((CT撮影装置!$H$3-CT撮影装置!$I$3)/CT撮影装置!$H$3),0)</f>
        <v>0</v>
      </c>
      <c r="AA193" s="69">
        <f t="shared" si="51"/>
        <v>0</v>
      </c>
      <c r="AB193" s="68">
        <f>IFERROR(SUMIF(生体情報モニタ!$C$30:$C$74,B193,生体情報モニタ!$K$30:$K$74)*((生体情報モニタ!$H$3-生体情報モニタ!$I$3)/生体情報モニタ!$H$3),0)</f>
        <v>0</v>
      </c>
      <c r="AC193" s="69">
        <f t="shared" si="37"/>
        <v>0</v>
      </c>
      <c r="AD193" s="68">
        <f>IFERROR(SUMIF(分娩監視装置!$C$30:$C$74,B193,分娩監視装置!$K$30:$K$74)*((分娩監視装置!$H$3-分娩監視装置!$I$3)/分娩監視装置!$H$3),0)</f>
        <v>0</v>
      </c>
      <c r="AE193" s="69">
        <f t="shared" si="52"/>
        <v>0</v>
      </c>
      <c r="AF193" s="68">
        <f>IFERROR(SUMIF(新生児モニタ!$C$30:$C$74,B193,新生児モニタ!$K$30:$K$74)*((新生児モニタ!$H$3-新生児モニタ!$I$3)/新生児モニタ!$H$3),0)</f>
        <v>0</v>
      </c>
      <c r="AG193" s="69">
        <f t="shared" si="53"/>
        <v>0</v>
      </c>
    </row>
    <row r="194" spans="2:33">
      <c r="B194" s="65" t="s">
        <v>863</v>
      </c>
      <c r="C194" s="68">
        <f>IFERROR(SUMIF(初度設備!$C$30:$C$74,B194,初度設備!$N$30:$N$74)*((初度設備!$H$3-初度設備!$I$3)/初度設備!$H$3),0)</f>
        <v>0</v>
      </c>
      <c r="D194" s="69">
        <f t="shared" si="38"/>
        <v>0</v>
      </c>
      <c r="E194" s="68">
        <f>IFERROR(SUMIF(人工呼吸器!$C$30:$C$74,B194,人工呼吸器!$N$30:$N$74)*((人工呼吸器!$H$3-人工呼吸器!$I$3)/人工呼吸器!$H$3),0)</f>
        <v>0</v>
      </c>
      <c r="F194" s="69">
        <f t="shared" si="39"/>
        <v>0</v>
      </c>
      <c r="G194" s="69">
        <f t="shared" si="40"/>
        <v>0</v>
      </c>
      <c r="H194" s="69">
        <f t="shared" si="41"/>
        <v>0</v>
      </c>
      <c r="I194" s="68">
        <f>IFERROR(SUMIF(簡易陰圧装置!$C$30:$C$74,B194,簡易陰圧装置!$N$30:$N$74)*((簡易陰圧装置!$H$3-簡易陰圧装置!$I$3)/簡易陰圧装置!$H$3),0)</f>
        <v>0</v>
      </c>
      <c r="J194" s="69">
        <f t="shared" si="42"/>
        <v>0</v>
      </c>
      <c r="K194" s="68">
        <f>IFERROR(SUMIF(#REF!,B194,#REF!)*((#REF!-#REF!)/#REF!),0)</f>
        <v>0</v>
      </c>
      <c r="L194" s="69">
        <f t="shared" si="43"/>
        <v>0</v>
      </c>
      <c r="M194" s="68">
        <f>IFERROR(SUMIF(体外式膜型人工肺!$C$30:$C$74,B194,体外式膜型人工肺!$N$30:$N$74)*((体外式膜型人工肺!$H$3-体外式膜型人工肺!$I$3)/体外式膜型人工肺!$H$3),0)</f>
        <v>0</v>
      </c>
      <c r="N194" s="69">
        <f t="shared" si="44"/>
        <v>0</v>
      </c>
      <c r="O194" s="69">
        <f t="shared" si="45"/>
        <v>0</v>
      </c>
      <c r="P194" s="69">
        <f t="shared" si="46"/>
        <v>0</v>
      </c>
      <c r="Q194" s="68">
        <f>IFERROR(SUMIF(紫外線照射装置!$C$30:$C$74,B194,紫外線照射装置!$N$30:$N$74)*((紫外線照射装置!$H$3-紫外線照射装置!$I$3)/紫外線照射装置!$H$3),0)</f>
        <v>0</v>
      </c>
      <c r="R194" s="69">
        <f t="shared" si="47"/>
        <v>0</v>
      </c>
      <c r="S194" s="102">
        <f t="shared" si="48"/>
        <v>0</v>
      </c>
      <c r="T194" s="68">
        <f>IFERROR(SUMIF(超音波画像診断装置!$C$30:$C$74,B194,超音波画像診断装置!$K$30:$K$74)*((超音波画像診断装置!$H$3-超音波画像診断装置!$I$3)/超音波画像診断装置!$H$3),0)</f>
        <v>0</v>
      </c>
      <c r="U194" s="69">
        <f t="shared" si="49"/>
        <v>0</v>
      </c>
      <c r="V194" s="68">
        <f>IFERROR(SUMIF(血液浄化装置!$C$30:$C$74,B194,血液浄化装置!$K$30:$K$74)*((血液浄化装置!$H$3-血液浄化装置!$I$3)/血液浄化装置!$H$3),0)</f>
        <v>0</v>
      </c>
      <c r="W194" s="69">
        <f t="shared" si="50"/>
        <v>0</v>
      </c>
      <c r="X194" s="68">
        <f>IFERROR(SUMIF(気管支鏡!$C$30:$C$74,B194,気管支鏡!$K$30:$K$74)*((気管支鏡!$H$3-気管支鏡!$I$3)/気管支鏡!$H$3),0)</f>
        <v>0</v>
      </c>
      <c r="Y194" s="69">
        <f t="shared" si="36"/>
        <v>0</v>
      </c>
      <c r="Z194" s="68">
        <f>IFERROR(SUMIF(CT撮影装置!$C$30:$C$74,B194,CT撮影装置!$K$30:$K$74)*((CT撮影装置!$H$3-CT撮影装置!$I$3)/CT撮影装置!$H$3),0)</f>
        <v>0</v>
      </c>
      <c r="AA194" s="69">
        <f t="shared" si="51"/>
        <v>0</v>
      </c>
      <c r="AB194" s="68">
        <f>IFERROR(SUMIF(生体情報モニタ!$C$30:$C$74,B194,生体情報モニタ!$K$30:$K$74)*((生体情報モニタ!$H$3-生体情報モニタ!$I$3)/生体情報モニタ!$H$3),0)</f>
        <v>0</v>
      </c>
      <c r="AC194" s="69">
        <f t="shared" si="37"/>
        <v>0</v>
      </c>
      <c r="AD194" s="68">
        <f>IFERROR(SUMIF(分娩監視装置!$C$30:$C$74,B194,分娩監視装置!$K$30:$K$74)*((分娩監視装置!$H$3-分娩監視装置!$I$3)/分娩監視装置!$H$3),0)</f>
        <v>0</v>
      </c>
      <c r="AE194" s="69">
        <f t="shared" si="52"/>
        <v>0</v>
      </c>
      <c r="AF194" s="68">
        <f>IFERROR(SUMIF(新生児モニタ!$C$30:$C$74,B194,新生児モニタ!$K$30:$K$74)*((新生児モニタ!$H$3-新生児モニタ!$I$3)/新生児モニタ!$H$3),0)</f>
        <v>0</v>
      </c>
      <c r="AG194" s="69">
        <f t="shared" si="53"/>
        <v>0</v>
      </c>
    </row>
    <row r="195" spans="2:33">
      <c r="B195" s="65" t="s">
        <v>864</v>
      </c>
      <c r="C195" s="68">
        <f>IFERROR(SUMIF(初度設備!$C$30:$C$74,B195,初度設備!$N$30:$N$74)*((初度設備!$H$3-初度設備!$I$3)/初度設備!$H$3),0)</f>
        <v>0</v>
      </c>
      <c r="D195" s="69">
        <f t="shared" si="38"/>
        <v>0</v>
      </c>
      <c r="E195" s="68">
        <f>IFERROR(SUMIF(人工呼吸器!$C$30:$C$74,B195,人工呼吸器!$N$30:$N$74)*((人工呼吸器!$H$3-人工呼吸器!$I$3)/人工呼吸器!$H$3),0)</f>
        <v>0</v>
      </c>
      <c r="F195" s="69">
        <f t="shared" si="39"/>
        <v>0</v>
      </c>
      <c r="G195" s="69">
        <f t="shared" si="40"/>
        <v>0</v>
      </c>
      <c r="H195" s="69">
        <f t="shared" si="41"/>
        <v>0</v>
      </c>
      <c r="I195" s="68">
        <f>IFERROR(SUMIF(簡易陰圧装置!$C$30:$C$74,B195,簡易陰圧装置!$N$30:$N$74)*((簡易陰圧装置!$H$3-簡易陰圧装置!$I$3)/簡易陰圧装置!$H$3),0)</f>
        <v>0</v>
      </c>
      <c r="J195" s="69">
        <f t="shared" si="42"/>
        <v>0</v>
      </c>
      <c r="K195" s="68">
        <f>IFERROR(SUMIF(#REF!,B195,#REF!)*((#REF!-#REF!)/#REF!),0)</f>
        <v>0</v>
      </c>
      <c r="L195" s="69">
        <f t="shared" si="43"/>
        <v>0</v>
      </c>
      <c r="M195" s="68">
        <f>IFERROR(SUMIF(体外式膜型人工肺!$C$30:$C$74,B195,体外式膜型人工肺!$N$30:$N$74)*((体外式膜型人工肺!$H$3-体外式膜型人工肺!$I$3)/体外式膜型人工肺!$H$3),0)</f>
        <v>0</v>
      </c>
      <c r="N195" s="69">
        <f t="shared" si="44"/>
        <v>0</v>
      </c>
      <c r="O195" s="69">
        <f t="shared" si="45"/>
        <v>0</v>
      </c>
      <c r="P195" s="69">
        <f t="shared" si="46"/>
        <v>0</v>
      </c>
      <c r="Q195" s="68">
        <f>IFERROR(SUMIF(紫外線照射装置!$C$30:$C$74,B195,紫外線照射装置!$N$30:$N$74)*((紫外線照射装置!$H$3-紫外線照射装置!$I$3)/紫外線照射装置!$H$3),0)</f>
        <v>0</v>
      </c>
      <c r="R195" s="69">
        <f t="shared" si="47"/>
        <v>0</v>
      </c>
      <c r="S195" s="102">
        <f t="shared" si="48"/>
        <v>0</v>
      </c>
      <c r="T195" s="68">
        <f>IFERROR(SUMIF(超音波画像診断装置!$C$30:$C$74,B195,超音波画像診断装置!$K$30:$K$74)*((超音波画像診断装置!$H$3-超音波画像診断装置!$I$3)/超音波画像診断装置!$H$3),0)</f>
        <v>0</v>
      </c>
      <c r="U195" s="69">
        <f t="shared" si="49"/>
        <v>0</v>
      </c>
      <c r="V195" s="68">
        <f>IFERROR(SUMIF(血液浄化装置!$C$30:$C$74,B195,血液浄化装置!$K$30:$K$74)*((血液浄化装置!$H$3-血液浄化装置!$I$3)/血液浄化装置!$H$3),0)</f>
        <v>0</v>
      </c>
      <c r="W195" s="69">
        <f t="shared" si="50"/>
        <v>0</v>
      </c>
      <c r="X195" s="68">
        <f>IFERROR(SUMIF(気管支鏡!$C$30:$C$74,B195,気管支鏡!$K$30:$K$74)*((気管支鏡!$H$3-気管支鏡!$I$3)/気管支鏡!$H$3),0)</f>
        <v>0</v>
      </c>
      <c r="Y195" s="69">
        <f t="shared" si="36"/>
        <v>0</v>
      </c>
      <c r="Z195" s="68">
        <f>IFERROR(SUMIF(CT撮影装置!$C$30:$C$74,B195,CT撮影装置!$K$30:$K$74)*((CT撮影装置!$H$3-CT撮影装置!$I$3)/CT撮影装置!$H$3),0)</f>
        <v>0</v>
      </c>
      <c r="AA195" s="69">
        <f t="shared" si="51"/>
        <v>0</v>
      </c>
      <c r="AB195" s="68">
        <f>IFERROR(SUMIF(生体情報モニタ!$C$30:$C$74,B195,生体情報モニタ!$K$30:$K$74)*((生体情報モニタ!$H$3-生体情報モニタ!$I$3)/生体情報モニタ!$H$3),0)</f>
        <v>0</v>
      </c>
      <c r="AC195" s="69">
        <f t="shared" si="37"/>
        <v>0</v>
      </c>
      <c r="AD195" s="68">
        <f>IFERROR(SUMIF(分娩監視装置!$C$30:$C$74,B195,分娩監視装置!$K$30:$K$74)*((分娩監視装置!$H$3-分娩監視装置!$I$3)/分娩監視装置!$H$3),0)</f>
        <v>0</v>
      </c>
      <c r="AE195" s="69">
        <f t="shared" si="52"/>
        <v>0</v>
      </c>
      <c r="AF195" s="68">
        <f>IFERROR(SUMIF(新生児モニタ!$C$30:$C$74,B195,新生児モニタ!$K$30:$K$74)*((新生児モニタ!$H$3-新生児モニタ!$I$3)/新生児モニタ!$H$3),0)</f>
        <v>0</v>
      </c>
      <c r="AG195" s="69">
        <f t="shared" si="53"/>
        <v>0</v>
      </c>
    </row>
    <row r="196" spans="2:33">
      <c r="B196" s="65" t="s">
        <v>865</v>
      </c>
      <c r="C196" s="68">
        <f>IFERROR(SUMIF(初度設備!$C$30:$C$74,B196,初度設備!$N$30:$N$74)*((初度設備!$H$3-初度設備!$I$3)/初度設備!$H$3),0)</f>
        <v>0</v>
      </c>
      <c r="D196" s="69">
        <f t="shared" si="38"/>
        <v>0</v>
      </c>
      <c r="E196" s="68">
        <f>IFERROR(SUMIF(人工呼吸器!$C$30:$C$74,B196,人工呼吸器!$N$30:$N$74)*((人工呼吸器!$H$3-人工呼吸器!$I$3)/人工呼吸器!$H$3),0)</f>
        <v>0</v>
      </c>
      <c r="F196" s="69">
        <f t="shared" si="39"/>
        <v>0</v>
      </c>
      <c r="G196" s="69">
        <f t="shared" si="40"/>
        <v>0</v>
      </c>
      <c r="H196" s="69">
        <f t="shared" si="41"/>
        <v>0</v>
      </c>
      <c r="I196" s="68">
        <f>IFERROR(SUMIF(簡易陰圧装置!$C$30:$C$74,B196,簡易陰圧装置!$N$30:$N$74)*((簡易陰圧装置!$H$3-簡易陰圧装置!$I$3)/簡易陰圧装置!$H$3),0)</f>
        <v>0</v>
      </c>
      <c r="J196" s="69">
        <f t="shared" si="42"/>
        <v>0</v>
      </c>
      <c r="K196" s="68">
        <f>IFERROR(SUMIF(#REF!,B196,#REF!)*((#REF!-#REF!)/#REF!),0)</f>
        <v>0</v>
      </c>
      <c r="L196" s="69">
        <f t="shared" si="43"/>
        <v>0</v>
      </c>
      <c r="M196" s="68">
        <f>IFERROR(SUMIF(体外式膜型人工肺!$C$30:$C$74,B196,体外式膜型人工肺!$N$30:$N$74)*((体外式膜型人工肺!$H$3-体外式膜型人工肺!$I$3)/体外式膜型人工肺!$H$3),0)</f>
        <v>0</v>
      </c>
      <c r="N196" s="69">
        <f t="shared" si="44"/>
        <v>0</v>
      </c>
      <c r="O196" s="69">
        <f t="shared" si="45"/>
        <v>0</v>
      </c>
      <c r="P196" s="69">
        <f t="shared" si="46"/>
        <v>0</v>
      </c>
      <c r="Q196" s="68">
        <f>IFERROR(SUMIF(紫外線照射装置!$C$30:$C$74,B196,紫外線照射装置!$N$30:$N$74)*((紫外線照射装置!$H$3-紫外線照射装置!$I$3)/紫外線照射装置!$H$3),0)</f>
        <v>0</v>
      </c>
      <c r="R196" s="69">
        <f t="shared" si="47"/>
        <v>0</v>
      </c>
      <c r="S196" s="102">
        <f t="shared" si="48"/>
        <v>0</v>
      </c>
      <c r="T196" s="68">
        <f>IFERROR(SUMIF(超音波画像診断装置!$C$30:$C$74,B196,超音波画像診断装置!$K$30:$K$74)*((超音波画像診断装置!$H$3-超音波画像診断装置!$I$3)/超音波画像診断装置!$H$3),0)</f>
        <v>0</v>
      </c>
      <c r="U196" s="69">
        <f t="shared" si="49"/>
        <v>0</v>
      </c>
      <c r="V196" s="68">
        <f>IFERROR(SUMIF(血液浄化装置!$C$30:$C$74,B196,血液浄化装置!$K$30:$K$74)*((血液浄化装置!$H$3-血液浄化装置!$I$3)/血液浄化装置!$H$3),0)</f>
        <v>0</v>
      </c>
      <c r="W196" s="69">
        <f t="shared" si="50"/>
        <v>0</v>
      </c>
      <c r="X196" s="68">
        <f>IFERROR(SUMIF(気管支鏡!$C$30:$C$74,B196,気管支鏡!$K$30:$K$74)*((気管支鏡!$H$3-気管支鏡!$I$3)/気管支鏡!$H$3),0)</f>
        <v>0</v>
      </c>
      <c r="Y196" s="69">
        <f t="shared" si="36"/>
        <v>0</v>
      </c>
      <c r="Z196" s="68">
        <f>IFERROR(SUMIF(CT撮影装置!$C$30:$C$74,B196,CT撮影装置!$K$30:$K$74)*((CT撮影装置!$H$3-CT撮影装置!$I$3)/CT撮影装置!$H$3),0)</f>
        <v>0</v>
      </c>
      <c r="AA196" s="69">
        <f t="shared" si="51"/>
        <v>0</v>
      </c>
      <c r="AB196" s="68">
        <f>IFERROR(SUMIF(生体情報モニタ!$C$30:$C$74,B196,生体情報モニタ!$K$30:$K$74)*((生体情報モニタ!$H$3-生体情報モニタ!$I$3)/生体情報モニタ!$H$3),0)</f>
        <v>0</v>
      </c>
      <c r="AC196" s="69">
        <f t="shared" si="37"/>
        <v>0</v>
      </c>
      <c r="AD196" s="68">
        <f>IFERROR(SUMIF(分娩監視装置!$C$30:$C$74,B196,分娩監視装置!$K$30:$K$74)*((分娩監視装置!$H$3-分娩監視装置!$I$3)/分娩監視装置!$H$3),0)</f>
        <v>0</v>
      </c>
      <c r="AE196" s="69">
        <f t="shared" si="52"/>
        <v>0</v>
      </c>
      <c r="AF196" s="68">
        <f>IFERROR(SUMIF(新生児モニタ!$C$30:$C$74,B196,新生児モニタ!$K$30:$K$74)*((新生児モニタ!$H$3-新生児モニタ!$I$3)/新生児モニタ!$H$3),0)</f>
        <v>0</v>
      </c>
      <c r="AG196" s="69">
        <f t="shared" si="53"/>
        <v>0</v>
      </c>
    </row>
    <row r="197" spans="2:33">
      <c r="B197" s="65" t="s">
        <v>866</v>
      </c>
      <c r="C197" s="68">
        <f>IFERROR(SUMIF(初度設備!$C$30:$C$74,B197,初度設備!$N$30:$N$74)*((初度設備!$H$3-初度設備!$I$3)/初度設備!$H$3),0)</f>
        <v>0</v>
      </c>
      <c r="D197" s="69">
        <f t="shared" si="38"/>
        <v>0</v>
      </c>
      <c r="E197" s="68">
        <f>IFERROR(SUMIF(人工呼吸器!$C$30:$C$74,B197,人工呼吸器!$N$30:$N$74)*((人工呼吸器!$H$3-人工呼吸器!$I$3)/人工呼吸器!$H$3),0)</f>
        <v>0</v>
      </c>
      <c r="F197" s="69">
        <f t="shared" si="39"/>
        <v>0</v>
      </c>
      <c r="G197" s="69">
        <f t="shared" si="40"/>
        <v>0</v>
      </c>
      <c r="H197" s="69">
        <f t="shared" si="41"/>
        <v>0</v>
      </c>
      <c r="I197" s="68">
        <f>IFERROR(SUMIF(簡易陰圧装置!$C$30:$C$74,B197,簡易陰圧装置!$N$30:$N$74)*((簡易陰圧装置!$H$3-簡易陰圧装置!$I$3)/簡易陰圧装置!$H$3),0)</f>
        <v>0</v>
      </c>
      <c r="J197" s="69">
        <f t="shared" si="42"/>
        <v>0</v>
      </c>
      <c r="K197" s="68">
        <f>IFERROR(SUMIF(#REF!,B197,#REF!)*((#REF!-#REF!)/#REF!),0)</f>
        <v>0</v>
      </c>
      <c r="L197" s="69">
        <f t="shared" si="43"/>
        <v>0</v>
      </c>
      <c r="M197" s="68">
        <f>IFERROR(SUMIF(体外式膜型人工肺!$C$30:$C$74,B197,体外式膜型人工肺!$N$30:$N$74)*((体外式膜型人工肺!$H$3-体外式膜型人工肺!$I$3)/体外式膜型人工肺!$H$3),0)</f>
        <v>0</v>
      </c>
      <c r="N197" s="69">
        <f t="shared" si="44"/>
        <v>0</v>
      </c>
      <c r="O197" s="69">
        <f t="shared" si="45"/>
        <v>0</v>
      </c>
      <c r="P197" s="69">
        <f t="shared" si="46"/>
        <v>0</v>
      </c>
      <c r="Q197" s="68">
        <f>IFERROR(SUMIF(紫外線照射装置!$C$30:$C$74,B197,紫外線照射装置!$N$30:$N$74)*((紫外線照射装置!$H$3-紫外線照射装置!$I$3)/紫外線照射装置!$H$3),0)</f>
        <v>0</v>
      </c>
      <c r="R197" s="69">
        <f t="shared" si="47"/>
        <v>0</v>
      </c>
      <c r="S197" s="102">
        <f t="shared" si="48"/>
        <v>0</v>
      </c>
      <c r="T197" s="68">
        <f>IFERROR(SUMIF(超音波画像診断装置!$C$30:$C$74,B197,超音波画像診断装置!$K$30:$K$74)*((超音波画像診断装置!$H$3-超音波画像診断装置!$I$3)/超音波画像診断装置!$H$3),0)</f>
        <v>0</v>
      </c>
      <c r="U197" s="69">
        <f t="shared" si="49"/>
        <v>0</v>
      </c>
      <c r="V197" s="68">
        <f>IFERROR(SUMIF(血液浄化装置!$C$30:$C$74,B197,血液浄化装置!$K$30:$K$74)*((血液浄化装置!$H$3-血液浄化装置!$I$3)/血液浄化装置!$H$3),0)</f>
        <v>0</v>
      </c>
      <c r="W197" s="69">
        <f t="shared" si="50"/>
        <v>0</v>
      </c>
      <c r="X197" s="68">
        <f>IFERROR(SUMIF(気管支鏡!$C$30:$C$74,B197,気管支鏡!$K$30:$K$74)*((気管支鏡!$H$3-気管支鏡!$I$3)/気管支鏡!$H$3),0)</f>
        <v>0</v>
      </c>
      <c r="Y197" s="69">
        <f t="shared" si="36"/>
        <v>0</v>
      </c>
      <c r="Z197" s="68">
        <f>IFERROR(SUMIF(CT撮影装置!$C$30:$C$74,B197,CT撮影装置!$K$30:$K$74)*((CT撮影装置!$H$3-CT撮影装置!$I$3)/CT撮影装置!$H$3),0)</f>
        <v>0</v>
      </c>
      <c r="AA197" s="69">
        <f t="shared" si="51"/>
        <v>0</v>
      </c>
      <c r="AB197" s="68">
        <f>IFERROR(SUMIF(生体情報モニタ!$C$30:$C$74,B197,生体情報モニタ!$K$30:$K$74)*((生体情報モニタ!$H$3-生体情報モニタ!$I$3)/生体情報モニタ!$H$3),0)</f>
        <v>0</v>
      </c>
      <c r="AC197" s="69">
        <f t="shared" si="37"/>
        <v>0</v>
      </c>
      <c r="AD197" s="68">
        <f>IFERROR(SUMIF(分娩監視装置!$C$30:$C$74,B197,分娩監視装置!$K$30:$K$74)*((分娩監視装置!$H$3-分娩監視装置!$I$3)/分娩監視装置!$H$3),0)</f>
        <v>0</v>
      </c>
      <c r="AE197" s="69">
        <f t="shared" si="52"/>
        <v>0</v>
      </c>
      <c r="AF197" s="68">
        <f>IFERROR(SUMIF(新生児モニタ!$C$30:$C$74,B197,新生児モニタ!$K$30:$K$74)*((新生児モニタ!$H$3-新生児モニタ!$I$3)/新生児モニタ!$H$3),0)</f>
        <v>0</v>
      </c>
      <c r="AG197" s="69">
        <f t="shared" si="53"/>
        <v>0</v>
      </c>
    </row>
    <row r="198" spans="2:33">
      <c r="B198" s="65" t="s">
        <v>867</v>
      </c>
      <c r="C198" s="68">
        <f>IFERROR(SUMIF(初度設備!$C$30:$C$74,B198,初度設備!$N$30:$N$74)*((初度設備!$H$3-初度設備!$I$3)/初度設備!$H$3),0)</f>
        <v>0</v>
      </c>
      <c r="D198" s="69">
        <f t="shared" si="38"/>
        <v>0</v>
      </c>
      <c r="E198" s="68">
        <f>IFERROR(SUMIF(人工呼吸器!$C$30:$C$74,B198,人工呼吸器!$N$30:$N$74)*((人工呼吸器!$H$3-人工呼吸器!$I$3)/人工呼吸器!$H$3),0)</f>
        <v>0</v>
      </c>
      <c r="F198" s="69">
        <f t="shared" si="39"/>
        <v>0</v>
      </c>
      <c r="G198" s="69">
        <f t="shared" si="40"/>
        <v>0</v>
      </c>
      <c r="H198" s="69">
        <f t="shared" si="41"/>
        <v>0</v>
      </c>
      <c r="I198" s="68">
        <f>IFERROR(SUMIF(簡易陰圧装置!$C$30:$C$74,B198,簡易陰圧装置!$N$30:$N$74)*((簡易陰圧装置!$H$3-簡易陰圧装置!$I$3)/簡易陰圧装置!$H$3),0)</f>
        <v>0</v>
      </c>
      <c r="J198" s="69">
        <f t="shared" si="42"/>
        <v>0</v>
      </c>
      <c r="K198" s="68">
        <f>IFERROR(SUMIF(#REF!,B198,#REF!)*((#REF!-#REF!)/#REF!),0)</f>
        <v>0</v>
      </c>
      <c r="L198" s="69">
        <f t="shared" si="43"/>
        <v>0</v>
      </c>
      <c r="M198" s="68">
        <f>IFERROR(SUMIF(体外式膜型人工肺!$C$30:$C$74,B198,体外式膜型人工肺!$N$30:$N$74)*((体外式膜型人工肺!$H$3-体外式膜型人工肺!$I$3)/体外式膜型人工肺!$H$3),0)</f>
        <v>0</v>
      </c>
      <c r="N198" s="69">
        <f t="shared" si="44"/>
        <v>0</v>
      </c>
      <c r="O198" s="69">
        <f t="shared" si="45"/>
        <v>0</v>
      </c>
      <c r="P198" s="69">
        <f t="shared" si="46"/>
        <v>0</v>
      </c>
      <c r="Q198" s="68">
        <f>IFERROR(SUMIF(紫外線照射装置!$C$30:$C$74,B198,紫外線照射装置!$N$30:$N$74)*((紫外線照射装置!$H$3-紫外線照射装置!$I$3)/紫外線照射装置!$H$3),0)</f>
        <v>0</v>
      </c>
      <c r="R198" s="69">
        <f t="shared" si="47"/>
        <v>0</v>
      </c>
      <c r="S198" s="102">
        <f t="shared" si="48"/>
        <v>0</v>
      </c>
      <c r="T198" s="68">
        <f>IFERROR(SUMIF(超音波画像診断装置!$C$30:$C$74,B198,超音波画像診断装置!$K$30:$K$74)*((超音波画像診断装置!$H$3-超音波画像診断装置!$I$3)/超音波画像診断装置!$H$3),0)</f>
        <v>0</v>
      </c>
      <c r="U198" s="69">
        <f t="shared" si="49"/>
        <v>0</v>
      </c>
      <c r="V198" s="68">
        <f>IFERROR(SUMIF(血液浄化装置!$C$30:$C$74,B198,血液浄化装置!$K$30:$K$74)*((血液浄化装置!$H$3-血液浄化装置!$I$3)/血液浄化装置!$H$3),0)</f>
        <v>0</v>
      </c>
      <c r="W198" s="69">
        <f t="shared" si="50"/>
        <v>0</v>
      </c>
      <c r="X198" s="68">
        <f>IFERROR(SUMIF(気管支鏡!$C$30:$C$74,B198,気管支鏡!$K$30:$K$74)*((気管支鏡!$H$3-気管支鏡!$I$3)/気管支鏡!$H$3),0)</f>
        <v>0</v>
      </c>
      <c r="Y198" s="69">
        <f t="shared" si="36"/>
        <v>0</v>
      </c>
      <c r="Z198" s="68">
        <f>IFERROR(SUMIF(CT撮影装置!$C$30:$C$74,B198,CT撮影装置!$K$30:$K$74)*((CT撮影装置!$H$3-CT撮影装置!$I$3)/CT撮影装置!$H$3),0)</f>
        <v>0</v>
      </c>
      <c r="AA198" s="69">
        <f t="shared" si="51"/>
        <v>0</v>
      </c>
      <c r="AB198" s="68">
        <f>IFERROR(SUMIF(生体情報モニタ!$C$30:$C$74,B198,生体情報モニタ!$K$30:$K$74)*((生体情報モニタ!$H$3-生体情報モニタ!$I$3)/生体情報モニタ!$H$3),0)</f>
        <v>0</v>
      </c>
      <c r="AC198" s="69">
        <f t="shared" si="37"/>
        <v>0</v>
      </c>
      <c r="AD198" s="68">
        <f>IFERROR(SUMIF(分娩監視装置!$C$30:$C$74,B198,分娩監視装置!$K$30:$K$74)*((分娩監視装置!$H$3-分娩監視装置!$I$3)/分娩監視装置!$H$3),0)</f>
        <v>0</v>
      </c>
      <c r="AE198" s="69">
        <f t="shared" si="52"/>
        <v>0</v>
      </c>
      <c r="AF198" s="68">
        <f>IFERROR(SUMIF(新生児モニタ!$C$30:$C$74,B198,新生児モニタ!$K$30:$K$74)*((新生児モニタ!$H$3-新生児モニタ!$I$3)/新生児モニタ!$H$3),0)</f>
        <v>0</v>
      </c>
      <c r="AG198" s="69">
        <f t="shared" si="53"/>
        <v>0</v>
      </c>
    </row>
    <row r="199" spans="2:33">
      <c r="B199" s="65" t="s">
        <v>868</v>
      </c>
      <c r="C199" s="68">
        <f>IFERROR(SUMIF(初度設備!$C$30:$C$74,B199,初度設備!$N$30:$N$74)*((初度設備!$H$3-初度設備!$I$3)/初度設備!$H$3),0)</f>
        <v>0</v>
      </c>
      <c r="D199" s="69">
        <f t="shared" si="38"/>
        <v>0</v>
      </c>
      <c r="E199" s="68">
        <f>IFERROR(SUMIF(人工呼吸器!$C$30:$C$74,B199,人工呼吸器!$N$30:$N$74)*((人工呼吸器!$H$3-人工呼吸器!$I$3)/人工呼吸器!$H$3),0)</f>
        <v>0</v>
      </c>
      <c r="F199" s="69">
        <f t="shared" si="39"/>
        <v>0</v>
      </c>
      <c r="G199" s="69">
        <f t="shared" si="40"/>
        <v>0</v>
      </c>
      <c r="H199" s="69">
        <f t="shared" si="41"/>
        <v>0</v>
      </c>
      <c r="I199" s="68">
        <f>IFERROR(SUMIF(簡易陰圧装置!$C$30:$C$74,B199,簡易陰圧装置!$N$30:$N$74)*((簡易陰圧装置!$H$3-簡易陰圧装置!$I$3)/簡易陰圧装置!$H$3),0)</f>
        <v>0</v>
      </c>
      <c r="J199" s="69">
        <f t="shared" si="42"/>
        <v>0</v>
      </c>
      <c r="K199" s="68">
        <f>IFERROR(SUMIF(#REF!,B199,#REF!)*((#REF!-#REF!)/#REF!),0)</f>
        <v>0</v>
      </c>
      <c r="L199" s="69">
        <f t="shared" si="43"/>
        <v>0</v>
      </c>
      <c r="M199" s="68">
        <f>IFERROR(SUMIF(体外式膜型人工肺!$C$30:$C$74,B199,体外式膜型人工肺!$N$30:$N$74)*((体外式膜型人工肺!$H$3-体外式膜型人工肺!$I$3)/体外式膜型人工肺!$H$3),0)</f>
        <v>0</v>
      </c>
      <c r="N199" s="69">
        <f t="shared" si="44"/>
        <v>0</v>
      </c>
      <c r="O199" s="69">
        <f t="shared" si="45"/>
        <v>0</v>
      </c>
      <c r="P199" s="69">
        <f t="shared" si="46"/>
        <v>0</v>
      </c>
      <c r="Q199" s="68">
        <f>IFERROR(SUMIF(紫外線照射装置!$C$30:$C$74,B199,紫外線照射装置!$N$30:$N$74)*((紫外線照射装置!$H$3-紫外線照射装置!$I$3)/紫外線照射装置!$H$3),0)</f>
        <v>0</v>
      </c>
      <c r="R199" s="69">
        <f t="shared" si="47"/>
        <v>0</v>
      </c>
      <c r="S199" s="102">
        <f t="shared" si="48"/>
        <v>0</v>
      </c>
      <c r="T199" s="68">
        <f>IFERROR(SUMIF(超音波画像診断装置!$C$30:$C$74,B199,超音波画像診断装置!$K$30:$K$74)*((超音波画像診断装置!$H$3-超音波画像診断装置!$I$3)/超音波画像診断装置!$H$3),0)</f>
        <v>0</v>
      </c>
      <c r="U199" s="69">
        <f t="shared" si="49"/>
        <v>0</v>
      </c>
      <c r="V199" s="68">
        <f>IFERROR(SUMIF(血液浄化装置!$C$30:$C$74,B199,血液浄化装置!$K$30:$K$74)*((血液浄化装置!$H$3-血液浄化装置!$I$3)/血液浄化装置!$H$3),0)</f>
        <v>0</v>
      </c>
      <c r="W199" s="69">
        <f t="shared" si="50"/>
        <v>0</v>
      </c>
      <c r="X199" s="68">
        <f>IFERROR(SUMIF(気管支鏡!$C$30:$C$74,B199,気管支鏡!$K$30:$K$74)*((気管支鏡!$H$3-気管支鏡!$I$3)/気管支鏡!$H$3),0)</f>
        <v>0</v>
      </c>
      <c r="Y199" s="69">
        <f t="shared" si="36"/>
        <v>0</v>
      </c>
      <c r="Z199" s="68">
        <f>IFERROR(SUMIF(CT撮影装置!$C$30:$C$74,B199,CT撮影装置!$K$30:$K$74)*((CT撮影装置!$H$3-CT撮影装置!$I$3)/CT撮影装置!$H$3),0)</f>
        <v>0</v>
      </c>
      <c r="AA199" s="69">
        <f t="shared" si="51"/>
        <v>0</v>
      </c>
      <c r="AB199" s="68">
        <f>IFERROR(SUMIF(生体情報モニタ!$C$30:$C$74,B199,生体情報モニタ!$K$30:$K$74)*((生体情報モニタ!$H$3-生体情報モニタ!$I$3)/生体情報モニタ!$H$3),0)</f>
        <v>0</v>
      </c>
      <c r="AC199" s="69">
        <f t="shared" si="37"/>
        <v>0</v>
      </c>
      <c r="AD199" s="68">
        <f>IFERROR(SUMIF(分娩監視装置!$C$30:$C$74,B199,分娩監視装置!$K$30:$K$74)*((分娩監視装置!$H$3-分娩監視装置!$I$3)/分娩監視装置!$H$3),0)</f>
        <v>0</v>
      </c>
      <c r="AE199" s="69">
        <f t="shared" si="52"/>
        <v>0</v>
      </c>
      <c r="AF199" s="68">
        <f>IFERROR(SUMIF(新生児モニタ!$C$30:$C$74,B199,新生児モニタ!$K$30:$K$74)*((新生児モニタ!$H$3-新生児モニタ!$I$3)/新生児モニタ!$H$3),0)</f>
        <v>0</v>
      </c>
      <c r="AG199" s="69">
        <f t="shared" si="53"/>
        <v>0</v>
      </c>
    </row>
    <row r="200" spans="2:33">
      <c r="B200" s="65" t="s">
        <v>869</v>
      </c>
      <c r="C200" s="68">
        <f>IFERROR(SUMIF(初度設備!$C$30:$C$74,B200,初度設備!$N$30:$N$74)*((初度設備!$H$3-初度設備!$I$3)/初度設備!$H$3),0)</f>
        <v>0</v>
      </c>
      <c r="D200" s="69">
        <f t="shared" si="38"/>
        <v>0</v>
      </c>
      <c r="E200" s="68">
        <f>IFERROR(SUMIF(人工呼吸器!$C$30:$C$74,B200,人工呼吸器!$N$30:$N$74)*((人工呼吸器!$H$3-人工呼吸器!$I$3)/人工呼吸器!$H$3),0)</f>
        <v>0</v>
      </c>
      <c r="F200" s="69">
        <f t="shared" si="39"/>
        <v>0</v>
      </c>
      <c r="G200" s="69">
        <f t="shared" si="40"/>
        <v>0</v>
      </c>
      <c r="H200" s="69">
        <f t="shared" si="41"/>
        <v>0</v>
      </c>
      <c r="I200" s="68">
        <f>IFERROR(SUMIF(簡易陰圧装置!$C$30:$C$74,B200,簡易陰圧装置!$N$30:$N$74)*((簡易陰圧装置!$H$3-簡易陰圧装置!$I$3)/簡易陰圧装置!$H$3),0)</f>
        <v>0</v>
      </c>
      <c r="J200" s="69">
        <f t="shared" si="42"/>
        <v>0</v>
      </c>
      <c r="K200" s="68">
        <f>IFERROR(SUMIF(#REF!,B200,#REF!)*((#REF!-#REF!)/#REF!),0)</f>
        <v>0</v>
      </c>
      <c r="L200" s="69">
        <f t="shared" si="43"/>
        <v>0</v>
      </c>
      <c r="M200" s="68">
        <f>IFERROR(SUMIF(体外式膜型人工肺!$C$30:$C$74,B200,体外式膜型人工肺!$N$30:$N$74)*((体外式膜型人工肺!$H$3-体外式膜型人工肺!$I$3)/体外式膜型人工肺!$H$3),0)</f>
        <v>0</v>
      </c>
      <c r="N200" s="69">
        <f t="shared" si="44"/>
        <v>0</v>
      </c>
      <c r="O200" s="69">
        <f t="shared" si="45"/>
        <v>0</v>
      </c>
      <c r="P200" s="69">
        <f t="shared" si="46"/>
        <v>0</v>
      </c>
      <c r="Q200" s="68">
        <f>IFERROR(SUMIF(紫外線照射装置!$C$30:$C$74,B200,紫外線照射装置!$N$30:$N$74)*((紫外線照射装置!$H$3-紫外線照射装置!$I$3)/紫外線照射装置!$H$3),0)</f>
        <v>0</v>
      </c>
      <c r="R200" s="69">
        <f t="shared" si="47"/>
        <v>0</v>
      </c>
      <c r="S200" s="102">
        <f t="shared" si="48"/>
        <v>0</v>
      </c>
      <c r="T200" s="68">
        <f>IFERROR(SUMIF(超音波画像診断装置!$C$30:$C$74,B200,超音波画像診断装置!$K$30:$K$74)*((超音波画像診断装置!$H$3-超音波画像診断装置!$I$3)/超音波画像診断装置!$H$3),0)</f>
        <v>0</v>
      </c>
      <c r="U200" s="69">
        <f t="shared" si="49"/>
        <v>0</v>
      </c>
      <c r="V200" s="68">
        <f>IFERROR(SUMIF(血液浄化装置!$C$30:$C$74,B200,血液浄化装置!$K$30:$K$74)*((血液浄化装置!$H$3-血液浄化装置!$I$3)/血液浄化装置!$H$3),0)</f>
        <v>0</v>
      </c>
      <c r="W200" s="69">
        <f t="shared" si="50"/>
        <v>0</v>
      </c>
      <c r="X200" s="68">
        <f>IFERROR(SUMIF(気管支鏡!$C$30:$C$74,B200,気管支鏡!$K$30:$K$74)*((気管支鏡!$H$3-気管支鏡!$I$3)/気管支鏡!$H$3),0)</f>
        <v>0</v>
      </c>
      <c r="Y200" s="69">
        <f t="shared" si="36"/>
        <v>0</v>
      </c>
      <c r="Z200" s="68">
        <f>IFERROR(SUMIF(CT撮影装置!$C$30:$C$74,B200,CT撮影装置!$K$30:$K$74)*((CT撮影装置!$H$3-CT撮影装置!$I$3)/CT撮影装置!$H$3),0)</f>
        <v>0</v>
      </c>
      <c r="AA200" s="69">
        <f t="shared" si="51"/>
        <v>0</v>
      </c>
      <c r="AB200" s="68">
        <f>IFERROR(SUMIF(生体情報モニタ!$C$30:$C$74,B200,生体情報モニタ!$K$30:$K$74)*((生体情報モニタ!$H$3-生体情報モニタ!$I$3)/生体情報モニタ!$H$3),0)</f>
        <v>0</v>
      </c>
      <c r="AC200" s="69">
        <f t="shared" si="37"/>
        <v>0</v>
      </c>
      <c r="AD200" s="68">
        <f>IFERROR(SUMIF(分娩監視装置!$C$30:$C$74,B200,分娩監視装置!$K$30:$K$74)*((分娩監視装置!$H$3-分娩監視装置!$I$3)/分娩監視装置!$H$3),0)</f>
        <v>0</v>
      </c>
      <c r="AE200" s="69">
        <f t="shared" si="52"/>
        <v>0</v>
      </c>
      <c r="AF200" s="68">
        <f>IFERROR(SUMIF(新生児モニタ!$C$30:$C$74,B200,新生児モニタ!$K$30:$K$74)*((新生児モニタ!$H$3-新生児モニタ!$I$3)/新生児モニタ!$H$3),0)</f>
        <v>0</v>
      </c>
      <c r="AG200" s="69">
        <f t="shared" si="53"/>
        <v>0</v>
      </c>
    </row>
    <row r="201" spans="2:33">
      <c r="B201" s="65" t="s">
        <v>870</v>
      </c>
      <c r="C201" s="68">
        <f>IFERROR(SUMIF(初度設備!$C$30:$C$74,B201,初度設備!$N$30:$N$74)*((初度設備!$H$3-初度設備!$I$3)/初度設備!$H$3),0)</f>
        <v>0</v>
      </c>
      <c r="D201" s="69">
        <f t="shared" si="38"/>
        <v>0</v>
      </c>
      <c r="E201" s="68">
        <f>IFERROR(SUMIF(人工呼吸器!$C$30:$C$74,B201,人工呼吸器!$N$30:$N$74)*((人工呼吸器!$H$3-人工呼吸器!$I$3)/人工呼吸器!$H$3),0)</f>
        <v>0</v>
      </c>
      <c r="F201" s="69">
        <f t="shared" si="39"/>
        <v>0</v>
      </c>
      <c r="G201" s="69">
        <f t="shared" si="40"/>
        <v>0</v>
      </c>
      <c r="H201" s="69">
        <f t="shared" si="41"/>
        <v>0</v>
      </c>
      <c r="I201" s="68">
        <f>IFERROR(SUMIF(簡易陰圧装置!$C$30:$C$74,B201,簡易陰圧装置!$N$30:$N$74)*((簡易陰圧装置!$H$3-簡易陰圧装置!$I$3)/簡易陰圧装置!$H$3),0)</f>
        <v>0</v>
      </c>
      <c r="J201" s="69">
        <f t="shared" si="42"/>
        <v>0</v>
      </c>
      <c r="K201" s="68">
        <f>IFERROR(SUMIF(#REF!,B201,#REF!)*((#REF!-#REF!)/#REF!),0)</f>
        <v>0</v>
      </c>
      <c r="L201" s="69">
        <f t="shared" si="43"/>
        <v>0</v>
      </c>
      <c r="M201" s="68">
        <f>IFERROR(SUMIF(体外式膜型人工肺!$C$30:$C$74,B201,体外式膜型人工肺!$N$30:$N$74)*((体外式膜型人工肺!$H$3-体外式膜型人工肺!$I$3)/体外式膜型人工肺!$H$3),0)</f>
        <v>0</v>
      </c>
      <c r="N201" s="69">
        <f t="shared" si="44"/>
        <v>0</v>
      </c>
      <c r="O201" s="69">
        <f t="shared" si="45"/>
        <v>0</v>
      </c>
      <c r="P201" s="69">
        <f t="shared" si="46"/>
        <v>0</v>
      </c>
      <c r="Q201" s="68">
        <f>IFERROR(SUMIF(紫外線照射装置!$C$30:$C$74,B201,紫外線照射装置!$N$30:$N$74)*((紫外線照射装置!$H$3-紫外線照射装置!$I$3)/紫外線照射装置!$H$3),0)</f>
        <v>0</v>
      </c>
      <c r="R201" s="69">
        <f t="shared" si="47"/>
        <v>0</v>
      </c>
      <c r="S201" s="102">
        <f t="shared" si="48"/>
        <v>0</v>
      </c>
      <c r="T201" s="68">
        <f>IFERROR(SUMIF(超音波画像診断装置!$C$30:$C$74,B201,超音波画像診断装置!$K$30:$K$74)*((超音波画像診断装置!$H$3-超音波画像診断装置!$I$3)/超音波画像診断装置!$H$3),0)</f>
        <v>0</v>
      </c>
      <c r="U201" s="69">
        <f t="shared" si="49"/>
        <v>0</v>
      </c>
      <c r="V201" s="68">
        <f>IFERROR(SUMIF(血液浄化装置!$C$30:$C$74,B201,血液浄化装置!$K$30:$K$74)*((血液浄化装置!$H$3-血液浄化装置!$I$3)/血液浄化装置!$H$3),0)</f>
        <v>0</v>
      </c>
      <c r="W201" s="69">
        <f t="shared" si="50"/>
        <v>0</v>
      </c>
      <c r="X201" s="68">
        <f>IFERROR(SUMIF(気管支鏡!$C$30:$C$74,B201,気管支鏡!$K$30:$K$74)*((気管支鏡!$H$3-気管支鏡!$I$3)/気管支鏡!$H$3),0)</f>
        <v>0</v>
      </c>
      <c r="Y201" s="69">
        <f t="shared" si="36"/>
        <v>0</v>
      </c>
      <c r="Z201" s="68">
        <f>IFERROR(SUMIF(CT撮影装置!$C$30:$C$74,B201,CT撮影装置!$K$30:$K$74)*((CT撮影装置!$H$3-CT撮影装置!$I$3)/CT撮影装置!$H$3),0)</f>
        <v>0</v>
      </c>
      <c r="AA201" s="69">
        <f t="shared" si="51"/>
        <v>0</v>
      </c>
      <c r="AB201" s="68">
        <f>IFERROR(SUMIF(生体情報モニタ!$C$30:$C$74,B201,生体情報モニタ!$K$30:$K$74)*((生体情報モニタ!$H$3-生体情報モニタ!$I$3)/生体情報モニタ!$H$3),0)</f>
        <v>0</v>
      </c>
      <c r="AC201" s="69">
        <f t="shared" si="37"/>
        <v>0</v>
      </c>
      <c r="AD201" s="68">
        <f>IFERROR(SUMIF(分娩監視装置!$C$30:$C$74,B201,分娩監視装置!$K$30:$K$74)*((分娩監視装置!$H$3-分娩監視装置!$I$3)/分娩監視装置!$H$3),0)</f>
        <v>0</v>
      </c>
      <c r="AE201" s="69">
        <f t="shared" si="52"/>
        <v>0</v>
      </c>
      <c r="AF201" s="68">
        <f>IFERROR(SUMIF(新生児モニタ!$C$30:$C$74,B201,新生児モニタ!$K$30:$K$74)*((新生児モニタ!$H$3-新生児モニタ!$I$3)/新生児モニタ!$H$3),0)</f>
        <v>0</v>
      </c>
      <c r="AG201" s="69">
        <f t="shared" si="53"/>
        <v>0</v>
      </c>
    </row>
    <row r="202" spans="2:33">
      <c r="B202" s="65" t="s">
        <v>871</v>
      </c>
      <c r="C202" s="68">
        <f>IFERROR(SUMIF(初度設備!$C$30:$C$74,B202,初度設備!$N$30:$N$74)*((初度設備!$H$3-初度設備!$I$3)/初度設備!$H$3),0)</f>
        <v>0</v>
      </c>
      <c r="D202" s="69">
        <f t="shared" si="38"/>
        <v>0</v>
      </c>
      <c r="E202" s="68">
        <f>IFERROR(SUMIF(人工呼吸器!$C$30:$C$74,B202,人工呼吸器!$N$30:$N$74)*((人工呼吸器!$H$3-人工呼吸器!$I$3)/人工呼吸器!$H$3),0)</f>
        <v>0</v>
      </c>
      <c r="F202" s="69">
        <f t="shared" si="39"/>
        <v>0</v>
      </c>
      <c r="G202" s="69">
        <f t="shared" si="40"/>
        <v>0</v>
      </c>
      <c r="H202" s="69">
        <f t="shared" si="41"/>
        <v>0</v>
      </c>
      <c r="I202" s="68">
        <f>IFERROR(SUMIF(簡易陰圧装置!$C$30:$C$74,B202,簡易陰圧装置!$N$30:$N$74)*((簡易陰圧装置!$H$3-簡易陰圧装置!$I$3)/簡易陰圧装置!$H$3),0)</f>
        <v>0</v>
      </c>
      <c r="J202" s="69">
        <f t="shared" si="42"/>
        <v>0</v>
      </c>
      <c r="K202" s="68">
        <f>IFERROR(SUMIF(#REF!,B202,#REF!)*((#REF!-#REF!)/#REF!),0)</f>
        <v>0</v>
      </c>
      <c r="L202" s="69">
        <f t="shared" si="43"/>
        <v>0</v>
      </c>
      <c r="M202" s="68">
        <f>IFERROR(SUMIF(体外式膜型人工肺!$C$30:$C$74,B202,体外式膜型人工肺!$N$30:$N$74)*((体外式膜型人工肺!$H$3-体外式膜型人工肺!$I$3)/体外式膜型人工肺!$H$3),0)</f>
        <v>0</v>
      </c>
      <c r="N202" s="69">
        <f t="shared" si="44"/>
        <v>0</v>
      </c>
      <c r="O202" s="69">
        <f t="shared" si="45"/>
        <v>0</v>
      </c>
      <c r="P202" s="69">
        <f t="shared" si="46"/>
        <v>0</v>
      </c>
      <c r="Q202" s="68">
        <f>IFERROR(SUMIF(紫外線照射装置!$C$30:$C$74,B202,紫外線照射装置!$N$30:$N$74)*((紫外線照射装置!$H$3-紫外線照射装置!$I$3)/紫外線照射装置!$H$3),0)</f>
        <v>0</v>
      </c>
      <c r="R202" s="69">
        <f t="shared" si="47"/>
        <v>0</v>
      </c>
      <c r="S202" s="102">
        <f t="shared" si="48"/>
        <v>0</v>
      </c>
      <c r="T202" s="68">
        <f>IFERROR(SUMIF(超音波画像診断装置!$C$30:$C$74,B202,超音波画像診断装置!$K$30:$K$74)*((超音波画像診断装置!$H$3-超音波画像診断装置!$I$3)/超音波画像診断装置!$H$3),0)</f>
        <v>0</v>
      </c>
      <c r="U202" s="69">
        <f t="shared" si="49"/>
        <v>0</v>
      </c>
      <c r="V202" s="68">
        <f>IFERROR(SUMIF(血液浄化装置!$C$30:$C$74,B202,血液浄化装置!$K$30:$K$74)*((血液浄化装置!$H$3-血液浄化装置!$I$3)/血液浄化装置!$H$3),0)</f>
        <v>0</v>
      </c>
      <c r="W202" s="69">
        <f t="shared" si="50"/>
        <v>0</v>
      </c>
      <c r="X202" s="68">
        <f>IFERROR(SUMIF(気管支鏡!$C$30:$C$74,B202,気管支鏡!$K$30:$K$74)*((気管支鏡!$H$3-気管支鏡!$I$3)/気管支鏡!$H$3),0)</f>
        <v>0</v>
      </c>
      <c r="Y202" s="69">
        <f t="shared" si="36"/>
        <v>0</v>
      </c>
      <c r="Z202" s="68">
        <f>IFERROR(SUMIF(CT撮影装置!$C$30:$C$74,B202,CT撮影装置!$K$30:$K$74)*((CT撮影装置!$H$3-CT撮影装置!$I$3)/CT撮影装置!$H$3),0)</f>
        <v>0</v>
      </c>
      <c r="AA202" s="69">
        <f t="shared" si="51"/>
        <v>0</v>
      </c>
      <c r="AB202" s="68">
        <f>IFERROR(SUMIF(生体情報モニタ!$C$30:$C$74,B202,生体情報モニタ!$K$30:$K$74)*((生体情報モニタ!$H$3-生体情報モニタ!$I$3)/生体情報モニタ!$H$3),0)</f>
        <v>0</v>
      </c>
      <c r="AC202" s="69">
        <f t="shared" si="37"/>
        <v>0</v>
      </c>
      <c r="AD202" s="68">
        <f>IFERROR(SUMIF(分娩監視装置!$C$30:$C$74,B202,分娩監視装置!$K$30:$K$74)*((分娩監視装置!$H$3-分娩監視装置!$I$3)/分娩監視装置!$H$3),0)</f>
        <v>0</v>
      </c>
      <c r="AE202" s="69">
        <f t="shared" si="52"/>
        <v>0</v>
      </c>
      <c r="AF202" s="68">
        <f>IFERROR(SUMIF(新生児モニタ!$C$30:$C$74,B202,新生児モニタ!$K$30:$K$74)*((新生児モニタ!$H$3-新生児モニタ!$I$3)/新生児モニタ!$H$3),0)</f>
        <v>0</v>
      </c>
      <c r="AG202" s="69">
        <f t="shared" si="53"/>
        <v>0</v>
      </c>
    </row>
    <row r="203" spans="2:33">
      <c r="B203" s="65" t="s">
        <v>872</v>
      </c>
      <c r="C203" s="68">
        <f>IFERROR(SUMIF(初度設備!$C$30:$C$74,B203,初度設備!$N$30:$N$74)*((初度設備!$H$3-初度設備!$I$3)/初度設備!$H$3),0)</f>
        <v>0</v>
      </c>
      <c r="D203" s="69">
        <f t="shared" si="38"/>
        <v>0</v>
      </c>
      <c r="E203" s="68">
        <f>IFERROR(SUMIF(人工呼吸器!$C$30:$C$74,B203,人工呼吸器!$N$30:$N$74)*((人工呼吸器!$H$3-人工呼吸器!$I$3)/人工呼吸器!$H$3),0)</f>
        <v>0</v>
      </c>
      <c r="F203" s="69">
        <f t="shared" si="39"/>
        <v>0</v>
      </c>
      <c r="G203" s="69">
        <f t="shared" si="40"/>
        <v>0</v>
      </c>
      <c r="H203" s="69">
        <f t="shared" si="41"/>
        <v>0</v>
      </c>
      <c r="I203" s="68">
        <f>IFERROR(SUMIF(簡易陰圧装置!$C$30:$C$74,B203,簡易陰圧装置!$N$30:$N$74)*((簡易陰圧装置!$H$3-簡易陰圧装置!$I$3)/簡易陰圧装置!$H$3),0)</f>
        <v>0</v>
      </c>
      <c r="J203" s="69">
        <f t="shared" si="42"/>
        <v>0</v>
      </c>
      <c r="K203" s="68">
        <f>IFERROR(SUMIF(#REF!,B203,#REF!)*((#REF!-#REF!)/#REF!),0)</f>
        <v>0</v>
      </c>
      <c r="L203" s="69">
        <f t="shared" si="43"/>
        <v>0</v>
      </c>
      <c r="M203" s="68">
        <f>IFERROR(SUMIF(体外式膜型人工肺!$C$30:$C$74,B203,体外式膜型人工肺!$N$30:$N$74)*((体外式膜型人工肺!$H$3-体外式膜型人工肺!$I$3)/体外式膜型人工肺!$H$3),0)</f>
        <v>0</v>
      </c>
      <c r="N203" s="69">
        <f t="shared" si="44"/>
        <v>0</v>
      </c>
      <c r="O203" s="69">
        <f t="shared" si="45"/>
        <v>0</v>
      </c>
      <c r="P203" s="69">
        <f t="shared" si="46"/>
        <v>0</v>
      </c>
      <c r="Q203" s="68">
        <f>IFERROR(SUMIF(紫外線照射装置!$C$30:$C$74,B203,紫外線照射装置!$N$30:$N$74)*((紫外線照射装置!$H$3-紫外線照射装置!$I$3)/紫外線照射装置!$H$3),0)</f>
        <v>0</v>
      </c>
      <c r="R203" s="69">
        <f t="shared" si="47"/>
        <v>0</v>
      </c>
      <c r="S203" s="102">
        <f t="shared" si="48"/>
        <v>0</v>
      </c>
      <c r="T203" s="68">
        <f>IFERROR(SUMIF(超音波画像診断装置!$C$30:$C$74,B203,超音波画像診断装置!$K$30:$K$74)*((超音波画像診断装置!$H$3-超音波画像診断装置!$I$3)/超音波画像診断装置!$H$3),0)</f>
        <v>0</v>
      </c>
      <c r="U203" s="69">
        <f t="shared" si="49"/>
        <v>0</v>
      </c>
      <c r="V203" s="68">
        <f>IFERROR(SUMIF(血液浄化装置!$C$30:$C$74,B203,血液浄化装置!$K$30:$K$74)*((血液浄化装置!$H$3-血液浄化装置!$I$3)/血液浄化装置!$H$3),0)</f>
        <v>0</v>
      </c>
      <c r="W203" s="69">
        <f t="shared" si="50"/>
        <v>0</v>
      </c>
      <c r="X203" s="68">
        <f>IFERROR(SUMIF(気管支鏡!$C$30:$C$74,B203,気管支鏡!$K$30:$K$74)*((気管支鏡!$H$3-気管支鏡!$I$3)/気管支鏡!$H$3),0)</f>
        <v>0</v>
      </c>
      <c r="Y203" s="69">
        <f t="shared" si="36"/>
        <v>0</v>
      </c>
      <c r="Z203" s="68">
        <f>IFERROR(SUMIF(CT撮影装置!$C$30:$C$74,B203,CT撮影装置!$K$30:$K$74)*((CT撮影装置!$H$3-CT撮影装置!$I$3)/CT撮影装置!$H$3),0)</f>
        <v>0</v>
      </c>
      <c r="AA203" s="69">
        <f t="shared" si="51"/>
        <v>0</v>
      </c>
      <c r="AB203" s="68">
        <f>IFERROR(SUMIF(生体情報モニタ!$C$30:$C$74,B203,生体情報モニタ!$K$30:$K$74)*((生体情報モニタ!$H$3-生体情報モニタ!$I$3)/生体情報モニタ!$H$3),0)</f>
        <v>0</v>
      </c>
      <c r="AC203" s="69">
        <f t="shared" si="37"/>
        <v>0</v>
      </c>
      <c r="AD203" s="68">
        <f>IFERROR(SUMIF(分娩監視装置!$C$30:$C$74,B203,分娩監視装置!$K$30:$K$74)*((分娩監視装置!$H$3-分娩監視装置!$I$3)/分娩監視装置!$H$3),0)</f>
        <v>0</v>
      </c>
      <c r="AE203" s="69">
        <f t="shared" si="52"/>
        <v>0</v>
      </c>
      <c r="AF203" s="68">
        <f>IFERROR(SUMIF(新生児モニタ!$C$30:$C$74,B203,新生児モニタ!$K$30:$K$74)*((新生児モニタ!$H$3-新生児モニタ!$I$3)/新生児モニタ!$H$3),0)</f>
        <v>0</v>
      </c>
      <c r="AG203" s="69">
        <f t="shared" si="53"/>
        <v>0</v>
      </c>
    </row>
    <row r="204" spans="2:33">
      <c r="B204" s="65" t="s">
        <v>873</v>
      </c>
      <c r="C204" s="68">
        <f>IFERROR(SUMIF(初度設備!$C$30:$C$74,B204,初度設備!$N$30:$N$74)*((初度設備!$H$3-初度設備!$I$3)/初度設備!$H$3),0)</f>
        <v>0</v>
      </c>
      <c r="D204" s="69">
        <f t="shared" si="38"/>
        <v>0</v>
      </c>
      <c r="E204" s="68">
        <f>IFERROR(SUMIF(人工呼吸器!$C$30:$C$74,B204,人工呼吸器!$N$30:$N$74)*((人工呼吸器!$H$3-人工呼吸器!$I$3)/人工呼吸器!$H$3),0)</f>
        <v>0</v>
      </c>
      <c r="F204" s="69">
        <f t="shared" si="39"/>
        <v>0</v>
      </c>
      <c r="G204" s="69">
        <f t="shared" si="40"/>
        <v>0</v>
      </c>
      <c r="H204" s="69">
        <f t="shared" si="41"/>
        <v>0</v>
      </c>
      <c r="I204" s="68">
        <f>IFERROR(SUMIF(簡易陰圧装置!$C$30:$C$74,B204,簡易陰圧装置!$N$30:$N$74)*((簡易陰圧装置!$H$3-簡易陰圧装置!$I$3)/簡易陰圧装置!$H$3),0)</f>
        <v>0</v>
      </c>
      <c r="J204" s="69">
        <f t="shared" si="42"/>
        <v>0</v>
      </c>
      <c r="K204" s="68">
        <f>IFERROR(SUMIF(#REF!,B204,#REF!)*((#REF!-#REF!)/#REF!),0)</f>
        <v>0</v>
      </c>
      <c r="L204" s="69">
        <f t="shared" si="43"/>
        <v>0</v>
      </c>
      <c r="M204" s="68">
        <f>IFERROR(SUMIF(体外式膜型人工肺!$C$30:$C$74,B204,体外式膜型人工肺!$N$30:$N$74)*((体外式膜型人工肺!$H$3-体外式膜型人工肺!$I$3)/体外式膜型人工肺!$H$3),0)</f>
        <v>0</v>
      </c>
      <c r="N204" s="69">
        <f t="shared" si="44"/>
        <v>0</v>
      </c>
      <c r="O204" s="69">
        <f t="shared" si="45"/>
        <v>0</v>
      </c>
      <c r="P204" s="69">
        <f t="shared" si="46"/>
        <v>0</v>
      </c>
      <c r="Q204" s="68">
        <f>IFERROR(SUMIF(紫外線照射装置!$C$30:$C$74,B204,紫外線照射装置!$N$30:$N$74)*((紫外線照射装置!$H$3-紫外線照射装置!$I$3)/紫外線照射装置!$H$3),0)</f>
        <v>0</v>
      </c>
      <c r="R204" s="69">
        <f t="shared" si="47"/>
        <v>0</v>
      </c>
      <c r="S204" s="102">
        <f t="shared" si="48"/>
        <v>0</v>
      </c>
      <c r="T204" s="68">
        <f>IFERROR(SUMIF(超音波画像診断装置!$C$30:$C$74,B204,超音波画像診断装置!$K$30:$K$74)*((超音波画像診断装置!$H$3-超音波画像診断装置!$I$3)/超音波画像診断装置!$H$3),0)</f>
        <v>0</v>
      </c>
      <c r="U204" s="69">
        <f t="shared" si="49"/>
        <v>0</v>
      </c>
      <c r="V204" s="68">
        <f>IFERROR(SUMIF(血液浄化装置!$C$30:$C$74,B204,血液浄化装置!$K$30:$K$74)*((血液浄化装置!$H$3-血液浄化装置!$I$3)/血液浄化装置!$H$3),0)</f>
        <v>0</v>
      </c>
      <c r="W204" s="69">
        <f t="shared" si="50"/>
        <v>0</v>
      </c>
      <c r="X204" s="68">
        <f>IFERROR(SUMIF(気管支鏡!$C$30:$C$74,B204,気管支鏡!$K$30:$K$74)*((気管支鏡!$H$3-気管支鏡!$I$3)/気管支鏡!$H$3),0)</f>
        <v>0</v>
      </c>
      <c r="Y204" s="69">
        <f t="shared" si="36"/>
        <v>0</v>
      </c>
      <c r="Z204" s="68">
        <f>IFERROR(SUMIF(CT撮影装置!$C$30:$C$74,B204,CT撮影装置!$K$30:$K$74)*((CT撮影装置!$H$3-CT撮影装置!$I$3)/CT撮影装置!$H$3),0)</f>
        <v>0</v>
      </c>
      <c r="AA204" s="69">
        <f t="shared" si="51"/>
        <v>0</v>
      </c>
      <c r="AB204" s="68">
        <f>IFERROR(SUMIF(生体情報モニタ!$C$30:$C$74,B204,生体情報モニタ!$K$30:$K$74)*((生体情報モニタ!$H$3-生体情報モニタ!$I$3)/生体情報モニタ!$H$3),0)</f>
        <v>0</v>
      </c>
      <c r="AC204" s="69">
        <f t="shared" si="37"/>
        <v>0</v>
      </c>
      <c r="AD204" s="68">
        <f>IFERROR(SUMIF(分娩監視装置!$C$30:$C$74,B204,分娩監視装置!$K$30:$K$74)*((分娩監視装置!$H$3-分娩監視装置!$I$3)/分娩監視装置!$H$3),0)</f>
        <v>0</v>
      </c>
      <c r="AE204" s="69">
        <f t="shared" si="52"/>
        <v>0</v>
      </c>
      <c r="AF204" s="68">
        <f>IFERROR(SUMIF(新生児モニタ!$C$30:$C$74,B204,新生児モニタ!$K$30:$K$74)*((新生児モニタ!$H$3-新生児モニタ!$I$3)/新生児モニタ!$H$3),0)</f>
        <v>0</v>
      </c>
      <c r="AG204" s="69">
        <f t="shared" si="53"/>
        <v>0</v>
      </c>
    </row>
    <row r="205" spans="2:33">
      <c r="B205" s="65" t="s">
        <v>874</v>
      </c>
      <c r="C205" s="68">
        <f>IFERROR(SUMIF(初度設備!$C$30:$C$74,B205,初度設備!$N$30:$N$74)*((初度設備!$H$3-初度設備!$I$3)/初度設備!$H$3),0)</f>
        <v>0</v>
      </c>
      <c r="D205" s="69">
        <f t="shared" si="38"/>
        <v>0</v>
      </c>
      <c r="E205" s="68">
        <f>IFERROR(SUMIF(人工呼吸器!$C$30:$C$74,B205,人工呼吸器!$N$30:$N$74)*((人工呼吸器!$H$3-人工呼吸器!$I$3)/人工呼吸器!$H$3),0)</f>
        <v>0</v>
      </c>
      <c r="F205" s="69">
        <f t="shared" si="39"/>
        <v>0</v>
      </c>
      <c r="G205" s="69">
        <f t="shared" si="40"/>
        <v>0</v>
      </c>
      <c r="H205" s="69">
        <f t="shared" si="41"/>
        <v>0</v>
      </c>
      <c r="I205" s="68">
        <f>IFERROR(SUMIF(簡易陰圧装置!$C$30:$C$74,B205,簡易陰圧装置!$N$30:$N$74)*((簡易陰圧装置!$H$3-簡易陰圧装置!$I$3)/簡易陰圧装置!$H$3),0)</f>
        <v>0</v>
      </c>
      <c r="J205" s="69">
        <f t="shared" si="42"/>
        <v>0</v>
      </c>
      <c r="K205" s="68">
        <f>IFERROR(SUMIF(#REF!,B205,#REF!)*((#REF!-#REF!)/#REF!),0)</f>
        <v>0</v>
      </c>
      <c r="L205" s="69">
        <f t="shared" si="43"/>
        <v>0</v>
      </c>
      <c r="M205" s="68">
        <f>IFERROR(SUMIF(体外式膜型人工肺!$C$30:$C$74,B205,体外式膜型人工肺!$N$30:$N$74)*((体外式膜型人工肺!$H$3-体外式膜型人工肺!$I$3)/体外式膜型人工肺!$H$3),0)</f>
        <v>0</v>
      </c>
      <c r="N205" s="69">
        <f t="shared" si="44"/>
        <v>0</v>
      </c>
      <c r="O205" s="69">
        <f t="shared" si="45"/>
        <v>0</v>
      </c>
      <c r="P205" s="69">
        <f t="shared" si="46"/>
        <v>0</v>
      </c>
      <c r="Q205" s="68">
        <f>IFERROR(SUMIF(紫外線照射装置!$C$30:$C$74,B205,紫外線照射装置!$N$30:$N$74)*((紫外線照射装置!$H$3-紫外線照射装置!$I$3)/紫外線照射装置!$H$3),0)</f>
        <v>0</v>
      </c>
      <c r="R205" s="69">
        <f t="shared" si="47"/>
        <v>0</v>
      </c>
      <c r="S205" s="102">
        <f t="shared" si="48"/>
        <v>0</v>
      </c>
      <c r="T205" s="68">
        <f>IFERROR(SUMIF(超音波画像診断装置!$C$30:$C$74,B205,超音波画像診断装置!$K$30:$K$74)*((超音波画像診断装置!$H$3-超音波画像診断装置!$I$3)/超音波画像診断装置!$H$3),0)</f>
        <v>0</v>
      </c>
      <c r="U205" s="69">
        <f t="shared" si="49"/>
        <v>0</v>
      </c>
      <c r="V205" s="68">
        <f>IFERROR(SUMIF(血液浄化装置!$C$30:$C$74,B205,血液浄化装置!$K$30:$K$74)*((血液浄化装置!$H$3-血液浄化装置!$I$3)/血液浄化装置!$H$3),0)</f>
        <v>0</v>
      </c>
      <c r="W205" s="69">
        <f t="shared" si="50"/>
        <v>0</v>
      </c>
      <c r="X205" s="68">
        <f>IFERROR(SUMIF(気管支鏡!$C$30:$C$74,B205,気管支鏡!$K$30:$K$74)*((気管支鏡!$H$3-気管支鏡!$I$3)/気管支鏡!$H$3),0)</f>
        <v>0</v>
      </c>
      <c r="Y205" s="69">
        <f t="shared" si="36"/>
        <v>0</v>
      </c>
      <c r="Z205" s="68">
        <f>IFERROR(SUMIF(CT撮影装置!$C$30:$C$74,B205,CT撮影装置!$K$30:$K$74)*((CT撮影装置!$H$3-CT撮影装置!$I$3)/CT撮影装置!$H$3),0)</f>
        <v>0</v>
      </c>
      <c r="AA205" s="69">
        <f t="shared" si="51"/>
        <v>0</v>
      </c>
      <c r="AB205" s="68">
        <f>IFERROR(SUMIF(生体情報モニタ!$C$30:$C$74,B205,生体情報モニタ!$K$30:$K$74)*((生体情報モニタ!$H$3-生体情報モニタ!$I$3)/生体情報モニタ!$H$3),0)</f>
        <v>0</v>
      </c>
      <c r="AC205" s="69">
        <f t="shared" si="37"/>
        <v>0</v>
      </c>
      <c r="AD205" s="68">
        <f>IFERROR(SUMIF(分娩監視装置!$C$30:$C$74,B205,分娩監視装置!$K$30:$K$74)*((分娩監視装置!$H$3-分娩監視装置!$I$3)/分娩監視装置!$H$3),0)</f>
        <v>0</v>
      </c>
      <c r="AE205" s="69">
        <f t="shared" si="52"/>
        <v>0</v>
      </c>
      <c r="AF205" s="68">
        <f>IFERROR(SUMIF(新生児モニタ!$C$30:$C$74,B205,新生児モニタ!$K$30:$K$74)*((新生児モニタ!$H$3-新生児モニタ!$I$3)/新生児モニタ!$H$3),0)</f>
        <v>0</v>
      </c>
      <c r="AG205" s="69">
        <f t="shared" si="53"/>
        <v>0</v>
      </c>
    </row>
    <row r="206" spans="2:33">
      <c r="B206" s="65" t="s">
        <v>875</v>
      </c>
      <c r="C206" s="68">
        <f>IFERROR(SUMIF(初度設備!$C$30:$C$74,B206,初度設備!$N$30:$N$74)*((初度設備!$H$3-初度設備!$I$3)/初度設備!$H$3),0)</f>
        <v>0</v>
      </c>
      <c r="D206" s="69">
        <f t="shared" si="38"/>
        <v>0</v>
      </c>
      <c r="E206" s="68">
        <f>IFERROR(SUMIF(人工呼吸器!$C$30:$C$74,B206,人工呼吸器!$N$30:$N$74)*((人工呼吸器!$H$3-人工呼吸器!$I$3)/人工呼吸器!$H$3),0)</f>
        <v>0</v>
      </c>
      <c r="F206" s="69">
        <f t="shared" si="39"/>
        <v>0</v>
      </c>
      <c r="G206" s="69">
        <f t="shared" si="40"/>
        <v>0</v>
      </c>
      <c r="H206" s="69">
        <f t="shared" si="41"/>
        <v>0</v>
      </c>
      <c r="I206" s="68">
        <f>IFERROR(SUMIF(簡易陰圧装置!$C$30:$C$74,B206,簡易陰圧装置!$N$30:$N$74)*((簡易陰圧装置!$H$3-簡易陰圧装置!$I$3)/簡易陰圧装置!$H$3),0)</f>
        <v>0</v>
      </c>
      <c r="J206" s="69">
        <f t="shared" si="42"/>
        <v>0</v>
      </c>
      <c r="K206" s="68">
        <f>IFERROR(SUMIF(#REF!,B206,#REF!)*((#REF!-#REF!)/#REF!),0)</f>
        <v>0</v>
      </c>
      <c r="L206" s="69">
        <f t="shared" si="43"/>
        <v>0</v>
      </c>
      <c r="M206" s="68">
        <f>IFERROR(SUMIF(体外式膜型人工肺!$C$30:$C$74,B206,体外式膜型人工肺!$N$30:$N$74)*((体外式膜型人工肺!$H$3-体外式膜型人工肺!$I$3)/体外式膜型人工肺!$H$3),0)</f>
        <v>0</v>
      </c>
      <c r="N206" s="69">
        <f t="shared" si="44"/>
        <v>0</v>
      </c>
      <c r="O206" s="69">
        <f t="shared" si="45"/>
        <v>0</v>
      </c>
      <c r="P206" s="69">
        <f t="shared" si="46"/>
        <v>0</v>
      </c>
      <c r="Q206" s="68">
        <f>IFERROR(SUMIF(紫外線照射装置!$C$30:$C$74,B206,紫外線照射装置!$N$30:$N$74)*((紫外線照射装置!$H$3-紫外線照射装置!$I$3)/紫外線照射装置!$H$3),0)</f>
        <v>0</v>
      </c>
      <c r="R206" s="69">
        <f t="shared" si="47"/>
        <v>0</v>
      </c>
      <c r="S206" s="102">
        <f t="shared" si="48"/>
        <v>0</v>
      </c>
      <c r="T206" s="68">
        <f>IFERROR(SUMIF(超音波画像診断装置!$C$30:$C$74,B206,超音波画像診断装置!$K$30:$K$74)*((超音波画像診断装置!$H$3-超音波画像診断装置!$I$3)/超音波画像診断装置!$H$3),0)</f>
        <v>0</v>
      </c>
      <c r="U206" s="69">
        <f t="shared" si="49"/>
        <v>0</v>
      </c>
      <c r="V206" s="68">
        <f>IFERROR(SUMIF(血液浄化装置!$C$30:$C$74,B206,血液浄化装置!$K$30:$K$74)*((血液浄化装置!$H$3-血液浄化装置!$I$3)/血液浄化装置!$H$3),0)</f>
        <v>0</v>
      </c>
      <c r="W206" s="69">
        <f t="shared" si="50"/>
        <v>0</v>
      </c>
      <c r="X206" s="68">
        <f>IFERROR(SUMIF(気管支鏡!$C$30:$C$74,B206,気管支鏡!$K$30:$K$74)*((気管支鏡!$H$3-気管支鏡!$I$3)/気管支鏡!$H$3),0)</f>
        <v>0</v>
      </c>
      <c r="Y206" s="69">
        <f t="shared" si="36"/>
        <v>0</v>
      </c>
      <c r="Z206" s="68">
        <f>IFERROR(SUMIF(CT撮影装置!$C$30:$C$74,B206,CT撮影装置!$K$30:$K$74)*((CT撮影装置!$H$3-CT撮影装置!$I$3)/CT撮影装置!$H$3),0)</f>
        <v>0</v>
      </c>
      <c r="AA206" s="69">
        <f t="shared" si="51"/>
        <v>0</v>
      </c>
      <c r="AB206" s="68">
        <f>IFERROR(SUMIF(生体情報モニタ!$C$30:$C$74,B206,生体情報モニタ!$K$30:$K$74)*((生体情報モニタ!$H$3-生体情報モニタ!$I$3)/生体情報モニタ!$H$3),0)</f>
        <v>0</v>
      </c>
      <c r="AC206" s="69">
        <f t="shared" si="37"/>
        <v>0</v>
      </c>
      <c r="AD206" s="68">
        <f>IFERROR(SUMIF(分娩監視装置!$C$30:$C$74,B206,分娩監視装置!$K$30:$K$74)*((分娩監視装置!$H$3-分娩監視装置!$I$3)/分娩監視装置!$H$3),0)</f>
        <v>0</v>
      </c>
      <c r="AE206" s="69">
        <f t="shared" si="52"/>
        <v>0</v>
      </c>
      <c r="AF206" s="68">
        <f>IFERROR(SUMIF(新生児モニタ!$C$30:$C$74,B206,新生児モニタ!$K$30:$K$74)*((新生児モニタ!$H$3-新生児モニタ!$I$3)/新生児モニタ!$H$3),0)</f>
        <v>0</v>
      </c>
      <c r="AG206" s="69">
        <f t="shared" si="53"/>
        <v>0</v>
      </c>
    </row>
    <row r="207" spans="2:33">
      <c r="B207" s="65" t="s">
        <v>876</v>
      </c>
      <c r="C207" s="68">
        <f>IFERROR(SUMIF(初度設備!$C$30:$C$74,B207,初度設備!$N$30:$N$74)*((初度設備!$H$3-初度設備!$I$3)/初度設備!$H$3),0)</f>
        <v>0</v>
      </c>
      <c r="D207" s="69">
        <f t="shared" si="38"/>
        <v>0</v>
      </c>
      <c r="E207" s="68">
        <f>IFERROR(SUMIF(人工呼吸器!$C$30:$C$74,B207,人工呼吸器!$N$30:$N$74)*((人工呼吸器!$H$3-人工呼吸器!$I$3)/人工呼吸器!$H$3),0)</f>
        <v>0</v>
      </c>
      <c r="F207" s="69">
        <f t="shared" si="39"/>
        <v>0</v>
      </c>
      <c r="G207" s="69">
        <f t="shared" si="40"/>
        <v>0</v>
      </c>
      <c r="H207" s="69">
        <f t="shared" si="41"/>
        <v>0</v>
      </c>
      <c r="I207" s="68">
        <f>IFERROR(SUMIF(簡易陰圧装置!$C$30:$C$74,B207,簡易陰圧装置!$N$30:$N$74)*((簡易陰圧装置!$H$3-簡易陰圧装置!$I$3)/簡易陰圧装置!$H$3),0)</f>
        <v>0</v>
      </c>
      <c r="J207" s="69">
        <f t="shared" si="42"/>
        <v>0</v>
      </c>
      <c r="K207" s="68">
        <f>IFERROR(SUMIF(#REF!,B207,#REF!)*((#REF!-#REF!)/#REF!),0)</f>
        <v>0</v>
      </c>
      <c r="L207" s="69">
        <f t="shared" si="43"/>
        <v>0</v>
      </c>
      <c r="M207" s="68">
        <f>IFERROR(SUMIF(体外式膜型人工肺!$C$30:$C$74,B207,体外式膜型人工肺!$N$30:$N$74)*((体外式膜型人工肺!$H$3-体外式膜型人工肺!$I$3)/体外式膜型人工肺!$H$3),0)</f>
        <v>0</v>
      </c>
      <c r="N207" s="69">
        <f t="shared" si="44"/>
        <v>0</v>
      </c>
      <c r="O207" s="69">
        <f t="shared" si="45"/>
        <v>0</v>
      </c>
      <c r="P207" s="69">
        <f t="shared" si="46"/>
        <v>0</v>
      </c>
      <c r="Q207" s="68">
        <f>IFERROR(SUMIF(紫外線照射装置!$C$30:$C$74,B207,紫外線照射装置!$N$30:$N$74)*((紫外線照射装置!$H$3-紫外線照射装置!$I$3)/紫外線照射装置!$H$3),0)</f>
        <v>0</v>
      </c>
      <c r="R207" s="69">
        <f t="shared" si="47"/>
        <v>0</v>
      </c>
      <c r="S207" s="102">
        <f t="shared" si="48"/>
        <v>0</v>
      </c>
      <c r="T207" s="68">
        <f>IFERROR(SUMIF(超音波画像診断装置!$C$30:$C$74,B207,超音波画像診断装置!$K$30:$K$74)*((超音波画像診断装置!$H$3-超音波画像診断装置!$I$3)/超音波画像診断装置!$H$3),0)</f>
        <v>0</v>
      </c>
      <c r="U207" s="69">
        <f t="shared" si="49"/>
        <v>0</v>
      </c>
      <c r="V207" s="68">
        <f>IFERROR(SUMIF(血液浄化装置!$C$30:$C$74,B207,血液浄化装置!$K$30:$K$74)*((血液浄化装置!$H$3-血液浄化装置!$I$3)/血液浄化装置!$H$3),0)</f>
        <v>0</v>
      </c>
      <c r="W207" s="69">
        <f t="shared" si="50"/>
        <v>0</v>
      </c>
      <c r="X207" s="68">
        <f>IFERROR(SUMIF(気管支鏡!$C$30:$C$74,B207,気管支鏡!$K$30:$K$74)*((気管支鏡!$H$3-気管支鏡!$I$3)/気管支鏡!$H$3),0)</f>
        <v>0</v>
      </c>
      <c r="Y207" s="69">
        <f t="shared" si="36"/>
        <v>0</v>
      </c>
      <c r="Z207" s="68">
        <f>IFERROR(SUMIF(CT撮影装置!$C$30:$C$74,B207,CT撮影装置!$K$30:$K$74)*((CT撮影装置!$H$3-CT撮影装置!$I$3)/CT撮影装置!$H$3),0)</f>
        <v>0</v>
      </c>
      <c r="AA207" s="69">
        <f t="shared" si="51"/>
        <v>0</v>
      </c>
      <c r="AB207" s="68">
        <f>IFERROR(SUMIF(生体情報モニタ!$C$30:$C$74,B207,生体情報モニタ!$K$30:$K$74)*((生体情報モニタ!$H$3-生体情報モニタ!$I$3)/生体情報モニタ!$H$3),0)</f>
        <v>0</v>
      </c>
      <c r="AC207" s="69">
        <f t="shared" si="37"/>
        <v>0</v>
      </c>
      <c r="AD207" s="68">
        <f>IFERROR(SUMIF(分娩監視装置!$C$30:$C$74,B207,分娩監視装置!$K$30:$K$74)*((分娩監視装置!$H$3-分娩監視装置!$I$3)/分娩監視装置!$H$3),0)</f>
        <v>0</v>
      </c>
      <c r="AE207" s="69">
        <f t="shared" si="52"/>
        <v>0</v>
      </c>
      <c r="AF207" s="68">
        <f>IFERROR(SUMIF(新生児モニタ!$C$30:$C$74,B207,新生児モニタ!$K$30:$K$74)*((新生児モニタ!$H$3-新生児モニタ!$I$3)/新生児モニタ!$H$3),0)</f>
        <v>0</v>
      </c>
      <c r="AG207" s="69">
        <f t="shared" si="53"/>
        <v>0</v>
      </c>
    </row>
    <row r="208" spans="2:33">
      <c r="B208" s="65" t="s">
        <v>877</v>
      </c>
      <c r="C208" s="68">
        <f>IFERROR(SUMIF(初度設備!$C$30:$C$74,B208,初度設備!$N$30:$N$74)*((初度設備!$H$3-初度設備!$I$3)/初度設備!$H$3),0)</f>
        <v>0</v>
      </c>
      <c r="D208" s="69">
        <f t="shared" si="38"/>
        <v>0</v>
      </c>
      <c r="E208" s="68">
        <f>IFERROR(SUMIF(人工呼吸器!$C$30:$C$74,B208,人工呼吸器!$N$30:$N$74)*((人工呼吸器!$H$3-人工呼吸器!$I$3)/人工呼吸器!$H$3),0)</f>
        <v>0</v>
      </c>
      <c r="F208" s="69">
        <f t="shared" si="39"/>
        <v>0</v>
      </c>
      <c r="G208" s="69">
        <f t="shared" si="40"/>
        <v>0</v>
      </c>
      <c r="H208" s="69">
        <f t="shared" si="41"/>
        <v>0</v>
      </c>
      <c r="I208" s="68">
        <f>IFERROR(SUMIF(簡易陰圧装置!$C$30:$C$74,B208,簡易陰圧装置!$N$30:$N$74)*((簡易陰圧装置!$H$3-簡易陰圧装置!$I$3)/簡易陰圧装置!$H$3),0)</f>
        <v>0</v>
      </c>
      <c r="J208" s="69">
        <f t="shared" si="42"/>
        <v>0</v>
      </c>
      <c r="K208" s="68">
        <f>IFERROR(SUMIF(#REF!,B208,#REF!)*((#REF!-#REF!)/#REF!),0)</f>
        <v>0</v>
      </c>
      <c r="L208" s="69">
        <f t="shared" si="43"/>
        <v>0</v>
      </c>
      <c r="M208" s="68">
        <f>IFERROR(SUMIF(体外式膜型人工肺!$C$30:$C$74,B208,体外式膜型人工肺!$N$30:$N$74)*((体外式膜型人工肺!$H$3-体外式膜型人工肺!$I$3)/体外式膜型人工肺!$H$3),0)</f>
        <v>0</v>
      </c>
      <c r="N208" s="69">
        <f t="shared" si="44"/>
        <v>0</v>
      </c>
      <c r="O208" s="69">
        <f t="shared" si="45"/>
        <v>0</v>
      </c>
      <c r="P208" s="69">
        <f t="shared" si="46"/>
        <v>0</v>
      </c>
      <c r="Q208" s="68">
        <f>IFERROR(SUMIF(紫外線照射装置!$C$30:$C$74,B208,紫外線照射装置!$N$30:$N$74)*((紫外線照射装置!$H$3-紫外線照射装置!$I$3)/紫外線照射装置!$H$3),0)</f>
        <v>0</v>
      </c>
      <c r="R208" s="69">
        <f t="shared" si="47"/>
        <v>0</v>
      </c>
      <c r="S208" s="102">
        <f t="shared" si="48"/>
        <v>0</v>
      </c>
      <c r="T208" s="68">
        <f>IFERROR(SUMIF(超音波画像診断装置!$C$30:$C$74,B208,超音波画像診断装置!$K$30:$K$74)*((超音波画像診断装置!$H$3-超音波画像診断装置!$I$3)/超音波画像診断装置!$H$3),0)</f>
        <v>0</v>
      </c>
      <c r="U208" s="69">
        <f t="shared" si="49"/>
        <v>0</v>
      </c>
      <c r="V208" s="68">
        <f>IFERROR(SUMIF(血液浄化装置!$C$30:$C$74,B208,血液浄化装置!$K$30:$K$74)*((血液浄化装置!$H$3-血液浄化装置!$I$3)/血液浄化装置!$H$3),0)</f>
        <v>0</v>
      </c>
      <c r="W208" s="69">
        <f t="shared" si="50"/>
        <v>0</v>
      </c>
      <c r="X208" s="68">
        <f>IFERROR(SUMIF(気管支鏡!$C$30:$C$74,B208,気管支鏡!$K$30:$K$74)*((気管支鏡!$H$3-気管支鏡!$I$3)/気管支鏡!$H$3),0)</f>
        <v>0</v>
      </c>
      <c r="Y208" s="69">
        <f t="shared" si="36"/>
        <v>0</v>
      </c>
      <c r="Z208" s="68">
        <f>IFERROR(SUMIF(CT撮影装置!$C$30:$C$74,B208,CT撮影装置!$K$30:$K$74)*((CT撮影装置!$H$3-CT撮影装置!$I$3)/CT撮影装置!$H$3),0)</f>
        <v>0</v>
      </c>
      <c r="AA208" s="69">
        <f t="shared" si="51"/>
        <v>0</v>
      </c>
      <c r="AB208" s="68">
        <f>IFERROR(SUMIF(生体情報モニタ!$C$30:$C$74,B208,生体情報モニタ!$K$30:$K$74)*((生体情報モニタ!$H$3-生体情報モニタ!$I$3)/生体情報モニタ!$H$3),0)</f>
        <v>0</v>
      </c>
      <c r="AC208" s="69">
        <f t="shared" si="37"/>
        <v>0</v>
      </c>
      <c r="AD208" s="68">
        <f>IFERROR(SUMIF(分娩監視装置!$C$30:$C$74,B208,分娩監視装置!$K$30:$K$74)*((分娩監視装置!$H$3-分娩監視装置!$I$3)/分娩監視装置!$H$3),0)</f>
        <v>0</v>
      </c>
      <c r="AE208" s="69">
        <f t="shared" si="52"/>
        <v>0</v>
      </c>
      <c r="AF208" s="68">
        <f>IFERROR(SUMIF(新生児モニタ!$C$30:$C$74,B208,新生児モニタ!$K$30:$K$74)*((新生児モニタ!$H$3-新生児モニタ!$I$3)/新生児モニタ!$H$3),0)</f>
        <v>0</v>
      </c>
      <c r="AG208" s="69">
        <f t="shared" si="53"/>
        <v>0</v>
      </c>
    </row>
    <row r="209" spans="2:33">
      <c r="B209" s="65" t="s">
        <v>878</v>
      </c>
      <c r="C209" s="68">
        <f>IFERROR(SUMIF(初度設備!$C$30:$C$74,B209,初度設備!$N$30:$N$74)*((初度設備!$H$3-初度設備!$I$3)/初度設備!$H$3),0)</f>
        <v>0</v>
      </c>
      <c r="D209" s="69">
        <f t="shared" si="38"/>
        <v>0</v>
      </c>
      <c r="E209" s="68">
        <f>IFERROR(SUMIF(人工呼吸器!$C$30:$C$74,B209,人工呼吸器!$N$30:$N$74)*((人工呼吸器!$H$3-人工呼吸器!$I$3)/人工呼吸器!$H$3),0)</f>
        <v>0</v>
      </c>
      <c r="F209" s="69">
        <f t="shared" si="39"/>
        <v>0</v>
      </c>
      <c r="G209" s="69">
        <f t="shared" si="40"/>
        <v>0</v>
      </c>
      <c r="H209" s="69">
        <f t="shared" si="41"/>
        <v>0</v>
      </c>
      <c r="I209" s="68">
        <f>IFERROR(SUMIF(簡易陰圧装置!$C$30:$C$74,B209,簡易陰圧装置!$N$30:$N$74)*((簡易陰圧装置!$H$3-簡易陰圧装置!$I$3)/簡易陰圧装置!$H$3),0)</f>
        <v>0</v>
      </c>
      <c r="J209" s="69">
        <f t="shared" si="42"/>
        <v>0</v>
      </c>
      <c r="K209" s="68">
        <f>IFERROR(SUMIF(#REF!,B209,#REF!)*((#REF!-#REF!)/#REF!),0)</f>
        <v>0</v>
      </c>
      <c r="L209" s="69">
        <f t="shared" si="43"/>
        <v>0</v>
      </c>
      <c r="M209" s="68">
        <f>IFERROR(SUMIF(体外式膜型人工肺!$C$30:$C$74,B209,体外式膜型人工肺!$N$30:$N$74)*((体外式膜型人工肺!$H$3-体外式膜型人工肺!$I$3)/体外式膜型人工肺!$H$3),0)</f>
        <v>0</v>
      </c>
      <c r="N209" s="69">
        <f t="shared" si="44"/>
        <v>0</v>
      </c>
      <c r="O209" s="69">
        <f t="shared" si="45"/>
        <v>0</v>
      </c>
      <c r="P209" s="69">
        <f t="shared" si="46"/>
        <v>0</v>
      </c>
      <c r="Q209" s="68">
        <f>IFERROR(SUMIF(紫外線照射装置!$C$30:$C$74,B209,紫外線照射装置!$N$30:$N$74)*((紫外線照射装置!$H$3-紫外線照射装置!$I$3)/紫外線照射装置!$H$3),0)</f>
        <v>0</v>
      </c>
      <c r="R209" s="69">
        <f t="shared" si="47"/>
        <v>0</v>
      </c>
      <c r="S209" s="102">
        <f t="shared" si="48"/>
        <v>0</v>
      </c>
      <c r="T209" s="68">
        <f>IFERROR(SUMIF(超音波画像診断装置!$C$30:$C$74,B209,超音波画像診断装置!$K$30:$K$74)*((超音波画像診断装置!$H$3-超音波画像診断装置!$I$3)/超音波画像診断装置!$H$3),0)</f>
        <v>0</v>
      </c>
      <c r="U209" s="69">
        <f t="shared" si="49"/>
        <v>0</v>
      </c>
      <c r="V209" s="68">
        <f>IFERROR(SUMIF(血液浄化装置!$C$30:$C$74,B209,血液浄化装置!$K$30:$K$74)*((血液浄化装置!$H$3-血液浄化装置!$I$3)/血液浄化装置!$H$3),0)</f>
        <v>0</v>
      </c>
      <c r="W209" s="69">
        <f t="shared" si="50"/>
        <v>0</v>
      </c>
      <c r="X209" s="68">
        <f>IFERROR(SUMIF(気管支鏡!$C$30:$C$74,B209,気管支鏡!$K$30:$K$74)*((気管支鏡!$H$3-気管支鏡!$I$3)/気管支鏡!$H$3),0)</f>
        <v>0</v>
      </c>
      <c r="Y209" s="69">
        <f t="shared" si="36"/>
        <v>0</v>
      </c>
      <c r="Z209" s="68">
        <f>IFERROR(SUMIF(CT撮影装置!$C$30:$C$74,B209,CT撮影装置!$K$30:$K$74)*((CT撮影装置!$H$3-CT撮影装置!$I$3)/CT撮影装置!$H$3),0)</f>
        <v>0</v>
      </c>
      <c r="AA209" s="69">
        <f t="shared" si="51"/>
        <v>0</v>
      </c>
      <c r="AB209" s="68">
        <f>IFERROR(SUMIF(生体情報モニタ!$C$30:$C$74,B209,生体情報モニタ!$K$30:$K$74)*((生体情報モニタ!$H$3-生体情報モニタ!$I$3)/生体情報モニタ!$H$3),0)</f>
        <v>0</v>
      </c>
      <c r="AC209" s="69">
        <f t="shared" si="37"/>
        <v>0</v>
      </c>
      <c r="AD209" s="68">
        <f>IFERROR(SUMIF(分娩監視装置!$C$30:$C$74,B209,分娩監視装置!$K$30:$K$74)*((分娩監視装置!$H$3-分娩監視装置!$I$3)/分娩監視装置!$H$3),0)</f>
        <v>0</v>
      </c>
      <c r="AE209" s="69">
        <f t="shared" si="52"/>
        <v>0</v>
      </c>
      <c r="AF209" s="68">
        <f>IFERROR(SUMIF(新生児モニタ!$C$30:$C$74,B209,新生児モニタ!$K$30:$K$74)*((新生児モニタ!$H$3-新生児モニタ!$I$3)/新生児モニタ!$H$3),0)</f>
        <v>0</v>
      </c>
      <c r="AG209" s="69">
        <f t="shared" si="53"/>
        <v>0</v>
      </c>
    </row>
    <row r="210" spans="2:33">
      <c r="B210" s="65" t="s">
        <v>879</v>
      </c>
      <c r="C210" s="68">
        <f>IFERROR(SUMIF(初度設備!$C$30:$C$74,B210,初度設備!$N$30:$N$74)*((初度設備!$H$3-初度設備!$I$3)/初度設備!$H$3),0)</f>
        <v>0</v>
      </c>
      <c r="D210" s="69">
        <f t="shared" si="38"/>
        <v>0</v>
      </c>
      <c r="E210" s="68">
        <f>IFERROR(SUMIF(人工呼吸器!$C$30:$C$74,B210,人工呼吸器!$N$30:$N$74)*((人工呼吸器!$H$3-人工呼吸器!$I$3)/人工呼吸器!$H$3),0)</f>
        <v>0</v>
      </c>
      <c r="F210" s="69">
        <f t="shared" si="39"/>
        <v>0</v>
      </c>
      <c r="G210" s="69">
        <f t="shared" si="40"/>
        <v>0</v>
      </c>
      <c r="H210" s="69">
        <f t="shared" si="41"/>
        <v>0</v>
      </c>
      <c r="I210" s="68">
        <f>IFERROR(SUMIF(簡易陰圧装置!$C$30:$C$74,B210,簡易陰圧装置!$N$30:$N$74)*((簡易陰圧装置!$H$3-簡易陰圧装置!$I$3)/簡易陰圧装置!$H$3),0)</f>
        <v>0</v>
      </c>
      <c r="J210" s="69">
        <f t="shared" si="42"/>
        <v>0</v>
      </c>
      <c r="K210" s="68">
        <f>IFERROR(SUMIF(#REF!,B210,#REF!)*((#REF!-#REF!)/#REF!),0)</f>
        <v>0</v>
      </c>
      <c r="L210" s="69">
        <f t="shared" si="43"/>
        <v>0</v>
      </c>
      <c r="M210" s="68">
        <f>IFERROR(SUMIF(体外式膜型人工肺!$C$30:$C$74,B210,体外式膜型人工肺!$N$30:$N$74)*((体外式膜型人工肺!$H$3-体外式膜型人工肺!$I$3)/体外式膜型人工肺!$H$3),0)</f>
        <v>0</v>
      </c>
      <c r="N210" s="69">
        <f t="shared" si="44"/>
        <v>0</v>
      </c>
      <c r="O210" s="69">
        <f t="shared" si="45"/>
        <v>0</v>
      </c>
      <c r="P210" s="69">
        <f t="shared" si="46"/>
        <v>0</v>
      </c>
      <c r="Q210" s="68">
        <f>IFERROR(SUMIF(紫外線照射装置!$C$30:$C$74,B210,紫外線照射装置!$N$30:$N$74)*((紫外線照射装置!$H$3-紫外線照射装置!$I$3)/紫外線照射装置!$H$3),0)</f>
        <v>0</v>
      </c>
      <c r="R210" s="69">
        <f t="shared" si="47"/>
        <v>0</v>
      </c>
      <c r="S210" s="102">
        <f t="shared" si="48"/>
        <v>0</v>
      </c>
      <c r="T210" s="68">
        <f>IFERROR(SUMIF(超音波画像診断装置!$C$30:$C$74,B210,超音波画像診断装置!$K$30:$K$74)*((超音波画像診断装置!$H$3-超音波画像診断装置!$I$3)/超音波画像診断装置!$H$3),0)</f>
        <v>0</v>
      </c>
      <c r="U210" s="69">
        <f t="shared" si="49"/>
        <v>0</v>
      </c>
      <c r="V210" s="68">
        <f>IFERROR(SUMIF(血液浄化装置!$C$30:$C$74,B210,血液浄化装置!$K$30:$K$74)*((血液浄化装置!$H$3-血液浄化装置!$I$3)/血液浄化装置!$H$3),0)</f>
        <v>0</v>
      </c>
      <c r="W210" s="69">
        <f t="shared" si="50"/>
        <v>0</v>
      </c>
      <c r="X210" s="68">
        <f>IFERROR(SUMIF(気管支鏡!$C$30:$C$74,B210,気管支鏡!$K$30:$K$74)*((気管支鏡!$H$3-気管支鏡!$I$3)/気管支鏡!$H$3),0)</f>
        <v>0</v>
      </c>
      <c r="Y210" s="69">
        <f t="shared" si="36"/>
        <v>0</v>
      </c>
      <c r="Z210" s="68">
        <f>IFERROR(SUMIF(CT撮影装置!$C$30:$C$74,B210,CT撮影装置!$K$30:$K$74)*((CT撮影装置!$H$3-CT撮影装置!$I$3)/CT撮影装置!$H$3),0)</f>
        <v>0</v>
      </c>
      <c r="AA210" s="69">
        <f t="shared" si="51"/>
        <v>0</v>
      </c>
      <c r="AB210" s="68">
        <f>IFERROR(SUMIF(生体情報モニタ!$C$30:$C$74,B210,生体情報モニタ!$K$30:$K$74)*((生体情報モニタ!$H$3-生体情報モニタ!$I$3)/生体情報モニタ!$H$3),0)</f>
        <v>0</v>
      </c>
      <c r="AC210" s="69">
        <f t="shared" si="37"/>
        <v>0</v>
      </c>
      <c r="AD210" s="68">
        <f>IFERROR(SUMIF(分娩監視装置!$C$30:$C$74,B210,分娩監視装置!$K$30:$K$74)*((分娩監視装置!$H$3-分娩監視装置!$I$3)/分娩監視装置!$H$3),0)</f>
        <v>0</v>
      </c>
      <c r="AE210" s="69">
        <f t="shared" si="52"/>
        <v>0</v>
      </c>
      <c r="AF210" s="68">
        <f>IFERROR(SUMIF(新生児モニタ!$C$30:$C$74,B210,新生児モニタ!$K$30:$K$74)*((新生児モニタ!$H$3-新生児モニタ!$I$3)/新生児モニタ!$H$3),0)</f>
        <v>0</v>
      </c>
      <c r="AG210" s="69">
        <f t="shared" si="53"/>
        <v>0</v>
      </c>
    </row>
    <row r="211" spans="2:33">
      <c r="B211" s="65" t="s">
        <v>880</v>
      </c>
      <c r="C211" s="68">
        <f>IFERROR(SUMIF(初度設備!$C$30:$C$74,B211,初度設備!$N$30:$N$74)*((初度設備!$H$3-初度設備!$I$3)/初度設備!$H$3),0)</f>
        <v>0</v>
      </c>
      <c r="D211" s="69">
        <f t="shared" si="38"/>
        <v>0</v>
      </c>
      <c r="E211" s="68">
        <f>IFERROR(SUMIF(人工呼吸器!$C$30:$C$74,B211,人工呼吸器!$N$30:$N$74)*((人工呼吸器!$H$3-人工呼吸器!$I$3)/人工呼吸器!$H$3),0)</f>
        <v>0</v>
      </c>
      <c r="F211" s="69">
        <f t="shared" si="39"/>
        <v>0</v>
      </c>
      <c r="G211" s="69">
        <f t="shared" si="40"/>
        <v>0</v>
      </c>
      <c r="H211" s="69">
        <f t="shared" si="41"/>
        <v>0</v>
      </c>
      <c r="I211" s="68">
        <f>IFERROR(SUMIF(簡易陰圧装置!$C$30:$C$74,B211,簡易陰圧装置!$N$30:$N$74)*((簡易陰圧装置!$H$3-簡易陰圧装置!$I$3)/簡易陰圧装置!$H$3),0)</f>
        <v>0</v>
      </c>
      <c r="J211" s="69">
        <f t="shared" si="42"/>
        <v>0</v>
      </c>
      <c r="K211" s="68">
        <f>IFERROR(SUMIF(#REF!,B211,#REF!)*((#REF!-#REF!)/#REF!),0)</f>
        <v>0</v>
      </c>
      <c r="L211" s="69">
        <f t="shared" si="43"/>
        <v>0</v>
      </c>
      <c r="M211" s="68">
        <f>IFERROR(SUMIF(体外式膜型人工肺!$C$30:$C$74,B211,体外式膜型人工肺!$N$30:$N$74)*((体外式膜型人工肺!$H$3-体外式膜型人工肺!$I$3)/体外式膜型人工肺!$H$3),0)</f>
        <v>0</v>
      </c>
      <c r="N211" s="69">
        <f t="shared" si="44"/>
        <v>0</v>
      </c>
      <c r="O211" s="69">
        <f t="shared" si="45"/>
        <v>0</v>
      </c>
      <c r="P211" s="69">
        <f t="shared" si="46"/>
        <v>0</v>
      </c>
      <c r="Q211" s="68">
        <f>IFERROR(SUMIF(紫外線照射装置!$C$30:$C$74,B211,紫外線照射装置!$N$30:$N$74)*((紫外線照射装置!$H$3-紫外線照射装置!$I$3)/紫外線照射装置!$H$3),0)</f>
        <v>0</v>
      </c>
      <c r="R211" s="69">
        <f t="shared" si="47"/>
        <v>0</v>
      </c>
      <c r="S211" s="102">
        <f t="shared" si="48"/>
        <v>0</v>
      </c>
      <c r="T211" s="68">
        <f>IFERROR(SUMIF(超音波画像診断装置!$C$30:$C$74,B211,超音波画像診断装置!$K$30:$K$74)*((超音波画像診断装置!$H$3-超音波画像診断装置!$I$3)/超音波画像診断装置!$H$3),0)</f>
        <v>0</v>
      </c>
      <c r="U211" s="69">
        <f t="shared" si="49"/>
        <v>0</v>
      </c>
      <c r="V211" s="68">
        <f>IFERROR(SUMIF(血液浄化装置!$C$30:$C$74,B211,血液浄化装置!$K$30:$K$74)*((血液浄化装置!$H$3-血液浄化装置!$I$3)/血液浄化装置!$H$3),0)</f>
        <v>0</v>
      </c>
      <c r="W211" s="69">
        <f t="shared" si="50"/>
        <v>0</v>
      </c>
      <c r="X211" s="68">
        <f>IFERROR(SUMIF(気管支鏡!$C$30:$C$74,B211,気管支鏡!$K$30:$K$74)*((気管支鏡!$H$3-気管支鏡!$I$3)/気管支鏡!$H$3),0)</f>
        <v>0</v>
      </c>
      <c r="Y211" s="69">
        <f t="shared" si="36"/>
        <v>0</v>
      </c>
      <c r="Z211" s="68">
        <f>IFERROR(SUMIF(CT撮影装置!$C$30:$C$74,B211,CT撮影装置!$K$30:$K$74)*((CT撮影装置!$H$3-CT撮影装置!$I$3)/CT撮影装置!$H$3),0)</f>
        <v>0</v>
      </c>
      <c r="AA211" s="69">
        <f t="shared" si="51"/>
        <v>0</v>
      </c>
      <c r="AB211" s="68">
        <f>IFERROR(SUMIF(生体情報モニタ!$C$30:$C$74,B211,生体情報モニタ!$K$30:$K$74)*((生体情報モニタ!$H$3-生体情報モニタ!$I$3)/生体情報モニタ!$H$3),0)</f>
        <v>0</v>
      </c>
      <c r="AC211" s="69">
        <f t="shared" si="37"/>
        <v>0</v>
      </c>
      <c r="AD211" s="68">
        <f>IFERROR(SUMIF(分娩監視装置!$C$30:$C$74,B211,分娩監視装置!$K$30:$K$74)*((分娩監視装置!$H$3-分娩監視装置!$I$3)/分娩監視装置!$H$3),0)</f>
        <v>0</v>
      </c>
      <c r="AE211" s="69">
        <f t="shared" si="52"/>
        <v>0</v>
      </c>
      <c r="AF211" s="68">
        <f>IFERROR(SUMIF(新生児モニタ!$C$30:$C$74,B211,新生児モニタ!$K$30:$K$74)*((新生児モニタ!$H$3-新生児モニタ!$I$3)/新生児モニタ!$H$3),0)</f>
        <v>0</v>
      </c>
      <c r="AG211" s="69">
        <f t="shared" si="53"/>
        <v>0</v>
      </c>
    </row>
    <row r="212" spans="2:33">
      <c r="B212" s="65" t="s">
        <v>881</v>
      </c>
      <c r="C212" s="68">
        <f>IFERROR(SUMIF(初度設備!$C$30:$C$74,B212,初度設備!$N$30:$N$74)*((初度設備!$H$3-初度設備!$I$3)/初度設備!$H$3),0)</f>
        <v>0</v>
      </c>
      <c r="D212" s="69">
        <f t="shared" si="38"/>
        <v>0</v>
      </c>
      <c r="E212" s="68">
        <f>IFERROR(SUMIF(人工呼吸器!$C$30:$C$74,B212,人工呼吸器!$N$30:$N$74)*((人工呼吸器!$H$3-人工呼吸器!$I$3)/人工呼吸器!$H$3),0)</f>
        <v>0</v>
      </c>
      <c r="F212" s="69">
        <f t="shared" si="39"/>
        <v>0</v>
      </c>
      <c r="G212" s="69">
        <f t="shared" si="40"/>
        <v>0</v>
      </c>
      <c r="H212" s="69">
        <f t="shared" si="41"/>
        <v>0</v>
      </c>
      <c r="I212" s="68">
        <f>IFERROR(SUMIF(簡易陰圧装置!$C$30:$C$74,B212,簡易陰圧装置!$N$30:$N$74)*((簡易陰圧装置!$H$3-簡易陰圧装置!$I$3)/簡易陰圧装置!$H$3),0)</f>
        <v>0</v>
      </c>
      <c r="J212" s="69">
        <f t="shared" si="42"/>
        <v>0</v>
      </c>
      <c r="K212" s="68">
        <f>IFERROR(SUMIF(#REF!,B212,#REF!)*((#REF!-#REF!)/#REF!),0)</f>
        <v>0</v>
      </c>
      <c r="L212" s="69">
        <f t="shared" si="43"/>
        <v>0</v>
      </c>
      <c r="M212" s="68">
        <f>IFERROR(SUMIF(体外式膜型人工肺!$C$30:$C$74,B212,体外式膜型人工肺!$N$30:$N$74)*((体外式膜型人工肺!$H$3-体外式膜型人工肺!$I$3)/体外式膜型人工肺!$H$3),0)</f>
        <v>0</v>
      </c>
      <c r="N212" s="69">
        <f t="shared" si="44"/>
        <v>0</v>
      </c>
      <c r="O212" s="69">
        <f t="shared" si="45"/>
        <v>0</v>
      </c>
      <c r="P212" s="69">
        <f t="shared" si="46"/>
        <v>0</v>
      </c>
      <c r="Q212" s="68">
        <f>IFERROR(SUMIF(紫外線照射装置!$C$30:$C$74,B212,紫外線照射装置!$N$30:$N$74)*((紫外線照射装置!$H$3-紫外線照射装置!$I$3)/紫外線照射装置!$H$3),0)</f>
        <v>0</v>
      </c>
      <c r="R212" s="69">
        <f t="shared" si="47"/>
        <v>0</v>
      </c>
      <c r="S212" s="102">
        <f t="shared" si="48"/>
        <v>0</v>
      </c>
      <c r="T212" s="68">
        <f>IFERROR(SUMIF(超音波画像診断装置!$C$30:$C$74,B212,超音波画像診断装置!$K$30:$K$74)*((超音波画像診断装置!$H$3-超音波画像診断装置!$I$3)/超音波画像診断装置!$H$3),0)</f>
        <v>0</v>
      </c>
      <c r="U212" s="69">
        <f t="shared" si="49"/>
        <v>0</v>
      </c>
      <c r="V212" s="68">
        <f>IFERROR(SUMIF(血液浄化装置!$C$30:$C$74,B212,血液浄化装置!$K$30:$K$74)*((血液浄化装置!$H$3-血液浄化装置!$I$3)/血液浄化装置!$H$3),0)</f>
        <v>0</v>
      </c>
      <c r="W212" s="69">
        <f t="shared" si="50"/>
        <v>0</v>
      </c>
      <c r="X212" s="68">
        <f>IFERROR(SUMIF(気管支鏡!$C$30:$C$74,B212,気管支鏡!$K$30:$K$74)*((気管支鏡!$H$3-気管支鏡!$I$3)/気管支鏡!$H$3),0)</f>
        <v>0</v>
      </c>
      <c r="Y212" s="69">
        <f t="shared" si="36"/>
        <v>0</v>
      </c>
      <c r="Z212" s="68">
        <f>IFERROR(SUMIF(CT撮影装置!$C$30:$C$74,B212,CT撮影装置!$K$30:$K$74)*((CT撮影装置!$H$3-CT撮影装置!$I$3)/CT撮影装置!$H$3),0)</f>
        <v>0</v>
      </c>
      <c r="AA212" s="69">
        <f t="shared" si="51"/>
        <v>0</v>
      </c>
      <c r="AB212" s="68">
        <f>IFERROR(SUMIF(生体情報モニタ!$C$30:$C$74,B212,生体情報モニタ!$K$30:$K$74)*((生体情報モニタ!$H$3-生体情報モニタ!$I$3)/生体情報モニタ!$H$3),0)</f>
        <v>0</v>
      </c>
      <c r="AC212" s="69">
        <f t="shared" si="37"/>
        <v>0</v>
      </c>
      <c r="AD212" s="68">
        <f>IFERROR(SUMIF(分娩監視装置!$C$30:$C$74,B212,分娩監視装置!$K$30:$K$74)*((分娩監視装置!$H$3-分娩監視装置!$I$3)/分娩監視装置!$H$3),0)</f>
        <v>0</v>
      </c>
      <c r="AE212" s="69">
        <f t="shared" si="52"/>
        <v>0</v>
      </c>
      <c r="AF212" s="68">
        <f>IFERROR(SUMIF(新生児モニタ!$C$30:$C$74,B212,新生児モニタ!$K$30:$K$74)*((新生児モニタ!$H$3-新生児モニタ!$I$3)/新生児モニタ!$H$3),0)</f>
        <v>0</v>
      </c>
      <c r="AG212" s="69">
        <f t="shared" si="53"/>
        <v>0</v>
      </c>
    </row>
    <row r="213" spans="2:33">
      <c r="B213" s="65" t="s">
        <v>882</v>
      </c>
      <c r="C213" s="68">
        <f>IFERROR(SUMIF(初度設備!$C$30:$C$74,B213,初度設備!$N$30:$N$74)*((初度設備!$H$3-初度設備!$I$3)/初度設備!$H$3),0)</f>
        <v>0</v>
      </c>
      <c r="D213" s="69">
        <f t="shared" si="38"/>
        <v>0</v>
      </c>
      <c r="E213" s="68">
        <f>IFERROR(SUMIF(人工呼吸器!$C$30:$C$74,B213,人工呼吸器!$N$30:$N$74)*((人工呼吸器!$H$3-人工呼吸器!$I$3)/人工呼吸器!$H$3),0)</f>
        <v>0</v>
      </c>
      <c r="F213" s="69">
        <f t="shared" si="39"/>
        <v>0</v>
      </c>
      <c r="G213" s="69">
        <f t="shared" si="40"/>
        <v>0</v>
      </c>
      <c r="H213" s="69">
        <f t="shared" si="41"/>
        <v>0</v>
      </c>
      <c r="I213" s="68">
        <f>IFERROR(SUMIF(簡易陰圧装置!$C$30:$C$74,B213,簡易陰圧装置!$N$30:$N$74)*((簡易陰圧装置!$H$3-簡易陰圧装置!$I$3)/簡易陰圧装置!$H$3),0)</f>
        <v>0</v>
      </c>
      <c r="J213" s="69">
        <f t="shared" si="42"/>
        <v>0</v>
      </c>
      <c r="K213" s="68">
        <f>IFERROR(SUMIF(#REF!,B213,#REF!)*((#REF!-#REF!)/#REF!),0)</f>
        <v>0</v>
      </c>
      <c r="L213" s="69">
        <f t="shared" si="43"/>
        <v>0</v>
      </c>
      <c r="M213" s="68">
        <f>IFERROR(SUMIF(体外式膜型人工肺!$C$30:$C$74,B213,体外式膜型人工肺!$N$30:$N$74)*((体外式膜型人工肺!$H$3-体外式膜型人工肺!$I$3)/体外式膜型人工肺!$H$3),0)</f>
        <v>0</v>
      </c>
      <c r="N213" s="69">
        <f t="shared" si="44"/>
        <v>0</v>
      </c>
      <c r="O213" s="69">
        <f t="shared" si="45"/>
        <v>0</v>
      </c>
      <c r="P213" s="69">
        <f t="shared" si="46"/>
        <v>0</v>
      </c>
      <c r="Q213" s="68">
        <f>IFERROR(SUMIF(紫外線照射装置!$C$30:$C$74,B213,紫外線照射装置!$N$30:$N$74)*((紫外線照射装置!$H$3-紫外線照射装置!$I$3)/紫外線照射装置!$H$3),0)</f>
        <v>0</v>
      </c>
      <c r="R213" s="69">
        <f t="shared" si="47"/>
        <v>0</v>
      </c>
      <c r="S213" s="102">
        <f t="shared" si="48"/>
        <v>0</v>
      </c>
      <c r="T213" s="68">
        <f>IFERROR(SUMIF(超音波画像診断装置!$C$30:$C$74,B213,超音波画像診断装置!$K$30:$K$74)*((超音波画像診断装置!$H$3-超音波画像診断装置!$I$3)/超音波画像診断装置!$H$3),0)</f>
        <v>0</v>
      </c>
      <c r="U213" s="69">
        <f t="shared" si="49"/>
        <v>0</v>
      </c>
      <c r="V213" s="68">
        <f>IFERROR(SUMIF(血液浄化装置!$C$30:$C$74,B213,血液浄化装置!$K$30:$K$74)*((血液浄化装置!$H$3-血液浄化装置!$I$3)/血液浄化装置!$H$3),0)</f>
        <v>0</v>
      </c>
      <c r="W213" s="69">
        <f t="shared" si="50"/>
        <v>0</v>
      </c>
      <c r="X213" s="68">
        <f>IFERROR(SUMIF(気管支鏡!$C$30:$C$74,B213,気管支鏡!$K$30:$K$74)*((気管支鏡!$H$3-気管支鏡!$I$3)/気管支鏡!$H$3),0)</f>
        <v>0</v>
      </c>
      <c r="Y213" s="69">
        <f t="shared" si="36"/>
        <v>0</v>
      </c>
      <c r="Z213" s="68">
        <f>IFERROR(SUMIF(CT撮影装置!$C$30:$C$74,B213,CT撮影装置!$K$30:$K$74)*((CT撮影装置!$H$3-CT撮影装置!$I$3)/CT撮影装置!$H$3),0)</f>
        <v>0</v>
      </c>
      <c r="AA213" s="69">
        <f t="shared" si="51"/>
        <v>0</v>
      </c>
      <c r="AB213" s="68">
        <f>IFERROR(SUMIF(生体情報モニタ!$C$30:$C$74,B213,生体情報モニタ!$K$30:$K$74)*((生体情報モニタ!$H$3-生体情報モニタ!$I$3)/生体情報モニタ!$H$3),0)</f>
        <v>0</v>
      </c>
      <c r="AC213" s="69">
        <f t="shared" si="37"/>
        <v>0</v>
      </c>
      <c r="AD213" s="68">
        <f>IFERROR(SUMIF(分娩監視装置!$C$30:$C$74,B213,分娩監視装置!$K$30:$K$74)*((分娩監視装置!$H$3-分娩監視装置!$I$3)/分娩監視装置!$H$3),0)</f>
        <v>0</v>
      </c>
      <c r="AE213" s="69">
        <f t="shared" si="52"/>
        <v>0</v>
      </c>
      <c r="AF213" s="68">
        <f>IFERROR(SUMIF(新生児モニタ!$C$30:$C$74,B213,新生児モニタ!$K$30:$K$74)*((新生児モニタ!$H$3-新生児モニタ!$I$3)/新生児モニタ!$H$3),0)</f>
        <v>0</v>
      </c>
      <c r="AG213" s="69">
        <f t="shared" si="53"/>
        <v>0</v>
      </c>
    </row>
    <row r="214" spans="2:33">
      <c r="B214" s="65" t="s">
        <v>883</v>
      </c>
      <c r="C214" s="68">
        <f>IFERROR(SUMIF(初度設備!$C$30:$C$74,B214,初度設備!$N$30:$N$74)*((初度設備!$H$3-初度設備!$I$3)/初度設備!$H$3),0)</f>
        <v>0</v>
      </c>
      <c r="D214" s="69">
        <f t="shared" si="38"/>
        <v>0</v>
      </c>
      <c r="E214" s="68">
        <f>IFERROR(SUMIF(人工呼吸器!$C$30:$C$74,B214,人工呼吸器!$N$30:$N$74)*((人工呼吸器!$H$3-人工呼吸器!$I$3)/人工呼吸器!$H$3),0)</f>
        <v>0</v>
      </c>
      <c r="F214" s="69">
        <f t="shared" si="39"/>
        <v>0</v>
      </c>
      <c r="G214" s="69">
        <f t="shared" si="40"/>
        <v>0</v>
      </c>
      <c r="H214" s="69">
        <f t="shared" si="41"/>
        <v>0</v>
      </c>
      <c r="I214" s="68">
        <f>IFERROR(SUMIF(簡易陰圧装置!$C$30:$C$74,B214,簡易陰圧装置!$N$30:$N$74)*((簡易陰圧装置!$H$3-簡易陰圧装置!$I$3)/簡易陰圧装置!$H$3),0)</f>
        <v>0</v>
      </c>
      <c r="J214" s="69">
        <f t="shared" si="42"/>
        <v>0</v>
      </c>
      <c r="K214" s="68">
        <f>IFERROR(SUMIF(#REF!,B214,#REF!)*((#REF!-#REF!)/#REF!),0)</f>
        <v>0</v>
      </c>
      <c r="L214" s="69">
        <f t="shared" si="43"/>
        <v>0</v>
      </c>
      <c r="M214" s="68">
        <f>IFERROR(SUMIF(体外式膜型人工肺!$C$30:$C$74,B214,体外式膜型人工肺!$N$30:$N$74)*((体外式膜型人工肺!$H$3-体外式膜型人工肺!$I$3)/体外式膜型人工肺!$H$3),0)</f>
        <v>0</v>
      </c>
      <c r="N214" s="69">
        <f t="shared" si="44"/>
        <v>0</v>
      </c>
      <c r="O214" s="69">
        <f t="shared" si="45"/>
        <v>0</v>
      </c>
      <c r="P214" s="69">
        <f t="shared" si="46"/>
        <v>0</v>
      </c>
      <c r="Q214" s="68">
        <f>IFERROR(SUMIF(紫外線照射装置!$C$30:$C$74,B214,紫外線照射装置!$N$30:$N$74)*((紫外線照射装置!$H$3-紫外線照射装置!$I$3)/紫外線照射装置!$H$3),0)</f>
        <v>0</v>
      </c>
      <c r="R214" s="69">
        <f t="shared" si="47"/>
        <v>0</v>
      </c>
      <c r="S214" s="102">
        <f t="shared" si="48"/>
        <v>0</v>
      </c>
      <c r="T214" s="68">
        <f>IFERROR(SUMIF(超音波画像診断装置!$C$30:$C$74,B214,超音波画像診断装置!$K$30:$K$74)*((超音波画像診断装置!$H$3-超音波画像診断装置!$I$3)/超音波画像診断装置!$H$3),0)</f>
        <v>0</v>
      </c>
      <c r="U214" s="69">
        <f t="shared" si="49"/>
        <v>0</v>
      </c>
      <c r="V214" s="68">
        <f>IFERROR(SUMIF(血液浄化装置!$C$30:$C$74,B214,血液浄化装置!$K$30:$K$74)*((血液浄化装置!$H$3-血液浄化装置!$I$3)/血液浄化装置!$H$3),0)</f>
        <v>0</v>
      </c>
      <c r="W214" s="69">
        <f t="shared" si="50"/>
        <v>0</v>
      </c>
      <c r="X214" s="68">
        <f>IFERROR(SUMIF(気管支鏡!$C$30:$C$74,B214,気管支鏡!$K$30:$K$74)*((気管支鏡!$H$3-気管支鏡!$I$3)/気管支鏡!$H$3),0)</f>
        <v>0</v>
      </c>
      <c r="Y214" s="69">
        <f t="shared" si="36"/>
        <v>0</v>
      </c>
      <c r="Z214" s="68">
        <f>IFERROR(SUMIF(CT撮影装置!$C$30:$C$74,B214,CT撮影装置!$K$30:$K$74)*((CT撮影装置!$H$3-CT撮影装置!$I$3)/CT撮影装置!$H$3),0)</f>
        <v>0</v>
      </c>
      <c r="AA214" s="69">
        <f t="shared" si="51"/>
        <v>0</v>
      </c>
      <c r="AB214" s="68">
        <f>IFERROR(SUMIF(生体情報モニタ!$C$30:$C$74,B214,生体情報モニタ!$K$30:$K$74)*((生体情報モニタ!$H$3-生体情報モニタ!$I$3)/生体情報モニタ!$H$3),0)</f>
        <v>0</v>
      </c>
      <c r="AC214" s="69">
        <f t="shared" si="37"/>
        <v>0</v>
      </c>
      <c r="AD214" s="68">
        <f>IFERROR(SUMIF(分娩監視装置!$C$30:$C$74,B214,分娩監視装置!$K$30:$K$74)*((分娩監視装置!$H$3-分娩監視装置!$I$3)/分娩監視装置!$H$3),0)</f>
        <v>0</v>
      </c>
      <c r="AE214" s="69">
        <f t="shared" si="52"/>
        <v>0</v>
      </c>
      <c r="AF214" s="68">
        <f>IFERROR(SUMIF(新生児モニタ!$C$30:$C$74,B214,新生児モニタ!$K$30:$K$74)*((新生児モニタ!$H$3-新生児モニタ!$I$3)/新生児モニタ!$H$3),0)</f>
        <v>0</v>
      </c>
      <c r="AG214" s="69">
        <f t="shared" si="53"/>
        <v>0</v>
      </c>
    </row>
    <row r="215" spans="2:33">
      <c r="B215" s="65" t="s">
        <v>884</v>
      </c>
      <c r="C215" s="68">
        <f>IFERROR(SUMIF(初度設備!$C$30:$C$74,B215,初度設備!$N$30:$N$74)*((初度設備!$H$3-初度設備!$I$3)/初度設備!$H$3),0)</f>
        <v>0</v>
      </c>
      <c r="D215" s="69">
        <f t="shared" si="38"/>
        <v>0</v>
      </c>
      <c r="E215" s="68">
        <f>IFERROR(SUMIF(人工呼吸器!$C$30:$C$74,B215,人工呼吸器!$N$30:$N$74)*((人工呼吸器!$H$3-人工呼吸器!$I$3)/人工呼吸器!$H$3),0)</f>
        <v>0</v>
      </c>
      <c r="F215" s="69">
        <f t="shared" si="39"/>
        <v>0</v>
      </c>
      <c r="G215" s="69">
        <f t="shared" si="40"/>
        <v>0</v>
      </c>
      <c r="H215" s="69">
        <f t="shared" si="41"/>
        <v>0</v>
      </c>
      <c r="I215" s="68">
        <f>IFERROR(SUMIF(簡易陰圧装置!$C$30:$C$74,B215,簡易陰圧装置!$N$30:$N$74)*((簡易陰圧装置!$H$3-簡易陰圧装置!$I$3)/簡易陰圧装置!$H$3),0)</f>
        <v>0</v>
      </c>
      <c r="J215" s="69">
        <f t="shared" si="42"/>
        <v>0</v>
      </c>
      <c r="K215" s="68">
        <f>IFERROR(SUMIF(#REF!,B215,#REF!)*((#REF!-#REF!)/#REF!),0)</f>
        <v>0</v>
      </c>
      <c r="L215" s="69">
        <f t="shared" si="43"/>
        <v>0</v>
      </c>
      <c r="M215" s="68">
        <f>IFERROR(SUMIF(体外式膜型人工肺!$C$30:$C$74,B215,体外式膜型人工肺!$N$30:$N$74)*((体外式膜型人工肺!$H$3-体外式膜型人工肺!$I$3)/体外式膜型人工肺!$H$3),0)</f>
        <v>0</v>
      </c>
      <c r="N215" s="69">
        <f t="shared" si="44"/>
        <v>0</v>
      </c>
      <c r="O215" s="69">
        <f t="shared" si="45"/>
        <v>0</v>
      </c>
      <c r="P215" s="69">
        <f t="shared" si="46"/>
        <v>0</v>
      </c>
      <c r="Q215" s="68">
        <f>IFERROR(SUMIF(紫外線照射装置!$C$30:$C$74,B215,紫外線照射装置!$N$30:$N$74)*((紫外線照射装置!$H$3-紫外線照射装置!$I$3)/紫外線照射装置!$H$3),0)</f>
        <v>0</v>
      </c>
      <c r="R215" s="69">
        <f t="shared" si="47"/>
        <v>0</v>
      </c>
      <c r="S215" s="102">
        <f t="shared" si="48"/>
        <v>0</v>
      </c>
      <c r="T215" s="68">
        <f>IFERROR(SUMIF(超音波画像診断装置!$C$30:$C$74,B215,超音波画像診断装置!$K$30:$K$74)*((超音波画像診断装置!$H$3-超音波画像診断装置!$I$3)/超音波画像診断装置!$H$3),0)</f>
        <v>0</v>
      </c>
      <c r="U215" s="69">
        <f t="shared" si="49"/>
        <v>0</v>
      </c>
      <c r="V215" s="68">
        <f>IFERROR(SUMIF(血液浄化装置!$C$30:$C$74,B215,血液浄化装置!$K$30:$K$74)*((血液浄化装置!$H$3-血液浄化装置!$I$3)/血液浄化装置!$H$3),0)</f>
        <v>0</v>
      </c>
      <c r="W215" s="69">
        <f t="shared" si="50"/>
        <v>0</v>
      </c>
      <c r="X215" s="68">
        <f>IFERROR(SUMIF(気管支鏡!$C$30:$C$74,B215,気管支鏡!$K$30:$K$74)*((気管支鏡!$H$3-気管支鏡!$I$3)/気管支鏡!$H$3),0)</f>
        <v>0</v>
      </c>
      <c r="Y215" s="69">
        <f t="shared" ref="Y215:Y278" si="54">ROUNDDOWN(MIN(X215,$Y$21),-3)</f>
        <v>0</v>
      </c>
      <c r="Z215" s="68">
        <f>IFERROR(SUMIF(CT撮影装置!$C$30:$C$74,B215,CT撮影装置!$K$30:$K$74)*((CT撮影装置!$H$3-CT撮影装置!$I$3)/CT撮影装置!$H$3),0)</f>
        <v>0</v>
      </c>
      <c r="AA215" s="69">
        <f t="shared" si="51"/>
        <v>0</v>
      </c>
      <c r="AB215" s="68">
        <f>IFERROR(SUMIF(生体情報モニタ!$C$30:$C$74,B215,生体情報モニタ!$K$30:$K$74)*((生体情報モニタ!$H$3-生体情報モニタ!$I$3)/生体情報モニタ!$H$3),0)</f>
        <v>0</v>
      </c>
      <c r="AC215" s="69">
        <f t="shared" ref="AC215:AC278" si="55">ROUNDDOWN(MIN(AB215,$AC$21),-3)</f>
        <v>0</v>
      </c>
      <c r="AD215" s="68">
        <f>IFERROR(SUMIF(分娩監視装置!$C$30:$C$74,B215,分娩監視装置!$K$30:$K$74)*((分娩監視装置!$H$3-分娩監視装置!$I$3)/分娩監視装置!$H$3),0)</f>
        <v>0</v>
      </c>
      <c r="AE215" s="69">
        <f t="shared" si="52"/>
        <v>0</v>
      </c>
      <c r="AF215" s="68">
        <f>IFERROR(SUMIF(新生児モニタ!$C$30:$C$74,B215,新生児モニタ!$K$30:$K$74)*((新生児モニタ!$H$3-新生児モニタ!$I$3)/新生児モニタ!$H$3),0)</f>
        <v>0</v>
      </c>
      <c r="AG215" s="69">
        <f t="shared" si="53"/>
        <v>0</v>
      </c>
    </row>
    <row r="216" spans="2:33">
      <c r="B216" s="65" t="s">
        <v>885</v>
      </c>
      <c r="C216" s="68">
        <f>IFERROR(SUMIF(初度設備!$C$30:$C$74,B216,初度設備!$N$30:$N$74)*((初度設備!$H$3-初度設備!$I$3)/初度設備!$H$3),0)</f>
        <v>0</v>
      </c>
      <c r="D216" s="69">
        <f t="shared" ref="D216:D279" si="56">ROUNDDOWN(MIN(C216,$D$21),-3)</f>
        <v>0</v>
      </c>
      <c r="E216" s="68">
        <f>IFERROR(SUMIF(人工呼吸器!$C$30:$C$74,B216,人工呼吸器!$N$30:$N$74)*((人工呼吸器!$H$3-人工呼吸器!$I$3)/人工呼吸器!$H$3),0)</f>
        <v>0</v>
      </c>
      <c r="F216" s="69">
        <f t="shared" ref="F216:F279" si="57">ROUNDDOWN(E216,-3)</f>
        <v>0</v>
      </c>
      <c r="G216" s="69">
        <f t="shared" ref="G216:G279" si="58">IF(F216&gt;=5000000,5000000,F216)</f>
        <v>0</v>
      </c>
      <c r="H216" s="69">
        <f t="shared" ref="H216:H279" si="59">IF(G216=5000000,F216-5000000,0)</f>
        <v>0</v>
      </c>
      <c r="I216" s="68">
        <f>IFERROR(SUMIF(簡易陰圧装置!$C$30:$C$74,B216,簡易陰圧装置!$N$30:$N$74)*((簡易陰圧装置!$H$3-簡易陰圧装置!$I$3)/簡易陰圧装置!$H$3),0)</f>
        <v>0</v>
      </c>
      <c r="J216" s="69">
        <f t="shared" ref="J216:J279" si="60">ROUNDDOWN(MIN(I216,$J$21),-3)</f>
        <v>0</v>
      </c>
      <c r="K216" s="68">
        <f>IFERROR(SUMIF(#REF!,B216,#REF!)*((#REF!-#REF!)/#REF!),0)</f>
        <v>0</v>
      </c>
      <c r="L216" s="69">
        <f t="shared" ref="L216:L279" si="61">ROUNDDOWN(MIN(K216,$L$21),-3)</f>
        <v>0</v>
      </c>
      <c r="M216" s="68">
        <f>IFERROR(SUMIF(体外式膜型人工肺!$C$30:$C$74,B216,体外式膜型人工肺!$N$30:$N$74)*((体外式膜型人工肺!$H$3-体外式膜型人工肺!$I$3)/体外式膜型人工肺!$H$3),0)</f>
        <v>0</v>
      </c>
      <c r="N216" s="69">
        <f t="shared" ref="N216:N279" si="62">ROUNDDOWN(M216,-3)</f>
        <v>0</v>
      </c>
      <c r="O216" s="69">
        <f t="shared" ref="O216:O279" si="63">IF(N216&gt;=21000000,21000000,N216)</f>
        <v>0</v>
      </c>
      <c r="P216" s="69">
        <f t="shared" ref="P216:P279" si="64">IF(O216=21000000,N216-21000000,0)</f>
        <v>0</v>
      </c>
      <c r="Q216" s="68">
        <f>IFERROR(SUMIF(紫外線照射装置!$C$30:$C$74,B216,紫外線照射装置!$N$30:$N$74)*((紫外線照射装置!$H$3-紫外線照射装置!$I$3)/紫外線照射装置!$H$3),0)</f>
        <v>0</v>
      </c>
      <c r="R216" s="69">
        <f t="shared" ref="R216:R279" si="65">IFERROR(ROUNDDOWN(MIN(Q216,$R$21)/2,-3),0)</f>
        <v>0</v>
      </c>
      <c r="S216" s="102">
        <f t="shared" ref="S216:S279" si="66">R216</f>
        <v>0</v>
      </c>
      <c r="T216" s="68">
        <f>IFERROR(SUMIF(超音波画像診断装置!$C$30:$C$74,B216,超音波画像診断装置!$K$30:$K$74)*((超音波画像診断装置!$H$3-超音波画像診断装置!$I$3)/超音波画像診断装置!$H$3),0)</f>
        <v>0</v>
      </c>
      <c r="U216" s="69">
        <f t="shared" ref="U216:U279" si="67">ROUNDDOWN(MIN(T216,$U$21),-3)</f>
        <v>0</v>
      </c>
      <c r="V216" s="68">
        <f>IFERROR(SUMIF(血液浄化装置!$C$30:$C$74,B216,血液浄化装置!$K$30:$K$74)*((血液浄化装置!$H$3-血液浄化装置!$I$3)/血液浄化装置!$H$3),0)</f>
        <v>0</v>
      </c>
      <c r="W216" s="69">
        <f t="shared" ref="W216:W279" si="68">ROUNDDOWN(MIN(V216,$W$21),-3)</f>
        <v>0</v>
      </c>
      <c r="X216" s="68">
        <f>IFERROR(SUMIF(気管支鏡!$C$30:$C$74,B216,気管支鏡!$K$30:$K$74)*((気管支鏡!$H$3-気管支鏡!$I$3)/気管支鏡!$H$3),0)</f>
        <v>0</v>
      </c>
      <c r="Y216" s="69">
        <f t="shared" si="54"/>
        <v>0</v>
      </c>
      <c r="Z216" s="68">
        <f>IFERROR(SUMIF(CT撮影装置!$C$30:$C$74,B216,CT撮影装置!$K$30:$K$74)*((CT撮影装置!$H$3-CT撮影装置!$I$3)/CT撮影装置!$H$3),0)</f>
        <v>0</v>
      </c>
      <c r="AA216" s="69">
        <f t="shared" ref="AA216:AA279" si="69">ROUNDDOWN(MIN(Z216,$AA$21),-3)</f>
        <v>0</v>
      </c>
      <c r="AB216" s="68">
        <f>IFERROR(SUMIF(生体情報モニタ!$C$30:$C$74,B216,生体情報モニタ!$K$30:$K$74)*((生体情報モニタ!$H$3-生体情報モニタ!$I$3)/生体情報モニタ!$H$3),0)</f>
        <v>0</v>
      </c>
      <c r="AC216" s="69">
        <f t="shared" si="55"/>
        <v>0</v>
      </c>
      <c r="AD216" s="68">
        <f>IFERROR(SUMIF(分娩監視装置!$C$30:$C$74,B216,分娩監視装置!$K$30:$K$74)*((分娩監視装置!$H$3-分娩監視装置!$I$3)/分娩監視装置!$H$3),0)</f>
        <v>0</v>
      </c>
      <c r="AE216" s="69">
        <f t="shared" ref="AE216:AE279" si="70">ROUNDDOWN(MIN(AD216,$AE$21),-3)</f>
        <v>0</v>
      </c>
      <c r="AF216" s="68">
        <f>IFERROR(SUMIF(新生児モニタ!$C$30:$C$74,B216,新生児モニタ!$K$30:$K$74)*((新生児モニタ!$H$3-新生児モニタ!$I$3)/新生児モニタ!$H$3),0)</f>
        <v>0</v>
      </c>
      <c r="AG216" s="69">
        <f t="shared" ref="AG216:AG279" si="71">ROUNDDOWN(MIN(AF216,$AG$21),-3)</f>
        <v>0</v>
      </c>
    </row>
    <row r="217" spans="2:33">
      <c r="B217" s="65" t="s">
        <v>886</v>
      </c>
      <c r="C217" s="68">
        <f>IFERROR(SUMIF(初度設備!$C$30:$C$74,B217,初度設備!$N$30:$N$74)*((初度設備!$H$3-初度設備!$I$3)/初度設備!$H$3),0)</f>
        <v>0</v>
      </c>
      <c r="D217" s="69">
        <f t="shared" si="56"/>
        <v>0</v>
      </c>
      <c r="E217" s="68">
        <f>IFERROR(SUMIF(人工呼吸器!$C$30:$C$74,B217,人工呼吸器!$N$30:$N$74)*((人工呼吸器!$H$3-人工呼吸器!$I$3)/人工呼吸器!$H$3),0)</f>
        <v>0</v>
      </c>
      <c r="F217" s="69">
        <f t="shared" si="57"/>
        <v>0</v>
      </c>
      <c r="G217" s="69">
        <f t="shared" si="58"/>
        <v>0</v>
      </c>
      <c r="H217" s="69">
        <f t="shared" si="59"/>
        <v>0</v>
      </c>
      <c r="I217" s="68">
        <f>IFERROR(SUMIF(簡易陰圧装置!$C$30:$C$74,B217,簡易陰圧装置!$N$30:$N$74)*((簡易陰圧装置!$H$3-簡易陰圧装置!$I$3)/簡易陰圧装置!$H$3),0)</f>
        <v>0</v>
      </c>
      <c r="J217" s="69">
        <f t="shared" si="60"/>
        <v>0</v>
      </c>
      <c r="K217" s="68">
        <f>IFERROR(SUMIF(#REF!,B217,#REF!)*((#REF!-#REF!)/#REF!),0)</f>
        <v>0</v>
      </c>
      <c r="L217" s="69">
        <f t="shared" si="61"/>
        <v>0</v>
      </c>
      <c r="M217" s="68">
        <f>IFERROR(SUMIF(体外式膜型人工肺!$C$30:$C$74,B217,体外式膜型人工肺!$N$30:$N$74)*((体外式膜型人工肺!$H$3-体外式膜型人工肺!$I$3)/体外式膜型人工肺!$H$3),0)</f>
        <v>0</v>
      </c>
      <c r="N217" s="69">
        <f t="shared" si="62"/>
        <v>0</v>
      </c>
      <c r="O217" s="69">
        <f t="shared" si="63"/>
        <v>0</v>
      </c>
      <c r="P217" s="69">
        <f t="shared" si="64"/>
        <v>0</v>
      </c>
      <c r="Q217" s="68">
        <f>IFERROR(SUMIF(紫外線照射装置!$C$30:$C$74,B217,紫外線照射装置!$N$30:$N$74)*((紫外線照射装置!$H$3-紫外線照射装置!$I$3)/紫外線照射装置!$H$3),0)</f>
        <v>0</v>
      </c>
      <c r="R217" s="69">
        <f t="shared" si="65"/>
        <v>0</v>
      </c>
      <c r="S217" s="102">
        <f t="shared" si="66"/>
        <v>0</v>
      </c>
      <c r="T217" s="68">
        <f>IFERROR(SUMIF(超音波画像診断装置!$C$30:$C$74,B217,超音波画像診断装置!$K$30:$K$74)*((超音波画像診断装置!$H$3-超音波画像診断装置!$I$3)/超音波画像診断装置!$H$3),0)</f>
        <v>0</v>
      </c>
      <c r="U217" s="69">
        <f t="shared" si="67"/>
        <v>0</v>
      </c>
      <c r="V217" s="68">
        <f>IFERROR(SUMIF(血液浄化装置!$C$30:$C$74,B217,血液浄化装置!$K$30:$K$74)*((血液浄化装置!$H$3-血液浄化装置!$I$3)/血液浄化装置!$H$3),0)</f>
        <v>0</v>
      </c>
      <c r="W217" s="69">
        <f t="shared" si="68"/>
        <v>0</v>
      </c>
      <c r="X217" s="68">
        <f>IFERROR(SUMIF(気管支鏡!$C$30:$C$74,B217,気管支鏡!$K$30:$K$74)*((気管支鏡!$H$3-気管支鏡!$I$3)/気管支鏡!$H$3),0)</f>
        <v>0</v>
      </c>
      <c r="Y217" s="69">
        <f t="shared" si="54"/>
        <v>0</v>
      </c>
      <c r="Z217" s="68">
        <f>IFERROR(SUMIF(CT撮影装置!$C$30:$C$74,B217,CT撮影装置!$K$30:$K$74)*((CT撮影装置!$H$3-CT撮影装置!$I$3)/CT撮影装置!$H$3),0)</f>
        <v>0</v>
      </c>
      <c r="AA217" s="69">
        <f t="shared" si="69"/>
        <v>0</v>
      </c>
      <c r="AB217" s="68">
        <f>IFERROR(SUMIF(生体情報モニタ!$C$30:$C$74,B217,生体情報モニタ!$K$30:$K$74)*((生体情報モニタ!$H$3-生体情報モニタ!$I$3)/生体情報モニタ!$H$3),0)</f>
        <v>0</v>
      </c>
      <c r="AC217" s="69">
        <f t="shared" si="55"/>
        <v>0</v>
      </c>
      <c r="AD217" s="68">
        <f>IFERROR(SUMIF(分娩監視装置!$C$30:$C$74,B217,分娩監視装置!$K$30:$K$74)*((分娩監視装置!$H$3-分娩監視装置!$I$3)/分娩監視装置!$H$3),0)</f>
        <v>0</v>
      </c>
      <c r="AE217" s="69">
        <f t="shared" si="70"/>
        <v>0</v>
      </c>
      <c r="AF217" s="68">
        <f>IFERROR(SUMIF(新生児モニタ!$C$30:$C$74,B217,新生児モニタ!$K$30:$K$74)*((新生児モニタ!$H$3-新生児モニタ!$I$3)/新生児モニタ!$H$3),0)</f>
        <v>0</v>
      </c>
      <c r="AG217" s="69">
        <f t="shared" si="71"/>
        <v>0</v>
      </c>
    </row>
    <row r="218" spans="2:33">
      <c r="B218" s="65" t="s">
        <v>887</v>
      </c>
      <c r="C218" s="68">
        <f>IFERROR(SUMIF(初度設備!$C$30:$C$74,B218,初度設備!$N$30:$N$74)*((初度設備!$H$3-初度設備!$I$3)/初度設備!$H$3),0)</f>
        <v>0</v>
      </c>
      <c r="D218" s="69">
        <f t="shared" si="56"/>
        <v>0</v>
      </c>
      <c r="E218" s="68">
        <f>IFERROR(SUMIF(人工呼吸器!$C$30:$C$74,B218,人工呼吸器!$N$30:$N$74)*((人工呼吸器!$H$3-人工呼吸器!$I$3)/人工呼吸器!$H$3),0)</f>
        <v>0</v>
      </c>
      <c r="F218" s="69">
        <f t="shared" si="57"/>
        <v>0</v>
      </c>
      <c r="G218" s="69">
        <f t="shared" si="58"/>
        <v>0</v>
      </c>
      <c r="H218" s="69">
        <f t="shared" si="59"/>
        <v>0</v>
      </c>
      <c r="I218" s="68">
        <f>IFERROR(SUMIF(簡易陰圧装置!$C$30:$C$74,B218,簡易陰圧装置!$N$30:$N$74)*((簡易陰圧装置!$H$3-簡易陰圧装置!$I$3)/簡易陰圧装置!$H$3),0)</f>
        <v>0</v>
      </c>
      <c r="J218" s="69">
        <f t="shared" si="60"/>
        <v>0</v>
      </c>
      <c r="K218" s="68">
        <f>IFERROR(SUMIF(#REF!,B218,#REF!)*((#REF!-#REF!)/#REF!),0)</f>
        <v>0</v>
      </c>
      <c r="L218" s="69">
        <f t="shared" si="61"/>
        <v>0</v>
      </c>
      <c r="M218" s="68">
        <f>IFERROR(SUMIF(体外式膜型人工肺!$C$30:$C$74,B218,体外式膜型人工肺!$N$30:$N$74)*((体外式膜型人工肺!$H$3-体外式膜型人工肺!$I$3)/体外式膜型人工肺!$H$3),0)</f>
        <v>0</v>
      </c>
      <c r="N218" s="69">
        <f t="shared" si="62"/>
        <v>0</v>
      </c>
      <c r="O218" s="69">
        <f t="shared" si="63"/>
        <v>0</v>
      </c>
      <c r="P218" s="69">
        <f t="shared" si="64"/>
        <v>0</v>
      </c>
      <c r="Q218" s="68">
        <f>IFERROR(SUMIF(紫外線照射装置!$C$30:$C$74,B218,紫外線照射装置!$N$30:$N$74)*((紫外線照射装置!$H$3-紫外線照射装置!$I$3)/紫外線照射装置!$H$3),0)</f>
        <v>0</v>
      </c>
      <c r="R218" s="69">
        <f t="shared" si="65"/>
        <v>0</v>
      </c>
      <c r="S218" s="102">
        <f t="shared" si="66"/>
        <v>0</v>
      </c>
      <c r="T218" s="68">
        <f>IFERROR(SUMIF(超音波画像診断装置!$C$30:$C$74,B218,超音波画像診断装置!$K$30:$K$74)*((超音波画像診断装置!$H$3-超音波画像診断装置!$I$3)/超音波画像診断装置!$H$3),0)</f>
        <v>0</v>
      </c>
      <c r="U218" s="69">
        <f t="shared" si="67"/>
        <v>0</v>
      </c>
      <c r="V218" s="68">
        <f>IFERROR(SUMIF(血液浄化装置!$C$30:$C$74,B218,血液浄化装置!$K$30:$K$74)*((血液浄化装置!$H$3-血液浄化装置!$I$3)/血液浄化装置!$H$3),0)</f>
        <v>0</v>
      </c>
      <c r="W218" s="69">
        <f t="shared" si="68"/>
        <v>0</v>
      </c>
      <c r="X218" s="68">
        <f>IFERROR(SUMIF(気管支鏡!$C$30:$C$74,B218,気管支鏡!$K$30:$K$74)*((気管支鏡!$H$3-気管支鏡!$I$3)/気管支鏡!$H$3),0)</f>
        <v>0</v>
      </c>
      <c r="Y218" s="69">
        <f t="shared" si="54"/>
        <v>0</v>
      </c>
      <c r="Z218" s="68">
        <f>IFERROR(SUMIF(CT撮影装置!$C$30:$C$74,B218,CT撮影装置!$K$30:$K$74)*((CT撮影装置!$H$3-CT撮影装置!$I$3)/CT撮影装置!$H$3),0)</f>
        <v>0</v>
      </c>
      <c r="AA218" s="69">
        <f t="shared" si="69"/>
        <v>0</v>
      </c>
      <c r="AB218" s="68">
        <f>IFERROR(SUMIF(生体情報モニタ!$C$30:$C$74,B218,生体情報モニタ!$K$30:$K$74)*((生体情報モニタ!$H$3-生体情報モニタ!$I$3)/生体情報モニタ!$H$3),0)</f>
        <v>0</v>
      </c>
      <c r="AC218" s="69">
        <f t="shared" si="55"/>
        <v>0</v>
      </c>
      <c r="AD218" s="68">
        <f>IFERROR(SUMIF(分娩監視装置!$C$30:$C$74,B218,分娩監視装置!$K$30:$K$74)*((分娩監視装置!$H$3-分娩監視装置!$I$3)/分娩監視装置!$H$3),0)</f>
        <v>0</v>
      </c>
      <c r="AE218" s="69">
        <f t="shared" si="70"/>
        <v>0</v>
      </c>
      <c r="AF218" s="68">
        <f>IFERROR(SUMIF(新生児モニタ!$C$30:$C$74,B218,新生児モニタ!$K$30:$K$74)*((新生児モニタ!$H$3-新生児モニタ!$I$3)/新生児モニタ!$H$3),0)</f>
        <v>0</v>
      </c>
      <c r="AG218" s="69">
        <f t="shared" si="71"/>
        <v>0</v>
      </c>
    </row>
    <row r="219" spans="2:33">
      <c r="B219" s="65" t="s">
        <v>888</v>
      </c>
      <c r="C219" s="68">
        <f>IFERROR(SUMIF(初度設備!$C$30:$C$74,B219,初度設備!$N$30:$N$74)*((初度設備!$H$3-初度設備!$I$3)/初度設備!$H$3),0)</f>
        <v>0</v>
      </c>
      <c r="D219" s="69">
        <f t="shared" si="56"/>
        <v>0</v>
      </c>
      <c r="E219" s="68">
        <f>IFERROR(SUMIF(人工呼吸器!$C$30:$C$74,B219,人工呼吸器!$N$30:$N$74)*((人工呼吸器!$H$3-人工呼吸器!$I$3)/人工呼吸器!$H$3),0)</f>
        <v>0</v>
      </c>
      <c r="F219" s="69">
        <f t="shared" si="57"/>
        <v>0</v>
      </c>
      <c r="G219" s="69">
        <f t="shared" si="58"/>
        <v>0</v>
      </c>
      <c r="H219" s="69">
        <f t="shared" si="59"/>
        <v>0</v>
      </c>
      <c r="I219" s="68">
        <f>IFERROR(SUMIF(簡易陰圧装置!$C$30:$C$74,B219,簡易陰圧装置!$N$30:$N$74)*((簡易陰圧装置!$H$3-簡易陰圧装置!$I$3)/簡易陰圧装置!$H$3),0)</f>
        <v>0</v>
      </c>
      <c r="J219" s="69">
        <f t="shared" si="60"/>
        <v>0</v>
      </c>
      <c r="K219" s="68">
        <f>IFERROR(SUMIF(#REF!,B219,#REF!)*((#REF!-#REF!)/#REF!),0)</f>
        <v>0</v>
      </c>
      <c r="L219" s="69">
        <f t="shared" si="61"/>
        <v>0</v>
      </c>
      <c r="M219" s="68">
        <f>IFERROR(SUMIF(体外式膜型人工肺!$C$30:$C$74,B219,体外式膜型人工肺!$N$30:$N$74)*((体外式膜型人工肺!$H$3-体外式膜型人工肺!$I$3)/体外式膜型人工肺!$H$3),0)</f>
        <v>0</v>
      </c>
      <c r="N219" s="69">
        <f t="shared" si="62"/>
        <v>0</v>
      </c>
      <c r="O219" s="69">
        <f t="shared" si="63"/>
        <v>0</v>
      </c>
      <c r="P219" s="69">
        <f t="shared" si="64"/>
        <v>0</v>
      </c>
      <c r="Q219" s="68">
        <f>IFERROR(SUMIF(紫外線照射装置!$C$30:$C$74,B219,紫外線照射装置!$N$30:$N$74)*((紫外線照射装置!$H$3-紫外線照射装置!$I$3)/紫外線照射装置!$H$3),0)</f>
        <v>0</v>
      </c>
      <c r="R219" s="69">
        <f t="shared" si="65"/>
        <v>0</v>
      </c>
      <c r="S219" s="102">
        <f t="shared" si="66"/>
        <v>0</v>
      </c>
      <c r="T219" s="68">
        <f>IFERROR(SUMIF(超音波画像診断装置!$C$30:$C$74,B219,超音波画像診断装置!$K$30:$K$74)*((超音波画像診断装置!$H$3-超音波画像診断装置!$I$3)/超音波画像診断装置!$H$3),0)</f>
        <v>0</v>
      </c>
      <c r="U219" s="69">
        <f t="shared" si="67"/>
        <v>0</v>
      </c>
      <c r="V219" s="68">
        <f>IFERROR(SUMIF(血液浄化装置!$C$30:$C$74,B219,血液浄化装置!$K$30:$K$74)*((血液浄化装置!$H$3-血液浄化装置!$I$3)/血液浄化装置!$H$3),0)</f>
        <v>0</v>
      </c>
      <c r="W219" s="69">
        <f t="shared" si="68"/>
        <v>0</v>
      </c>
      <c r="X219" s="68">
        <f>IFERROR(SUMIF(気管支鏡!$C$30:$C$74,B219,気管支鏡!$K$30:$K$74)*((気管支鏡!$H$3-気管支鏡!$I$3)/気管支鏡!$H$3),0)</f>
        <v>0</v>
      </c>
      <c r="Y219" s="69">
        <f t="shared" si="54"/>
        <v>0</v>
      </c>
      <c r="Z219" s="68">
        <f>IFERROR(SUMIF(CT撮影装置!$C$30:$C$74,B219,CT撮影装置!$K$30:$K$74)*((CT撮影装置!$H$3-CT撮影装置!$I$3)/CT撮影装置!$H$3),0)</f>
        <v>0</v>
      </c>
      <c r="AA219" s="69">
        <f t="shared" si="69"/>
        <v>0</v>
      </c>
      <c r="AB219" s="68">
        <f>IFERROR(SUMIF(生体情報モニタ!$C$30:$C$74,B219,生体情報モニタ!$K$30:$K$74)*((生体情報モニタ!$H$3-生体情報モニタ!$I$3)/生体情報モニタ!$H$3),0)</f>
        <v>0</v>
      </c>
      <c r="AC219" s="69">
        <f t="shared" si="55"/>
        <v>0</v>
      </c>
      <c r="AD219" s="68">
        <f>IFERROR(SUMIF(分娩監視装置!$C$30:$C$74,B219,分娩監視装置!$K$30:$K$74)*((分娩監視装置!$H$3-分娩監視装置!$I$3)/分娩監視装置!$H$3),0)</f>
        <v>0</v>
      </c>
      <c r="AE219" s="69">
        <f t="shared" si="70"/>
        <v>0</v>
      </c>
      <c r="AF219" s="68">
        <f>IFERROR(SUMIF(新生児モニタ!$C$30:$C$74,B219,新生児モニタ!$K$30:$K$74)*((新生児モニタ!$H$3-新生児モニタ!$I$3)/新生児モニタ!$H$3),0)</f>
        <v>0</v>
      </c>
      <c r="AG219" s="69">
        <f t="shared" si="71"/>
        <v>0</v>
      </c>
    </row>
    <row r="220" spans="2:33">
      <c r="B220" s="65" t="s">
        <v>889</v>
      </c>
      <c r="C220" s="68">
        <f>IFERROR(SUMIF(初度設備!$C$30:$C$74,B220,初度設備!$N$30:$N$74)*((初度設備!$H$3-初度設備!$I$3)/初度設備!$H$3),0)</f>
        <v>0</v>
      </c>
      <c r="D220" s="69">
        <f t="shared" si="56"/>
        <v>0</v>
      </c>
      <c r="E220" s="68">
        <f>IFERROR(SUMIF(人工呼吸器!$C$30:$C$74,B220,人工呼吸器!$N$30:$N$74)*((人工呼吸器!$H$3-人工呼吸器!$I$3)/人工呼吸器!$H$3),0)</f>
        <v>0</v>
      </c>
      <c r="F220" s="69">
        <f t="shared" si="57"/>
        <v>0</v>
      </c>
      <c r="G220" s="69">
        <f t="shared" si="58"/>
        <v>0</v>
      </c>
      <c r="H220" s="69">
        <f t="shared" si="59"/>
        <v>0</v>
      </c>
      <c r="I220" s="68">
        <f>IFERROR(SUMIF(簡易陰圧装置!$C$30:$C$74,B220,簡易陰圧装置!$N$30:$N$74)*((簡易陰圧装置!$H$3-簡易陰圧装置!$I$3)/簡易陰圧装置!$H$3),0)</f>
        <v>0</v>
      </c>
      <c r="J220" s="69">
        <f t="shared" si="60"/>
        <v>0</v>
      </c>
      <c r="K220" s="68">
        <f>IFERROR(SUMIF(#REF!,B220,#REF!)*((#REF!-#REF!)/#REF!),0)</f>
        <v>0</v>
      </c>
      <c r="L220" s="69">
        <f t="shared" si="61"/>
        <v>0</v>
      </c>
      <c r="M220" s="68">
        <f>IFERROR(SUMIF(体外式膜型人工肺!$C$30:$C$74,B220,体外式膜型人工肺!$N$30:$N$74)*((体外式膜型人工肺!$H$3-体外式膜型人工肺!$I$3)/体外式膜型人工肺!$H$3),0)</f>
        <v>0</v>
      </c>
      <c r="N220" s="69">
        <f t="shared" si="62"/>
        <v>0</v>
      </c>
      <c r="O220" s="69">
        <f t="shared" si="63"/>
        <v>0</v>
      </c>
      <c r="P220" s="69">
        <f t="shared" si="64"/>
        <v>0</v>
      </c>
      <c r="Q220" s="68">
        <f>IFERROR(SUMIF(紫外線照射装置!$C$30:$C$74,B220,紫外線照射装置!$N$30:$N$74)*((紫外線照射装置!$H$3-紫外線照射装置!$I$3)/紫外線照射装置!$H$3),0)</f>
        <v>0</v>
      </c>
      <c r="R220" s="69">
        <f t="shared" si="65"/>
        <v>0</v>
      </c>
      <c r="S220" s="102">
        <f t="shared" si="66"/>
        <v>0</v>
      </c>
      <c r="T220" s="68">
        <f>IFERROR(SUMIF(超音波画像診断装置!$C$30:$C$74,B220,超音波画像診断装置!$K$30:$K$74)*((超音波画像診断装置!$H$3-超音波画像診断装置!$I$3)/超音波画像診断装置!$H$3),0)</f>
        <v>0</v>
      </c>
      <c r="U220" s="69">
        <f t="shared" si="67"/>
        <v>0</v>
      </c>
      <c r="V220" s="68">
        <f>IFERROR(SUMIF(血液浄化装置!$C$30:$C$74,B220,血液浄化装置!$K$30:$K$74)*((血液浄化装置!$H$3-血液浄化装置!$I$3)/血液浄化装置!$H$3),0)</f>
        <v>0</v>
      </c>
      <c r="W220" s="69">
        <f t="shared" si="68"/>
        <v>0</v>
      </c>
      <c r="X220" s="68">
        <f>IFERROR(SUMIF(気管支鏡!$C$30:$C$74,B220,気管支鏡!$K$30:$K$74)*((気管支鏡!$H$3-気管支鏡!$I$3)/気管支鏡!$H$3),0)</f>
        <v>0</v>
      </c>
      <c r="Y220" s="69">
        <f t="shared" si="54"/>
        <v>0</v>
      </c>
      <c r="Z220" s="68">
        <f>IFERROR(SUMIF(CT撮影装置!$C$30:$C$74,B220,CT撮影装置!$K$30:$K$74)*((CT撮影装置!$H$3-CT撮影装置!$I$3)/CT撮影装置!$H$3),0)</f>
        <v>0</v>
      </c>
      <c r="AA220" s="69">
        <f t="shared" si="69"/>
        <v>0</v>
      </c>
      <c r="AB220" s="68">
        <f>IFERROR(SUMIF(生体情報モニタ!$C$30:$C$74,B220,生体情報モニタ!$K$30:$K$74)*((生体情報モニタ!$H$3-生体情報モニタ!$I$3)/生体情報モニタ!$H$3),0)</f>
        <v>0</v>
      </c>
      <c r="AC220" s="69">
        <f t="shared" si="55"/>
        <v>0</v>
      </c>
      <c r="AD220" s="68">
        <f>IFERROR(SUMIF(分娩監視装置!$C$30:$C$74,B220,分娩監視装置!$K$30:$K$74)*((分娩監視装置!$H$3-分娩監視装置!$I$3)/分娩監視装置!$H$3),0)</f>
        <v>0</v>
      </c>
      <c r="AE220" s="69">
        <f t="shared" si="70"/>
        <v>0</v>
      </c>
      <c r="AF220" s="68">
        <f>IFERROR(SUMIF(新生児モニタ!$C$30:$C$74,B220,新生児モニタ!$K$30:$K$74)*((新生児モニタ!$H$3-新生児モニタ!$I$3)/新生児モニタ!$H$3),0)</f>
        <v>0</v>
      </c>
      <c r="AG220" s="69">
        <f t="shared" si="71"/>
        <v>0</v>
      </c>
    </row>
    <row r="221" spans="2:33">
      <c r="B221" s="65" t="s">
        <v>890</v>
      </c>
      <c r="C221" s="68">
        <f>IFERROR(SUMIF(初度設備!$C$30:$C$74,B221,初度設備!$N$30:$N$74)*((初度設備!$H$3-初度設備!$I$3)/初度設備!$H$3),0)</f>
        <v>0</v>
      </c>
      <c r="D221" s="69">
        <f t="shared" si="56"/>
        <v>0</v>
      </c>
      <c r="E221" s="68">
        <f>IFERROR(SUMIF(人工呼吸器!$C$30:$C$74,B221,人工呼吸器!$N$30:$N$74)*((人工呼吸器!$H$3-人工呼吸器!$I$3)/人工呼吸器!$H$3),0)</f>
        <v>0</v>
      </c>
      <c r="F221" s="69">
        <f t="shared" si="57"/>
        <v>0</v>
      </c>
      <c r="G221" s="69">
        <f t="shared" si="58"/>
        <v>0</v>
      </c>
      <c r="H221" s="69">
        <f t="shared" si="59"/>
        <v>0</v>
      </c>
      <c r="I221" s="68">
        <f>IFERROR(SUMIF(簡易陰圧装置!$C$30:$C$74,B221,簡易陰圧装置!$N$30:$N$74)*((簡易陰圧装置!$H$3-簡易陰圧装置!$I$3)/簡易陰圧装置!$H$3),0)</f>
        <v>0</v>
      </c>
      <c r="J221" s="69">
        <f t="shared" si="60"/>
        <v>0</v>
      </c>
      <c r="K221" s="68">
        <f>IFERROR(SUMIF(#REF!,B221,#REF!)*((#REF!-#REF!)/#REF!),0)</f>
        <v>0</v>
      </c>
      <c r="L221" s="69">
        <f t="shared" si="61"/>
        <v>0</v>
      </c>
      <c r="M221" s="68">
        <f>IFERROR(SUMIF(体外式膜型人工肺!$C$30:$C$74,B221,体外式膜型人工肺!$N$30:$N$74)*((体外式膜型人工肺!$H$3-体外式膜型人工肺!$I$3)/体外式膜型人工肺!$H$3),0)</f>
        <v>0</v>
      </c>
      <c r="N221" s="69">
        <f t="shared" si="62"/>
        <v>0</v>
      </c>
      <c r="O221" s="69">
        <f t="shared" si="63"/>
        <v>0</v>
      </c>
      <c r="P221" s="69">
        <f t="shared" si="64"/>
        <v>0</v>
      </c>
      <c r="Q221" s="68">
        <f>IFERROR(SUMIF(紫外線照射装置!$C$30:$C$74,B221,紫外線照射装置!$N$30:$N$74)*((紫外線照射装置!$H$3-紫外線照射装置!$I$3)/紫外線照射装置!$H$3),0)</f>
        <v>0</v>
      </c>
      <c r="R221" s="69">
        <f t="shared" si="65"/>
        <v>0</v>
      </c>
      <c r="S221" s="102">
        <f t="shared" si="66"/>
        <v>0</v>
      </c>
      <c r="T221" s="68">
        <f>IFERROR(SUMIF(超音波画像診断装置!$C$30:$C$74,B221,超音波画像診断装置!$K$30:$K$74)*((超音波画像診断装置!$H$3-超音波画像診断装置!$I$3)/超音波画像診断装置!$H$3),0)</f>
        <v>0</v>
      </c>
      <c r="U221" s="69">
        <f t="shared" si="67"/>
        <v>0</v>
      </c>
      <c r="V221" s="68">
        <f>IFERROR(SUMIF(血液浄化装置!$C$30:$C$74,B221,血液浄化装置!$K$30:$K$74)*((血液浄化装置!$H$3-血液浄化装置!$I$3)/血液浄化装置!$H$3),0)</f>
        <v>0</v>
      </c>
      <c r="W221" s="69">
        <f t="shared" si="68"/>
        <v>0</v>
      </c>
      <c r="X221" s="68">
        <f>IFERROR(SUMIF(気管支鏡!$C$30:$C$74,B221,気管支鏡!$K$30:$K$74)*((気管支鏡!$H$3-気管支鏡!$I$3)/気管支鏡!$H$3),0)</f>
        <v>0</v>
      </c>
      <c r="Y221" s="69">
        <f t="shared" si="54"/>
        <v>0</v>
      </c>
      <c r="Z221" s="68">
        <f>IFERROR(SUMIF(CT撮影装置!$C$30:$C$74,B221,CT撮影装置!$K$30:$K$74)*((CT撮影装置!$H$3-CT撮影装置!$I$3)/CT撮影装置!$H$3),0)</f>
        <v>0</v>
      </c>
      <c r="AA221" s="69">
        <f t="shared" si="69"/>
        <v>0</v>
      </c>
      <c r="AB221" s="68">
        <f>IFERROR(SUMIF(生体情報モニタ!$C$30:$C$74,B221,生体情報モニタ!$K$30:$K$74)*((生体情報モニタ!$H$3-生体情報モニタ!$I$3)/生体情報モニタ!$H$3),0)</f>
        <v>0</v>
      </c>
      <c r="AC221" s="69">
        <f t="shared" si="55"/>
        <v>0</v>
      </c>
      <c r="AD221" s="68">
        <f>IFERROR(SUMIF(分娩監視装置!$C$30:$C$74,B221,分娩監視装置!$K$30:$K$74)*((分娩監視装置!$H$3-分娩監視装置!$I$3)/分娩監視装置!$H$3),0)</f>
        <v>0</v>
      </c>
      <c r="AE221" s="69">
        <f t="shared" si="70"/>
        <v>0</v>
      </c>
      <c r="AF221" s="68">
        <f>IFERROR(SUMIF(新生児モニタ!$C$30:$C$74,B221,新生児モニタ!$K$30:$K$74)*((新生児モニタ!$H$3-新生児モニタ!$I$3)/新生児モニタ!$H$3),0)</f>
        <v>0</v>
      </c>
      <c r="AG221" s="69">
        <f t="shared" si="71"/>
        <v>0</v>
      </c>
    </row>
    <row r="222" spans="2:33">
      <c r="B222" s="65" t="s">
        <v>891</v>
      </c>
      <c r="C222" s="68">
        <f>IFERROR(SUMIF(初度設備!$C$30:$C$74,B222,初度設備!$N$30:$N$74)*((初度設備!$H$3-初度設備!$I$3)/初度設備!$H$3),0)</f>
        <v>0</v>
      </c>
      <c r="D222" s="69">
        <f t="shared" si="56"/>
        <v>0</v>
      </c>
      <c r="E222" s="68">
        <f>IFERROR(SUMIF(人工呼吸器!$C$30:$C$74,B222,人工呼吸器!$N$30:$N$74)*((人工呼吸器!$H$3-人工呼吸器!$I$3)/人工呼吸器!$H$3),0)</f>
        <v>0</v>
      </c>
      <c r="F222" s="69">
        <f t="shared" si="57"/>
        <v>0</v>
      </c>
      <c r="G222" s="69">
        <f t="shared" si="58"/>
        <v>0</v>
      </c>
      <c r="H222" s="69">
        <f t="shared" si="59"/>
        <v>0</v>
      </c>
      <c r="I222" s="68">
        <f>IFERROR(SUMIF(簡易陰圧装置!$C$30:$C$74,B222,簡易陰圧装置!$N$30:$N$74)*((簡易陰圧装置!$H$3-簡易陰圧装置!$I$3)/簡易陰圧装置!$H$3),0)</f>
        <v>0</v>
      </c>
      <c r="J222" s="69">
        <f t="shared" si="60"/>
        <v>0</v>
      </c>
      <c r="K222" s="68">
        <f>IFERROR(SUMIF(#REF!,B222,#REF!)*((#REF!-#REF!)/#REF!),0)</f>
        <v>0</v>
      </c>
      <c r="L222" s="69">
        <f t="shared" si="61"/>
        <v>0</v>
      </c>
      <c r="M222" s="68">
        <f>IFERROR(SUMIF(体外式膜型人工肺!$C$30:$C$74,B222,体外式膜型人工肺!$N$30:$N$74)*((体外式膜型人工肺!$H$3-体外式膜型人工肺!$I$3)/体外式膜型人工肺!$H$3),0)</f>
        <v>0</v>
      </c>
      <c r="N222" s="69">
        <f t="shared" si="62"/>
        <v>0</v>
      </c>
      <c r="O222" s="69">
        <f t="shared" si="63"/>
        <v>0</v>
      </c>
      <c r="P222" s="69">
        <f t="shared" si="64"/>
        <v>0</v>
      </c>
      <c r="Q222" s="68">
        <f>IFERROR(SUMIF(紫外線照射装置!$C$30:$C$74,B222,紫外線照射装置!$N$30:$N$74)*((紫外線照射装置!$H$3-紫外線照射装置!$I$3)/紫外線照射装置!$H$3),0)</f>
        <v>0</v>
      </c>
      <c r="R222" s="69">
        <f t="shared" si="65"/>
        <v>0</v>
      </c>
      <c r="S222" s="102">
        <f t="shared" si="66"/>
        <v>0</v>
      </c>
      <c r="T222" s="68">
        <f>IFERROR(SUMIF(超音波画像診断装置!$C$30:$C$74,B222,超音波画像診断装置!$K$30:$K$74)*((超音波画像診断装置!$H$3-超音波画像診断装置!$I$3)/超音波画像診断装置!$H$3),0)</f>
        <v>0</v>
      </c>
      <c r="U222" s="69">
        <f t="shared" si="67"/>
        <v>0</v>
      </c>
      <c r="V222" s="68">
        <f>IFERROR(SUMIF(血液浄化装置!$C$30:$C$74,B222,血液浄化装置!$K$30:$K$74)*((血液浄化装置!$H$3-血液浄化装置!$I$3)/血液浄化装置!$H$3),0)</f>
        <v>0</v>
      </c>
      <c r="W222" s="69">
        <f t="shared" si="68"/>
        <v>0</v>
      </c>
      <c r="X222" s="68">
        <f>IFERROR(SUMIF(気管支鏡!$C$30:$C$74,B222,気管支鏡!$K$30:$K$74)*((気管支鏡!$H$3-気管支鏡!$I$3)/気管支鏡!$H$3),0)</f>
        <v>0</v>
      </c>
      <c r="Y222" s="69">
        <f t="shared" si="54"/>
        <v>0</v>
      </c>
      <c r="Z222" s="68">
        <f>IFERROR(SUMIF(CT撮影装置!$C$30:$C$74,B222,CT撮影装置!$K$30:$K$74)*((CT撮影装置!$H$3-CT撮影装置!$I$3)/CT撮影装置!$H$3),0)</f>
        <v>0</v>
      </c>
      <c r="AA222" s="69">
        <f t="shared" si="69"/>
        <v>0</v>
      </c>
      <c r="AB222" s="68">
        <f>IFERROR(SUMIF(生体情報モニタ!$C$30:$C$74,B222,生体情報モニタ!$K$30:$K$74)*((生体情報モニタ!$H$3-生体情報モニタ!$I$3)/生体情報モニタ!$H$3),0)</f>
        <v>0</v>
      </c>
      <c r="AC222" s="69">
        <f t="shared" si="55"/>
        <v>0</v>
      </c>
      <c r="AD222" s="68">
        <f>IFERROR(SUMIF(分娩監視装置!$C$30:$C$74,B222,分娩監視装置!$K$30:$K$74)*((分娩監視装置!$H$3-分娩監視装置!$I$3)/分娩監視装置!$H$3),0)</f>
        <v>0</v>
      </c>
      <c r="AE222" s="69">
        <f t="shared" si="70"/>
        <v>0</v>
      </c>
      <c r="AF222" s="68">
        <f>IFERROR(SUMIF(新生児モニタ!$C$30:$C$74,B222,新生児モニタ!$K$30:$K$74)*((新生児モニタ!$H$3-新生児モニタ!$I$3)/新生児モニタ!$H$3),0)</f>
        <v>0</v>
      </c>
      <c r="AG222" s="69">
        <f t="shared" si="71"/>
        <v>0</v>
      </c>
    </row>
    <row r="223" spans="2:33">
      <c r="B223" s="65" t="s">
        <v>892</v>
      </c>
      <c r="C223" s="68">
        <f>IFERROR(SUMIF(初度設備!$C$30:$C$74,B223,初度設備!$N$30:$N$74)*((初度設備!$H$3-初度設備!$I$3)/初度設備!$H$3),0)</f>
        <v>0</v>
      </c>
      <c r="D223" s="69">
        <f t="shared" si="56"/>
        <v>0</v>
      </c>
      <c r="E223" s="68">
        <f>IFERROR(SUMIF(人工呼吸器!$C$30:$C$74,B223,人工呼吸器!$N$30:$N$74)*((人工呼吸器!$H$3-人工呼吸器!$I$3)/人工呼吸器!$H$3),0)</f>
        <v>0</v>
      </c>
      <c r="F223" s="69">
        <f t="shared" si="57"/>
        <v>0</v>
      </c>
      <c r="G223" s="69">
        <f t="shared" si="58"/>
        <v>0</v>
      </c>
      <c r="H223" s="69">
        <f t="shared" si="59"/>
        <v>0</v>
      </c>
      <c r="I223" s="68">
        <f>IFERROR(SUMIF(簡易陰圧装置!$C$30:$C$74,B223,簡易陰圧装置!$N$30:$N$74)*((簡易陰圧装置!$H$3-簡易陰圧装置!$I$3)/簡易陰圧装置!$H$3),0)</f>
        <v>0</v>
      </c>
      <c r="J223" s="69">
        <f t="shared" si="60"/>
        <v>0</v>
      </c>
      <c r="K223" s="68">
        <f>IFERROR(SUMIF(#REF!,B223,#REF!)*((#REF!-#REF!)/#REF!),0)</f>
        <v>0</v>
      </c>
      <c r="L223" s="69">
        <f t="shared" si="61"/>
        <v>0</v>
      </c>
      <c r="M223" s="68">
        <f>IFERROR(SUMIF(体外式膜型人工肺!$C$30:$C$74,B223,体外式膜型人工肺!$N$30:$N$74)*((体外式膜型人工肺!$H$3-体外式膜型人工肺!$I$3)/体外式膜型人工肺!$H$3),0)</f>
        <v>0</v>
      </c>
      <c r="N223" s="69">
        <f t="shared" si="62"/>
        <v>0</v>
      </c>
      <c r="O223" s="69">
        <f t="shared" si="63"/>
        <v>0</v>
      </c>
      <c r="P223" s="69">
        <f t="shared" si="64"/>
        <v>0</v>
      </c>
      <c r="Q223" s="68">
        <f>IFERROR(SUMIF(紫外線照射装置!$C$30:$C$74,B223,紫外線照射装置!$N$30:$N$74)*((紫外線照射装置!$H$3-紫外線照射装置!$I$3)/紫外線照射装置!$H$3),0)</f>
        <v>0</v>
      </c>
      <c r="R223" s="69">
        <f t="shared" si="65"/>
        <v>0</v>
      </c>
      <c r="S223" s="102">
        <f t="shared" si="66"/>
        <v>0</v>
      </c>
      <c r="T223" s="68">
        <f>IFERROR(SUMIF(超音波画像診断装置!$C$30:$C$74,B223,超音波画像診断装置!$K$30:$K$74)*((超音波画像診断装置!$H$3-超音波画像診断装置!$I$3)/超音波画像診断装置!$H$3),0)</f>
        <v>0</v>
      </c>
      <c r="U223" s="69">
        <f t="shared" si="67"/>
        <v>0</v>
      </c>
      <c r="V223" s="68">
        <f>IFERROR(SUMIF(血液浄化装置!$C$30:$C$74,B223,血液浄化装置!$K$30:$K$74)*((血液浄化装置!$H$3-血液浄化装置!$I$3)/血液浄化装置!$H$3),0)</f>
        <v>0</v>
      </c>
      <c r="W223" s="69">
        <f t="shared" si="68"/>
        <v>0</v>
      </c>
      <c r="X223" s="68">
        <f>IFERROR(SUMIF(気管支鏡!$C$30:$C$74,B223,気管支鏡!$K$30:$K$74)*((気管支鏡!$H$3-気管支鏡!$I$3)/気管支鏡!$H$3),0)</f>
        <v>0</v>
      </c>
      <c r="Y223" s="69">
        <f t="shared" si="54"/>
        <v>0</v>
      </c>
      <c r="Z223" s="68">
        <f>IFERROR(SUMIF(CT撮影装置!$C$30:$C$74,B223,CT撮影装置!$K$30:$K$74)*((CT撮影装置!$H$3-CT撮影装置!$I$3)/CT撮影装置!$H$3),0)</f>
        <v>0</v>
      </c>
      <c r="AA223" s="69">
        <f t="shared" si="69"/>
        <v>0</v>
      </c>
      <c r="AB223" s="68">
        <f>IFERROR(SUMIF(生体情報モニタ!$C$30:$C$74,B223,生体情報モニタ!$K$30:$K$74)*((生体情報モニタ!$H$3-生体情報モニタ!$I$3)/生体情報モニタ!$H$3),0)</f>
        <v>0</v>
      </c>
      <c r="AC223" s="69">
        <f t="shared" si="55"/>
        <v>0</v>
      </c>
      <c r="AD223" s="68">
        <f>IFERROR(SUMIF(分娩監視装置!$C$30:$C$74,B223,分娩監視装置!$K$30:$K$74)*((分娩監視装置!$H$3-分娩監視装置!$I$3)/分娩監視装置!$H$3),0)</f>
        <v>0</v>
      </c>
      <c r="AE223" s="69">
        <f t="shared" si="70"/>
        <v>0</v>
      </c>
      <c r="AF223" s="68">
        <f>IFERROR(SUMIF(新生児モニタ!$C$30:$C$74,B223,新生児モニタ!$K$30:$K$74)*((新生児モニタ!$H$3-新生児モニタ!$I$3)/新生児モニタ!$H$3),0)</f>
        <v>0</v>
      </c>
      <c r="AG223" s="69">
        <f t="shared" si="71"/>
        <v>0</v>
      </c>
    </row>
    <row r="224" spans="2:33">
      <c r="B224" s="65" t="s">
        <v>893</v>
      </c>
      <c r="C224" s="68">
        <f>IFERROR(SUMIF(初度設備!$C$30:$C$74,B224,初度設備!$N$30:$N$74)*((初度設備!$H$3-初度設備!$I$3)/初度設備!$H$3),0)</f>
        <v>0</v>
      </c>
      <c r="D224" s="69">
        <f t="shared" si="56"/>
        <v>0</v>
      </c>
      <c r="E224" s="68">
        <f>IFERROR(SUMIF(人工呼吸器!$C$30:$C$74,B224,人工呼吸器!$N$30:$N$74)*((人工呼吸器!$H$3-人工呼吸器!$I$3)/人工呼吸器!$H$3),0)</f>
        <v>0</v>
      </c>
      <c r="F224" s="69">
        <f t="shared" si="57"/>
        <v>0</v>
      </c>
      <c r="G224" s="69">
        <f t="shared" si="58"/>
        <v>0</v>
      </c>
      <c r="H224" s="69">
        <f t="shared" si="59"/>
        <v>0</v>
      </c>
      <c r="I224" s="68">
        <f>IFERROR(SUMIF(簡易陰圧装置!$C$30:$C$74,B224,簡易陰圧装置!$N$30:$N$74)*((簡易陰圧装置!$H$3-簡易陰圧装置!$I$3)/簡易陰圧装置!$H$3),0)</f>
        <v>0</v>
      </c>
      <c r="J224" s="69">
        <f t="shared" si="60"/>
        <v>0</v>
      </c>
      <c r="K224" s="68">
        <f>IFERROR(SUMIF(#REF!,B224,#REF!)*((#REF!-#REF!)/#REF!),0)</f>
        <v>0</v>
      </c>
      <c r="L224" s="69">
        <f t="shared" si="61"/>
        <v>0</v>
      </c>
      <c r="M224" s="68">
        <f>IFERROR(SUMIF(体外式膜型人工肺!$C$30:$C$74,B224,体外式膜型人工肺!$N$30:$N$74)*((体外式膜型人工肺!$H$3-体外式膜型人工肺!$I$3)/体外式膜型人工肺!$H$3),0)</f>
        <v>0</v>
      </c>
      <c r="N224" s="69">
        <f t="shared" si="62"/>
        <v>0</v>
      </c>
      <c r="O224" s="69">
        <f t="shared" si="63"/>
        <v>0</v>
      </c>
      <c r="P224" s="69">
        <f t="shared" si="64"/>
        <v>0</v>
      </c>
      <c r="Q224" s="68">
        <f>IFERROR(SUMIF(紫外線照射装置!$C$30:$C$74,B224,紫外線照射装置!$N$30:$N$74)*((紫外線照射装置!$H$3-紫外線照射装置!$I$3)/紫外線照射装置!$H$3),0)</f>
        <v>0</v>
      </c>
      <c r="R224" s="69">
        <f t="shared" si="65"/>
        <v>0</v>
      </c>
      <c r="S224" s="102">
        <f t="shared" si="66"/>
        <v>0</v>
      </c>
      <c r="T224" s="68">
        <f>IFERROR(SUMIF(超音波画像診断装置!$C$30:$C$74,B224,超音波画像診断装置!$K$30:$K$74)*((超音波画像診断装置!$H$3-超音波画像診断装置!$I$3)/超音波画像診断装置!$H$3),0)</f>
        <v>0</v>
      </c>
      <c r="U224" s="69">
        <f t="shared" si="67"/>
        <v>0</v>
      </c>
      <c r="V224" s="68">
        <f>IFERROR(SUMIF(血液浄化装置!$C$30:$C$74,B224,血液浄化装置!$K$30:$K$74)*((血液浄化装置!$H$3-血液浄化装置!$I$3)/血液浄化装置!$H$3),0)</f>
        <v>0</v>
      </c>
      <c r="W224" s="69">
        <f t="shared" si="68"/>
        <v>0</v>
      </c>
      <c r="X224" s="68">
        <f>IFERROR(SUMIF(気管支鏡!$C$30:$C$74,B224,気管支鏡!$K$30:$K$74)*((気管支鏡!$H$3-気管支鏡!$I$3)/気管支鏡!$H$3),0)</f>
        <v>0</v>
      </c>
      <c r="Y224" s="69">
        <f t="shared" si="54"/>
        <v>0</v>
      </c>
      <c r="Z224" s="68">
        <f>IFERROR(SUMIF(CT撮影装置!$C$30:$C$74,B224,CT撮影装置!$K$30:$K$74)*((CT撮影装置!$H$3-CT撮影装置!$I$3)/CT撮影装置!$H$3),0)</f>
        <v>0</v>
      </c>
      <c r="AA224" s="69">
        <f t="shared" si="69"/>
        <v>0</v>
      </c>
      <c r="AB224" s="68">
        <f>IFERROR(SUMIF(生体情報モニタ!$C$30:$C$74,B224,生体情報モニタ!$K$30:$K$74)*((生体情報モニタ!$H$3-生体情報モニタ!$I$3)/生体情報モニタ!$H$3),0)</f>
        <v>0</v>
      </c>
      <c r="AC224" s="69">
        <f t="shared" si="55"/>
        <v>0</v>
      </c>
      <c r="AD224" s="68">
        <f>IFERROR(SUMIF(分娩監視装置!$C$30:$C$74,B224,分娩監視装置!$K$30:$K$74)*((分娩監視装置!$H$3-分娩監視装置!$I$3)/分娩監視装置!$H$3),0)</f>
        <v>0</v>
      </c>
      <c r="AE224" s="69">
        <f t="shared" si="70"/>
        <v>0</v>
      </c>
      <c r="AF224" s="68">
        <f>IFERROR(SUMIF(新生児モニタ!$C$30:$C$74,B224,新生児モニタ!$K$30:$K$74)*((新生児モニタ!$H$3-新生児モニタ!$I$3)/新生児モニタ!$H$3),0)</f>
        <v>0</v>
      </c>
      <c r="AG224" s="69">
        <f t="shared" si="71"/>
        <v>0</v>
      </c>
    </row>
    <row r="225" spans="2:33">
      <c r="B225" s="65" t="s">
        <v>894</v>
      </c>
      <c r="C225" s="68">
        <f>IFERROR(SUMIF(初度設備!$C$30:$C$74,B225,初度設備!$N$30:$N$74)*((初度設備!$H$3-初度設備!$I$3)/初度設備!$H$3),0)</f>
        <v>0</v>
      </c>
      <c r="D225" s="69">
        <f t="shared" si="56"/>
        <v>0</v>
      </c>
      <c r="E225" s="68">
        <f>IFERROR(SUMIF(人工呼吸器!$C$30:$C$74,B225,人工呼吸器!$N$30:$N$74)*((人工呼吸器!$H$3-人工呼吸器!$I$3)/人工呼吸器!$H$3),0)</f>
        <v>0</v>
      </c>
      <c r="F225" s="69">
        <f t="shared" si="57"/>
        <v>0</v>
      </c>
      <c r="G225" s="69">
        <f t="shared" si="58"/>
        <v>0</v>
      </c>
      <c r="H225" s="69">
        <f t="shared" si="59"/>
        <v>0</v>
      </c>
      <c r="I225" s="68">
        <f>IFERROR(SUMIF(簡易陰圧装置!$C$30:$C$74,B225,簡易陰圧装置!$N$30:$N$74)*((簡易陰圧装置!$H$3-簡易陰圧装置!$I$3)/簡易陰圧装置!$H$3),0)</f>
        <v>0</v>
      </c>
      <c r="J225" s="69">
        <f t="shared" si="60"/>
        <v>0</v>
      </c>
      <c r="K225" s="68">
        <f>IFERROR(SUMIF(#REF!,B225,#REF!)*((#REF!-#REF!)/#REF!),0)</f>
        <v>0</v>
      </c>
      <c r="L225" s="69">
        <f t="shared" si="61"/>
        <v>0</v>
      </c>
      <c r="M225" s="68">
        <f>IFERROR(SUMIF(体外式膜型人工肺!$C$30:$C$74,B225,体外式膜型人工肺!$N$30:$N$74)*((体外式膜型人工肺!$H$3-体外式膜型人工肺!$I$3)/体外式膜型人工肺!$H$3),0)</f>
        <v>0</v>
      </c>
      <c r="N225" s="69">
        <f t="shared" si="62"/>
        <v>0</v>
      </c>
      <c r="O225" s="69">
        <f t="shared" si="63"/>
        <v>0</v>
      </c>
      <c r="P225" s="69">
        <f t="shared" si="64"/>
        <v>0</v>
      </c>
      <c r="Q225" s="68">
        <f>IFERROR(SUMIF(紫外線照射装置!$C$30:$C$74,B225,紫外線照射装置!$N$30:$N$74)*((紫外線照射装置!$H$3-紫外線照射装置!$I$3)/紫外線照射装置!$H$3),0)</f>
        <v>0</v>
      </c>
      <c r="R225" s="69">
        <f t="shared" si="65"/>
        <v>0</v>
      </c>
      <c r="S225" s="102">
        <f t="shared" si="66"/>
        <v>0</v>
      </c>
      <c r="T225" s="68">
        <f>IFERROR(SUMIF(超音波画像診断装置!$C$30:$C$74,B225,超音波画像診断装置!$K$30:$K$74)*((超音波画像診断装置!$H$3-超音波画像診断装置!$I$3)/超音波画像診断装置!$H$3),0)</f>
        <v>0</v>
      </c>
      <c r="U225" s="69">
        <f t="shared" si="67"/>
        <v>0</v>
      </c>
      <c r="V225" s="68">
        <f>IFERROR(SUMIF(血液浄化装置!$C$30:$C$74,B225,血液浄化装置!$K$30:$K$74)*((血液浄化装置!$H$3-血液浄化装置!$I$3)/血液浄化装置!$H$3),0)</f>
        <v>0</v>
      </c>
      <c r="W225" s="69">
        <f t="shared" si="68"/>
        <v>0</v>
      </c>
      <c r="X225" s="68">
        <f>IFERROR(SUMIF(気管支鏡!$C$30:$C$74,B225,気管支鏡!$K$30:$K$74)*((気管支鏡!$H$3-気管支鏡!$I$3)/気管支鏡!$H$3),0)</f>
        <v>0</v>
      </c>
      <c r="Y225" s="69">
        <f t="shared" si="54"/>
        <v>0</v>
      </c>
      <c r="Z225" s="68">
        <f>IFERROR(SUMIF(CT撮影装置!$C$30:$C$74,B225,CT撮影装置!$K$30:$K$74)*((CT撮影装置!$H$3-CT撮影装置!$I$3)/CT撮影装置!$H$3),0)</f>
        <v>0</v>
      </c>
      <c r="AA225" s="69">
        <f t="shared" si="69"/>
        <v>0</v>
      </c>
      <c r="AB225" s="68">
        <f>IFERROR(SUMIF(生体情報モニタ!$C$30:$C$74,B225,生体情報モニタ!$K$30:$K$74)*((生体情報モニタ!$H$3-生体情報モニタ!$I$3)/生体情報モニタ!$H$3),0)</f>
        <v>0</v>
      </c>
      <c r="AC225" s="69">
        <f t="shared" si="55"/>
        <v>0</v>
      </c>
      <c r="AD225" s="68">
        <f>IFERROR(SUMIF(分娩監視装置!$C$30:$C$74,B225,分娩監視装置!$K$30:$K$74)*((分娩監視装置!$H$3-分娩監視装置!$I$3)/分娩監視装置!$H$3),0)</f>
        <v>0</v>
      </c>
      <c r="AE225" s="69">
        <f t="shared" si="70"/>
        <v>0</v>
      </c>
      <c r="AF225" s="68">
        <f>IFERROR(SUMIF(新生児モニタ!$C$30:$C$74,B225,新生児モニタ!$K$30:$K$74)*((新生児モニタ!$H$3-新生児モニタ!$I$3)/新生児モニタ!$H$3),0)</f>
        <v>0</v>
      </c>
      <c r="AG225" s="69">
        <f t="shared" si="71"/>
        <v>0</v>
      </c>
    </row>
    <row r="226" spans="2:33">
      <c r="B226" s="65" t="s">
        <v>895</v>
      </c>
      <c r="C226" s="68">
        <f>IFERROR(SUMIF(初度設備!$C$30:$C$74,B226,初度設備!$N$30:$N$74)*((初度設備!$H$3-初度設備!$I$3)/初度設備!$H$3),0)</f>
        <v>0</v>
      </c>
      <c r="D226" s="69">
        <f t="shared" si="56"/>
        <v>0</v>
      </c>
      <c r="E226" s="68">
        <f>IFERROR(SUMIF(人工呼吸器!$C$30:$C$74,B226,人工呼吸器!$N$30:$N$74)*((人工呼吸器!$H$3-人工呼吸器!$I$3)/人工呼吸器!$H$3),0)</f>
        <v>0</v>
      </c>
      <c r="F226" s="69">
        <f t="shared" si="57"/>
        <v>0</v>
      </c>
      <c r="G226" s="69">
        <f t="shared" si="58"/>
        <v>0</v>
      </c>
      <c r="H226" s="69">
        <f t="shared" si="59"/>
        <v>0</v>
      </c>
      <c r="I226" s="68">
        <f>IFERROR(SUMIF(簡易陰圧装置!$C$30:$C$74,B226,簡易陰圧装置!$N$30:$N$74)*((簡易陰圧装置!$H$3-簡易陰圧装置!$I$3)/簡易陰圧装置!$H$3),0)</f>
        <v>0</v>
      </c>
      <c r="J226" s="69">
        <f t="shared" si="60"/>
        <v>0</v>
      </c>
      <c r="K226" s="68">
        <f>IFERROR(SUMIF(#REF!,B226,#REF!)*((#REF!-#REF!)/#REF!),0)</f>
        <v>0</v>
      </c>
      <c r="L226" s="69">
        <f t="shared" si="61"/>
        <v>0</v>
      </c>
      <c r="M226" s="68">
        <f>IFERROR(SUMIF(体外式膜型人工肺!$C$30:$C$74,B226,体外式膜型人工肺!$N$30:$N$74)*((体外式膜型人工肺!$H$3-体外式膜型人工肺!$I$3)/体外式膜型人工肺!$H$3),0)</f>
        <v>0</v>
      </c>
      <c r="N226" s="69">
        <f t="shared" si="62"/>
        <v>0</v>
      </c>
      <c r="O226" s="69">
        <f t="shared" si="63"/>
        <v>0</v>
      </c>
      <c r="P226" s="69">
        <f t="shared" si="64"/>
        <v>0</v>
      </c>
      <c r="Q226" s="68">
        <f>IFERROR(SUMIF(紫外線照射装置!$C$30:$C$74,B226,紫外線照射装置!$N$30:$N$74)*((紫外線照射装置!$H$3-紫外線照射装置!$I$3)/紫外線照射装置!$H$3),0)</f>
        <v>0</v>
      </c>
      <c r="R226" s="69">
        <f t="shared" si="65"/>
        <v>0</v>
      </c>
      <c r="S226" s="102">
        <f t="shared" si="66"/>
        <v>0</v>
      </c>
      <c r="T226" s="68">
        <f>IFERROR(SUMIF(超音波画像診断装置!$C$30:$C$74,B226,超音波画像診断装置!$K$30:$K$74)*((超音波画像診断装置!$H$3-超音波画像診断装置!$I$3)/超音波画像診断装置!$H$3),0)</f>
        <v>0</v>
      </c>
      <c r="U226" s="69">
        <f t="shared" si="67"/>
        <v>0</v>
      </c>
      <c r="V226" s="68">
        <f>IFERROR(SUMIF(血液浄化装置!$C$30:$C$74,B226,血液浄化装置!$K$30:$K$74)*((血液浄化装置!$H$3-血液浄化装置!$I$3)/血液浄化装置!$H$3),0)</f>
        <v>0</v>
      </c>
      <c r="W226" s="69">
        <f t="shared" si="68"/>
        <v>0</v>
      </c>
      <c r="X226" s="68">
        <f>IFERROR(SUMIF(気管支鏡!$C$30:$C$74,B226,気管支鏡!$K$30:$K$74)*((気管支鏡!$H$3-気管支鏡!$I$3)/気管支鏡!$H$3),0)</f>
        <v>0</v>
      </c>
      <c r="Y226" s="69">
        <f t="shared" si="54"/>
        <v>0</v>
      </c>
      <c r="Z226" s="68">
        <f>IFERROR(SUMIF(CT撮影装置!$C$30:$C$74,B226,CT撮影装置!$K$30:$K$74)*((CT撮影装置!$H$3-CT撮影装置!$I$3)/CT撮影装置!$H$3),0)</f>
        <v>0</v>
      </c>
      <c r="AA226" s="69">
        <f t="shared" si="69"/>
        <v>0</v>
      </c>
      <c r="AB226" s="68">
        <f>IFERROR(SUMIF(生体情報モニタ!$C$30:$C$74,B226,生体情報モニタ!$K$30:$K$74)*((生体情報モニタ!$H$3-生体情報モニタ!$I$3)/生体情報モニタ!$H$3),0)</f>
        <v>0</v>
      </c>
      <c r="AC226" s="69">
        <f t="shared" si="55"/>
        <v>0</v>
      </c>
      <c r="AD226" s="68">
        <f>IFERROR(SUMIF(分娩監視装置!$C$30:$C$74,B226,分娩監視装置!$K$30:$K$74)*((分娩監視装置!$H$3-分娩監視装置!$I$3)/分娩監視装置!$H$3),0)</f>
        <v>0</v>
      </c>
      <c r="AE226" s="69">
        <f t="shared" si="70"/>
        <v>0</v>
      </c>
      <c r="AF226" s="68">
        <f>IFERROR(SUMIF(新生児モニタ!$C$30:$C$74,B226,新生児モニタ!$K$30:$K$74)*((新生児モニタ!$H$3-新生児モニタ!$I$3)/新生児モニタ!$H$3),0)</f>
        <v>0</v>
      </c>
      <c r="AG226" s="69">
        <f t="shared" si="71"/>
        <v>0</v>
      </c>
    </row>
    <row r="227" spans="2:33">
      <c r="B227" s="65" t="s">
        <v>896</v>
      </c>
      <c r="C227" s="68">
        <f>IFERROR(SUMIF(初度設備!$C$30:$C$74,B227,初度設備!$N$30:$N$74)*((初度設備!$H$3-初度設備!$I$3)/初度設備!$H$3),0)</f>
        <v>0</v>
      </c>
      <c r="D227" s="69">
        <f t="shared" si="56"/>
        <v>0</v>
      </c>
      <c r="E227" s="68">
        <f>IFERROR(SUMIF(人工呼吸器!$C$30:$C$74,B227,人工呼吸器!$N$30:$N$74)*((人工呼吸器!$H$3-人工呼吸器!$I$3)/人工呼吸器!$H$3),0)</f>
        <v>0</v>
      </c>
      <c r="F227" s="69">
        <f t="shared" si="57"/>
        <v>0</v>
      </c>
      <c r="G227" s="69">
        <f t="shared" si="58"/>
        <v>0</v>
      </c>
      <c r="H227" s="69">
        <f t="shared" si="59"/>
        <v>0</v>
      </c>
      <c r="I227" s="68">
        <f>IFERROR(SUMIF(簡易陰圧装置!$C$30:$C$74,B227,簡易陰圧装置!$N$30:$N$74)*((簡易陰圧装置!$H$3-簡易陰圧装置!$I$3)/簡易陰圧装置!$H$3),0)</f>
        <v>0</v>
      </c>
      <c r="J227" s="69">
        <f t="shared" si="60"/>
        <v>0</v>
      </c>
      <c r="K227" s="68">
        <f>IFERROR(SUMIF(#REF!,B227,#REF!)*((#REF!-#REF!)/#REF!),0)</f>
        <v>0</v>
      </c>
      <c r="L227" s="69">
        <f t="shared" si="61"/>
        <v>0</v>
      </c>
      <c r="M227" s="68">
        <f>IFERROR(SUMIF(体外式膜型人工肺!$C$30:$C$74,B227,体外式膜型人工肺!$N$30:$N$74)*((体外式膜型人工肺!$H$3-体外式膜型人工肺!$I$3)/体外式膜型人工肺!$H$3),0)</f>
        <v>0</v>
      </c>
      <c r="N227" s="69">
        <f t="shared" si="62"/>
        <v>0</v>
      </c>
      <c r="O227" s="69">
        <f t="shared" si="63"/>
        <v>0</v>
      </c>
      <c r="P227" s="69">
        <f t="shared" si="64"/>
        <v>0</v>
      </c>
      <c r="Q227" s="68">
        <f>IFERROR(SUMIF(紫外線照射装置!$C$30:$C$74,B227,紫外線照射装置!$N$30:$N$74)*((紫外線照射装置!$H$3-紫外線照射装置!$I$3)/紫外線照射装置!$H$3),0)</f>
        <v>0</v>
      </c>
      <c r="R227" s="69">
        <f t="shared" si="65"/>
        <v>0</v>
      </c>
      <c r="S227" s="102">
        <f t="shared" si="66"/>
        <v>0</v>
      </c>
      <c r="T227" s="68">
        <f>IFERROR(SUMIF(超音波画像診断装置!$C$30:$C$74,B227,超音波画像診断装置!$K$30:$K$74)*((超音波画像診断装置!$H$3-超音波画像診断装置!$I$3)/超音波画像診断装置!$H$3),0)</f>
        <v>0</v>
      </c>
      <c r="U227" s="69">
        <f t="shared" si="67"/>
        <v>0</v>
      </c>
      <c r="V227" s="68">
        <f>IFERROR(SUMIF(血液浄化装置!$C$30:$C$74,B227,血液浄化装置!$K$30:$K$74)*((血液浄化装置!$H$3-血液浄化装置!$I$3)/血液浄化装置!$H$3),0)</f>
        <v>0</v>
      </c>
      <c r="W227" s="69">
        <f t="shared" si="68"/>
        <v>0</v>
      </c>
      <c r="X227" s="68">
        <f>IFERROR(SUMIF(気管支鏡!$C$30:$C$74,B227,気管支鏡!$K$30:$K$74)*((気管支鏡!$H$3-気管支鏡!$I$3)/気管支鏡!$H$3),0)</f>
        <v>0</v>
      </c>
      <c r="Y227" s="69">
        <f t="shared" si="54"/>
        <v>0</v>
      </c>
      <c r="Z227" s="68">
        <f>IFERROR(SUMIF(CT撮影装置!$C$30:$C$74,B227,CT撮影装置!$K$30:$K$74)*((CT撮影装置!$H$3-CT撮影装置!$I$3)/CT撮影装置!$H$3),0)</f>
        <v>0</v>
      </c>
      <c r="AA227" s="69">
        <f t="shared" si="69"/>
        <v>0</v>
      </c>
      <c r="AB227" s="68">
        <f>IFERROR(SUMIF(生体情報モニタ!$C$30:$C$74,B227,生体情報モニタ!$K$30:$K$74)*((生体情報モニタ!$H$3-生体情報モニタ!$I$3)/生体情報モニタ!$H$3),0)</f>
        <v>0</v>
      </c>
      <c r="AC227" s="69">
        <f t="shared" si="55"/>
        <v>0</v>
      </c>
      <c r="AD227" s="68">
        <f>IFERROR(SUMIF(分娩監視装置!$C$30:$C$74,B227,分娩監視装置!$K$30:$K$74)*((分娩監視装置!$H$3-分娩監視装置!$I$3)/分娩監視装置!$H$3),0)</f>
        <v>0</v>
      </c>
      <c r="AE227" s="69">
        <f t="shared" si="70"/>
        <v>0</v>
      </c>
      <c r="AF227" s="68">
        <f>IFERROR(SUMIF(新生児モニタ!$C$30:$C$74,B227,新生児モニタ!$K$30:$K$74)*((新生児モニタ!$H$3-新生児モニタ!$I$3)/新生児モニタ!$H$3),0)</f>
        <v>0</v>
      </c>
      <c r="AG227" s="69">
        <f t="shared" si="71"/>
        <v>0</v>
      </c>
    </row>
    <row r="228" spans="2:33">
      <c r="B228" s="65" t="s">
        <v>897</v>
      </c>
      <c r="C228" s="68">
        <f>IFERROR(SUMIF(初度設備!$C$30:$C$74,B228,初度設備!$N$30:$N$74)*((初度設備!$H$3-初度設備!$I$3)/初度設備!$H$3),0)</f>
        <v>0</v>
      </c>
      <c r="D228" s="69">
        <f t="shared" si="56"/>
        <v>0</v>
      </c>
      <c r="E228" s="68">
        <f>IFERROR(SUMIF(人工呼吸器!$C$30:$C$74,B228,人工呼吸器!$N$30:$N$74)*((人工呼吸器!$H$3-人工呼吸器!$I$3)/人工呼吸器!$H$3),0)</f>
        <v>0</v>
      </c>
      <c r="F228" s="69">
        <f t="shared" si="57"/>
        <v>0</v>
      </c>
      <c r="G228" s="69">
        <f t="shared" si="58"/>
        <v>0</v>
      </c>
      <c r="H228" s="69">
        <f t="shared" si="59"/>
        <v>0</v>
      </c>
      <c r="I228" s="68">
        <f>IFERROR(SUMIF(簡易陰圧装置!$C$30:$C$74,B228,簡易陰圧装置!$N$30:$N$74)*((簡易陰圧装置!$H$3-簡易陰圧装置!$I$3)/簡易陰圧装置!$H$3),0)</f>
        <v>0</v>
      </c>
      <c r="J228" s="69">
        <f t="shared" si="60"/>
        <v>0</v>
      </c>
      <c r="K228" s="68">
        <f>IFERROR(SUMIF(#REF!,B228,#REF!)*((#REF!-#REF!)/#REF!),0)</f>
        <v>0</v>
      </c>
      <c r="L228" s="69">
        <f t="shared" si="61"/>
        <v>0</v>
      </c>
      <c r="M228" s="68">
        <f>IFERROR(SUMIF(体外式膜型人工肺!$C$30:$C$74,B228,体外式膜型人工肺!$N$30:$N$74)*((体外式膜型人工肺!$H$3-体外式膜型人工肺!$I$3)/体外式膜型人工肺!$H$3),0)</f>
        <v>0</v>
      </c>
      <c r="N228" s="69">
        <f t="shared" si="62"/>
        <v>0</v>
      </c>
      <c r="O228" s="69">
        <f t="shared" si="63"/>
        <v>0</v>
      </c>
      <c r="P228" s="69">
        <f t="shared" si="64"/>
        <v>0</v>
      </c>
      <c r="Q228" s="68">
        <f>IFERROR(SUMIF(紫外線照射装置!$C$30:$C$74,B228,紫外線照射装置!$N$30:$N$74)*((紫外線照射装置!$H$3-紫外線照射装置!$I$3)/紫外線照射装置!$H$3),0)</f>
        <v>0</v>
      </c>
      <c r="R228" s="69">
        <f t="shared" si="65"/>
        <v>0</v>
      </c>
      <c r="S228" s="102">
        <f t="shared" si="66"/>
        <v>0</v>
      </c>
      <c r="T228" s="68">
        <f>IFERROR(SUMIF(超音波画像診断装置!$C$30:$C$74,B228,超音波画像診断装置!$K$30:$K$74)*((超音波画像診断装置!$H$3-超音波画像診断装置!$I$3)/超音波画像診断装置!$H$3),0)</f>
        <v>0</v>
      </c>
      <c r="U228" s="69">
        <f t="shared" si="67"/>
        <v>0</v>
      </c>
      <c r="V228" s="68">
        <f>IFERROR(SUMIF(血液浄化装置!$C$30:$C$74,B228,血液浄化装置!$K$30:$K$74)*((血液浄化装置!$H$3-血液浄化装置!$I$3)/血液浄化装置!$H$3),0)</f>
        <v>0</v>
      </c>
      <c r="W228" s="69">
        <f t="shared" si="68"/>
        <v>0</v>
      </c>
      <c r="X228" s="68">
        <f>IFERROR(SUMIF(気管支鏡!$C$30:$C$74,B228,気管支鏡!$K$30:$K$74)*((気管支鏡!$H$3-気管支鏡!$I$3)/気管支鏡!$H$3),0)</f>
        <v>0</v>
      </c>
      <c r="Y228" s="69">
        <f t="shared" si="54"/>
        <v>0</v>
      </c>
      <c r="Z228" s="68">
        <f>IFERROR(SUMIF(CT撮影装置!$C$30:$C$74,B228,CT撮影装置!$K$30:$K$74)*((CT撮影装置!$H$3-CT撮影装置!$I$3)/CT撮影装置!$H$3),0)</f>
        <v>0</v>
      </c>
      <c r="AA228" s="69">
        <f t="shared" si="69"/>
        <v>0</v>
      </c>
      <c r="AB228" s="68">
        <f>IFERROR(SUMIF(生体情報モニタ!$C$30:$C$74,B228,生体情報モニタ!$K$30:$K$74)*((生体情報モニタ!$H$3-生体情報モニタ!$I$3)/生体情報モニタ!$H$3),0)</f>
        <v>0</v>
      </c>
      <c r="AC228" s="69">
        <f t="shared" si="55"/>
        <v>0</v>
      </c>
      <c r="AD228" s="68">
        <f>IFERROR(SUMIF(分娩監視装置!$C$30:$C$74,B228,分娩監視装置!$K$30:$K$74)*((分娩監視装置!$H$3-分娩監視装置!$I$3)/分娩監視装置!$H$3),0)</f>
        <v>0</v>
      </c>
      <c r="AE228" s="69">
        <f t="shared" si="70"/>
        <v>0</v>
      </c>
      <c r="AF228" s="68">
        <f>IFERROR(SUMIF(新生児モニタ!$C$30:$C$74,B228,新生児モニタ!$K$30:$K$74)*((新生児モニタ!$H$3-新生児モニタ!$I$3)/新生児モニタ!$H$3),0)</f>
        <v>0</v>
      </c>
      <c r="AG228" s="69">
        <f t="shared" si="71"/>
        <v>0</v>
      </c>
    </row>
    <row r="229" spans="2:33">
      <c r="B229" s="65" t="s">
        <v>898</v>
      </c>
      <c r="C229" s="68">
        <f>IFERROR(SUMIF(初度設備!$C$30:$C$74,B229,初度設備!$N$30:$N$74)*((初度設備!$H$3-初度設備!$I$3)/初度設備!$H$3),0)</f>
        <v>0</v>
      </c>
      <c r="D229" s="69">
        <f t="shared" si="56"/>
        <v>0</v>
      </c>
      <c r="E229" s="68">
        <f>IFERROR(SUMIF(人工呼吸器!$C$30:$C$74,B229,人工呼吸器!$N$30:$N$74)*((人工呼吸器!$H$3-人工呼吸器!$I$3)/人工呼吸器!$H$3),0)</f>
        <v>0</v>
      </c>
      <c r="F229" s="69">
        <f t="shared" si="57"/>
        <v>0</v>
      </c>
      <c r="G229" s="69">
        <f t="shared" si="58"/>
        <v>0</v>
      </c>
      <c r="H229" s="69">
        <f t="shared" si="59"/>
        <v>0</v>
      </c>
      <c r="I229" s="68">
        <f>IFERROR(SUMIF(簡易陰圧装置!$C$30:$C$74,B229,簡易陰圧装置!$N$30:$N$74)*((簡易陰圧装置!$H$3-簡易陰圧装置!$I$3)/簡易陰圧装置!$H$3),0)</f>
        <v>0</v>
      </c>
      <c r="J229" s="69">
        <f t="shared" si="60"/>
        <v>0</v>
      </c>
      <c r="K229" s="68">
        <f>IFERROR(SUMIF(#REF!,B229,#REF!)*((#REF!-#REF!)/#REF!),0)</f>
        <v>0</v>
      </c>
      <c r="L229" s="69">
        <f t="shared" si="61"/>
        <v>0</v>
      </c>
      <c r="M229" s="68">
        <f>IFERROR(SUMIF(体外式膜型人工肺!$C$30:$C$74,B229,体外式膜型人工肺!$N$30:$N$74)*((体外式膜型人工肺!$H$3-体外式膜型人工肺!$I$3)/体外式膜型人工肺!$H$3),0)</f>
        <v>0</v>
      </c>
      <c r="N229" s="69">
        <f t="shared" si="62"/>
        <v>0</v>
      </c>
      <c r="O229" s="69">
        <f t="shared" si="63"/>
        <v>0</v>
      </c>
      <c r="P229" s="69">
        <f t="shared" si="64"/>
        <v>0</v>
      </c>
      <c r="Q229" s="68">
        <f>IFERROR(SUMIF(紫外線照射装置!$C$30:$C$74,B229,紫外線照射装置!$N$30:$N$74)*((紫外線照射装置!$H$3-紫外線照射装置!$I$3)/紫外線照射装置!$H$3),0)</f>
        <v>0</v>
      </c>
      <c r="R229" s="69">
        <f t="shared" si="65"/>
        <v>0</v>
      </c>
      <c r="S229" s="102">
        <f t="shared" si="66"/>
        <v>0</v>
      </c>
      <c r="T229" s="68">
        <f>IFERROR(SUMIF(超音波画像診断装置!$C$30:$C$74,B229,超音波画像診断装置!$K$30:$K$74)*((超音波画像診断装置!$H$3-超音波画像診断装置!$I$3)/超音波画像診断装置!$H$3),0)</f>
        <v>0</v>
      </c>
      <c r="U229" s="69">
        <f t="shared" si="67"/>
        <v>0</v>
      </c>
      <c r="V229" s="68">
        <f>IFERROR(SUMIF(血液浄化装置!$C$30:$C$74,B229,血液浄化装置!$K$30:$K$74)*((血液浄化装置!$H$3-血液浄化装置!$I$3)/血液浄化装置!$H$3),0)</f>
        <v>0</v>
      </c>
      <c r="W229" s="69">
        <f t="shared" si="68"/>
        <v>0</v>
      </c>
      <c r="X229" s="68">
        <f>IFERROR(SUMIF(気管支鏡!$C$30:$C$74,B229,気管支鏡!$K$30:$K$74)*((気管支鏡!$H$3-気管支鏡!$I$3)/気管支鏡!$H$3),0)</f>
        <v>0</v>
      </c>
      <c r="Y229" s="69">
        <f t="shared" si="54"/>
        <v>0</v>
      </c>
      <c r="Z229" s="68">
        <f>IFERROR(SUMIF(CT撮影装置!$C$30:$C$74,B229,CT撮影装置!$K$30:$K$74)*((CT撮影装置!$H$3-CT撮影装置!$I$3)/CT撮影装置!$H$3),0)</f>
        <v>0</v>
      </c>
      <c r="AA229" s="69">
        <f t="shared" si="69"/>
        <v>0</v>
      </c>
      <c r="AB229" s="68">
        <f>IFERROR(SUMIF(生体情報モニタ!$C$30:$C$74,B229,生体情報モニタ!$K$30:$K$74)*((生体情報モニタ!$H$3-生体情報モニタ!$I$3)/生体情報モニタ!$H$3),0)</f>
        <v>0</v>
      </c>
      <c r="AC229" s="69">
        <f t="shared" si="55"/>
        <v>0</v>
      </c>
      <c r="AD229" s="68">
        <f>IFERROR(SUMIF(分娩監視装置!$C$30:$C$74,B229,分娩監視装置!$K$30:$K$74)*((分娩監視装置!$H$3-分娩監視装置!$I$3)/分娩監視装置!$H$3),0)</f>
        <v>0</v>
      </c>
      <c r="AE229" s="69">
        <f t="shared" si="70"/>
        <v>0</v>
      </c>
      <c r="AF229" s="68">
        <f>IFERROR(SUMIF(新生児モニタ!$C$30:$C$74,B229,新生児モニタ!$K$30:$K$74)*((新生児モニタ!$H$3-新生児モニタ!$I$3)/新生児モニタ!$H$3),0)</f>
        <v>0</v>
      </c>
      <c r="AG229" s="69">
        <f t="shared" si="71"/>
        <v>0</v>
      </c>
    </row>
    <row r="230" spans="2:33">
      <c r="B230" s="65" t="s">
        <v>899</v>
      </c>
      <c r="C230" s="68">
        <f>IFERROR(SUMIF(初度設備!$C$30:$C$74,B230,初度設備!$N$30:$N$74)*((初度設備!$H$3-初度設備!$I$3)/初度設備!$H$3),0)</f>
        <v>0</v>
      </c>
      <c r="D230" s="69">
        <f t="shared" si="56"/>
        <v>0</v>
      </c>
      <c r="E230" s="68">
        <f>IFERROR(SUMIF(人工呼吸器!$C$30:$C$74,B230,人工呼吸器!$N$30:$N$74)*((人工呼吸器!$H$3-人工呼吸器!$I$3)/人工呼吸器!$H$3),0)</f>
        <v>0</v>
      </c>
      <c r="F230" s="69">
        <f t="shared" si="57"/>
        <v>0</v>
      </c>
      <c r="G230" s="69">
        <f t="shared" si="58"/>
        <v>0</v>
      </c>
      <c r="H230" s="69">
        <f t="shared" si="59"/>
        <v>0</v>
      </c>
      <c r="I230" s="68">
        <f>IFERROR(SUMIF(簡易陰圧装置!$C$30:$C$74,B230,簡易陰圧装置!$N$30:$N$74)*((簡易陰圧装置!$H$3-簡易陰圧装置!$I$3)/簡易陰圧装置!$H$3),0)</f>
        <v>0</v>
      </c>
      <c r="J230" s="69">
        <f t="shared" si="60"/>
        <v>0</v>
      </c>
      <c r="K230" s="68">
        <f>IFERROR(SUMIF(#REF!,B230,#REF!)*((#REF!-#REF!)/#REF!),0)</f>
        <v>0</v>
      </c>
      <c r="L230" s="69">
        <f t="shared" si="61"/>
        <v>0</v>
      </c>
      <c r="M230" s="68">
        <f>IFERROR(SUMIF(体外式膜型人工肺!$C$30:$C$74,B230,体外式膜型人工肺!$N$30:$N$74)*((体外式膜型人工肺!$H$3-体外式膜型人工肺!$I$3)/体外式膜型人工肺!$H$3),0)</f>
        <v>0</v>
      </c>
      <c r="N230" s="69">
        <f t="shared" si="62"/>
        <v>0</v>
      </c>
      <c r="O230" s="69">
        <f t="shared" si="63"/>
        <v>0</v>
      </c>
      <c r="P230" s="69">
        <f t="shared" si="64"/>
        <v>0</v>
      </c>
      <c r="Q230" s="68">
        <f>IFERROR(SUMIF(紫外線照射装置!$C$30:$C$74,B230,紫外線照射装置!$N$30:$N$74)*((紫外線照射装置!$H$3-紫外線照射装置!$I$3)/紫外線照射装置!$H$3),0)</f>
        <v>0</v>
      </c>
      <c r="R230" s="69">
        <f t="shared" si="65"/>
        <v>0</v>
      </c>
      <c r="S230" s="102">
        <f t="shared" si="66"/>
        <v>0</v>
      </c>
      <c r="T230" s="68">
        <f>IFERROR(SUMIF(超音波画像診断装置!$C$30:$C$74,B230,超音波画像診断装置!$K$30:$K$74)*((超音波画像診断装置!$H$3-超音波画像診断装置!$I$3)/超音波画像診断装置!$H$3),0)</f>
        <v>0</v>
      </c>
      <c r="U230" s="69">
        <f t="shared" si="67"/>
        <v>0</v>
      </c>
      <c r="V230" s="68">
        <f>IFERROR(SUMIF(血液浄化装置!$C$30:$C$74,B230,血液浄化装置!$K$30:$K$74)*((血液浄化装置!$H$3-血液浄化装置!$I$3)/血液浄化装置!$H$3),0)</f>
        <v>0</v>
      </c>
      <c r="W230" s="69">
        <f t="shared" si="68"/>
        <v>0</v>
      </c>
      <c r="X230" s="68">
        <f>IFERROR(SUMIF(気管支鏡!$C$30:$C$74,B230,気管支鏡!$K$30:$K$74)*((気管支鏡!$H$3-気管支鏡!$I$3)/気管支鏡!$H$3),0)</f>
        <v>0</v>
      </c>
      <c r="Y230" s="69">
        <f t="shared" si="54"/>
        <v>0</v>
      </c>
      <c r="Z230" s="68">
        <f>IFERROR(SUMIF(CT撮影装置!$C$30:$C$74,B230,CT撮影装置!$K$30:$K$74)*((CT撮影装置!$H$3-CT撮影装置!$I$3)/CT撮影装置!$H$3),0)</f>
        <v>0</v>
      </c>
      <c r="AA230" s="69">
        <f t="shared" si="69"/>
        <v>0</v>
      </c>
      <c r="AB230" s="68">
        <f>IFERROR(SUMIF(生体情報モニタ!$C$30:$C$74,B230,生体情報モニタ!$K$30:$K$74)*((生体情報モニタ!$H$3-生体情報モニタ!$I$3)/生体情報モニタ!$H$3),0)</f>
        <v>0</v>
      </c>
      <c r="AC230" s="69">
        <f t="shared" si="55"/>
        <v>0</v>
      </c>
      <c r="AD230" s="68">
        <f>IFERROR(SUMIF(分娩監視装置!$C$30:$C$74,B230,分娩監視装置!$K$30:$K$74)*((分娩監視装置!$H$3-分娩監視装置!$I$3)/分娩監視装置!$H$3),0)</f>
        <v>0</v>
      </c>
      <c r="AE230" s="69">
        <f t="shared" si="70"/>
        <v>0</v>
      </c>
      <c r="AF230" s="68">
        <f>IFERROR(SUMIF(新生児モニタ!$C$30:$C$74,B230,新生児モニタ!$K$30:$K$74)*((新生児モニタ!$H$3-新生児モニタ!$I$3)/新生児モニタ!$H$3),0)</f>
        <v>0</v>
      </c>
      <c r="AG230" s="69">
        <f t="shared" si="71"/>
        <v>0</v>
      </c>
    </row>
    <row r="231" spans="2:33">
      <c r="B231" s="65" t="s">
        <v>900</v>
      </c>
      <c r="C231" s="68">
        <f>IFERROR(SUMIF(初度設備!$C$30:$C$74,B231,初度設備!$N$30:$N$74)*((初度設備!$H$3-初度設備!$I$3)/初度設備!$H$3),0)</f>
        <v>0</v>
      </c>
      <c r="D231" s="69">
        <f t="shared" si="56"/>
        <v>0</v>
      </c>
      <c r="E231" s="68">
        <f>IFERROR(SUMIF(人工呼吸器!$C$30:$C$74,B231,人工呼吸器!$N$30:$N$74)*((人工呼吸器!$H$3-人工呼吸器!$I$3)/人工呼吸器!$H$3),0)</f>
        <v>0</v>
      </c>
      <c r="F231" s="69">
        <f t="shared" si="57"/>
        <v>0</v>
      </c>
      <c r="G231" s="69">
        <f t="shared" si="58"/>
        <v>0</v>
      </c>
      <c r="H231" s="69">
        <f t="shared" si="59"/>
        <v>0</v>
      </c>
      <c r="I231" s="68">
        <f>IFERROR(SUMIF(簡易陰圧装置!$C$30:$C$74,B231,簡易陰圧装置!$N$30:$N$74)*((簡易陰圧装置!$H$3-簡易陰圧装置!$I$3)/簡易陰圧装置!$H$3),0)</f>
        <v>0</v>
      </c>
      <c r="J231" s="69">
        <f t="shared" si="60"/>
        <v>0</v>
      </c>
      <c r="K231" s="68">
        <f>IFERROR(SUMIF(#REF!,B231,#REF!)*((#REF!-#REF!)/#REF!),0)</f>
        <v>0</v>
      </c>
      <c r="L231" s="69">
        <f t="shared" si="61"/>
        <v>0</v>
      </c>
      <c r="M231" s="68">
        <f>IFERROR(SUMIF(体外式膜型人工肺!$C$30:$C$74,B231,体外式膜型人工肺!$N$30:$N$74)*((体外式膜型人工肺!$H$3-体外式膜型人工肺!$I$3)/体外式膜型人工肺!$H$3),0)</f>
        <v>0</v>
      </c>
      <c r="N231" s="69">
        <f t="shared" si="62"/>
        <v>0</v>
      </c>
      <c r="O231" s="69">
        <f t="shared" si="63"/>
        <v>0</v>
      </c>
      <c r="P231" s="69">
        <f t="shared" si="64"/>
        <v>0</v>
      </c>
      <c r="Q231" s="68">
        <f>IFERROR(SUMIF(紫外線照射装置!$C$30:$C$74,B231,紫外線照射装置!$N$30:$N$74)*((紫外線照射装置!$H$3-紫外線照射装置!$I$3)/紫外線照射装置!$H$3),0)</f>
        <v>0</v>
      </c>
      <c r="R231" s="69">
        <f t="shared" si="65"/>
        <v>0</v>
      </c>
      <c r="S231" s="102">
        <f t="shared" si="66"/>
        <v>0</v>
      </c>
      <c r="T231" s="68">
        <f>IFERROR(SUMIF(超音波画像診断装置!$C$30:$C$74,B231,超音波画像診断装置!$K$30:$K$74)*((超音波画像診断装置!$H$3-超音波画像診断装置!$I$3)/超音波画像診断装置!$H$3),0)</f>
        <v>0</v>
      </c>
      <c r="U231" s="69">
        <f t="shared" si="67"/>
        <v>0</v>
      </c>
      <c r="V231" s="68">
        <f>IFERROR(SUMIF(血液浄化装置!$C$30:$C$74,B231,血液浄化装置!$K$30:$K$74)*((血液浄化装置!$H$3-血液浄化装置!$I$3)/血液浄化装置!$H$3),0)</f>
        <v>0</v>
      </c>
      <c r="W231" s="69">
        <f t="shared" si="68"/>
        <v>0</v>
      </c>
      <c r="X231" s="68">
        <f>IFERROR(SUMIF(気管支鏡!$C$30:$C$74,B231,気管支鏡!$K$30:$K$74)*((気管支鏡!$H$3-気管支鏡!$I$3)/気管支鏡!$H$3),0)</f>
        <v>0</v>
      </c>
      <c r="Y231" s="69">
        <f t="shared" si="54"/>
        <v>0</v>
      </c>
      <c r="Z231" s="68">
        <f>IFERROR(SUMIF(CT撮影装置!$C$30:$C$74,B231,CT撮影装置!$K$30:$K$74)*((CT撮影装置!$H$3-CT撮影装置!$I$3)/CT撮影装置!$H$3),0)</f>
        <v>0</v>
      </c>
      <c r="AA231" s="69">
        <f t="shared" si="69"/>
        <v>0</v>
      </c>
      <c r="AB231" s="68">
        <f>IFERROR(SUMIF(生体情報モニタ!$C$30:$C$74,B231,生体情報モニタ!$K$30:$K$74)*((生体情報モニタ!$H$3-生体情報モニタ!$I$3)/生体情報モニタ!$H$3),0)</f>
        <v>0</v>
      </c>
      <c r="AC231" s="69">
        <f t="shared" si="55"/>
        <v>0</v>
      </c>
      <c r="AD231" s="68">
        <f>IFERROR(SUMIF(分娩監視装置!$C$30:$C$74,B231,分娩監視装置!$K$30:$K$74)*((分娩監視装置!$H$3-分娩監視装置!$I$3)/分娩監視装置!$H$3),0)</f>
        <v>0</v>
      </c>
      <c r="AE231" s="69">
        <f t="shared" si="70"/>
        <v>0</v>
      </c>
      <c r="AF231" s="68">
        <f>IFERROR(SUMIF(新生児モニタ!$C$30:$C$74,B231,新生児モニタ!$K$30:$K$74)*((新生児モニタ!$H$3-新生児モニタ!$I$3)/新生児モニタ!$H$3),0)</f>
        <v>0</v>
      </c>
      <c r="AG231" s="69">
        <f t="shared" si="71"/>
        <v>0</v>
      </c>
    </row>
    <row r="232" spans="2:33">
      <c r="B232" s="65" t="s">
        <v>901</v>
      </c>
      <c r="C232" s="68">
        <f>IFERROR(SUMIF(初度設備!$C$30:$C$74,B232,初度設備!$N$30:$N$74)*((初度設備!$H$3-初度設備!$I$3)/初度設備!$H$3),0)</f>
        <v>0</v>
      </c>
      <c r="D232" s="69">
        <f t="shared" si="56"/>
        <v>0</v>
      </c>
      <c r="E232" s="68">
        <f>IFERROR(SUMIF(人工呼吸器!$C$30:$C$74,B232,人工呼吸器!$N$30:$N$74)*((人工呼吸器!$H$3-人工呼吸器!$I$3)/人工呼吸器!$H$3),0)</f>
        <v>0</v>
      </c>
      <c r="F232" s="69">
        <f t="shared" si="57"/>
        <v>0</v>
      </c>
      <c r="G232" s="69">
        <f t="shared" si="58"/>
        <v>0</v>
      </c>
      <c r="H232" s="69">
        <f t="shared" si="59"/>
        <v>0</v>
      </c>
      <c r="I232" s="68">
        <f>IFERROR(SUMIF(簡易陰圧装置!$C$30:$C$74,B232,簡易陰圧装置!$N$30:$N$74)*((簡易陰圧装置!$H$3-簡易陰圧装置!$I$3)/簡易陰圧装置!$H$3),0)</f>
        <v>0</v>
      </c>
      <c r="J232" s="69">
        <f t="shared" si="60"/>
        <v>0</v>
      </c>
      <c r="K232" s="68">
        <f>IFERROR(SUMIF(#REF!,B232,#REF!)*((#REF!-#REF!)/#REF!),0)</f>
        <v>0</v>
      </c>
      <c r="L232" s="69">
        <f t="shared" si="61"/>
        <v>0</v>
      </c>
      <c r="M232" s="68">
        <f>IFERROR(SUMIF(体外式膜型人工肺!$C$30:$C$74,B232,体外式膜型人工肺!$N$30:$N$74)*((体外式膜型人工肺!$H$3-体外式膜型人工肺!$I$3)/体外式膜型人工肺!$H$3),0)</f>
        <v>0</v>
      </c>
      <c r="N232" s="69">
        <f t="shared" si="62"/>
        <v>0</v>
      </c>
      <c r="O232" s="69">
        <f t="shared" si="63"/>
        <v>0</v>
      </c>
      <c r="P232" s="69">
        <f t="shared" si="64"/>
        <v>0</v>
      </c>
      <c r="Q232" s="68">
        <f>IFERROR(SUMIF(紫外線照射装置!$C$30:$C$74,B232,紫外線照射装置!$N$30:$N$74)*((紫外線照射装置!$H$3-紫外線照射装置!$I$3)/紫外線照射装置!$H$3),0)</f>
        <v>0</v>
      </c>
      <c r="R232" s="69">
        <f t="shared" si="65"/>
        <v>0</v>
      </c>
      <c r="S232" s="102">
        <f t="shared" si="66"/>
        <v>0</v>
      </c>
      <c r="T232" s="68">
        <f>IFERROR(SUMIF(超音波画像診断装置!$C$30:$C$74,B232,超音波画像診断装置!$K$30:$K$74)*((超音波画像診断装置!$H$3-超音波画像診断装置!$I$3)/超音波画像診断装置!$H$3),0)</f>
        <v>0</v>
      </c>
      <c r="U232" s="69">
        <f t="shared" si="67"/>
        <v>0</v>
      </c>
      <c r="V232" s="68">
        <f>IFERROR(SUMIF(血液浄化装置!$C$30:$C$74,B232,血液浄化装置!$K$30:$K$74)*((血液浄化装置!$H$3-血液浄化装置!$I$3)/血液浄化装置!$H$3),0)</f>
        <v>0</v>
      </c>
      <c r="W232" s="69">
        <f t="shared" si="68"/>
        <v>0</v>
      </c>
      <c r="X232" s="68">
        <f>IFERROR(SUMIF(気管支鏡!$C$30:$C$74,B232,気管支鏡!$K$30:$K$74)*((気管支鏡!$H$3-気管支鏡!$I$3)/気管支鏡!$H$3),0)</f>
        <v>0</v>
      </c>
      <c r="Y232" s="69">
        <f t="shared" si="54"/>
        <v>0</v>
      </c>
      <c r="Z232" s="68">
        <f>IFERROR(SUMIF(CT撮影装置!$C$30:$C$74,B232,CT撮影装置!$K$30:$K$74)*((CT撮影装置!$H$3-CT撮影装置!$I$3)/CT撮影装置!$H$3),0)</f>
        <v>0</v>
      </c>
      <c r="AA232" s="69">
        <f t="shared" si="69"/>
        <v>0</v>
      </c>
      <c r="AB232" s="68">
        <f>IFERROR(SUMIF(生体情報モニタ!$C$30:$C$74,B232,生体情報モニタ!$K$30:$K$74)*((生体情報モニタ!$H$3-生体情報モニタ!$I$3)/生体情報モニタ!$H$3),0)</f>
        <v>0</v>
      </c>
      <c r="AC232" s="69">
        <f t="shared" si="55"/>
        <v>0</v>
      </c>
      <c r="AD232" s="68">
        <f>IFERROR(SUMIF(分娩監視装置!$C$30:$C$74,B232,分娩監視装置!$K$30:$K$74)*((分娩監視装置!$H$3-分娩監視装置!$I$3)/分娩監視装置!$H$3),0)</f>
        <v>0</v>
      </c>
      <c r="AE232" s="69">
        <f t="shared" si="70"/>
        <v>0</v>
      </c>
      <c r="AF232" s="68">
        <f>IFERROR(SUMIF(新生児モニタ!$C$30:$C$74,B232,新生児モニタ!$K$30:$K$74)*((新生児モニタ!$H$3-新生児モニタ!$I$3)/新生児モニタ!$H$3),0)</f>
        <v>0</v>
      </c>
      <c r="AG232" s="69">
        <f t="shared" si="71"/>
        <v>0</v>
      </c>
    </row>
    <row r="233" spans="2:33">
      <c r="B233" s="65" t="s">
        <v>902</v>
      </c>
      <c r="C233" s="68">
        <f>IFERROR(SUMIF(初度設備!$C$30:$C$74,B233,初度設備!$N$30:$N$74)*((初度設備!$H$3-初度設備!$I$3)/初度設備!$H$3),0)</f>
        <v>0</v>
      </c>
      <c r="D233" s="69">
        <f t="shared" si="56"/>
        <v>0</v>
      </c>
      <c r="E233" s="68">
        <f>IFERROR(SUMIF(人工呼吸器!$C$30:$C$74,B233,人工呼吸器!$N$30:$N$74)*((人工呼吸器!$H$3-人工呼吸器!$I$3)/人工呼吸器!$H$3),0)</f>
        <v>0</v>
      </c>
      <c r="F233" s="69">
        <f t="shared" si="57"/>
        <v>0</v>
      </c>
      <c r="G233" s="69">
        <f t="shared" si="58"/>
        <v>0</v>
      </c>
      <c r="H233" s="69">
        <f t="shared" si="59"/>
        <v>0</v>
      </c>
      <c r="I233" s="68">
        <f>IFERROR(SUMIF(簡易陰圧装置!$C$30:$C$74,B233,簡易陰圧装置!$N$30:$N$74)*((簡易陰圧装置!$H$3-簡易陰圧装置!$I$3)/簡易陰圧装置!$H$3),0)</f>
        <v>0</v>
      </c>
      <c r="J233" s="69">
        <f t="shared" si="60"/>
        <v>0</v>
      </c>
      <c r="K233" s="68">
        <f>IFERROR(SUMIF(#REF!,B233,#REF!)*((#REF!-#REF!)/#REF!),0)</f>
        <v>0</v>
      </c>
      <c r="L233" s="69">
        <f t="shared" si="61"/>
        <v>0</v>
      </c>
      <c r="M233" s="68">
        <f>IFERROR(SUMIF(体外式膜型人工肺!$C$30:$C$74,B233,体外式膜型人工肺!$N$30:$N$74)*((体外式膜型人工肺!$H$3-体外式膜型人工肺!$I$3)/体外式膜型人工肺!$H$3),0)</f>
        <v>0</v>
      </c>
      <c r="N233" s="69">
        <f t="shared" si="62"/>
        <v>0</v>
      </c>
      <c r="O233" s="69">
        <f t="shared" si="63"/>
        <v>0</v>
      </c>
      <c r="P233" s="69">
        <f t="shared" si="64"/>
        <v>0</v>
      </c>
      <c r="Q233" s="68">
        <f>IFERROR(SUMIF(紫外線照射装置!$C$30:$C$74,B233,紫外線照射装置!$N$30:$N$74)*((紫外線照射装置!$H$3-紫外線照射装置!$I$3)/紫外線照射装置!$H$3),0)</f>
        <v>0</v>
      </c>
      <c r="R233" s="69">
        <f t="shared" si="65"/>
        <v>0</v>
      </c>
      <c r="S233" s="102">
        <f t="shared" si="66"/>
        <v>0</v>
      </c>
      <c r="T233" s="68">
        <f>IFERROR(SUMIF(超音波画像診断装置!$C$30:$C$74,B233,超音波画像診断装置!$K$30:$K$74)*((超音波画像診断装置!$H$3-超音波画像診断装置!$I$3)/超音波画像診断装置!$H$3),0)</f>
        <v>0</v>
      </c>
      <c r="U233" s="69">
        <f t="shared" si="67"/>
        <v>0</v>
      </c>
      <c r="V233" s="68">
        <f>IFERROR(SUMIF(血液浄化装置!$C$30:$C$74,B233,血液浄化装置!$K$30:$K$74)*((血液浄化装置!$H$3-血液浄化装置!$I$3)/血液浄化装置!$H$3),0)</f>
        <v>0</v>
      </c>
      <c r="W233" s="69">
        <f t="shared" si="68"/>
        <v>0</v>
      </c>
      <c r="X233" s="68">
        <f>IFERROR(SUMIF(気管支鏡!$C$30:$C$74,B233,気管支鏡!$K$30:$K$74)*((気管支鏡!$H$3-気管支鏡!$I$3)/気管支鏡!$H$3),0)</f>
        <v>0</v>
      </c>
      <c r="Y233" s="69">
        <f t="shared" si="54"/>
        <v>0</v>
      </c>
      <c r="Z233" s="68">
        <f>IFERROR(SUMIF(CT撮影装置!$C$30:$C$74,B233,CT撮影装置!$K$30:$K$74)*((CT撮影装置!$H$3-CT撮影装置!$I$3)/CT撮影装置!$H$3),0)</f>
        <v>0</v>
      </c>
      <c r="AA233" s="69">
        <f t="shared" si="69"/>
        <v>0</v>
      </c>
      <c r="AB233" s="68">
        <f>IFERROR(SUMIF(生体情報モニタ!$C$30:$C$74,B233,生体情報モニタ!$K$30:$K$74)*((生体情報モニタ!$H$3-生体情報モニタ!$I$3)/生体情報モニタ!$H$3),0)</f>
        <v>0</v>
      </c>
      <c r="AC233" s="69">
        <f t="shared" si="55"/>
        <v>0</v>
      </c>
      <c r="AD233" s="68">
        <f>IFERROR(SUMIF(分娩監視装置!$C$30:$C$74,B233,分娩監視装置!$K$30:$K$74)*((分娩監視装置!$H$3-分娩監視装置!$I$3)/分娩監視装置!$H$3),0)</f>
        <v>0</v>
      </c>
      <c r="AE233" s="69">
        <f t="shared" si="70"/>
        <v>0</v>
      </c>
      <c r="AF233" s="68">
        <f>IFERROR(SUMIF(新生児モニタ!$C$30:$C$74,B233,新生児モニタ!$K$30:$K$74)*((新生児モニタ!$H$3-新生児モニタ!$I$3)/新生児モニタ!$H$3),0)</f>
        <v>0</v>
      </c>
      <c r="AG233" s="69">
        <f t="shared" si="71"/>
        <v>0</v>
      </c>
    </row>
    <row r="234" spans="2:33">
      <c r="B234" s="65" t="s">
        <v>903</v>
      </c>
      <c r="C234" s="68">
        <f>IFERROR(SUMIF(初度設備!$C$30:$C$74,B234,初度設備!$N$30:$N$74)*((初度設備!$H$3-初度設備!$I$3)/初度設備!$H$3),0)</f>
        <v>0</v>
      </c>
      <c r="D234" s="69">
        <f t="shared" si="56"/>
        <v>0</v>
      </c>
      <c r="E234" s="68">
        <f>IFERROR(SUMIF(人工呼吸器!$C$30:$C$74,B234,人工呼吸器!$N$30:$N$74)*((人工呼吸器!$H$3-人工呼吸器!$I$3)/人工呼吸器!$H$3),0)</f>
        <v>0</v>
      </c>
      <c r="F234" s="69">
        <f t="shared" si="57"/>
        <v>0</v>
      </c>
      <c r="G234" s="69">
        <f t="shared" si="58"/>
        <v>0</v>
      </c>
      <c r="H234" s="69">
        <f t="shared" si="59"/>
        <v>0</v>
      </c>
      <c r="I234" s="68">
        <f>IFERROR(SUMIF(簡易陰圧装置!$C$30:$C$74,B234,簡易陰圧装置!$N$30:$N$74)*((簡易陰圧装置!$H$3-簡易陰圧装置!$I$3)/簡易陰圧装置!$H$3),0)</f>
        <v>0</v>
      </c>
      <c r="J234" s="69">
        <f t="shared" si="60"/>
        <v>0</v>
      </c>
      <c r="K234" s="68">
        <f>IFERROR(SUMIF(#REF!,B234,#REF!)*((#REF!-#REF!)/#REF!),0)</f>
        <v>0</v>
      </c>
      <c r="L234" s="69">
        <f t="shared" si="61"/>
        <v>0</v>
      </c>
      <c r="M234" s="68">
        <f>IFERROR(SUMIF(体外式膜型人工肺!$C$30:$C$74,B234,体外式膜型人工肺!$N$30:$N$74)*((体外式膜型人工肺!$H$3-体外式膜型人工肺!$I$3)/体外式膜型人工肺!$H$3),0)</f>
        <v>0</v>
      </c>
      <c r="N234" s="69">
        <f t="shared" si="62"/>
        <v>0</v>
      </c>
      <c r="O234" s="69">
        <f t="shared" si="63"/>
        <v>0</v>
      </c>
      <c r="P234" s="69">
        <f t="shared" si="64"/>
        <v>0</v>
      </c>
      <c r="Q234" s="68">
        <f>IFERROR(SUMIF(紫外線照射装置!$C$30:$C$74,B234,紫外線照射装置!$N$30:$N$74)*((紫外線照射装置!$H$3-紫外線照射装置!$I$3)/紫外線照射装置!$H$3),0)</f>
        <v>0</v>
      </c>
      <c r="R234" s="69">
        <f t="shared" si="65"/>
        <v>0</v>
      </c>
      <c r="S234" s="102">
        <f t="shared" si="66"/>
        <v>0</v>
      </c>
      <c r="T234" s="68">
        <f>IFERROR(SUMIF(超音波画像診断装置!$C$30:$C$74,B234,超音波画像診断装置!$K$30:$K$74)*((超音波画像診断装置!$H$3-超音波画像診断装置!$I$3)/超音波画像診断装置!$H$3),0)</f>
        <v>0</v>
      </c>
      <c r="U234" s="69">
        <f t="shared" si="67"/>
        <v>0</v>
      </c>
      <c r="V234" s="68">
        <f>IFERROR(SUMIF(血液浄化装置!$C$30:$C$74,B234,血液浄化装置!$K$30:$K$74)*((血液浄化装置!$H$3-血液浄化装置!$I$3)/血液浄化装置!$H$3),0)</f>
        <v>0</v>
      </c>
      <c r="W234" s="69">
        <f t="shared" si="68"/>
        <v>0</v>
      </c>
      <c r="X234" s="68">
        <f>IFERROR(SUMIF(気管支鏡!$C$30:$C$74,B234,気管支鏡!$K$30:$K$74)*((気管支鏡!$H$3-気管支鏡!$I$3)/気管支鏡!$H$3),0)</f>
        <v>0</v>
      </c>
      <c r="Y234" s="69">
        <f t="shared" si="54"/>
        <v>0</v>
      </c>
      <c r="Z234" s="68">
        <f>IFERROR(SUMIF(CT撮影装置!$C$30:$C$74,B234,CT撮影装置!$K$30:$K$74)*((CT撮影装置!$H$3-CT撮影装置!$I$3)/CT撮影装置!$H$3),0)</f>
        <v>0</v>
      </c>
      <c r="AA234" s="69">
        <f t="shared" si="69"/>
        <v>0</v>
      </c>
      <c r="AB234" s="68">
        <f>IFERROR(SUMIF(生体情報モニタ!$C$30:$C$74,B234,生体情報モニタ!$K$30:$K$74)*((生体情報モニタ!$H$3-生体情報モニタ!$I$3)/生体情報モニタ!$H$3),0)</f>
        <v>0</v>
      </c>
      <c r="AC234" s="69">
        <f t="shared" si="55"/>
        <v>0</v>
      </c>
      <c r="AD234" s="68">
        <f>IFERROR(SUMIF(分娩監視装置!$C$30:$C$74,B234,分娩監視装置!$K$30:$K$74)*((分娩監視装置!$H$3-分娩監視装置!$I$3)/分娩監視装置!$H$3),0)</f>
        <v>0</v>
      </c>
      <c r="AE234" s="69">
        <f t="shared" si="70"/>
        <v>0</v>
      </c>
      <c r="AF234" s="68">
        <f>IFERROR(SUMIF(新生児モニタ!$C$30:$C$74,B234,新生児モニタ!$K$30:$K$74)*((新生児モニタ!$H$3-新生児モニタ!$I$3)/新生児モニタ!$H$3),0)</f>
        <v>0</v>
      </c>
      <c r="AG234" s="69">
        <f t="shared" si="71"/>
        <v>0</v>
      </c>
    </row>
    <row r="235" spans="2:33">
      <c r="B235" s="65" t="s">
        <v>904</v>
      </c>
      <c r="C235" s="68">
        <f>IFERROR(SUMIF(初度設備!$C$30:$C$74,B235,初度設備!$N$30:$N$74)*((初度設備!$H$3-初度設備!$I$3)/初度設備!$H$3),0)</f>
        <v>0</v>
      </c>
      <c r="D235" s="69">
        <f t="shared" si="56"/>
        <v>0</v>
      </c>
      <c r="E235" s="68">
        <f>IFERROR(SUMIF(人工呼吸器!$C$30:$C$74,B235,人工呼吸器!$N$30:$N$74)*((人工呼吸器!$H$3-人工呼吸器!$I$3)/人工呼吸器!$H$3),0)</f>
        <v>0</v>
      </c>
      <c r="F235" s="69">
        <f t="shared" si="57"/>
        <v>0</v>
      </c>
      <c r="G235" s="69">
        <f t="shared" si="58"/>
        <v>0</v>
      </c>
      <c r="H235" s="69">
        <f t="shared" si="59"/>
        <v>0</v>
      </c>
      <c r="I235" s="68">
        <f>IFERROR(SUMIF(簡易陰圧装置!$C$30:$C$74,B235,簡易陰圧装置!$N$30:$N$74)*((簡易陰圧装置!$H$3-簡易陰圧装置!$I$3)/簡易陰圧装置!$H$3),0)</f>
        <v>0</v>
      </c>
      <c r="J235" s="69">
        <f t="shared" si="60"/>
        <v>0</v>
      </c>
      <c r="K235" s="68">
        <f>IFERROR(SUMIF(#REF!,B235,#REF!)*((#REF!-#REF!)/#REF!),0)</f>
        <v>0</v>
      </c>
      <c r="L235" s="69">
        <f t="shared" si="61"/>
        <v>0</v>
      </c>
      <c r="M235" s="68">
        <f>IFERROR(SUMIF(体外式膜型人工肺!$C$30:$C$74,B235,体外式膜型人工肺!$N$30:$N$74)*((体外式膜型人工肺!$H$3-体外式膜型人工肺!$I$3)/体外式膜型人工肺!$H$3),0)</f>
        <v>0</v>
      </c>
      <c r="N235" s="69">
        <f t="shared" si="62"/>
        <v>0</v>
      </c>
      <c r="O235" s="69">
        <f t="shared" si="63"/>
        <v>0</v>
      </c>
      <c r="P235" s="69">
        <f t="shared" si="64"/>
        <v>0</v>
      </c>
      <c r="Q235" s="68">
        <f>IFERROR(SUMIF(紫外線照射装置!$C$30:$C$74,B235,紫外線照射装置!$N$30:$N$74)*((紫外線照射装置!$H$3-紫外線照射装置!$I$3)/紫外線照射装置!$H$3),0)</f>
        <v>0</v>
      </c>
      <c r="R235" s="69">
        <f t="shared" si="65"/>
        <v>0</v>
      </c>
      <c r="S235" s="102">
        <f t="shared" si="66"/>
        <v>0</v>
      </c>
      <c r="T235" s="68">
        <f>IFERROR(SUMIF(超音波画像診断装置!$C$30:$C$74,B235,超音波画像診断装置!$K$30:$K$74)*((超音波画像診断装置!$H$3-超音波画像診断装置!$I$3)/超音波画像診断装置!$H$3),0)</f>
        <v>0</v>
      </c>
      <c r="U235" s="69">
        <f t="shared" si="67"/>
        <v>0</v>
      </c>
      <c r="V235" s="68">
        <f>IFERROR(SUMIF(血液浄化装置!$C$30:$C$74,B235,血液浄化装置!$K$30:$K$74)*((血液浄化装置!$H$3-血液浄化装置!$I$3)/血液浄化装置!$H$3),0)</f>
        <v>0</v>
      </c>
      <c r="W235" s="69">
        <f t="shared" si="68"/>
        <v>0</v>
      </c>
      <c r="X235" s="68">
        <f>IFERROR(SUMIF(気管支鏡!$C$30:$C$74,B235,気管支鏡!$K$30:$K$74)*((気管支鏡!$H$3-気管支鏡!$I$3)/気管支鏡!$H$3),0)</f>
        <v>0</v>
      </c>
      <c r="Y235" s="69">
        <f t="shared" si="54"/>
        <v>0</v>
      </c>
      <c r="Z235" s="68">
        <f>IFERROR(SUMIF(CT撮影装置!$C$30:$C$74,B235,CT撮影装置!$K$30:$K$74)*((CT撮影装置!$H$3-CT撮影装置!$I$3)/CT撮影装置!$H$3),0)</f>
        <v>0</v>
      </c>
      <c r="AA235" s="69">
        <f t="shared" si="69"/>
        <v>0</v>
      </c>
      <c r="AB235" s="68">
        <f>IFERROR(SUMIF(生体情報モニタ!$C$30:$C$74,B235,生体情報モニタ!$K$30:$K$74)*((生体情報モニタ!$H$3-生体情報モニタ!$I$3)/生体情報モニタ!$H$3),0)</f>
        <v>0</v>
      </c>
      <c r="AC235" s="69">
        <f t="shared" si="55"/>
        <v>0</v>
      </c>
      <c r="AD235" s="68">
        <f>IFERROR(SUMIF(分娩監視装置!$C$30:$C$74,B235,分娩監視装置!$K$30:$K$74)*((分娩監視装置!$H$3-分娩監視装置!$I$3)/分娩監視装置!$H$3),0)</f>
        <v>0</v>
      </c>
      <c r="AE235" s="69">
        <f t="shared" si="70"/>
        <v>0</v>
      </c>
      <c r="AF235" s="68">
        <f>IFERROR(SUMIF(新生児モニタ!$C$30:$C$74,B235,新生児モニタ!$K$30:$K$74)*((新生児モニタ!$H$3-新生児モニタ!$I$3)/新生児モニタ!$H$3),0)</f>
        <v>0</v>
      </c>
      <c r="AG235" s="69">
        <f t="shared" si="71"/>
        <v>0</v>
      </c>
    </row>
    <row r="236" spans="2:33">
      <c r="B236" s="65" t="s">
        <v>905</v>
      </c>
      <c r="C236" s="68">
        <f>IFERROR(SUMIF(初度設備!$C$30:$C$74,B236,初度設備!$N$30:$N$74)*((初度設備!$H$3-初度設備!$I$3)/初度設備!$H$3),0)</f>
        <v>0</v>
      </c>
      <c r="D236" s="69">
        <f t="shared" si="56"/>
        <v>0</v>
      </c>
      <c r="E236" s="68">
        <f>IFERROR(SUMIF(人工呼吸器!$C$30:$C$74,B236,人工呼吸器!$N$30:$N$74)*((人工呼吸器!$H$3-人工呼吸器!$I$3)/人工呼吸器!$H$3),0)</f>
        <v>0</v>
      </c>
      <c r="F236" s="69">
        <f t="shared" si="57"/>
        <v>0</v>
      </c>
      <c r="G236" s="69">
        <f t="shared" si="58"/>
        <v>0</v>
      </c>
      <c r="H236" s="69">
        <f t="shared" si="59"/>
        <v>0</v>
      </c>
      <c r="I236" s="68">
        <f>IFERROR(SUMIF(簡易陰圧装置!$C$30:$C$74,B236,簡易陰圧装置!$N$30:$N$74)*((簡易陰圧装置!$H$3-簡易陰圧装置!$I$3)/簡易陰圧装置!$H$3),0)</f>
        <v>0</v>
      </c>
      <c r="J236" s="69">
        <f t="shared" si="60"/>
        <v>0</v>
      </c>
      <c r="K236" s="68">
        <f>IFERROR(SUMIF(#REF!,B236,#REF!)*((#REF!-#REF!)/#REF!),0)</f>
        <v>0</v>
      </c>
      <c r="L236" s="69">
        <f t="shared" si="61"/>
        <v>0</v>
      </c>
      <c r="M236" s="68">
        <f>IFERROR(SUMIF(体外式膜型人工肺!$C$30:$C$74,B236,体外式膜型人工肺!$N$30:$N$74)*((体外式膜型人工肺!$H$3-体外式膜型人工肺!$I$3)/体外式膜型人工肺!$H$3),0)</f>
        <v>0</v>
      </c>
      <c r="N236" s="69">
        <f t="shared" si="62"/>
        <v>0</v>
      </c>
      <c r="O236" s="69">
        <f t="shared" si="63"/>
        <v>0</v>
      </c>
      <c r="P236" s="69">
        <f t="shared" si="64"/>
        <v>0</v>
      </c>
      <c r="Q236" s="68">
        <f>IFERROR(SUMIF(紫外線照射装置!$C$30:$C$74,B236,紫外線照射装置!$N$30:$N$74)*((紫外線照射装置!$H$3-紫外線照射装置!$I$3)/紫外線照射装置!$H$3),0)</f>
        <v>0</v>
      </c>
      <c r="R236" s="69">
        <f t="shared" si="65"/>
        <v>0</v>
      </c>
      <c r="S236" s="102">
        <f t="shared" si="66"/>
        <v>0</v>
      </c>
      <c r="T236" s="68">
        <f>IFERROR(SUMIF(超音波画像診断装置!$C$30:$C$74,B236,超音波画像診断装置!$K$30:$K$74)*((超音波画像診断装置!$H$3-超音波画像診断装置!$I$3)/超音波画像診断装置!$H$3),0)</f>
        <v>0</v>
      </c>
      <c r="U236" s="69">
        <f t="shared" si="67"/>
        <v>0</v>
      </c>
      <c r="V236" s="68">
        <f>IFERROR(SUMIF(血液浄化装置!$C$30:$C$74,B236,血液浄化装置!$K$30:$K$74)*((血液浄化装置!$H$3-血液浄化装置!$I$3)/血液浄化装置!$H$3),0)</f>
        <v>0</v>
      </c>
      <c r="W236" s="69">
        <f t="shared" si="68"/>
        <v>0</v>
      </c>
      <c r="X236" s="68">
        <f>IFERROR(SUMIF(気管支鏡!$C$30:$C$74,B236,気管支鏡!$K$30:$K$74)*((気管支鏡!$H$3-気管支鏡!$I$3)/気管支鏡!$H$3),0)</f>
        <v>0</v>
      </c>
      <c r="Y236" s="69">
        <f t="shared" si="54"/>
        <v>0</v>
      </c>
      <c r="Z236" s="68">
        <f>IFERROR(SUMIF(CT撮影装置!$C$30:$C$74,B236,CT撮影装置!$K$30:$K$74)*((CT撮影装置!$H$3-CT撮影装置!$I$3)/CT撮影装置!$H$3),0)</f>
        <v>0</v>
      </c>
      <c r="AA236" s="69">
        <f t="shared" si="69"/>
        <v>0</v>
      </c>
      <c r="AB236" s="68">
        <f>IFERROR(SUMIF(生体情報モニタ!$C$30:$C$74,B236,生体情報モニタ!$K$30:$K$74)*((生体情報モニタ!$H$3-生体情報モニタ!$I$3)/生体情報モニタ!$H$3),0)</f>
        <v>0</v>
      </c>
      <c r="AC236" s="69">
        <f t="shared" si="55"/>
        <v>0</v>
      </c>
      <c r="AD236" s="68">
        <f>IFERROR(SUMIF(分娩監視装置!$C$30:$C$74,B236,分娩監視装置!$K$30:$K$74)*((分娩監視装置!$H$3-分娩監視装置!$I$3)/分娩監視装置!$H$3),0)</f>
        <v>0</v>
      </c>
      <c r="AE236" s="69">
        <f t="shared" si="70"/>
        <v>0</v>
      </c>
      <c r="AF236" s="68">
        <f>IFERROR(SUMIF(新生児モニタ!$C$30:$C$74,B236,新生児モニタ!$K$30:$K$74)*((新生児モニタ!$H$3-新生児モニタ!$I$3)/新生児モニタ!$H$3),0)</f>
        <v>0</v>
      </c>
      <c r="AG236" s="69">
        <f t="shared" si="71"/>
        <v>0</v>
      </c>
    </row>
    <row r="237" spans="2:33">
      <c r="B237" s="65" t="s">
        <v>906</v>
      </c>
      <c r="C237" s="68">
        <f>IFERROR(SUMIF(初度設備!$C$30:$C$74,B237,初度設備!$N$30:$N$74)*((初度設備!$H$3-初度設備!$I$3)/初度設備!$H$3),0)</f>
        <v>0</v>
      </c>
      <c r="D237" s="69">
        <f t="shared" si="56"/>
        <v>0</v>
      </c>
      <c r="E237" s="68">
        <f>IFERROR(SUMIF(人工呼吸器!$C$30:$C$74,B237,人工呼吸器!$N$30:$N$74)*((人工呼吸器!$H$3-人工呼吸器!$I$3)/人工呼吸器!$H$3),0)</f>
        <v>0</v>
      </c>
      <c r="F237" s="69">
        <f t="shared" si="57"/>
        <v>0</v>
      </c>
      <c r="G237" s="69">
        <f t="shared" si="58"/>
        <v>0</v>
      </c>
      <c r="H237" s="69">
        <f t="shared" si="59"/>
        <v>0</v>
      </c>
      <c r="I237" s="68">
        <f>IFERROR(SUMIF(簡易陰圧装置!$C$30:$C$74,B237,簡易陰圧装置!$N$30:$N$74)*((簡易陰圧装置!$H$3-簡易陰圧装置!$I$3)/簡易陰圧装置!$H$3),0)</f>
        <v>0</v>
      </c>
      <c r="J237" s="69">
        <f t="shared" si="60"/>
        <v>0</v>
      </c>
      <c r="K237" s="68">
        <f>IFERROR(SUMIF(#REF!,B237,#REF!)*((#REF!-#REF!)/#REF!),0)</f>
        <v>0</v>
      </c>
      <c r="L237" s="69">
        <f t="shared" si="61"/>
        <v>0</v>
      </c>
      <c r="M237" s="68">
        <f>IFERROR(SUMIF(体外式膜型人工肺!$C$30:$C$74,B237,体外式膜型人工肺!$N$30:$N$74)*((体外式膜型人工肺!$H$3-体外式膜型人工肺!$I$3)/体外式膜型人工肺!$H$3),0)</f>
        <v>0</v>
      </c>
      <c r="N237" s="69">
        <f t="shared" si="62"/>
        <v>0</v>
      </c>
      <c r="O237" s="69">
        <f t="shared" si="63"/>
        <v>0</v>
      </c>
      <c r="P237" s="69">
        <f t="shared" si="64"/>
        <v>0</v>
      </c>
      <c r="Q237" s="68">
        <f>IFERROR(SUMIF(紫外線照射装置!$C$30:$C$74,B237,紫外線照射装置!$N$30:$N$74)*((紫外線照射装置!$H$3-紫外線照射装置!$I$3)/紫外線照射装置!$H$3),0)</f>
        <v>0</v>
      </c>
      <c r="R237" s="69">
        <f t="shared" si="65"/>
        <v>0</v>
      </c>
      <c r="S237" s="102">
        <f t="shared" si="66"/>
        <v>0</v>
      </c>
      <c r="T237" s="68">
        <f>IFERROR(SUMIF(超音波画像診断装置!$C$30:$C$74,B237,超音波画像診断装置!$K$30:$K$74)*((超音波画像診断装置!$H$3-超音波画像診断装置!$I$3)/超音波画像診断装置!$H$3),0)</f>
        <v>0</v>
      </c>
      <c r="U237" s="69">
        <f t="shared" si="67"/>
        <v>0</v>
      </c>
      <c r="V237" s="68">
        <f>IFERROR(SUMIF(血液浄化装置!$C$30:$C$74,B237,血液浄化装置!$K$30:$K$74)*((血液浄化装置!$H$3-血液浄化装置!$I$3)/血液浄化装置!$H$3),0)</f>
        <v>0</v>
      </c>
      <c r="W237" s="69">
        <f t="shared" si="68"/>
        <v>0</v>
      </c>
      <c r="X237" s="68">
        <f>IFERROR(SUMIF(気管支鏡!$C$30:$C$74,B237,気管支鏡!$K$30:$K$74)*((気管支鏡!$H$3-気管支鏡!$I$3)/気管支鏡!$H$3),0)</f>
        <v>0</v>
      </c>
      <c r="Y237" s="69">
        <f t="shared" si="54"/>
        <v>0</v>
      </c>
      <c r="Z237" s="68">
        <f>IFERROR(SUMIF(CT撮影装置!$C$30:$C$74,B237,CT撮影装置!$K$30:$K$74)*((CT撮影装置!$H$3-CT撮影装置!$I$3)/CT撮影装置!$H$3),0)</f>
        <v>0</v>
      </c>
      <c r="AA237" s="69">
        <f t="shared" si="69"/>
        <v>0</v>
      </c>
      <c r="AB237" s="68">
        <f>IFERROR(SUMIF(生体情報モニタ!$C$30:$C$74,B237,生体情報モニタ!$K$30:$K$74)*((生体情報モニタ!$H$3-生体情報モニタ!$I$3)/生体情報モニタ!$H$3),0)</f>
        <v>0</v>
      </c>
      <c r="AC237" s="69">
        <f t="shared" si="55"/>
        <v>0</v>
      </c>
      <c r="AD237" s="68">
        <f>IFERROR(SUMIF(分娩監視装置!$C$30:$C$74,B237,分娩監視装置!$K$30:$K$74)*((分娩監視装置!$H$3-分娩監視装置!$I$3)/分娩監視装置!$H$3),0)</f>
        <v>0</v>
      </c>
      <c r="AE237" s="69">
        <f t="shared" si="70"/>
        <v>0</v>
      </c>
      <c r="AF237" s="68">
        <f>IFERROR(SUMIF(新生児モニタ!$C$30:$C$74,B237,新生児モニタ!$K$30:$K$74)*((新生児モニタ!$H$3-新生児モニタ!$I$3)/新生児モニタ!$H$3),0)</f>
        <v>0</v>
      </c>
      <c r="AG237" s="69">
        <f t="shared" si="71"/>
        <v>0</v>
      </c>
    </row>
    <row r="238" spans="2:33">
      <c r="B238" s="65" t="s">
        <v>907</v>
      </c>
      <c r="C238" s="68">
        <f>IFERROR(SUMIF(初度設備!$C$30:$C$74,B238,初度設備!$N$30:$N$74)*((初度設備!$H$3-初度設備!$I$3)/初度設備!$H$3),0)</f>
        <v>0</v>
      </c>
      <c r="D238" s="69">
        <f t="shared" si="56"/>
        <v>0</v>
      </c>
      <c r="E238" s="68">
        <f>IFERROR(SUMIF(人工呼吸器!$C$30:$C$74,B238,人工呼吸器!$N$30:$N$74)*((人工呼吸器!$H$3-人工呼吸器!$I$3)/人工呼吸器!$H$3),0)</f>
        <v>0</v>
      </c>
      <c r="F238" s="69">
        <f t="shared" si="57"/>
        <v>0</v>
      </c>
      <c r="G238" s="69">
        <f t="shared" si="58"/>
        <v>0</v>
      </c>
      <c r="H238" s="69">
        <f t="shared" si="59"/>
        <v>0</v>
      </c>
      <c r="I238" s="68">
        <f>IFERROR(SUMIF(簡易陰圧装置!$C$30:$C$74,B238,簡易陰圧装置!$N$30:$N$74)*((簡易陰圧装置!$H$3-簡易陰圧装置!$I$3)/簡易陰圧装置!$H$3),0)</f>
        <v>0</v>
      </c>
      <c r="J238" s="69">
        <f t="shared" si="60"/>
        <v>0</v>
      </c>
      <c r="K238" s="68">
        <f>IFERROR(SUMIF(#REF!,B238,#REF!)*((#REF!-#REF!)/#REF!),0)</f>
        <v>0</v>
      </c>
      <c r="L238" s="69">
        <f t="shared" si="61"/>
        <v>0</v>
      </c>
      <c r="M238" s="68">
        <f>IFERROR(SUMIF(体外式膜型人工肺!$C$30:$C$74,B238,体外式膜型人工肺!$N$30:$N$74)*((体外式膜型人工肺!$H$3-体外式膜型人工肺!$I$3)/体外式膜型人工肺!$H$3),0)</f>
        <v>0</v>
      </c>
      <c r="N238" s="69">
        <f t="shared" si="62"/>
        <v>0</v>
      </c>
      <c r="O238" s="69">
        <f t="shared" si="63"/>
        <v>0</v>
      </c>
      <c r="P238" s="69">
        <f t="shared" si="64"/>
        <v>0</v>
      </c>
      <c r="Q238" s="68">
        <f>IFERROR(SUMIF(紫外線照射装置!$C$30:$C$74,B238,紫外線照射装置!$N$30:$N$74)*((紫外線照射装置!$H$3-紫外線照射装置!$I$3)/紫外線照射装置!$H$3),0)</f>
        <v>0</v>
      </c>
      <c r="R238" s="69">
        <f t="shared" si="65"/>
        <v>0</v>
      </c>
      <c r="S238" s="102">
        <f t="shared" si="66"/>
        <v>0</v>
      </c>
      <c r="T238" s="68">
        <f>IFERROR(SUMIF(超音波画像診断装置!$C$30:$C$74,B238,超音波画像診断装置!$K$30:$K$74)*((超音波画像診断装置!$H$3-超音波画像診断装置!$I$3)/超音波画像診断装置!$H$3),0)</f>
        <v>0</v>
      </c>
      <c r="U238" s="69">
        <f t="shared" si="67"/>
        <v>0</v>
      </c>
      <c r="V238" s="68">
        <f>IFERROR(SUMIF(血液浄化装置!$C$30:$C$74,B238,血液浄化装置!$K$30:$K$74)*((血液浄化装置!$H$3-血液浄化装置!$I$3)/血液浄化装置!$H$3),0)</f>
        <v>0</v>
      </c>
      <c r="W238" s="69">
        <f t="shared" si="68"/>
        <v>0</v>
      </c>
      <c r="X238" s="68">
        <f>IFERROR(SUMIF(気管支鏡!$C$30:$C$74,B238,気管支鏡!$K$30:$K$74)*((気管支鏡!$H$3-気管支鏡!$I$3)/気管支鏡!$H$3),0)</f>
        <v>0</v>
      </c>
      <c r="Y238" s="69">
        <f t="shared" si="54"/>
        <v>0</v>
      </c>
      <c r="Z238" s="68">
        <f>IFERROR(SUMIF(CT撮影装置!$C$30:$C$74,B238,CT撮影装置!$K$30:$K$74)*((CT撮影装置!$H$3-CT撮影装置!$I$3)/CT撮影装置!$H$3),0)</f>
        <v>0</v>
      </c>
      <c r="AA238" s="69">
        <f t="shared" si="69"/>
        <v>0</v>
      </c>
      <c r="AB238" s="68">
        <f>IFERROR(SUMIF(生体情報モニタ!$C$30:$C$74,B238,生体情報モニタ!$K$30:$K$74)*((生体情報モニタ!$H$3-生体情報モニタ!$I$3)/生体情報モニタ!$H$3),0)</f>
        <v>0</v>
      </c>
      <c r="AC238" s="69">
        <f t="shared" si="55"/>
        <v>0</v>
      </c>
      <c r="AD238" s="68">
        <f>IFERROR(SUMIF(分娩監視装置!$C$30:$C$74,B238,分娩監視装置!$K$30:$K$74)*((分娩監視装置!$H$3-分娩監視装置!$I$3)/分娩監視装置!$H$3),0)</f>
        <v>0</v>
      </c>
      <c r="AE238" s="69">
        <f t="shared" si="70"/>
        <v>0</v>
      </c>
      <c r="AF238" s="68">
        <f>IFERROR(SUMIF(新生児モニタ!$C$30:$C$74,B238,新生児モニタ!$K$30:$K$74)*((新生児モニタ!$H$3-新生児モニタ!$I$3)/新生児モニタ!$H$3),0)</f>
        <v>0</v>
      </c>
      <c r="AG238" s="69">
        <f t="shared" si="71"/>
        <v>0</v>
      </c>
    </row>
    <row r="239" spans="2:33">
      <c r="B239" s="65" t="s">
        <v>908</v>
      </c>
      <c r="C239" s="68">
        <f>IFERROR(SUMIF(初度設備!$C$30:$C$74,B239,初度設備!$N$30:$N$74)*((初度設備!$H$3-初度設備!$I$3)/初度設備!$H$3),0)</f>
        <v>0</v>
      </c>
      <c r="D239" s="69">
        <f t="shared" si="56"/>
        <v>0</v>
      </c>
      <c r="E239" s="68">
        <f>IFERROR(SUMIF(人工呼吸器!$C$30:$C$74,B239,人工呼吸器!$N$30:$N$74)*((人工呼吸器!$H$3-人工呼吸器!$I$3)/人工呼吸器!$H$3),0)</f>
        <v>0</v>
      </c>
      <c r="F239" s="69">
        <f t="shared" si="57"/>
        <v>0</v>
      </c>
      <c r="G239" s="69">
        <f t="shared" si="58"/>
        <v>0</v>
      </c>
      <c r="H239" s="69">
        <f t="shared" si="59"/>
        <v>0</v>
      </c>
      <c r="I239" s="68">
        <f>IFERROR(SUMIF(簡易陰圧装置!$C$30:$C$74,B239,簡易陰圧装置!$N$30:$N$74)*((簡易陰圧装置!$H$3-簡易陰圧装置!$I$3)/簡易陰圧装置!$H$3),0)</f>
        <v>0</v>
      </c>
      <c r="J239" s="69">
        <f t="shared" si="60"/>
        <v>0</v>
      </c>
      <c r="K239" s="68">
        <f>IFERROR(SUMIF(#REF!,B239,#REF!)*((#REF!-#REF!)/#REF!),0)</f>
        <v>0</v>
      </c>
      <c r="L239" s="69">
        <f t="shared" si="61"/>
        <v>0</v>
      </c>
      <c r="M239" s="68">
        <f>IFERROR(SUMIF(体外式膜型人工肺!$C$30:$C$74,B239,体外式膜型人工肺!$N$30:$N$74)*((体外式膜型人工肺!$H$3-体外式膜型人工肺!$I$3)/体外式膜型人工肺!$H$3),0)</f>
        <v>0</v>
      </c>
      <c r="N239" s="69">
        <f t="shared" si="62"/>
        <v>0</v>
      </c>
      <c r="O239" s="69">
        <f t="shared" si="63"/>
        <v>0</v>
      </c>
      <c r="P239" s="69">
        <f t="shared" si="64"/>
        <v>0</v>
      </c>
      <c r="Q239" s="68">
        <f>IFERROR(SUMIF(紫外線照射装置!$C$30:$C$74,B239,紫外線照射装置!$N$30:$N$74)*((紫外線照射装置!$H$3-紫外線照射装置!$I$3)/紫外線照射装置!$H$3),0)</f>
        <v>0</v>
      </c>
      <c r="R239" s="69">
        <f t="shared" si="65"/>
        <v>0</v>
      </c>
      <c r="S239" s="102">
        <f t="shared" si="66"/>
        <v>0</v>
      </c>
      <c r="T239" s="68">
        <f>IFERROR(SUMIF(超音波画像診断装置!$C$30:$C$74,B239,超音波画像診断装置!$K$30:$K$74)*((超音波画像診断装置!$H$3-超音波画像診断装置!$I$3)/超音波画像診断装置!$H$3),0)</f>
        <v>0</v>
      </c>
      <c r="U239" s="69">
        <f t="shared" si="67"/>
        <v>0</v>
      </c>
      <c r="V239" s="68">
        <f>IFERROR(SUMIF(血液浄化装置!$C$30:$C$74,B239,血液浄化装置!$K$30:$K$74)*((血液浄化装置!$H$3-血液浄化装置!$I$3)/血液浄化装置!$H$3),0)</f>
        <v>0</v>
      </c>
      <c r="W239" s="69">
        <f t="shared" si="68"/>
        <v>0</v>
      </c>
      <c r="X239" s="68">
        <f>IFERROR(SUMIF(気管支鏡!$C$30:$C$74,B239,気管支鏡!$K$30:$K$74)*((気管支鏡!$H$3-気管支鏡!$I$3)/気管支鏡!$H$3),0)</f>
        <v>0</v>
      </c>
      <c r="Y239" s="69">
        <f t="shared" si="54"/>
        <v>0</v>
      </c>
      <c r="Z239" s="68">
        <f>IFERROR(SUMIF(CT撮影装置!$C$30:$C$74,B239,CT撮影装置!$K$30:$K$74)*((CT撮影装置!$H$3-CT撮影装置!$I$3)/CT撮影装置!$H$3),0)</f>
        <v>0</v>
      </c>
      <c r="AA239" s="69">
        <f t="shared" si="69"/>
        <v>0</v>
      </c>
      <c r="AB239" s="68">
        <f>IFERROR(SUMIF(生体情報モニタ!$C$30:$C$74,B239,生体情報モニタ!$K$30:$K$74)*((生体情報モニタ!$H$3-生体情報モニタ!$I$3)/生体情報モニタ!$H$3),0)</f>
        <v>0</v>
      </c>
      <c r="AC239" s="69">
        <f t="shared" si="55"/>
        <v>0</v>
      </c>
      <c r="AD239" s="68">
        <f>IFERROR(SUMIF(分娩監視装置!$C$30:$C$74,B239,分娩監視装置!$K$30:$K$74)*((分娩監視装置!$H$3-分娩監視装置!$I$3)/分娩監視装置!$H$3),0)</f>
        <v>0</v>
      </c>
      <c r="AE239" s="69">
        <f t="shared" si="70"/>
        <v>0</v>
      </c>
      <c r="AF239" s="68">
        <f>IFERROR(SUMIF(新生児モニタ!$C$30:$C$74,B239,新生児モニタ!$K$30:$K$74)*((新生児モニタ!$H$3-新生児モニタ!$I$3)/新生児モニタ!$H$3),0)</f>
        <v>0</v>
      </c>
      <c r="AG239" s="69">
        <f t="shared" si="71"/>
        <v>0</v>
      </c>
    </row>
    <row r="240" spans="2:33">
      <c r="B240" s="65" t="s">
        <v>909</v>
      </c>
      <c r="C240" s="68">
        <f>IFERROR(SUMIF(初度設備!$C$30:$C$74,B240,初度設備!$N$30:$N$74)*((初度設備!$H$3-初度設備!$I$3)/初度設備!$H$3),0)</f>
        <v>0</v>
      </c>
      <c r="D240" s="69">
        <f t="shared" si="56"/>
        <v>0</v>
      </c>
      <c r="E240" s="68">
        <f>IFERROR(SUMIF(人工呼吸器!$C$30:$C$74,B240,人工呼吸器!$N$30:$N$74)*((人工呼吸器!$H$3-人工呼吸器!$I$3)/人工呼吸器!$H$3),0)</f>
        <v>0</v>
      </c>
      <c r="F240" s="69">
        <f t="shared" si="57"/>
        <v>0</v>
      </c>
      <c r="G240" s="69">
        <f t="shared" si="58"/>
        <v>0</v>
      </c>
      <c r="H240" s="69">
        <f t="shared" si="59"/>
        <v>0</v>
      </c>
      <c r="I240" s="68">
        <f>IFERROR(SUMIF(簡易陰圧装置!$C$30:$C$74,B240,簡易陰圧装置!$N$30:$N$74)*((簡易陰圧装置!$H$3-簡易陰圧装置!$I$3)/簡易陰圧装置!$H$3),0)</f>
        <v>0</v>
      </c>
      <c r="J240" s="69">
        <f t="shared" si="60"/>
        <v>0</v>
      </c>
      <c r="K240" s="68">
        <f>IFERROR(SUMIF(#REF!,B240,#REF!)*((#REF!-#REF!)/#REF!),0)</f>
        <v>0</v>
      </c>
      <c r="L240" s="69">
        <f t="shared" si="61"/>
        <v>0</v>
      </c>
      <c r="M240" s="68">
        <f>IFERROR(SUMIF(体外式膜型人工肺!$C$30:$C$74,B240,体外式膜型人工肺!$N$30:$N$74)*((体外式膜型人工肺!$H$3-体外式膜型人工肺!$I$3)/体外式膜型人工肺!$H$3),0)</f>
        <v>0</v>
      </c>
      <c r="N240" s="69">
        <f t="shared" si="62"/>
        <v>0</v>
      </c>
      <c r="O240" s="69">
        <f t="shared" si="63"/>
        <v>0</v>
      </c>
      <c r="P240" s="69">
        <f t="shared" si="64"/>
        <v>0</v>
      </c>
      <c r="Q240" s="68">
        <f>IFERROR(SUMIF(紫外線照射装置!$C$30:$C$74,B240,紫外線照射装置!$N$30:$N$74)*((紫外線照射装置!$H$3-紫外線照射装置!$I$3)/紫外線照射装置!$H$3),0)</f>
        <v>0</v>
      </c>
      <c r="R240" s="69">
        <f t="shared" si="65"/>
        <v>0</v>
      </c>
      <c r="S240" s="102">
        <f t="shared" si="66"/>
        <v>0</v>
      </c>
      <c r="T240" s="68">
        <f>IFERROR(SUMIF(超音波画像診断装置!$C$30:$C$74,B240,超音波画像診断装置!$K$30:$K$74)*((超音波画像診断装置!$H$3-超音波画像診断装置!$I$3)/超音波画像診断装置!$H$3),0)</f>
        <v>0</v>
      </c>
      <c r="U240" s="69">
        <f t="shared" si="67"/>
        <v>0</v>
      </c>
      <c r="V240" s="68">
        <f>IFERROR(SUMIF(血液浄化装置!$C$30:$C$74,B240,血液浄化装置!$K$30:$K$74)*((血液浄化装置!$H$3-血液浄化装置!$I$3)/血液浄化装置!$H$3),0)</f>
        <v>0</v>
      </c>
      <c r="W240" s="69">
        <f t="shared" si="68"/>
        <v>0</v>
      </c>
      <c r="X240" s="68">
        <f>IFERROR(SUMIF(気管支鏡!$C$30:$C$74,B240,気管支鏡!$K$30:$K$74)*((気管支鏡!$H$3-気管支鏡!$I$3)/気管支鏡!$H$3),0)</f>
        <v>0</v>
      </c>
      <c r="Y240" s="69">
        <f t="shared" si="54"/>
        <v>0</v>
      </c>
      <c r="Z240" s="68">
        <f>IFERROR(SUMIF(CT撮影装置!$C$30:$C$74,B240,CT撮影装置!$K$30:$K$74)*((CT撮影装置!$H$3-CT撮影装置!$I$3)/CT撮影装置!$H$3),0)</f>
        <v>0</v>
      </c>
      <c r="AA240" s="69">
        <f t="shared" si="69"/>
        <v>0</v>
      </c>
      <c r="AB240" s="68">
        <f>IFERROR(SUMIF(生体情報モニタ!$C$30:$C$74,B240,生体情報モニタ!$K$30:$K$74)*((生体情報モニタ!$H$3-生体情報モニタ!$I$3)/生体情報モニタ!$H$3),0)</f>
        <v>0</v>
      </c>
      <c r="AC240" s="69">
        <f t="shared" si="55"/>
        <v>0</v>
      </c>
      <c r="AD240" s="68">
        <f>IFERROR(SUMIF(分娩監視装置!$C$30:$C$74,B240,分娩監視装置!$K$30:$K$74)*((分娩監視装置!$H$3-分娩監視装置!$I$3)/分娩監視装置!$H$3),0)</f>
        <v>0</v>
      </c>
      <c r="AE240" s="69">
        <f t="shared" si="70"/>
        <v>0</v>
      </c>
      <c r="AF240" s="68">
        <f>IFERROR(SUMIF(新生児モニタ!$C$30:$C$74,B240,新生児モニタ!$K$30:$K$74)*((新生児モニタ!$H$3-新生児モニタ!$I$3)/新生児モニタ!$H$3),0)</f>
        <v>0</v>
      </c>
      <c r="AG240" s="69">
        <f t="shared" si="71"/>
        <v>0</v>
      </c>
    </row>
    <row r="241" spans="2:33">
      <c r="B241" s="65" t="s">
        <v>910</v>
      </c>
      <c r="C241" s="68">
        <f>IFERROR(SUMIF(初度設備!$C$30:$C$74,B241,初度設備!$N$30:$N$74)*((初度設備!$H$3-初度設備!$I$3)/初度設備!$H$3),0)</f>
        <v>0</v>
      </c>
      <c r="D241" s="69">
        <f t="shared" si="56"/>
        <v>0</v>
      </c>
      <c r="E241" s="68">
        <f>IFERROR(SUMIF(人工呼吸器!$C$30:$C$74,B241,人工呼吸器!$N$30:$N$74)*((人工呼吸器!$H$3-人工呼吸器!$I$3)/人工呼吸器!$H$3),0)</f>
        <v>0</v>
      </c>
      <c r="F241" s="69">
        <f t="shared" si="57"/>
        <v>0</v>
      </c>
      <c r="G241" s="69">
        <f t="shared" si="58"/>
        <v>0</v>
      </c>
      <c r="H241" s="69">
        <f t="shared" si="59"/>
        <v>0</v>
      </c>
      <c r="I241" s="68">
        <f>IFERROR(SUMIF(簡易陰圧装置!$C$30:$C$74,B241,簡易陰圧装置!$N$30:$N$74)*((簡易陰圧装置!$H$3-簡易陰圧装置!$I$3)/簡易陰圧装置!$H$3),0)</f>
        <v>0</v>
      </c>
      <c r="J241" s="69">
        <f t="shared" si="60"/>
        <v>0</v>
      </c>
      <c r="K241" s="68">
        <f>IFERROR(SUMIF(#REF!,B241,#REF!)*((#REF!-#REF!)/#REF!),0)</f>
        <v>0</v>
      </c>
      <c r="L241" s="69">
        <f t="shared" si="61"/>
        <v>0</v>
      </c>
      <c r="M241" s="68">
        <f>IFERROR(SUMIF(体外式膜型人工肺!$C$30:$C$74,B241,体外式膜型人工肺!$N$30:$N$74)*((体外式膜型人工肺!$H$3-体外式膜型人工肺!$I$3)/体外式膜型人工肺!$H$3),0)</f>
        <v>0</v>
      </c>
      <c r="N241" s="69">
        <f t="shared" si="62"/>
        <v>0</v>
      </c>
      <c r="O241" s="69">
        <f t="shared" si="63"/>
        <v>0</v>
      </c>
      <c r="P241" s="69">
        <f t="shared" si="64"/>
        <v>0</v>
      </c>
      <c r="Q241" s="68">
        <f>IFERROR(SUMIF(紫外線照射装置!$C$30:$C$74,B241,紫外線照射装置!$N$30:$N$74)*((紫外線照射装置!$H$3-紫外線照射装置!$I$3)/紫外線照射装置!$H$3),0)</f>
        <v>0</v>
      </c>
      <c r="R241" s="69">
        <f t="shared" si="65"/>
        <v>0</v>
      </c>
      <c r="S241" s="102">
        <f t="shared" si="66"/>
        <v>0</v>
      </c>
      <c r="T241" s="68">
        <f>IFERROR(SUMIF(超音波画像診断装置!$C$30:$C$74,B241,超音波画像診断装置!$K$30:$K$74)*((超音波画像診断装置!$H$3-超音波画像診断装置!$I$3)/超音波画像診断装置!$H$3),0)</f>
        <v>0</v>
      </c>
      <c r="U241" s="69">
        <f t="shared" si="67"/>
        <v>0</v>
      </c>
      <c r="V241" s="68">
        <f>IFERROR(SUMIF(血液浄化装置!$C$30:$C$74,B241,血液浄化装置!$K$30:$K$74)*((血液浄化装置!$H$3-血液浄化装置!$I$3)/血液浄化装置!$H$3),0)</f>
        <v>0</v>
      </c>
      <c r="W241" s="69">
        <f t="shared" si="68"/>
        <v>0</v>
      </c>
      <c r="X241" s="68">
        <f>IFERROR(SUMIF(気管支鏡!$C$30:$C$74,B241,気管支鏡!$K$30:$K$74)*((気管支鏡!$H$3-気管支鏡!$I$3)/気管支鏡!$H$3),0)</f>
        <v>0</v>
      </c>
      <c r="Y241" s="69">
        <f t="shared" si="54"/>
        <v>0</v>
      </c>
      <c r="Z241" s="68">
        <f>IFERROR(SUMIF(CT撮影装置!$C$30:$C$74,B241,CT撮影装置!$K$30:$K$74)*((CT撮影装置!$H$3-CT撮影装置!$I$3)/CT撮影装置!$H$3),0)</f>
        <v>0</v>
      </c>
      <c r="AA241" s="69">
        <f t="shared" si="69"/>
        <v>0</v>
      </c>
      <c r="AB241" s="68">
        <f>IFERROR(SUMIF(生体情報モニタ!$C$30:$C$74,B241,生体情報モニタ!$K$30:$K$74)*((生体情報モニタ!$H$3-生体情報モニタ!$I$3)/生体情報モニタ!$H$3),0)</f>
        <v>0</v>
      </c>
      <c r="AC241" s="69">
        <f t="shared" si="55"/>
        <v>0</v>
      </c>
      <c r="AD241" s="68">
        <f>IFERROR(SUMIF(分娩監視装置!$C$30:$C$74,B241,分娩監視装置!$K$30:$K$74)*((分娩監視装置!$H$3-分娩監視装置!$I$3)/分娩監視装置!$H$3),0)</f>
        <v>0</v>
      </c>
      <c r="AE241" s="69">
        <f t="shared" si="70"/>
        <v>0</v>
      </c>
      <c r="AF241" s="68">
        <f>IFERROR(SUMIF(新生児モニタ!$C$30:$C$74,B241,新生児モニタ!$K$30:$K$74)*((新生児モニタ!$H$3-新生児モニタ!$I$3)/新生児モニタ!$H$3),0)</f>
        <v>0</v>
      </c>
      <c r="AG241" s="69">
        <f t="shared" si="71"/>
        <v>0</v>
      </c>
    </row>
    <row r="242" spans="2:33">
      <c r="B242" s="65" t="s">
        <v>911</v>
      </c>
      <c r="C242" s="68">
        <f>IFERROR(SUMIF(初度設備!$C$30:$C$74,B242,初度設備!$N$30:$N$74)*((初度設備!$H$3-初度設備!$I$3)/初度設備!$H$3),0)</f>
        <v>0</v>
      </c>
      <c r="D242" s="69">
        <f t="shared" si="56"/>
        <v>0</v>
      </c>
      <c r="E242" s="68">
        <f>IFERROR(SUMIF(人工呼吸器!$C$30:$C$74,B242,人工呼吸器!$N$30:$N$74)*((人工呼吸器!$H$3-人工呼吸器!$I$3)/人工呼吸器!$H$3),0)</f>
        <v>0</v>
      </c>
      <c r="F242" s="69">
        <f t="shared" si="57"/>
        <v>0</v>
      </c>
      <c r="G242" s="69">
        <f t="shared" si="58"/>
        <v>0</v>
      </c>
      <c r="H242" s="69">
        <f t="shared" si="59"/>
        <v>0</v>
      </c>
      <c r="I242" s="68">
        <f>IFERROR(SUMIF(簡易陰圧装置!$C$30:$C$74,B242,簡易陰圧装置!$N$30:$N$74)*((簡易陰圧装置!$H$3-簡易陰圧装置!$I$3)/簡易陰圧装置!$H$3),0)</f>
        <v>0</v>
      </c>
      <c r="J242" s="69">
        <f t="shared" si="60"/>
        <v>0</v>
      </c>
      <c r="K242" s="68">
        <f>IFERROR(SUMIF(#REF!,B242,#REF!)*((#REF!-#REF!)/#REF!),0)</f>
        <v>0</v>
      </c>
      <c r="L242" s="69">
        <f t="shared" si="61"/>
        <v>0</v>
      </c>
      <c r="M242" s="68">
        <f>IFERROR(SUMIF(体外式膜型人工肺!$C$30:$C$74,B242,体外式膜型人工肺!$N$30:$N$74)*((体外式膜型人工肺!$H$3-体外式膜型人工肺!$I$3)/体外式膜型人工肺!$H$3),0)</f>
        <v>0</v>
      </c>
      <c r="N242" s="69">
        <f t="shared" si="62"/>
        <v>0</v>
      </c>
      <c r="O242" s="69">
        <f t="shared" si="63"/>
        <v>0</v>
      </c>
      <c r="P242" s="69">
        <f t="shared" si="64"/>
        <v>0</v>
      </c>
      <c r="Q242" s="68">
        <f>IFERROR(SUMIF(紫外線照射装置!$C$30:$C$74,B242,紫外線照射装置!$N$30:$N$74)*((紫外線照射装置!$H$3-紫外線照射装置!$I$3)/紫外線照射装置!$H$3),0)</f>
        <v>0</v>
      </c>
      <c r="R242" s="69">
        <f t="shared" si="65"/>
        <v>0</v>
      </c>
      <c r="S242" s="102">
        <f t="shared" si="66"/>
        <v>0</v>
      </c>
      <c r="T242" s="68">
        <f>IFERROR(SUMIF(超音波画像診断装置!$C$30:$C$74,B242,超音波画像診断装置!$K$30:$K$74)*((超音波画像診断装置!$H$3-超音波画像診断装置!$I$3)/超音波画像診断装置!$H$3),0)</f>
        <v>0</v>
      </c>
      <c r="U242" s="69">
        <f t="shared" si="67"/>
        <v>0</v>
      </c>
      <c r="V242" s="68">
        <f>IFERROR(SUMIF(血液浄化装置!$C$30:$C$74,B242,血液浄化装置!$K$30:$K$74)*((血液浄化装置!$H$3-血液浄化装置!$I$3)/血液浄化装置!$H$3),0)</f>
        <v>0</v>
      </c>
      <c r="W242" s="69">
        <f t="shared" si="68"/>
        <v>0</v>
      </c>
      <c r="X242" s="68">
        <f>IFERROR(SUMIF(気管支鏡!$C$30:$C$74,B242,気管支鏡!$K$30:$K$74)*((気管支鏡!$H$3-気管支鏡!$I$3)/気管支鏡!$H$3),0)</f>
        <v>0</v>
      </c>
      <c r="Y242" s="69">
        <f t="shared" si="54"/>
        <v>0</v>
      </c>
      <c r="Z242" s="68">
        <f>IFERROR(SUMIF(CT撮影装置!$C$30:$C$74,B242,CT撮影装置!$K$30:$K$74)*((CT撮影装置!$H$3-CT撮影装置!$I$3)/CT撮影装置!$H$3),0)</f>
        <v>0</v>
      </c>
      <c r="AA242" s="69">
        <f t="shared" si="69"/>
        <v>0</v>
      </c>
      <c r="AB242" s="68">
        <f>IFERROR(SUMIF(生体情報モニタ!$C$30:$C$74,B242,生体情報モニタ!$K$30:$K$74)*((生体情報モニタ!$H$3-生体情報モニタ!$I$3)/生体情報モニタ!$H$3),0)</f>
        <v>0</v>
      </c>
      <c r="AC242" s="69">
        <f t="shared" si="55"/>
        <v>0</v>
      </c>
      <c r="AD242" s="68">
        <f>IFERROR(SUMIF(分娩監視装置!$C$30:$C$74,B242,分娩監視装置!$K$30:$K$74)*((分娩監視装置!$H$3-分娩監視装置!$I$3)/分娩監視装置!$H$3),0)</f>
        <v>0</v>
      </c>
      <c r="AE242" s="69">
        <f t="shared" si="70"/>
        <v>0</v>
      </c>
      <c r="AF242" s="68">
        <f>IFERROR(SUMIF(新生児モニタ!$C$30:$C$74,B242,新生児モニタ!$K$30:$K$74)*((新生児モニタ!$H$3-新生児モニタ!$I$3)/新生児モニタ!$H$3),0)</f>
        <v>0</v>
      </c>
      <c r="AG242" s="69">
        <f t="shared" si="71"/>
        <v>0</v>
      </c>
    </row>
    <row r="243" spans="2:33">
      <c r="B243" s="65" t="s">
        <v>912</v>
      </c>
      <c r="C243" s="68">
        <f>IFERROR(SUMIF(初度設備!$C$30:$C$74,B243,初度設備!$N$30:$N$74)*((初度設備!$H$3-初度設備!$I$3)/初度設備!$H$3),0)</f>
        <v>0</v>
      </c>
      <c r="D243" s="69">
        <f t="shared" si="56"/>
        <v>0</v>
      </c>
      <c r="E243" s="68">
        <f>IFERROR(SUMIF(人工呼吸器!$C$30:$C$74,B243,人工呼吸器!$N$30:$N$74)*((人工呼吸器!$H$3-人工呼吸器!$I$3)/人工呼吸器!$H$3),0)</f>
        <v>0</v>
      </c>
      <c r="F243" s="69">
        <f t="shared" si="57"/>
        <v>0</v>
      </c>
      <c r="G243" s="69">
        <f t="shared" si="58"/>
        <v>0</v>
      </c>
      <c r="H243" s="69">
        <f t="shared" si="59"/>
        <v>0</v>
      </c>
      <c r="I243" s="68">
        <f>IFERROR(SUMIF(簡易陰圧装置!$C$30:$C$74,B243,簡易陰圧装置!$N$30:$N$74)*((簡易陰圧装置!$H$3-簡易陰圧装置!$I$3)/簡易陰圧装置!$H$3),0)</f>
        <v>0</v>
      </c>
      <c r="J243" s="69">
        <f t="shared" si="60"/>
        <v>0</v>
      </c>
      <c r="K243" s="68">
        <f>IFERROR(SUMIF(#REF!,B243,#REF!)*((#REF!-#REF!)/#REF!),0)</f>
        <v>0</v>
      </c>
      <c r="L243" s="69">
        <f t="shared" si="61"/>
        <v>0</v>
      </c>
      <c r="M243" s="68">
        <f>IFERROR(SUMIF(体外式膜型人工肺!$C$30:$C$74,B243,体外式膜型人工肺!$N$30:$N$74)*((体外式膜型人工肺!$H$3-体外式膜型人工肺!$I$3)/体外式膜型人工肺!$H$3),0)</f>
        <v>0</v>
      </c>
      <c r="N243" s="69">
        <f t="shared" si="62"/>
        <v>0</v>
      </c>
      <c r="O243" s="69">
        <f t="shared" si="63"/>
        <v>0</v>
      </c>
      <c r="P243" s="69">
        <f t="shared" si="64"/>
        <v>0</v>
      </c>
      <c r="Q243" s="68">
        <f>IFERROR(SUMIF(紫外線照射装置!$C$30:$C$74,B243,紫外線照射装置!$N$30:$N$74)*((紫外線照射装置!$H$3-紫外線照射装置!$I$3)/紫外線照射装置!$H$3),0)</f>
        <v>0</v>
      </c>
      <c r="R243" s="69">
        <f t="shared" si="65"/>
        <v>0</v>
      </c>
      <c r="S243" s="102">
        <f t="shared" si="66"/>
        <v>0</v>
      </c>
      <c r="T243" s="68">
        <f>IFERROR(SUMIF(超音波画像診断装置!$C$30:$C$74,B243,超音波画像診断装置!$K$30:$K$74)*((超音波画像診断装置!$H$3-超音波画像診断装置!$I$3)/超音波画像診断装置!$H$3),0)</f>
        <v>0</v>
      </c>
      <c r="U243" s="69">
        <f t="shared" si="67"/>
        <v>0</v>
      </c>
      <c r="V243" s="68">
        <f>IFERROR(SUMIF(血液浄化装置!$C$30:$C$74,B243,血液浄化装置!$K$30:$K$74)*((血液浄化装置!$H$3-血液浄化装置!$I$3)/血液浄化装置!$H$3),0)</f>
        <v>0</v>
      </c>
      <c r="W243" s="69">
        <f t="shared" si="68"/>
        <v>0</v>
      </c>
      <c r="X243" s="68">
        <f>IFERROR(SUMIF(気管支鏡!$C$30:$C$74,B243,気管支鏡!$K$30:$K$74)*((気管支鏡!$H$3-気管支鏡!$I$3)/気管支鏡!$H$3),0)</f>
        <v>0</v>
      </c>
      <c r="Y243" s="69">
        <f t="shared" si="54"/>
        <v>0</v>
      </c>
      <c r="Z243" s="68">
        <f>IFERROR(SUMIF(CT撮影装置!$C$30:$C$74,B243,CT撮影装置!$K$30:$K$74)*((CT撮影装置!$H$3-CT撮影装置!$I$3)/CT撮影装置!$H$3),0)</f>
        <v>0</v>
      </c>
      <c r="AA243" s="69">
        <f t="shared" si="69"/>
        <v>0</v>
      </c>
      <c r="AB243" s="68">
        <f>IFERROR(SUMIF(生体情報モニタ!$C$30:$C$74,B243,生体情報モニタ!$K$30:$K$74)*((生体情報モニタ!$H$3-生体情報モニタ!$I$3)/生体情報モニタ!$H$3),0)</f>
        <v>0</v>
      </c>
      <c r="AC243" s="69">
        <f t="shared" si="55"/>
        <v>0</v>
      </c>
      <c r="AD243" s="68">
        <f>IFERROR(SUMIF(分娩監視装置!$C$30:$C$74,B243,分娩監視装置!$K$30:$K$74)*((分娩監視装置!$H$3-分娩監視装置!$I$3)/分娩監視装置!$H$3),0)</f>
        <v>0</v>
      </c>
      <c r="AE243" s="69">
        <f t="shared" si="70"/>
        <v>0</v>
      </c>
      <c r="AF243" s="68">
        <f>IFERROR(SUMIF(新生児モニタ!$C$30:$C$74,B243,新生児モニタ!$K$30:$K$74)*((新生児モニタ!$H$3-新生児モニタ!$I$3)/新生児モニタ!$H$3),0)</f>
        <v>0</v>
      </c>
      <c r="AG243" s="69">
        <f t="shared" si="71"/>
        <v>0</v>
      </c>
    </row>
    <row r="244" spans="2:33">
      <c r="B244" s="65" t="s">
        <v>913</v>
      </c>
      <c r="C244" s="68">
        <f>IFERROR(SUMIF(初度設備!$C$30:$C$74,B244,初度設備!$N$30:$N$74)*((初度設備!$H$3-初度設備!$I$3)/初度設備!$H$3),0)</f>
        <v>0</v>
      </c>
      <c r="D244" s="69">
        <f t="shared" si="56"/>
        <v>0</v>
      </c>
      <c r="E244" s="68">
        <f>IFERROR(SUMIF(人工呼吸器!$C$30:$C$74,B244,人工呼吸器!$N$30:$N$74)*((人工呼吸器!$H$3-人工呼吸器!$I$3)/人工呼吸器!$H$3),0)</f>
        <v>0</v>
      </c>
      <c r="F244" s="69">
        <f t="shared" si="57"/>
        <v>0</v>
      </c>
      <c r="G244" s="69">
        <f t="shared" si="58"/>
        <v>0</v>
      </c>
      <c r="H244" s="69">
        <f t="shared" si="59"/>
        <v>0</v>
      </c>
      <c r="I244" s="68">
        <f>IFERROR(SUMIF(簡易陰圧装置!$C$30:$C$74,B244,簡易陰圧装置!$N$30:$N$74)*((簡易陰圧装置!$H$3-簡易陰圧装置!$I$3)/簡易陰圧装置!$H$3),0)</f>
        <v>0</v>
      </c>
      <c r="J244" s="69">
        <f t="shared" si="60"/>
        <v>0</v>
      </c>
      <c r="K244" s="68">
        <f>IFERROR(SUMIF(#REF!,B244,#REF!)*((#REF!-#REF!)/#REF!),0)</f>
        <v>0</v>
      </c>
      <c r="L244" s="69">
        <f t="shared" si="61"/>
        <v>0</v>
      </c>
      <c r="M244" s="68">
        <f>IFERROR(SUMIF(体外式膜型人工肺!$C$30:$C$74,B244,体外式膜型人工肺!$N$30:$N$74)*((体外式膜型人工肺!$H$3-体外式膜型人工肺!$I$3)/体外式膜型人工肺!$H$3),0)</f>
        <v>0</v>
      </c>
      <c r="N244" s="69">
        <f t="shared" si="62"/>
        <v>0</v>
      </c>
      <c r="O244" s="69">
        <f t="shared" si="63"/>
        <v>0</v>
      </c>
      <c r="P244" s="69">
        <f t="shared" si="64"/>
        <v>0</v>
      </c>
      <c r="Q244" s="68">
        <f>IFERROR(SUMIF(紫外線照射装置!$C$30:$C$74,B244,紫外線照射装置!$N$30:$N$74)*((紫外線照射装置!$H$3-紫外線照射装置!$I$3)/紫外線照射装置!$H$3),0)</f>
        <v>0</v>
      </c>
      <c r="R244" s="69">
        <f t="shared" si="65"/>
        <v>0</v>
      </c>
      <c r="S244" s="102">
        <f t="shared" si="66"/>
        <v>0</v>
      </c>
      <c r="T244" s="68">
        <f>IFERROR(SUMIF(超音波画像診断装置!$C$30:$C$74,B244,超音波画像診断装置!$K$30:$K$74)*((超音波画像診断装置!$H$3-超音波画像診断装置!$I$3)/超音波画像診断装置!$H$3),0)</f>
        <v>0</v>
      </c>
      <c r="U244" s="69">
        <f t="shared" si="67"/>
        <v>0</v>
      </c>
      <c r="V244" s="68">
        <f>IFERROR(SUMIF(血液浄化装置!$C$30:$C$74,B244,血液浄化装置!$K$30:$K$74)*((血液浄化装置!$H$3-血液浄化装置!$I$3)/血液浄化装置!$H$3),0)</f>
        <v>0</v>
      </c>
      <c r="W244" s="69">
        <f t="shared" si="68"/>
        <v>0</v>
      </c>
      <c r="X244" s="68">
        <f>IFERROR(SUMIF(気管支鏡!$C$30:$C$74,B244,気管支鏡!$K$30:$K$74)*((気管支鏡!$H$3-気管支鏡!$I$3)/気管支鏡!$H$3),0)</f>
        <v>0</v>
      </c>
      <c r="Y244" s="69">
        <f t="shared" si="54"/>
        <v>0</v>
      </c>
      <c r="Z244" s="68">
        <f>IFERROR(SUMIF(CT撮影装置!$C$30:$C$74,B244,CT撮影装置!$K$30:$K$74)*((CT撮影装置!$H$3-CT撮影装置!$I$3)/CT撮影装置!$H$3),0)</f>
        <v>0</v>
      </c>
      <c r="AA244" s="69">
        <f t="shared" si="69"/>
        <v>0</v>
      </c>
      <c r="AB244" s="68">
        <f>IFERROR(SUMIF(生体情報モニタ!$C$30:$C$74,B244,生体情報モニタ!$K$30:$K$74)*((生体情報モニタ!$H$3-生体情報モニタ!$I$3)/生体情報モニタ!$H$3),0)</f>
        <v>0</v>
      </c>
      <c r="AC244" s="69">
        <f t="shared" si="55"/>
        <v>0</v>
      </c>
      <c r="AD244" s="68">
        <f>IFERROR(SUMIF(分娩監視装置!$C$30:$C$74,B244,分娩監視装置!$K$30:$K$74)*((分娩監視装置!$H$3-分娩監視装置!$I$3)/分娩監視装置!$H$3),0)</f>
        <v>0</v>
      </c>
      <c r="AE244" s="69">
        <f t="shared" si="70"/>
        <v>0</v>
      </c>
      <c r="AF244" s="68">
        <f>IFERROR(SUMIF(新生児モニタ!$C$30:$C$74,B244,新生児モニタ!$K$30:$K$74)*((新生児モニタ!$H$3-新生児モニタ!$I$3)/新生児モニタ!$H$3),0)</f>
        <v>0</v>
      </c>
      <c r="AG244" s="69">
        <f t="shared" si="71"/>
        <v>0</v>
      </c>
    </row>
    <row r="245" spans="2:33">
      <c r="B245" s="65" t="s">
        <v>914</v>
      </c>
      <c r="C245" s="68">
        <f>IFERROR(SUMIF(初度設備!$C$30:$C$74,B245,初度設備!$N$30:$N$74)*((初度設備!$H$3-初度設備!$I$3)/初度設備!$H$3),0)</f>
        <v>0</v>
      </c>
      <c r="D245" s="69">
        <f t="shared" si="56"/>
        <v>0</v>
      </c>
      <c r="E245" s="68">
        <f>IFERROR(SUMIF(人工呼吸器!$C$30:$C$74,B245,人工呼吸器!$N$30:$N$74)*((人工呼吸器!$H$3-人工呼吸器!$I$3)/人工呼吸器!$H$3),0)</f>
        <v>0</v>
      </c>
      <c r="F245" s="69">
        <f t="shared" si="57"/>
        <v>0</v>
      </c>
      <c r="G245" s="69">
        <f t="shared" si="58"/>
        <v>0</v>
      </c>
      <c r="H245" s="69">
        <f t="shared" si="59"/>
        <v>0</v>
      </c>
      <c r="I245" s="68">
        <f>IFERROR(SUMIF(簡易陰圧装置!$C$30:$C$74,B245,簡易陰圧装置!$N$30:$N$74)*((簡易陰圧装置!$H$3-簡易陰圧装置!$I$3)/簡易陰圧装置!$H$3),0)</f>
        <v>0</v>
      </c>
      <c r="J245" s="69">
        <f t="shared" si="60"/>
        <v>0</v>
      </c>
      <c r="K245" s="68">
        <f>IFERROR(SUMIF(#REF!,B245,#REF!)*((#REF!-#REF!)/#REF!),0)</f>
        <v>0</v>
      </c>
      <c r="L245" s="69">
        <f t="shared" si="61"/>
        <v>0</v>
      </c>
      <c r="M245" s="68">
        <f>IFERROR(SUMIF(体外式膜型人工肺!$C$30:$C$74,B245,体外式膜型人工肺!$N$30:$N$74)*((体外式膜型人工肺!$H$3-体外式膜型人工肺!$I$3)/体外式膜型人工肺!$H$3),0)</f>
        <v>0</v>
      </c>
      <c r="N245" s="69">
        <f t="shared" si="62"/>
        <v>0</v>
      </c>
      <c r="O245" s="69">
        <f t="shared" si="63"/>
        <v>0</v>
      </c>
      <c r="P245" s="69">
        <f t="shared" si="64"/>
        <v>0</v>
      </c>
      <c r="Q245" s="68">
        <f>IFERROR(SUMIF(紫外線照射装置!$C$30:$C$74,B245,紫外線照射装置!$N$30:$N$74)*((紫外線照射装置!$H$3-紫外線照射装置!$I$3)/紫外線照射装置!$H$3),0)</f>
        <v>0</v>
      </c>
      <c r="R245" s="69">
        <f t="shared" si="65"/>
        <v>0</v>
      </c>
      <c r="S245" s="102">
        <f t="shared" si="66"/>
        <v>0</v>
      </c>
      <c r="T245" s="68">
        <f>IFERROR(SUMIF(超音波画像診断装置!$C$30:$C$74,B245,超音波画像診断装置!$K$30:$K$74)*((超音波画像診断装置!$H$3-超音波画像診断装置!$I$3)/超音波画像診断装置!$H$3),0)</f>
        <v>0</v>
      </c>
      <c r="U245" s="69">
        <f t="shared" si="67"/>
        <v>0</v>
      </c>
      <c r="V245" s="68">
        <f>IFERROR(SUMIF(血液浄化装置!$C$30:$C$74,B245,血液浄化装置!$K$30:$K$74)*((血液浄化装置!$H$3-血液浄化装置!$I$3)/血液浄化装置!$H$3),0)</f>
        <v>0</v>
      </c>
      <c r="W245" s="69">
        <f t="shared" si="68"/>
        <v>0</v>
      </c>
      <c r="X245" s="68">
        <f>IFERROR(SUMIF(気管支鏡!$C$30:$C$74,B245,気管支鏡!$K$30:$K$74)*((気管支鏡!$H$3-気管支鏡!$I$3)/気管支鏡!$H$3),0)</f>
        <v>0</v>
      </c>
      <c r="Y245" s="69">
        <f t="shared" si="54"/>
        <v>0</v>
      </c>
      <c r="Z245" s="68">
        <f>IFERROR(SUMIF(CT撮影装置!$C$30:$C$74,B245,CT撮影装置!$K$30:$K$74)*((CT撮影装置!$H$3-CT撮影装置!$I$3)/CT撮影装置!$H$3),0)</f>
        <v>0</v>
      </c>
      <c r="AA245" s="69">
        <f t="shared" si="69"/>
        <v>0</v>
      </c>
      <c r="AB245" s="68">
        <f>IFERROR(SUMIF(生体情報モニタ!$C$30:$C$74,B245,生体情報モニタ!$K$30:$K$74)*((生体情報モニタ!$H$3-生体情報モニタ!$I$3)/生体情報モニタ!$H$3),0)</f>
        <v>0</v>
      </c>
      <c r="AC245" s="69">
        <f t="shared" si="55"/>
        <v>0</v>
      </c>
      <c r="AD245" s="68">
        <f>IFERROR(SUMIF(分娩監視装置!$C$30:$C$74,B245,分娩監視装置!$K$30:$K$74)*((分娩監視装置!$H$3-分娩監視装置!$I$3)/分娩監視装置!$H$3),0)</f>
        <v>0</v>
      </c>
      <c r="AE245" s="69">
        <f t="shared" si="70"/>
        <v>0</v>
      </c>
      <c r="AF245" s="68">
        <f>IFERROR(SUMIF(新生児モニタ!$C$30:$C$74,B245,新生児モニタ!$K$30:$K$74)*((新生児モニタ!$H$3-新生児モニタ!$I$3)/新生児モニタ!$H$3),0)</f>
        <v>0</v>
      </c>
      <c r="AG245" s="69">
        <f t="shared" si="71"/>
        <v>0</v>
      </c>
    </row>
    <row r="246" spans="2:33">
      <c r="B246" s="65" t="s">
        <v>915</v>
      </c>
      <c r="C246" s="68">
        <f>IFERROR(SUMIF(初度設備!$C$30:$C$74,B246,初度設備!$N$30:$N$74)*((初度設備!$H$3-初度設備!$I$3)/初度設備!$H$3),0)</f>
        <v>0</v>
      </c>
      <c r="D246" s="69">
        <f t="shared" si="56"/>
        <v>0</v>
      </c>
      <c r="E246" s="68">
        <f>IFERROR(SUMIF(人工呼吸器!$C$30:$C$74,B246,人工呼吸器!$N$30:$N$74)*((人工呼吸器!$H$3-人工呼吸器!$I$3)/人工呼吸器!$H$3),0)</f>
        <v>0</v>
      </c>
      <c r="F246" s="69">
        <f t="shared" si="57"/>
        <v>0</v>
      </c>
      <c r="G246" s="69">
        <f t="shared" si="58"/>
        <v>0</v>
      </c>
      <c r="H246" s="69">
        <f t="shared" si="59"/>
        <v>0</v>
      </c>
      <c r="I246" s="68">
        <f>IFERROR(SUMIF(簡易陰圧装置!$C$30:$C$74,B246,簡易陰圧装置!$N$30:$N$74)*((簡易陰圧装置!$H$3-簡易陰圧装置!$I$3)/簡易陰圧装置!$H$3),0)</f>
        <v>0</v>
      </c>
      <c r="J246" s="69">
        <f t="shared" si="60"/>
        <v>0</v>
      </c>
      <c r="K246" s="68">
        <f>IFERROR(SUMIF(#REF!,B246,#REF!)*((#REF!-#REF!)/#REF!),0)</f>
        <v>0</v>
      </c>
      <c r="L246" s="69">
        <f t="shared" si="61"/>
        <v>0</v>
      </c>
      <c r="M246" s="68">
        <f>IFERROR(SUMIF(体外式膜型人工肺!$C$30:$C$74,B246,体外式膜型人工肺!$N$30:$N$74)*((体外式膜型人工肺!$H$3-体外式膜型人工肺!$I$3)/体外式膜型人工肺!$H$3),0)</f>
        <v>0</v>
      </c>
      <c r="N246" s="69">
        <f t="shared" si="62"/>
        <v>0</v>
      </c>
      <c r="O246" s="69">
        <f t="shared" si="63"/>
        <v>0</v>
      </c>
      <c r="P246" s="69">
        <f t="shared" si="64"/>
        <v>0</v>
      </c>
      <c r="Q246" s="68">
        <f>IFERROR(SUMIF(紫外線照射装置!$C$30:$C$74,B246,紫外線照射装置!$N$30:$N$74)*((紫外線照射装置!$H$3-紫外線照射装置!$I$3)/紫外線照射装置!$H$3),0)</f>
        <v>0</v>
      </c>
      <c r="R246" s="69">
        <f t="shared" si="65"/>
        <v>0</v>
      </c>
      <c r="S246" s="102">
        <f t="shared" si="66"/>
        <v>0</v>
      </c>
      <c r="T246" s="68">
        <f>IFERROR(SUMIF(超音波画像診断装置!$C$30:$C$74,B246,超音波画像診断装置!$K$30:$K$74)*((超音波画像診断装置!$H$3-超音波画像診断装置!$I$3)/超音波画像診断装置!$H$3),0)</f>
        <v>0</v>
      </c>
      <c r="U246" s="69">
        <f t="shared" si="67"/>
        <v>0</v>
      </c>
      <c r="V246" s="68">
        <f>IFERROR(SUMIF(血液浄化装置!$C$30:$C$74,B246,血液浄化装置!$K$30:$K$74)*((血液浄化装置!$H$3-血液浄化装置!$I$3)/血液浄化装置!$H$3),0)</f>
        <v>0</v>
      </c>
      <c r="W246" s="69">
        <f t="shared" si="68"/>
        <v>0</v>
      </c>
      <c r="X246" s="68">
        <f>IFERROR(SUMIF(気管支鏡!$C$30:$C$74,B246,気管支鏡!$K$30:$K$74)*((気管支鏡!$H$3-気管支鏡!$I$3)/気管支鏡!$H$3),0)</f>
        <v>0</v>
      </c>
      <c r="Y246" s="69">
        <f t="shared" si="54"/>
        <v>0</v>
      </c>
      <c r="Z246" s="68">
        <f>IFERROR(SUMIF(CT撮影装置!$C$30:$C$74,B246,CT撮影装置!$K$30:$K$74)*((CT撮影装置!$H$3-CT撮影装置!$I$3)/CT撮影装置!$H$3),0)</f>
        <v>0</v>
      </c>
      <c r="AA246" s="69">
        <f t="shared" si="69"/>
        <v>0</v>
      </c>
      <c r="AB246" s="68">
        <f>IFERROR(SUMIF(生体情報モニタ!$C$30:$C$74,B246,生体情報モニタ!$K$30:$K$74)*((生体情報モニタ!$H$3-生体情報モニタ!$I$3)/生体情報モニタ!$H$3),0)</f>
        <v>0</v>
      </c>
      <c r="AC246" s="69">
        <f t="shared" si="55"/>
        <v>0</v>
      </c>
      <c r="AD246" s="68">
        <f>IFERROR(SUMIF(分娩監視装置!$C$30:$C$74,B246,分娩監視装置!$K$30:$K$74)*((分娩監視装置!$H$3-分娩監視装置!$I$3)/分娩監視装置!$H$3),0)</f>
        <v>0</v>
      </c>
      <c r="AE246" s="69">
        <f t="shared" si="70"/>
        <v>0</v>
      </c>
      <c r="AF246" s="68">
        <f>IFERROR(SUMIF(新生児モニタ!$C$30:$C$74,B246,新生児モニタ!$K$30:$K$74)*((新生児モニタ!$H$3-新生児モニタ!$I$3)/新生児モニタ!$H$3),0)</f>
        <v>0</v>
      </c>
      <c r="AG246" s="69">
        <f t="shared" si="71"/>
        <v>0</v>
      </c>
    </row>
    <row r="247" spans="2:33">
      <c r="B247" s="65" t="s">
        <v>916</v>
      </c>
      <c r="C247" s="68">
        <f>IFERROR(SUMIF(初度設備!$C$30:$C$74,B247,初度設備!$N$30:$N$74)*((初度設備!$H$3-初度設備!$I$3)/初度設備!$H$3),0)</f>
        <v>0</v>
      </c>
      <c r="D247" s="69">
        <f t="shared" si="56"/>
        <v>0</v>
      </c>
      <c r="E247" s="68">
        <f>IFERROR(SUMIF(人工呼吸器!$C$30:$C$74,B247,人工呼吸器!$N$30:$N$74)*((人工呼吸器!$H$3-人工呼吸器!$I$3)/人工呼吸器!$H$3),0)</f>
        <v>0</v>
      </c>
      <c r="F247" s="69">
        <f t="shared" si="57"/>
        <v>0</v>
      </c>
      <c r="G247" s="69">
        <f t="shared" si="58"/>
        <v>0</v>
      </c>
      <c r="H247" s="69">
        <f t="shared" si="59"/>
        <v>0</v>
      </c>
      <c r="I247" s="68">
        <f>IFERROR(SUMIF(簡易陰圧装置!$C$30:$C$74,B247,簡易陰圧装置!$N$30:$N$74)*((簡易陰圧装置!$H$3-簡易陰圧装置!$I$3)/簡易陰圧装置!$H$3),0)</f>
        <v>0</v>
      </c>
      <c r="J247" s="69">
        <f t="shared" si="60"/>
        <v>0</v>
      </c>
      <c r="K247" s="68">
        <f>IFERROR(SUMIF(#REF!,B247,#REF!)*((#REF!-#REF!)/#REF!),0)</f>
        <v>0</v>
      </c>
      <c r="L247" s="69">
        <f t="shared" si="61"/>
        <v>0</v>
      </c>
      <c r="M247" s="68">
        <f>IFERROR(SUMIF(体外式膜型人工肺!$C$30:$C$74,B247,体外式膜型人工肺!$N$30:$N$74)*((体外式膜型人工肺!$H$3-体外式膜型人工肺!$I$3)/体外式膜型人工肺!$H$3),0)</f>
        <v>0</v>
      </c>
      <c r="N247" s="69">
        <f t="shared" si="62"/>
        <v>0</v>
      </c>
      <c r="O247" s="69">
        <f t="shared" si="63"/>
        <v>0</v>
      </c>
      <c r="P247" s="69">
        <f t="shared" si="64"/>
        <v>0</v>
      </c>
      <c r="Q247" s="68">
        <f>IFERROR(SUMIF(紫外線照射装置!$C$30:$C$74,B247,紫外線照射装置!$N$30:$N$74)*((紫外線照射装置!$H$3-紫外線照射装置!$I$3)/紫外線照射装置!$H$3),0)</f>
        <v>0</v>
      </c>
      <c r="R247" s="69">
        <f t="shared" si="65"/>
        <v>0</v>
      </c>
      <c r="S247" s="102">
        <f t="shared" si="66"/>
        <v>0</v>
      </c>
      <c r="T247" s="68">
        <f>IFERROR(SUMIF(超音波画像診断装置!$C$30:$C$74,B247,超音波画像診断装置!$K$30:$K$74)*((超音波画像診断装置!$H$3-超音波画像診断装置!$I$3)/超音波画像診断装置!$H$3),0)</f>
        <v>0</v>
      </c>
      <c r="U247" s="69">
        <f t="shared" si="67"/>
        <v>0</v>
      </c>
      <c r="V247" s="68">
        <f>IFERROR(SUMIF(血液浄化装置!$C$30:$C$74,B247,血液浄化装置!$K$30:$K$74)*((血液浄化装置!$H$3-血液浄化装置!$I$3)/血液浄化装置!$H$3),0)</f>
        <v>0</v>
      </c>
      <c r="W247" s="69">
        <f t="shared" si="68"/>
        <v>0</v>
      </c>
      <c r="X247" s="68">
        <f>IFERROR(SUMIF(気管支鏡!$C$30:$C$74,B247,気管支鏡!$K$30:$K$74)*((気管支鏡!$H$3-気管支鏡!$I$3)/気管支鏡!$H$3),0)</f>
        <v>0</v>
      </c>
      <c r="Y247" s="69">
        <f t="shared" si="54"/>
        <v>0</v>
      </c>
      <c r="Z247" s="68">
        <f>IFERROR(SUMIF(CT撮影装置!$C$30:$C$74,B247,CT撮影装置!$K$30:$K$74)*((CT撮影装置!$H$3-CT撮影装置!$I$3)/CT撮影装置!$H$3),0)</f>
        <v>0</v>
      </c>
      <c r="AA247" s="69">
        <f t="shared" si="69"/>
        <v>0</v>
      </c>
      <c r="AB247" s="68">
        <f>IFERROR(SUMIF(生体情報モニタ!$C$30:$C$74,B247,生体情報モニタ!$K$30:$K$74)*((生体情報モニタ!$H$3-生体情報モニタ!$I$3)/生体情報モニタ!$H$3),0)</f>
        <v>0</v>
      </c>
      <c r="AC247" s="69">
        <f t="shared" si="55"/>
        <v>0</v>
      </c>
      <c r="AD247" s="68">
        <f>IFERROR(SUMIF(分娩監視装置!$C$30:$C$74,B247,分娩監視装置!$K$30:$K$74)*((分娩監視装置!$H$3-分娩監視装置!$I$3)/分娩監視装置!$H$3),0)</f>
        <v>0</v>
      </c>
      <c r="AE247" s="69">
        <f t="shared" si="70"/>
        <v>0</v>
      </c>
      <c r="AF247" s="68">
        <f>IFERROR(SUMIF(新生児モニタ!$C$30:$C$74,B247,新生児モニタ!$K$30:$K$74)*((新生児モニタ!$H$3-新生児モニタ!$I$3)/新生児モニタ!$H$3),0)</f>
        <v>0</v>
      </c>
      <c r="AG247" s="69">
        <f t="shared" si="71"/>
        <v>0</v>
      </c>
    </row>
    <row r="248" spans="2:33">
      <c r="B248" s="65" t="s">
        <v>917</v>
      </c>
      <c r="C248" s="68">
        <f>IFERROR(SUMIF(初度設備!$C$30:$C$74,B248,初度設備!$N$30:$N$74)*((初度設備!$H$3-初度設備!$I$3)/初度設備!$H$3),0)</f>
        <v>0</v>
      </c>
      <c r="D248" s="69">
        <f t="shared" si="56"/>
        <v>0</v>
      </c>
      <c r="E248" s="68">
        <f>IFERROR(SUMIF(人工呼吸器!$C$30:$C$74,B248,人工呼吸器!$N$30:$N$74)*((人工呼吸器!$H$3-人工呼吸器!$I$3)/人工呼吸器!$H$3),0)</f>
        <v>0</v>
      </c>
      <c r="F248" s="69">
        <f t="shared" si="57"/>
        <v>0</v>
      </c>
      <c r="G248" s="69">
        <f t="shared" si="58"/>
        <v>0</v>
      </c>
      <c r="H248" s="69">
        <f t="shared" si="59"/>
        <v>0</v>
      </c>
      <c r="I248" s="68">
        <f>IFERROR(SUMIF(簡易陰圧装置!$C$30:$C$74,B248,簡易陰圧装置!$N$30:$N$74)*((簡易陰圧装置!$H$3-簡易陰圧装置!$I$3)/簡易陰圧装置!$H$3),0)</f>
        <v>0</v>
      </c>
      <c r="J248" s="69">
        <f t="shared" si="60"/>
        <v>0</v>
      </c>
      <c r="K248" s="68">
        <f>IFERROR(SUMIF(#REF!,B248,#REF!)*((#REF!-#REF!)/#REF!),0)</f>
        <v>0</v>
      </c>
      <c r="L248" s="69">
        <f t="shared" si="61"/>
        <v>0</v>
      </c>
      <c r="M248" s="68">
        <f>IFERROR(SUMIF(体外式膜型人工肺!$C$30:$C$74,B248,体外式膜型人工肺!$N$30:$N$74)*((体外式膜型人工肺!$H$3-体外式膜型人工肺!$I$3)/体外式膜型人工肺!$H$3),0)</f>
        <v>0</v>
      </c>
      <c r="N248" s="69">
        <f t="shared" si="62"/>
        <v>0</v>
      </c>
      <c r="O248" s="69">
        <f t="shared" si="63"/>
        <v>0</v>
      </c>
      <c r="P248" s="69">
        <f t="shared" si="64"/>
        <v>0</v>
      </c>
      <c r="Q248" s="68">
        <f>IFERROR(SUMIF(紫外線照射装置!$C$30:$C$74,B248,紫外線照射装置!$N$30:$N$74)*((紫外線照射装置!$H$3-紫外線照射装置!$I$3)/紫外線照射装置!$H$3),0)</f>
        <v>0</v>
      </c>
      <c r="R248" s="69">
        <f t="shared" si="65"/>
        <v>0</v>
      </c>
      <c r="S248" s="102">
        <f t="shared" si="66"/>
        <v>0</v>
      </c>
      <c r="T248" s="68">
        <f>IFERROR(SUMIF(超音波画像診断装置!$C$30:$C$74,B248,超音波画像診断装置!$K$30:$K$74)*((超音波画像診断装置!$H$3-超音波画像診断装置!$I$3)/超音波画像診断装置!$H$3),0)</f>
        <v>0</v>
      </c>
      <c r="U248" s="69">
        <f t="shared" si="67"/>
        <v>0</v>
      </c>
      <c r="V248" s="68">
        <f>IFERROR(SUMIF(血液浄化装置!$C$30:$C$74,B248,血液浄化装置!$K$30:$K$74)*((血液浄化装置!$H$3-血液浄化装置!$I$3)/血液浄化装置!$H$3),0)</f>
        <v>0</v>
      </c>
      <c r="W248" s="69">
        <f t="shared" si="68"/>
        <v>0</v>
      </c>
      <c r="X248" s="68">
        <f>IFERROR(SUMIF(気管支鏡!$C$30:$C$74,B248,気管支鏡!$K$30:$K$74)*((気管支鏡!$H$3-気管支鏡!$I$3)/気管支鏡!$H$3),0)</f>
        <v>0</v>
      </c>
      <c r="Y248" s="69">
        <f t="shared" si="54"/>
        <v>0</v>
      </c>
      <c r="Z248" s="68">
        <f>IFERROR(SUMIF(CT撮影装置!$C$30:$C$74,B248,CT撮影装置!$K$30:$K$74)*((CT撮影装置!$H$3-CT撮影装置!$I$3)/CT撮影装置!$H$3),0)</f>
        <v>0</v>
      </c>
      <c r="AA248" s="69">
        <f t="shared" si="69"/>
        <v>0</v>
      </c>
      <c r="AB248" s="68">
        <f>IFERROR(SUMIF(生体情報モニタ!$C$30:$C$74,B248,生体情報モニタ!$K$30:$K$74)*((生体情報モニタ!$H$3-生体情報モニタ!$I$3)/生体情報モニタ!$H$3),0)</f>
        <v>0</v>
      </c>
      <c r="AC248" s="69">
        <f t="shared" si="55"/>
        <v>0</v>
      </c>
      <c r="AD248" s="68">
        <f>IFERROR(SUMIF(分娩監視装置!$C$30:$C$74,B248,分娩監視装置!$K$30:$K$74)*((分娩監視装置!$H$3-分娩監視装置!$I$3)/分娩監視装置!$H$3),0)</f>
        <v>0</v>
      </c>
      <c r="AE248" s="69">
        <f t="shared" si="70"/>
        <v>0</v>
      </c>
      <c r="AF248" s="68">
        <f>IFERROR(SUMIF(新生児モニタ!$C$30:$C$74,B248,新生児モニタ!$K$30:$K$74)*((新生児モニタ!$H$3-新生児モニタ!$I$3)/新生児モニタ!$H$3),0)</f>
        <v>0</v>
      </c>
      <c r="AG248" s="69">
        <f t="shared" si="71"/>
        <v>0</v>
      </c>
    </row>
    <row r="249" spans="2:33">
      <c r="B249" s="65" t="s">
        <v>918</v>
      </c>
      <c r="C249" s="68">
        <f>IFERROR(SUMIF(初度設備!$C$30:$C$74,B249,初度設備!$N$30:$N$74)*((初度設備!$H$3-初度設備!$I$3)/初度設備!$H$3),0)</f>
        <v>0</v>
      </c>
      <c r="D249" s="69">
        <f t="shared" si="56"/>
        <v>0</v>
      </c>
      <c r="E249" s="68">
        <f>IFERROR(SUMIF(人工呼吸器!$C$30:$C$74,B249,人工呼吸器!$N$30:$N$74)*((人工呼吸器!$H$3-人工呼吸器!$I$3)/人工呼吸器!$H$3),0)</f>
        <v>0</v>
      </c>
      <c r="F249" s="69">
        <f t="shared" si="57"/>
        <v>0</v>
      </c>
      <c r="G249" s="69">
        <f t="shared" si="58"/>
        <v>0</v>
      </c>
      <c r="H249" s="69">
        <f t="shared" si="59"/>
        <v>0</v>
      </c>
      <c r="I249" s="68">
        <f>IFERROR(SUMIF(簡易陰圧装置!$C$30:$C$74,B249,簡易陰圧装置!$N$30:$N$74)*((簡易陰圧装置!$H$3-簡易陰圧装置!$I$3)/簡易陰圧装置!$H$3),0)</f>
        <v>0</v>
      </c>
      <c r="J249" s="69">
        <f t="shared" si="60"/>
        <v>0</v>
      </c>
      <c r="K249" s="68">
        <f>IFERROR(SUMIF(#REF!,B249,#REF!)*((#REF!-#REF!)/#REF!),0)</f>
        <v>0</v>
      </c>
      <c r="L249" s="69">
        <f t="shared" si="61"/>
        <v>0</v>
      </c>
      <c r="M249" s="68">
        <f>IFERROR(SUMIF(体外式膜型人工肺!$C$30:$C$74,B249,体外式膜型人工肺!$N$30:$N$74)*((体外式膜型人工肺!$H$3-体外式膜型人工肺!$I$3)/体外式膜型人工肺!$H$3),0)</f>
        <v>0</v>
      </c>
      <c r="N249" s="69">
        <f t="shared" si="62"/>
        <v>0</v>
      </c>
      <c r="O249" s="69">
        <f t="shared" si="63"/>
        <v>0</v>
      </c>
      <c r="P249" s="69">
        <f t="shared" si="64"/>
        <v>0</v>
      </c>
      <c r="Q249" s="68">
        <f>IFERROR(SUMIF(紫外線照射装置!$C$30:$C$74,B249,紫外線照射装置!$N$30:$N$74)*((紫外線照射装置!$H$3-紫外線照射装置!$I$3)/紫外線照射装置!$H$3),0)</f>
        <v>0</v>
      </c>
      <c r="R249" s="69">
        <f t="shared" si="65"/>
        <v>0</v>
      </c>
      <c r="S249" s="102">
        <f t="shared" si="66"/>
        <v>0</v>
      </c>
      <c r="T249" s="68">
        <f>IFERROR(SUMIF(超音波画像診断装置!$C$30:$C$74,B249,超音波画像診断装置!$K$30:$K$74)*((超音波画像診断装置!$H$3-超音波画像診断装置!$I$3)/超音波画像診断装置!$H$3),0)</f>
        <v>0</v>
      </c>
      <c r="U249" s="69">
        <f t="shared" si="67"/>
        <v>0</v>
      </c>
      <c r="V249" s="68">
        <f>IFERROR(SUMIF(血液浄化装置!$C$30:$C$74,B249,血液浄化装置!$K$30:$K$74)*((血液浄化装置!$H$3-血液浄化装置!$I$3)/血液浄化装置!$H$3),0)</f>
        <v>0</v>
      </c>
      <c r="W249" s="69">
        <f t="shared" si="68"/>
        <v>0</v>
      </c>
      <c r="X249" s="68">
        <f>IFERROR(SUMIF(気管支鏡!$C$30:$C$74,B249,気管支鏡!$K$30:$K$74)*((気管支鏡!$H$3-気管支鏡!$I$3)/気管支鏡!$H$3),0)</f>
        <v>0</v>
      </c>
      <c r="Y249" s="69">
        <f t="shared" si="54"/>
        <v>0</v>
      </c>
      <c r="Z249" s="68">
        <f>IFERROR(SUMIF(CT撮影装置!$C$30:$C$74,B249,CT撮影装置!$K$30:$K$74)*((CT撮影装置!$H$3-CT撮影装置!$I$3)/CT撮影装置!$H$3),0)</f>
        <v>0</v>
      </c>
      <c r="AA249" s="69">
        <f t="shared" si="69"/>
        <v>0</v>
      </c>
      <c r="AB249" s="68">
        <f>IFERROR(SUMIF(生体情報モニタ!$C$30:$C$74,B249,生体情報モニタ!$K$30:$K$74)*((生体情報モニタ!$H$3-生体情報モニタ!$I$3)/生体情報モニタ!$H$3),0)</f>
        <v>0</v>
      </c>
      <c r="AC249" s="69">
        <f t="shared" si="55"/>
        <v>0</v>
      </c>
      <c r="AD249" s="68">
        <f>IFERROR(SUMIF(分娩監視装置!$C$30:$C$74,B249,分娩監視装置!$K$30:$K$74)*((分娩監視装置!$H$3-分娩監視装置!$I$3)/分娩監視装置!$H$3),0)</f>
        <v>0</v>
      </c>
      <c r="AE249" s="69">
        <f t="shared" si="70"/>
        <v>0</v>
      </c>
      <c r="AF249" s="68">
        <f>IFERROR(SUMIF(新生児モニタ!$C$30:$C$74,B249,新生児モニタ!$K$30:$K$74)*((新生児モニタ!$H$3-新生児モニタ!$I$3)/新生児モニタ!$H$3),0)</f>
        <v>0</v>
      </c>
      <c r="AG249" s="69">
        <f t="shared" si="71"/>
        <v>0</v>
      </c>
    </row>
    <row r="250" spans="2:33">
      <c r="B250" s="65" t="s">
        <v>919</v>
      </c>
      <c r="C250" s="68">
        <f>IFERROR(SUMIF(初度設備!$C$30:$C$74,B250,初度設備!$N$30:$N$74)*((初度設備!$H$3-初度設備!$I$3)/初度設備!$H$3),0)</f>
        <v>0</v>
      </c>
      <c r="D250" s="69">
        <f t="shared" si="56"/>
        <v>0</v>
      </c>
      <c r="E250" s="68">
        <f>IFERROR(SUMIF(人工呼吸器!$C$30:$C$74,B250,人工呼吸器!$N$30:$N$74)*((人工呼吸器!$H$3-人工呼吸器!$I$3)/人工呼吸器!$H$3),0)</f>
        <v>0</v>
      </c>
      <c r="F250" s="69">
        <f t="shared" si="57"/>
        <v>0</v>
      </c>
      <c r="G250" s="69">
        <f t="shared" si="58"/>
        <v>0</v>
      </c>
      <c r="H250" s="69">
        <f t="shared" si="59"/>
        <v>0</v>
      </c>
      <c r="I250" s="68">
        <f>IFERROR(SUMIF(簡易陰圧装置!$C$30:$C$74,B250,簡易陰圧装置!$N$30:$N$74)*((簡易陰圧装置!$H$3-簡易陰圧装置!$I$3)/簡易陰圧装置!$H$3),0)</f>
        <v>0</v>
      </c>
      <c r="J250" s="69">
        <f t="shared" si="60"/>
        <v>0</v>
      </c>
      <c r="K250" s="68">
        <f>IFERROR(SUMIF(#REF!,B250,#REF!)*((#REF!-#REF!)/#REF!),0)</f>
        <v>0</v>
      </c>
      <c r="L250" s="69">
        <f t="shared" si="61"/>
        <v>0</v>
      </c>
      <c r="M250" s="68">
        <f>IFERROR(SUMIF(体外式膜型人工肺!$C$30:$C$74,B250,体外式膜型人工肺!$N$30:$N$74)*((体外式膜型人工肺!$H$3-体外式膜型人工肺!$I$3)/体外式膜型人工肺!$H$3),0)</f>
        <v>0</v>
      </c>
      <c r="N250" s="69">
        <f t="shared" si="62"/>
        <v>0</v>
      </c>
      <c r="O250" s="69">
        <f t="shared" si="63"/>
        <v>0</v>
      </c>
      <c r="P250" s="69">
        <f t="shared" si="64"/>
        <v>0</v>
      </c>
      <c r="Q250" s="68">
        <f>IFERROR(SUMIF(紫外線照射装置!$C$30:$C$74,B250,紫外線照射装置!$N$30:$N$74)*((紫外線照射装置!$H$3-紫外線照射装置!$I$3)/紫外線照射装置!$H$3),0)</f>
        <v>0</v>
      </c>
      <c r="R250" s="69">
        <f t="shared" si="65"/>
        <v>0</v>
      </c>
      <c r="S250" s="102">
        <f t="shared" si="66"/>
        <v>0</v>
      </c>
      <c r="T250" s="68">
        <f>IFERROR(SUMIF(超音波画像診断装置!$C$30:$C$74,B250,超音波画像診断装置!$K$30:$K$74)*((超音波画像診断装置!$H$3-超音波画像診断装置!$I$3)/超音波画像診断装置!$H$3),0)</f>
        <v>0</v>
      </c>
      <c r="U250" s="69">
        <f t="shared" si="67"/>
        <v>0</v>
      </c>
      <c r="V250" s="68">
        <f>IFERROR(SUMIF(血液浄化装置!$C$30:$C$74,B250,血液浄化装置!$K$30:$K$74)*((血液浄化装置!$H$3-血液浄化装置!$I$3)/血液浄化装置!$H$3),0)</f>
        <v>0</v>
      </c>
      <c r="W250" s="69">
        <f t="shared" si="68"/>
        <v>0</v>
      </c>
      <c r="X250" s="68">
        <f>IFERROR(SUMIF(気管支鏡!$C$30:$C$74,B250,気管支鏡!$K$30:$K$74)*((気管支鏡!$H$3-気管支鏡!$I$3)/気管支鏡!$H$3),0)</f>
        <v>0</v>
      </c>
      <c r="Y250" s="69">
        <f t="shared" si="54"/>
        <v>0</v>
      </c>
      <c r="Z250" s="68">
        <f>IFERROR(SUMIF(CT撮影装置!$C$30:$C$74,B250,CT撮影装置!$K$30:$K$74)*((CT撮影装置!$H$3-CT撮影装置!$I$3)/CT撮影装置!$H$3),0)</f>
        <v>0</v>
      </c>
      <c r="AA250" s="69">
        <f t="shared" si="69"/>
        <v>0</v>
      </c>
      <c r="AB250" s="68">
        <f>IFERROR(SUMIF(生体情報モニタ!$C$30:$C$74,B250,生体情報モニタ!$K$30:$K$74)*((生体情報モニタ!$H$3-生体情報モニタ!$I$3)/生体情報モニタ!$H$3),0)</f>
        <v>0</v>
      </c>
      <c r="AC250" s="69">
        <f t="shared" si="55"/>
        <v>0</v>
      </c>
      <c r="AD250" s="68">
        <f>IFERROR(SUMIF(分娩監視装置!$C$30:$C$74,B250,分娩監視装置!$K$30:$K$74)*((分娩監視装置!$H$3-分娩監視装置!$I$3)/分娩監視装置!$H$3),0)</f>
        <v>0</v>
      </c>
      <c r="AE250" s="69">
        <f t="shared" si="70"/>
        <v>0</v>
      </c>
      <c r="AF250" s="68">
        <f>IFERROR(SUMIF(新生児モニタ!$C$30:$C$74,B250,新生児モニタ!$K$30:$K$74)*((新生児モニタ!$H$3-新生児モニタ!$I$3)/新生児モニタ!$H$3),0)</f>
        <v>0</v>
      </c>
      <c r="AG250" s="69">
        <f t="shared" si="71"/>
        <v>0</v>
      </c>
    </row>
    <row r="251" spans="2:33">
      <c r="B251" s="65" t="s">
        <v>920</v>
      </c>
      <c r="C251" s="68">
        <f>IFERROR(SUMIF(初度設備!$C$30:$C$74,B251,初度設備!$N$30:$N$74)*((初度設備!$H$3-初度設備!$I$3)/初度設備!$H$3),0)</f>
        <v>0</v>
      </c>
      <c r="D251" s="69">
        <f t="shared" si="56"/>
        <v>0</v>
      </c>
      <c r="E251" s="68">
        <f>IFERROR(SUMIF(人工呼吸器!$C$30:$C$74,B251,人工呼吸器!$N$30:$N$74)*((人工呼吸器!$H$3-人工呼吸器!$I$3)/人工呼吸器!$H$3),0)</f>
        <v>0</v>
      </c>
      <c r="F251" s="69">
        <f t="shared" si="57"/>
        <v>0</v>
      </c>
      <c r="G251" s="69">
        <f t="shared" si="58"/>
        <v>0</v>
      </c>
      <c r="H251" s="69">
        <f t="shared" si="59"/>
        <v>0</v>
      </c>
      <c r="I251" s="68">
        <f>IFERROR(SUMIF(簡易陰圧装置!$C$30:$C$74,B251,簡易陰圧装置!$N$30:$N$74)*((簡易陰圧装置!$H$3-簡易陰圧装置!$I$3)/簡易陰圧装置!$H$3),0)</f>
        <v>0</v>
      </c>
      <c r="J251" s="69">
        <f t="shared" si="60"/>
        <v>0</v>
      </c>
      <c r="K251" s="68">
        <f>IFERROR(SUMIF(#REF!,B251,#REF!)*((#REF!-#REF!)/#REF!),0)</f>
        <v>0</v>
      </c>
      <c r="L251" s="69">
        <f t="shared" si="61"/>
        <v>0</v>
      </c>
      <c r="M251" s="68">
        <f>IFERROR(SUMIF(体外式膜型人工肺!$C$30:$C$74,B251,体外式膜型人工肺!$N$30:$N$74)*((体外式膜型人工肺!$H$3-体外式膜型人工肺!$I$3)/体外式膜型人工肺!$H$3),0)</f>
        <v>0</v>
      </c>
      <c r="N251" s="69">
        <f t="shared" si="62"/>
        <v>0</v>
      </c>
      <c r="O251" s="69">
        <f t="shared" si="63"/>
        <v>0</v>
      </c>
      <c r="P251" s="69">
        <f t="shared" si="64"/>
        <v>0</v>
      </c>
      <c r="Q251" s="68">
        <f>IFERROR(SUMIF(紫外線照射装置!$C$30:$C$74,B251,紫外線照射装置!$N$30:$N$74)*((紫外線照射装置!$H$3-紫外線照射装置!$I$3)/紫外線照射装置!$H$3),0)</f>
        <v>0</v>
      </c>
      <c r="R251" s="69">
        <f t="shared" si="65"/>
        <v>0</v>
      </c>
      <c r="S251" s="102">
        <f t="shared" si="66"/>
        <v>0</v>
      </c>
      <c r="T251" s="68">
        <f>IFERROR(SUMIF(超音波画像診断装置!$C$30:$C$74,B251,超音波画像診断装置!$K$30:$K$74)*((超音波画像診断装置!$H$3-超音波画像診断装置!$I$3)/超音波画像診断装置!$H$3),0)</f>
        <v>0</v>
      </c>
      <c r="U251" s="69">
        <f t="shared" si="67"/>
        <v>0</v>
      </c>
      <c r="V251" s="68">
        <f>IFERROR(SUMIF(血液浄化装置!$C$30:$C$74,B251,血液浄化装置!$K$30:$K$74)*((血液浄化装置!$H$3-血液浄化装置!$I$3)/血液浄化装置!$H$3),0)</f>
        <v>0</v>
      </c>
      <c r="W251" s="69">
        <f t="shared" si="68"/>
        <v>0</v>
      </c>
      <c r="X251" s="68">
        <f>IFERROR(SUMIF(気管支鏡!$C$30:$C$74,B251,気管支鏡!$K$30:$K$74)*((気管支鏡!$H$3-気管支鏡!$I$3)/気管支鏡!$H$3),0)</f>
        <v>0</v>
      </c>
      <c r="Y251" s="69">
        <f t="shared" si="54"/>
        <v>0</v>
      </c>
      <c r="Z251" s="68">
        <f>IFERROR(SUMIF(CT撮影装置!$C$30:$C$74,B251,CT撮影装置!$K$30:$K$74)*((CT撮影装置!$H$3-CT撮影装置!$I$3)/CT撮影装置!$H$3),0)</f>
        <v>0</v>
      </c>
      <c r="AA251" s="69">
        <f t="shared" si="69"/>
        <v>0</v>
      </c>
      <c r="AB251" s="68">
        <f>IFERROR(SUMIF(生体情報モニタ!$C$30:$C$74,B251,生体情報モニタ!$K$30:$K$74)*((生体情報モニタ!$H$3-生体情報モニタ!$I$3)/生体情報モニタ!$H$3),0)</f>
        <v>0</v>
      </c>
      <c r="AC251" s="69">
        <f t="shared" si="55"/>
        <v>0</v>
      </c>
      <c r="AD251" s="68">
        <f>IFERROR(SUMIF(分娩監視装置!$C$30:$C$74,B251,分娩監視装置!$K$30:$K$74)*((分娩監視装置!$H$3-分娩監視装置!$I$3)/分娩監視装置!$H$3),0)</f>
        <v>0</v>
      </c>
      <c r="AE251" s="69">
        <f t="shared" si="70"/>
        <v>0</v>
      </c>
      <c r="AF251" s="68">
        <f>IFERROR(SUMIF(新生児モニタ!$C$30:$C$74,B251,新生児モニタ!$K$30:$K$74)*((新生児モニタ!$H$3-新生児モニタ!$I$3)/新生児モニタ!$H$3),0)</f>
        <v>0</v>
      </c>
      <c r="AG251" s="69">
        <f t="shared" si="71"/>
        <v>0</v>
      </c>
    </row>
    <row r="252" spans="2:33">
      <c r="B252" s="65" t="s">
        <v>921</v>
      </c>
      <c r="C252" s="68">
        <f>IFERROR(SUMIF(初度設備!$C$30:$C$74,B252,初度設備!$N$30:$N$74)*((初度設備!$H$3-初度設備!$I$3)/初度設備!$H$3),0)</f>
        <v>0</v>
      </c>
      <c r="D252" s="69">
        <f t="shared" si="56"/>
        <v>0</v>
      </c>
      <c r="E252" s="68">
        <f>IFERROR(SUMIF(人工呼吸器!$C$30:$C$74,B252,人工呼吸器!$N$30:$N$74)*((人工呼吸器!$H$3-人工呼吸器!$I$3)/人工呼吸器!$H$3),0)</f>
        <v>0</v>
      </c>
      <c r="F252" s="69">
        <f t="shared" si="57"/>
        <v>0</v>
      </c>
      <c r="G252" s="69">
        <f t="shared" si="58"/>
        <v>0</v>
      </c>
      <c r="H252" s="69">
        <f t="shared" si="59"/>
        <v>0</v>
      </c>
      <c r="I252" s="68">
        <f>IFERROR(SUMIF(簡易陰圧装置!$C$30:$C$74,B252,簡易陰圧装置!$N$30:$N$74)*((簡易陰圧装置!$H$3-簡易陰圧装置!$I$3)/簡易陰圧装置!$H$3),0)</f>
        <v>0</v>
      </c>
      <c r="J252" s="69">
        <f t="shared" si="60"/>
        <v>0</v>
      </c>
      <c r="K252" s="68">
        <f>IFERROR(SUMIF(#REF!,B252,#REF!)*((#REF!-#REF!)/#REF!),0)</f>
        <v>0</v>
      </c>
      <c r="L252" s="69">
        <f t="shared" si="61"/>
        <v>0</v>
      </c>
      <c r="M252" s="68">
        <f>IFERROR(SUMIF(体外式膜型人工肺!$C$30:$C$74,B252,体外式膜型人工肺!$N$30:$N$74)*((体外式膜型人工肺!$H$3-体外式膜型人工肺!$I$3)/体外式膜型人工肺!$H$3),0)</f>
        <v>0</v>
      </c>
      <c r="N252" s="69">
        <f t="shared" si="62"/>
        <v>0</v>
      </c>
      <c r="O252" s="69">
        <f t="shared" si="63"/>
        <v>0</v>
      </c>
      <c r="P252" s="69">
        <f t="shared" si="64"/>
        <v>0</v>
      </c>
      <c r="Q252" s="68">
        <f>IFERROR(SUMIF(紫外線照射装置!$C$30:$C$74,B252,紫外線照射装置!$N$30:$N$74)*((紫外線照射装置!$H$3-紫外線照射装置!$I$3)/紫外線照射装置!$H$3),0)</f>
        <v>0</v>
      </c>
      <c r="R252" s="69">
        <f t="shared" si="65"/>
        <v>0</v>
      </c>
      <c r="S252" s="102">
        <f t="shared" si="66"/>
        <v>0</v>
      </c>
      <c r="T252" s="68">
        <f>IFERROR(SUMIF(超音波画像診断装置!$C$30:$C$74,B252,超音波画像診断装置!$K$30:$K$74)*((超音波画像診断装置!$H$3-超音波画像診断装置!$I$3)/超音波画像診断装置!$H$3),0)</f>
        <v>0</v>
      </c>
      <c r="U252" s="69">
        <f t="shared" si="67"/>
        <v>0</v>
      </c>
      <c r="V252" s="68">
        <f>IFERROR(SUMIF(血液浄化装置!$C$30:$C$74,B252,血液浄化装置!$K$30:$K$74)*((血液浄化装置!$H$3-血液浄化装置!$I$3)/血液浄化装置!$H$3),0)</f>
        <v>0</v>
      </c>
      <c r="W252" s="69">
        <f t="shared" si="68"/>
        <v>0</v>
      </c>
      <c r="X252" s="68">
        <f>IFERROR(SUMIF(気管支鏡!$C$30:$C$74,B252,気管支鏡!$K$30:$K$74)*((気管支鏡!$H$3-気管支鏡!$I$3)/気管支鏡!$H$3),0)</f>
        <v>0</v>
      </c>
      <c r="Y252" s="69">
        <f t="shared" si="54"/>
        <v>0</v>
      </c>
      <c r="Z252" s="68">
        <f>IFERROR(SUMIF(CT撮影装置!$C$30:$C$74,B252,CT撮影装置!$K$30:$K$74)*((CT撮影装置!$H$3-CT撮影装置!$I$3)/CT撮影装置!$H$3),0)</f>
        <v>0</v>
      </c>
      <c r="AA252" s="69">
        <f t="shared" si="69"/>
        <v>0</v>
      </c>
      <c r="AB252" s="68">
        <f>IFERROR(SUMIF(生体情報モニタ!$C$30:$C$74,B252,生体情報モニタ!$K$30:$K$74)*((生体情報モニタ!$H$3-生体情報モニタ!$I$3)/生体情報モニタ!$H$3),0)</f>
        <v>0</v>
      </c>
      <c r="AC252" s="69">
        <f t="shared" si="55"/>
        <v>0</v>
      </c>
      <c r="AD252" s="68">
        <f>IFERROR(SUMIF(分娩監視装置!$C$30:$C$74,B252,分娩監視装置!$K$30:$K$74)*((分娩監視装置!$H$3-分娩監視装置!$I$3)/分娩監視装置!$H$3),0)</f>
        <v>0</v>
      </c>
      <c r="AE252" s="69">
        <f t="shared" si="70"/>
        <v>0</v>
      </c>
      <c r="AF252" s="68">
        <f>IFERROR(SUMIF(新生児モニタ!$C$30:$C$74,B252,新生児モニタ!$K$30:$K$74)*((新生児モニタ!$H$3-新生児モニタ!$I$3)/新生児モニタ!$H$3),0)</f>
        <v>0</v>
      </c>
      <c r="AG252" s="69">
        <f t="shared" si="71"/>
        <v>0</v>
      </c>
    </row>
    <row r="253" spans="2:33">
      <c r="B253" s="65" t="s">
        <v>922</v>
      </c>
      <c r="C253" s="68">
        <f>IFERROR(SUMIF(初度設備!$C$30:$C$74,B253,初度設備!$N$30:$N$74)*((初度設備!$H$3-初度設備!$I$3)/初度設備!$H$3),0)</f>
        <v>0</v>
      </c>
      <c r="D253" s="69">
        <f t="shared" si="56"/>
        <v>0</v>
      </c>
      <c r="E253" s="68">
        <f>IFERROR(SUMIF(人工呼吸器!$C$30:$C$74,B253,人工呼吸器!$N$30:$N$74)*((人工呼吸器!$H$3-人工呼吸器!$I$3)/人工呼吸器!$H$3),0)</f>
        <v>0</v>
      </c>
      <c r="F253" s="69">
        <f t="shared" si="57"/>
        <v>0</v>
      </c>
      <c r="G253" s="69">
        <f t="shared" si="58"/>
        <v>0</v>
      </c>
      <c r="H253" s="69">
        <f t="shared" si="59"/>
        <v>0</v>
      </c>
      <c r="I253" s="68">
        <f>IFERROR(SUMIF(簡易陰圧装置!$C$30:$C$74,B253,簡易陰圧装置!$N$30:$N$74)*((簡易陰圧装置!$H$3-簡易陰圧装置!$I$3)/簡易陰圧装置!$H$3),0)</f>
        <v>0</v>
      </c>
      <c r="J253" s="69">
        <f t="shared" si="60"/>
        <v>0</v>
      </c>
      <c r="K253" s="68">
        <f>IFERROR(SUMIF(#REF!,B253,#REF!)*((#REF!-#REF!)/#REF!),0)</f>
        <v>0</v>
      </c>
      <c r="L253" s="69">
        <f t="shared" si="61"/>
        <v>0</v>
      </c>
      <c r="M253" s="68">
        <f>IFERROR(SUMIF(体外式膜型人工肺!$C$30:$C$74,B253,体外式膜型人工肺!$N$30:$N$74)*((体外式膜型人工肺!$H$3-体外式膜型人工肺!$I$3)/体外式膜型人工肺!$H$3),0)</f>
        <v>0</v>
      </c>
      <c r="N253" s="69">
        <f t="shared" si="62"/>
        <v>0</v>
      </c>
      <c r="O253" s="69">
        <f t="shared" si="63"/>
        <v>0</v>
      </c>
      <c r="P253" s="69">
        <f t="shared" si="64"/>
        <v>0</v>
      </c>
      <c r="Q253" s="68">
        <f>IFERROR(SUMIF(紫外線照射装置!$C$30:$C$74,B253,紫外線照射装置!$N$30:$N$74)*((紫外線照射装置!$H$3-紫外線照射装置!$I$3)/紫外線照射装置!$H$3),0)</f>
        <v>0</v>
      </c>
      <c r="R253" s="69">
        <f t="shared" si="65"/>
        <v>0</v>
      </c>
      <c r="S253" s="102">
        <f t="shared" si="66"/>
        <v>0</v>
      </c>
      <c r="T253" s="68">
        <f>IFERROR(SUMIF(超音波画像診断装置!$C$30:$C$74,B253,超音波画像診断装置!$K$30:$K$74)*((超音波画像診断装置!$H$3-超音波画像診断装置!$I$3)/超音波画像診断装置!$H$3),0)</f>
        <v>0</v>
      </c>
      <c r="U253" s="69">
        <f t="shared" si="67"/>
        <v>0</v>
      </c>
      <c r="V253" s="68">
        <f>IFERROR(SUMIF(血液浄化装置!$C$30:$C$74,B253,血液浄化装置!$K$30:$K$74)*((血液浄化装置!$H$3-血液浄化装置!$I$3)/血液浄化装置!$H$3),0)</f>
        <v>0</v>
      </c>
      <c r="W253" s="69">
        <f t="shared" si="68"/>
        <v>0</v>
      </c>
      <c r="X253" s="68">
        <f>IFERROR(SUMIF(気管支鏡!$C$30:$C$74,B253,気管支鏡!$K$30:$K$74)*((気管支鏡!$H$3-気管支鏡!$I$3)/気管支鏡!$H$3),0)</f>
        <v>0</v>
      </c>
      <c r="Y253" s="69">
        <f t="shared" si="54"/>
        <v>0</v>
      </c>
      <c r="Z253" s="68">
        <f>IFERROR(SUMIF(CT撮影装置!$C$30:$C$74,B253,CT撮影装置!$K$30:$K$74)*((CT撮影装置!$H$3-CT撮影装置!$I$3)/CT撮影装置!$H$3),0)</f>
        <v>0</v>
      </c>
      <c r="AA253" s="69">
        <f t="shared" si="69"/>
        <v>0</v>
      </c>
      <c r="AB253" s="68">
        <f>IFERROR(SUMIF(生体情報モニタ!$C$30:$C$74,B253,生体情報モニタ!$K$30:$K$74)*((生体情報モニタ!$H$3-生体情報モニタ!$I$3)/生体情報モニタ!$H$3),0)</f>
        <v>0</v>
      </c>
      <c r="AC253" s="69">
        <f t="shared" si="55"/>
        <v>0</v>
      </c>
      <c r="AD253" s="68">
        <f>IFERROR(SUMIF(分娩監視装置!$C$30:$C$74,B253,分娩監視装置!$K$30:$K$74)*((分娩監視装置!$H$3-分娩監視装置!$I$3)/分娩監視装置!$H$3),0)</f>
        <v>0</v>
      </c>
      <c r="AE253" s="69">
        <f t="shared" si="70"/>
        <v>0</v>
      </c>
      <c r="AF253" s="68">
        <f>IFERROR(SUMIF(新生児モニタ!$C$30:$C$74,B253,新生児モニタ!$K$30:$K$74)*((新生児モニタ!$H$3-新生児モニタ!$I$3)/新生児モニタ!$H$3),0)</f>
        <v>0</v>
      </c>
      <c r="AG253" s="69">
        <f t="shared" si="71"/>
        <v>0</v>
      </c>
    </row>
    <row r="254" spans="2:33">
      <c r="B254" s="65" t="s">
        <v>923</v>
      </c>
      <c r="C254" s="68">
        <f>IFERROR(SUMIF(初度設備!$C$30:$C$74,B254,初度設備!$N$30:$N$74)*((初度設備!$H$3-初度設備!$I$3)/初度設備!$H$3),0)</f>
        <v>0</v>
      </c>
      <c r="D254" s="69">
        <f t="shared" si="56"/>
        <v>0</v>
      </c>
      <c r="E254" s="68">
        <f>IFERROR(SUMIF(人工呼吸器!$C$30:$C$74,B254,人工呼吸器!$N$30:$N$74)*((人工呼吸器!$H$3-人工呼吸器!$I$3)/人工呼吸器!$H$3),0)</f>
        <v>0</v>
      </c>
      <c r="F254" s="69">
        <f t="shared" si="57"/>
        <v>0</v>
      </c>
      <c r="G254" s="69">
        <f t="shared" si="58"/>
        <v>0</v>
      </c>
      <c r="H254" s="69">
        <f t="shared" si="59"/>
        <v>0</v>
      </c>
      <c r="I254" s="68">
        <f>IFERROR(SUMIF(簡易陰圧装置!$C$30:$C$74,B254,簡易陰圧装置!$N$30:$N$74)*((簡易陰圧装置!$H$3-簡易陰圧装置!$I$3)/簡易陰圧装置!$H$3),0)</f>
        <v>0</v>
      </c>
      <c r="J254" s="69">
        <f t="shared" si="60"/>
        <v>0</v>
      </c>
      <c r="K254" s="68">
        <f>IFERROR(SUMIF(#REF!,B254,#REF!)*((#REF!-#REF!)/#REF!),0)</f>
        <v>0</v>
      </c>
      <c r="L254" s="69">
        <f t="shared" si="61"/>
        <v>0</v>
      </c>
      <c r="M254" s="68">
        <f>IFERROR(SUMIF(体外式膜型人工肺!$C$30:$C$74,B254,体外式膜型人工肺!$N$30:$N$74)*((体外式膜型人工肺!$H$3-体外式膜型人工肺!$I$3)/体外式膜型人工肺!$H$3),0)</f>
        <v>0</v>
      </c>
      <c r="N254" s="69">
        <f t="shared" si="62"/>
        <v>0</v>
      </c>
      <c r="O254" s="69">
        <f t="shared" si="63"/>
        <v>0</v>
      </c>
      <c r="P254" s="69">
        <f t="shared" si="64"/>
        <v>0</v>
      </c>
      <c r="Q254" s="68">
        <f>IFERROR(SUMIF(紫外線照射装置!$C$30:$C$74,B254,紫外線照射装置!$N$30:$N$74)*((紫外線照射装置!$H$3-紫外線照射装置!$I$3)/紫外線照射装置!$H$3),0)</f>
        <v>0</v>
      </c>
      <c r="R254" s="69">
        <f t="shared" si="65"/>
        <v>0</v>
      </c>
      <c r="S254" s="102">
        <f t="shared" si="66"/>
        <v>0</v>
      </c>
      <c r="T254" s="68">
        <f>IFERROR(SUMIF(超音波画像診断装置!$C$30:$C$74,B254,超音波画像診断装置!$K$30:$K$74)*((超音波画像診断装置!$H$3-超音波画像診断装置!$I$3)/超音波画像診断装置!$H$3),0)</f>
        <v>0</v>
      </c>
      <c r="U254" s="69">
        <f t="shared" si="67"/>
        <v>0</v>
      </c>
      <c r="V254" s="68">
        <f>IFERROR(SUMIF(血液浄化装置!$C$30:$C$74,B254,血液浄化装置!$K$30:$K$74)*((血液浄化装置!$H$3-血液浄化装置!$I$3)/血液浄化装置!$H$3),0)</f>
        <v>0</v>
      </c>
      <c r="W254" s="69">
        <f t="shared" si="68"/>
        <v>0</v>
      </c>
      <c r="X254" s="68">
        <f>IFERROR(SUMIF(気管支鏡!$C$30:$C$74,B254,気管支鏡!$K$30:$K$74)*((気管支鏡!$H$3-気管支鏡!$I$3)/気管支鏡!$H$3),0)</f>
        <v>0</v>
      </c>
      <c r="Y254" s="69">
        <f t="shared" si="54"/>
        <v>0</v>
      </c>
      <c r="Z254" s="68">
        <f>IFERROR(SUMIF(CT撮影装置!$C$30:$C$74,B254,CT撮影装置!$K$30:$K$74)*((CT撮影装置!$H$3-CT撮影装置!$I$3)/CT撮影装置!$H$3),0)</f>
        <v>0</v>
      </c>
      <c r="AA254" s="69">
        <f t="shared" si="69"/>
        <v>0</v>
      </c>
      <c r="AB254" s="68">
        <f>IFERROR(SUMIF(生体情報モニタ!$C$30:$C$74,B254,生体情報モニタ!$K$30:$K$74)*((生体情報モニタ!$H$3-生体情報モニタ!$I$3)/生体情報モニタ!$H$3),0)</f>
        <v>0</v>
      </c>
      <c r="AC254" s="69">
        <f t="shared" si="55"/>
        <v>0</v>
      </c>
      <c r="AD254" s="68">
        <f>IFERROR(SUMIF(分娩監視装置!$C$30:$C$74,B254,分娩監視装置!$K$30:$K$74)*((分娩監視装置!$H$3-分娩監視装置!$I$3)/分娩監視装置!$H$3),0)</f>
        <v>0</v>
      </c>
      <c r="AE254" s="69">
        <f t="shared" si="70"/>
        <v>0</v>
      </c>
      <c r="AF254" s="68">
        <f>IFERROR(SUMIF(新生児モニタ!$C$30:$C$74,B254,新生児モニタ!$K$30:$K$74)*((新生児モニタ!$H$3-新生児モニタ!$I$3)/新生児モニタ!$H$3),0)</f>
        <v>0</v>
      </c>
      <c r="AG254" s="69">
        <f t="shared" si="71"/>
        <v>0</v>
      </c>
    </row>
    <row r="255" spans="2:33">
      <c r="B255" s="65" t="s">
        <v>924</v>
      </c>
      <c r="C255" s="68">
        <f>IFERROR(SUMIF(初度設備!$C$30:$C$74,B255,初度設備!$N$30:$N$74)*((初度設備!$H$3-初度設備!$I$3)/初度設備!$H$3),0)</f>
        <v>0</v>
      </c>
      <c r="D255" s="69">
        <f t="shared" si="56"/>
        <v>0</v>
      </c>
      <c r="E255" s="68">
        <f>IFERROR(SUMIF(人工呼吸器!$C$30:$C$74,B255,人工呼吸器!$N$30:$N$74)*((人工呼吸器!$H$3-人工呼吸器!$I$3)/人工呼吸器!$H$3),0)</f>
        <v>0</v>
      </c>
      <c r="F255" s="69">
        <f t="shared" si="57"/>
        <v>0</v>
      </c>
      <c r="G255" s="69">
        <f t="shared" si="58"/>
        <v>0</v>
      </c>
      <c r="H255" s="69">
        <f t="shared" si="59"/>
        <v>0</v>
      </c>
      <c r="I255" s="68">
        <f>IFERROR(SUMIF(簡易陰圧装置!$C$30:$C$74,B255,簡易陰圧装置!$N$30:$N$74)*((簡易陰圧装置!$H$3-簡易陰圧装置!$I$3)/簡易陰圧装置!$H$3),0)</f>
        <v>0</v>
      </c>
      <c r="J255" s="69">
        <f t="shared" si="60"/>
        <v>0</v>
      </c>
      <c r="K255" s="68">
        <f>IFERROR(SUMIF(#REF!,B255,#REF!)*((#REF!-#REF!)/#REF!),0)</f>
        <v>0</v>
      </c>
      <c r="L255" s="69">
        <f t="shared" si="61"/>
        <v>0</v>
      </c>
      <c r="M255" s="68">
        <f>IFERROR(SUMIF(体外式膜型人工肺!$C$30:$C$74,B255,体外式膜型人工肺!$N$30:$N$74)*((体外式膜型人工肺!$H$3-体外式膜型人工肺!$I$3)/体外式膜型人工肺!$H$3),0)</f>
        <v>0</v>
      </c>
      <c r="N255" s="69">
        <f t="shared" si="62"/>
        <v>0</v>
      </c>
      <c r="O255" s="69">
        <f t="shared" si="63"/>
        <v>0</v>
      </c>
      <c r="P255" s="69">
        <f t="shared" si="64"/>
        <v>0</v>
      </c>
      <c r="Q255" s="68">
        <f>IFERROR(SUMIF(紫外線照射装置!$C$30:$C$74,B255,紫外線照射装置!$N$30:$N$74)*((紫外線照射装置!$H$3-紫外線照射装置!$I$3)/紫外線照射装置!$H$3),0)</f>
        <v>0</v>
      </c>
      <c r="R255" s="69">
        <f t="shared" si="65"/>
        <v>0</v>
      </c>
      <c r="S255" s="102">
        <f t="shared" si="66"/>
        <v>0</v>
      </c>
      <c r="T255" s="68">
        <f>IFERROR(SUMIF(超音波画像診断装置!$C$30:$C$74,B255,超音波画像診断装置!$K$30:$K$74)*((超音波画像診断装置!$H$3-超音波画像診断装置!$I$3)/超音波画像診断装置!$H$3),0)</f>
        <v>0</v>
      </c>
      <c r="U255" s="69">
        <f t="shared" si="67"/>
        <v>0</v>
      </c>
      <c r="V255" s="68">
        <f>IFERROR(SUMIF(血液浄化装置!$C$30:$C$74,B255,血液浄化装置!$K$30:$K$74)*((血液浄化装置!$H$3-血液浄化装置!$I$3)/血液浄化装置!$H$3),0)</f>
        <v>0</v>
      </c>
      <c r="W255" s="69">
        <f t="shared" si="68"/>
        <v>0</v>
      </c>
      <c r="X255" s="68">
        <f>IFERROR(SUMIF(気管支鏡!$C$30:$C$74,B255,気管支鏡!$K$30:$K$74)*((気管支鏡!$H$3-気管支鏡!$I$3)/気管支鏡!$H$3),0)</f>
        <v>0</v>
      </c>
      <c r="Y255" s="69">
        <f t="shared" si="54"/>
        <v>0</v>
      </c>
      <c r="Z255" s="68">
        <f>IFERROR(SUMIF(CT撮影装置!$C$30:$C$74,B255,CT撮影装置!$K$30:$K$74)*((CT撮影装置!$H$3-CT撮影装置!$I$3)/CT撮影装置!$H$3),0)</f>
        <v>0</v>
      </c>
      <c r="AA255" s="69">
        <f t="shared" si="69"/>
        <v>0</v>
      </c>
      <c r="AB255" s="68">
        <f>IFERROR(SUMIF(生体情報モニタ!$C$30:$C$74,B255,生体情報モニタ!$K$30:$K$74)*((生体情報モニタ!$H$3-生体情報モニタ!$I$3)/生体情報モニタ!$H$3),0)</f>
        <v>0</v>
      </c>
      <c r="AC255" s="69">
        <f t="shared" si="55"/>
        <v>0</v>
      </c>
      <c r="AD255" s="68">
        <f>IFERROR(SUMIF(分娩監視装置!$C$30:$C$74,B255,分娩監視装置!$K$30:$K$74)*((分娩監視装置!$H$3-分娩監視装置!$I$3)/分娩監視装置!$H$3),0)</f>
        <v>0</v>
      </c>
      <c r="AE255" s="69">
        <f t="shared" si="70"/>
        <v>0</v>
      </c>
      <c r="AF255" s="68">
        <f>IFERROR(SUMIF(新生児モニタ!$C$30:$C$74,B255,新生児モニタ!$K$30:$K$74)*((新生児モニタ!$H$3-新生児モニタ!$I$3)/新生児モニタ!$H$3),0)</f>
        <v>0</v>
      </c>
      <c r="AG255" s="69">
        <f t="shared" si="71"/>
        <v>0</v>
      </c>
    </row>
    <row r="256" spans="2:33">
      <c r="B256" s="65" t="s">
        <v>925</v>
      </c>
      <c r="C256" s="68">
        <f>IFERROR(SUMIF(初度設備!$C$30:$C$74,B256,初度設備!$N$30:$N$74)*((初度設備!$H$3-初度設備!$I$3)/初度設備!$H$3),0)</f>
        <v>0</v>
      </c>
      <c r="D256" s="69">
        <f t="shared" si="56"/>
        <v>0</v>
      </c>
      <c r="E256" s="68">
        <f>IFERROR(SUMIF(人工呼吸器!$C$30:$C$74,B256,人工呼吸器!$N$30:$N$74)*((人工呼吸器!$H$3-人工呼吸器!$I$3)/人工呼吸器!$H$3),0)</f>
        <v>0</v>
      </c>
      <c r="F256" s="69">
        <f t="shared" si="57"/>
        <v>0</v>
      </c>
      <c r="G256" s="69">
        <f t="shared" si="58"/>
        <v>0</v>
      </c>
      <c r="H256" s="69">
        <f t="shared" si="59"/>
        <v>0</v>
      </c>
      <c r="I256" s="68">
        <f>IFERROR(SUMIF(簡易陰圧装置!$C$30:$C$74,B256,簡易陰圧装置!$N$30:$N$74)*((簡易陰圧装置!$H$3-簡易陰圧装置!$I$3)/簡易陰圧装置!$H$3),0)</f>
        <v>0</v>
      </c>
      <c r="J256" s="69">
        <f t="shared" si="60"/>
        <v>0</v>
      </c>
      <c r="K256" s="68">
        <f>IFERROR(SUMIF(#REF!,B256,#REF!)*((#REF!-#REF!)/#REF!),0)</f>
        <v>0</v>
      </c>
      <c r="L256" s="69">
        <f t="shared" si="61"/>
        <v>0</v>
      </c>
      <c r="M256" s="68">
        <f>IFERROR(SUMIF(体外式膜型人工肺!$C$30:$C$74,B256,体外式膜型人工肺!$N$30:$N$74)*((体外式膜型人工肺!$H$3-体外式膜型人工肺!$I$3)/体外式膜型人工肺!$H$3),0)</f>
        <v>0</v>
      </c>
      <c r="N256" s="69">
        <f t="shared" si="62"/>
        <v>0</v>
      </c>
      <c r="O256" s="69">
        <f t="shared" si="63"/>
        <v>0</v>
      </c>
      <c r="P256" s="69">
        <f t="shared" si="64"/>
        <v>0</v>
      </c>
      <c r="Q256" s="68">
        <f>IFERROR(SUMIF(紫外線照射装置!$C$30:$C$74,B256,紫外線照射装置!$N$30:$N$74)*((紫外線照射装置!$H$3-紫外線照射装置!$I$3)/紫外線照射装置!$H$3),0)</f>
        <v>0</v>
      </c>
      <c r="R256" s="69">
        <f t="shared" si="65"/>
        <v>0</v>
      </c>
      <c r="S256" s="102">
        <f t="shared" si="66"/>
        <v>0</v>
      </c>
      <c r="T256" s="68">
        <f>IFERROR(SUMIF(超音波画像診断装置!$C$30:$C$74,B256,超音波画像診断装置!$K$30:$K$74)*((超音波画像診断装置!$H$3-超音波画像診断装置!$I$3)/超音波画像診断装置!$H$3),0)</f>
        <v>0</v>
      </c>
      <c r="U256" s="69">
        <f t="shared" si="67"/>
        <v>0</v>
      </c>
      <c r="V256" s="68">
        <f>IFERROR(SUMIF(血液浄化装置!$C$30:$C$74,B256,血液浄化装置!$K$30:$K$74)*((血液浄化装置!$H$3-血液浄化装置!$I$3)/血液浄化装置!$H$3),0)</f>
        <v>0</v>
      </c>
      <c r="W256" s="69">
        <f t="shared" si="68"/>
        <v>0</v>
      </c>
      <c r="X256" s="68">
        <f>IFERROR(SUMIF(気管支鏡!$C$30:$C$74,B256,気管支鏡!$K$30:$K$74)*((気管支鏡!$H$3-気管支鏡!$I$3)/気管支鏡!$H$3),0)</f>
        <v>0</v>
      </c>
      <c r="Y256" s="69">
        <f t="shared" si="54"/>
        <v>0</v>
      </c>
      <c r="Z256" s="68">
        <f>IFERROR(SUMIF(CT撮影装置!$C$30:$C$74,B256,CT撮影装置!$K$30:$K$74)*((CT撮影装置!$H$3-CT撮影装置!$I$3)/CT撮影装置!$H$3),0)</f>
        <v>0</v>
      </c>
      <c r="AA256" s="69">
        <f t="shared" si="69"/>
        <v>0</v>
      </c>
      <c r="AB256" s="68">
        <f>IFERROR(SUMIF(生体情報モニタ!$C$30:$C$74,B256,生体情報モニタ!$K$30:$K$74)*((生体情報モニタ!$H$3-生体情報モニタ!$I$3)/生体情報モニタ!$H$3),0)</f>
        <v>0</v>
      </c>
      <c r="AC256" s="69">
        <f t="shared" si="55"/>
        <v>0</v>
      </c>
      <c r="AD256" s="68">
        <f>IFERROR(SUMIF(分娩監視装置!$C$30:$C$74,B256,分娩監視装置!$K$30:$K$74)*((分娩監視装置!$H$3-分娩監視装置!$I$3)/分娩監視装置!$H$3),0)</f>
        <v>0</v>
      </c>
      <c r="AE256" s="69">
        <f t="shared" si="70"/>
        <v>0</v>
      </c>
      <c r="AF256" s="68">
        <f>IFERROR(SUMIF(新生児モニタ!$C$30:$C$74,B256,新生児モニタ!$K$30:$K$74)*((新生児モニタ!$H$3-新生児モニタ!$I$3)/新生児モニタ!$H$3),0)</f>
        <v>0</v>
      </c>
      <c r="AG256" s="69">
        <f t="shared" si="71"/>
        <v>0</v>
      </c>
    </row>
    <row r="257" spans="2:33">
      <c r="B257" s="65" t="s">
        <v>926</v>
      </c>
      <c r="C257" s="68">
        <f>IFERROR(SUMIF(初度設備!$C$30:$C$74,B257,初度設備!$N$30:$N$74)*((初度設備!$H$3-初度設備!$I$3)/初度設備!$H$3),0)</f>
        <v>0</v>
      </c>
      <c r="D257" s="69">
        <f t="shared" si="56"/>
        <v>0</v>
      </c>
      <c r="E257" s="68">
        <f>IFERROR(SUMIF(人工呼吸器!$C$30:$C$74,B257,人工呼吸器!$N$30:$N$74)*((人工呼吸器!$H$3-人工呼吸器!$I$3)/人工呼吸器!$H$3),0)</f>
        <v>0</v>
      </c>
      <c r="F257" s="69">
        <f t="shared" si="57"/>
        <v>0</v>
      </c>
      <c r="G257" s="69">
        <f t="shared" si="58"/>
        <v>0</v>
      </c>
      <c r="H257" s="69">
        <f t="shared" si="59"/>
        <v>0</v>
      </c>
      <c r="I257" s="68">
        <f>IFERROR(SUMIF(簡易陰圧装置!$C$30:$C$74,B257,簡易陰圧装置!$N$30:$N$74)*((簡易陰圧装置!$H$3-簡易陰圧装置!$I$3)/簡易陰圧装置!$H$3),0)</f>
        <v>0</v>
      </c>
      <c r="J257" s="69">
        <f t="shared" si="60"/>
        <v>0</v>
      </c>
      <c r="K257" s="68">
        <f>IFERROR(SUMIF(#REF!,B257,#REF!)*((#REF!-#REF!)/#REF!),0)</f>
        <v>0</v>
      </c>
      <c r="L257" s="69">
        <f t="shared" si="61"/>
        <v>0</v>
      </c>
      <c r="M257" s="68">
        <f>IFERROR(SUMIF(体外式膜型人工肺!$C$30:$C$74,B257,体外式膜型人工肺!$N$30:$N$74)*((体外式膜型人工肺!$H$3-体外式膜型人工肺!$I$3)/体外式膜型人工肺!$H$3),0)</f>
        <v>0</v>
      </c>
      <c r="N257" s="69">
        <f t="shared" si="62"/>
        <v>0</v>
      </c>
      <c r="O257" s="69">
        <f t="shared" si="63"/>
        <v>0</v>
      </c>
      <c r="P257" s="69">
        <f t="shared" si="64"/>
        <v>0</v>
      </c>
      <c r="Q257" s="68">
        <f>IFERROR(SUMIF(紫外線照射装置!$C$30:$C$74,B257,紫外線照射装置!$N$30:$N$74)*((紫外線照射装置!$H$3-紫外線照射装置!$I$3)/紫外線照射装置!$H$3),0)</f>
        <v>0</v>
      </c>
      <c r="R257" s="69">
        <f t="shared" si="65"/>
        <v>0</v>
      </c>
      <c r="S257" s="102">
        <f t="shared" si="66"/>
        <v>0</v>
      </c>
      <c r="T257" s="68">
        <f>IFERROR(SUMIF(超音波画像診断装置!$C$30:$C$74,B257,超音波画像診断装置!$K$30:$K$74)*((超音波画像診断装置!$H$3-超音波画像診断装置!$I$3)/超音波画像診断装置!$H$3),0)</f>
        <v>0</v>
      </c>
      <c r="U257" s="69">
        <f t="shared" si="67"/>
        <v>0</v>
      </c>
      <c r="V257" s="68">
        <f>IFERROR(SUMIF(血液浄化装置!$C$30:$C$74,B257,血液浄化装置!$K$30:$K$74)*((血液浄化装置!$H$3-血液浄化装置!$I$3)/血液浄化装置!$H$3),0)</f>
        <v>0</v>
      </c>
      <c r="W257" s="69">
        <f t="shared" si="68"/>
        <v>0</v>
      </c>
      <c r="X257" s="68">
        <f>IFERROR(SUMIF(気管支鏡!$C$30:$C$74,B257,気管支鏡!$K$30:$K$74)*((気管支鏡!$H$3-気管支鏡!$I$3)/気管支鏡!$H$3),0)</f>
        <v>0</v>
      </c>
      <c r="Y257" s="69">
        <f t="shared" si="54"/>
        <v>0</v>
      </c>
      <c r="Z257" s="68">
        <f>IFERROR(SUMIF(CT撮影装置!$C$30:$C$74,B257,CT撮影装置!$K$30:$K$74)*((CT撮影装置!$H$3-CT撮影装置!$I$3)/CT撮影装置!$H$3),0)</f>
        <v>0</v>
      </c>
      <c r="AA257" s="69">
        <f t="shared" si="69"/>
        <v>0</v>
      </c>
      <c r="AB257" s="68">
        <f>IFERROR(SUMIF(生体情報モニタ!$C$30:$C$74,B257,生体情報モニタ!$K$30:$K$74)*((生体情報モニタ!$H$3-生体情報モニタ!$I$3)/生体情報モニタ!$H$3),0)</f>
        <v>0</v>
      </c>
      <c r="AC257" s="69">
        <f t="shared" si="55"/>
        <v>0</v>
      </c>
      <c r="AD257" s="68">
        <f>IFERROR(SUMIF(分娩監視装置!$C$30:$C$74,B257,分娩監視装置!$K$30:$K$74)*((分娩監視装置!$H$3-分娩監視装置!$I$3)/分娩監視装置!$H$3),0)</f>
        <v>0</v>
      </c>
      <c r="AE257" s="69">
        <f t="shared" si="70"/>
        <v>0</v>
      </c>
      <c r="AF257" s="68">
        <f>IFERROR(SUMIF(新生児モニタ!$C$30:$C$74,B257,新生児モニタ!$K$30:$K$74)*((新生児モニタ!$H$3-新生児モニタ!$I$3)/新生児モニタ!$H$3),0)</f>
        <v>0</v>
      </c>
      <c r="AG257" s="69">
        <f t="shared" si="71"/>
        <v>0</v>
      </c>
    </row>
    <row r="258" spans="2:33">
      <c r="B258" s="65" t="s">
        <v>927</v>
      </c>
      <c r="C258" s="68">
        <f>IFERROR(SUMIF(初度設備!$C$30:$C$74,B258,初度設備!$N$30:$N$74)*((初度設備!$H$3-初度設備!$I$3)/初度設備!$H$3),0)</f>
        <v>0</v>
      </c>
      <c r="D258" s="69">
        <f t="shared" si="56"/>
        <v>0</v>
      </c>
      <c r="E258" s="68">
        <f>IFERROR(SUMIF(人工呼吸器!$C$30:$C$74,B258,人工呼吸器!$N$30:$N$74)*((人工呼吸器!$H$3-人工呼吸器!$I$3)/人工呼吸器!$H$3),0)</f>
        <v>0</v>
      </c>
      <c r="F258" s="69">
        <f t="shared" si="57"/>
        <v>0</v>
      </c>
      <c r="G258" s="69">
        <f t="shared" si="58"/>
        <v>0</v>
      </c>
      <c r="H258" s="69">
        <f t="shared" si="59"/>
        <v>0</v>
      </c>
      <c r="I258" s="68">
        <f>IFERROR(SUMIF(簡易陰圧装置!$C$30:$C$74,B258,簡易陰圧装置!$N$30:$N$74)*((簡易陰圧装置!$H$3-簡易陰圧装置!$I$3)/簡易陰圧装置!$H$3),0)</f>
        <v>0</v>
      </c>
      <c r="J258" s="69">
        <f t="shared" si="60"/>
        <v>0</v>
      </c>
      <c r="K258" s="68">
        <f>IFERROR(SUMIF(#REF!,B258,#REF!)*((#REF!-#REF!)/#REF!),0)</f>
        <v>0</v>
      </c>
      <c r="L258" s="69">
        <f t="shared" si="61"/>
        <v>0</v>
      </c>
      <c r="M258" s="68">
        <f>IFERROR(SUMIF(体外式膜型人工肺!$C$30:$C$74,B258,体外式膜型人工肺!$N$30:$N$74)*((体外式膜型人工肺!$H$3-体外式膜型人工肺!$I$3)/体外式膜型人工肺!$H$3),0)</f>
        <v>0</v>
      </c>
      <c r="N258" s="69">
        <f t="shared" si="62"/>
        <v>0</v>
      </c>
      <c r="O258" s="69">
        <f t="shared" si="63"/>
        <v>0</v>
      </c>
      <c r="P258" s="69">
        <f t="shared" si="64"/>
        <v>0</v>
      </c>
      <c r="Q258" s="68">
        <f>IFERROR(SUMIF(紫外線照射装置!$C$30:$C$74,B258,紫外線照射装置!$N$30:$N$74)*((紫外線照射装置!$H$3-紫外線照射装置!$I$3)/紫外線照射装置!$H$3),0)</f>
        <v>0</v>
      </c>
      <c r="R258" s="69">
        <f t="shared" si="65"/>
        <v>0</v>
      </c>
      <c r="S258" s="102">
        <f t="shared" si="66"/>
        <v>0</v>
      </c>
      <c r="T258" s="68">
        <f>IFERROR(SUMIF(超音波画像診断装置!$C$30:$C$74,B258,超音波画像診断装置!$K$30:$K$74)*((超音波画像診断装置!$H$3-超音波画像診断装置!$I$3)/超音波画像診断装置!$H$3),0)</f>
        <v>0</v>
      </c>
      <c r="U258" s="69">
        <f t="shared" si="67"/>
        <v>0</v>
      </c>
      <c r="V258" s="68">
        <f>IFERROR(SUMIF(血液浄化装置!$C$30:$C$74,B258,血液浄化装置!$K$30:$K$74)*((血液浄化装置!$H$3-血液浄化装置!$I$3)/血液浄化装置!$H$3),0)</f>
        <v>0</v>
      </c>
      <c r="W258" s="69">
        <f t="shared" si="68"/>
        <v>0</v>
      </c>
      <c r="X258" s="68">
        <f>IFERROR(SUMIF(気管支鏡!$C$30:$C$74,B258,気管支鏡!$K$30:$K$74)*((気管支鏡!$H$3-気管支鏡!$I$3)/気管支鏡!$H$3),0)</f>
        <v>0</v>
      </c>
      <c r="Y258" s="69">
        <f t="shared" si="54"/>
        <v>0</v>
      </c>
      <c r="Z258" s="68">
        <f>IFERROR(SUMIF(CT撮影装置!$C$30:$C$74,B258,CT撮影装置!$K$30:$K$74)*((CT撮影装置!$H$3-CT撮影装置!$I$3)/CT撮影装置!$H$3),0)</f>
        <v>0</v>
      </c>
      <c r="AA258" s="69">
        <f t="shared" si="69"/>
        <v>0</v>
      </c>
      <c r="AB258" s="68">
        <f>IFERROR(SUMIF(生体情報モニタ!$C$30:$C$74,B258,生体情報モニタ!$K$30:$K$74)*((生体情報モニタ!$H$3-生体情報モニタ!$I$3)/生体情報モニタ!$H$3),0)</f>
        <v>0</v>
      </c>
      <c r="AC258" s="69">
        <f t="shared" si="55"/>
        <v>0</v>
      </c>
      <c r="AD258" s="68">
        <f>IFERROR(SUMIF(分娩監視装置!$C$30:$C$74,B258,分娩監視装置!$K$30:$K$74)*((分娩監視装置!$H$3-分娩監視装置!$I$3)/分娩監視装置!$H$3),0)</f>
        <v>0</v>
      </c>
      <c r="AE258" s="69">
        <f t="shared" si="70"/>
        <v>0</v>
      </c>
      <c r="AF258" s="68">
        <f>IFERROR(SUMIF(新生児モニタ!$C$30:$C$74,B258,新生児モニタ!$K$30:$K$74)*((新生児モニタ!$H$3-新生児モニタ!$I$3)/新生児モニタ!$H$3),0)</f>
        <v>0</v>
      </c>
      <c r="AG258" s="69">
        <f t="shared" si="71"/>
        <v>0</v>
      </c>
    </row>
    <row r="259" spans="2:33">
      <c r="B259" s="65" t="s">
        <v>928</v>
      </c>
      <c r="C259" s="68">
        <f>IFERROR(SUMIF(初度設備!$C$30:$C$74,B259,初度設備!$N$30:$N$74)*((初度設備!$H$3-初度設備!$I$3)/初度設備!$H$3),0)</f>
        <v>0</v>
      </c>
      <c r="D259" s="69">
        <f t="shared" si="56"/>
        <v>0</v>
      </c>
      <c r="E259" s="68">
        <f>IFERROR(SUMIF(人工呼吸器!$C$30:$C$74,B259,人工呼吸器!$N$30:$N$74)*((人工呼吸器!$H$3-人工呼吸器!$I$3)/人工呼吸器!$H$3),0)</f>
        <v>0</v>
      </c>
      <c r="F259" s="69">
        <f t="shared" si="57"/>
        <v>0</v>
      </c>
      <c r="G259" s="69">
        <f t="shared" si="58"/>
        <v>0</v>
      </c>
      <c r="H259" s="69">
        <f t="shared" si="59"/>
        <v>0</v>
      </c>
      <c r="I259" s="68">
        <f>IFERROR(SUMIF(簡易陰圧装置!$C$30:$C$74,B259,簡易陰圧装置!$N$30:$N$74)*((簡易陰圧装置!$H$3-簡易陰圧装置!$I$3)/簡易陰圧装置!$H$3),0)</f>
        <v>0</v>
      </c>
      <c r="J259" s="69">
        <f t="shared" si="60"/>
        <v>0</v>
      </c>
      <c r="K259" s="68">
        <f>IFERROR(SUMIF(#REF!,B259,#REF!)*((#REF!-#REF!)/#REF!),0)</f>
        <v>0</v>
      </c>
      <c r="L259" s="69">
        <f t="shared" si="61"/>
        <v>0</v>
      </c>
      <c r="M259" s="68">
        <f>IFERROR(SUMIF(体外式膜型人工肺!$C$30:$C$74,B259,体外式膜型人工肺!$N$30:$N$74)*((体外式膜型人工肺!$H$3-体外式膜型人工肺!$I$3)/体外式膜型人工肺!$H$3),0)</f>
        <v>0</v>
      </c>
      <c r="N259" s="69">
        <f t="shared" si="62"/>
        <v>0</v>
      </c>
      <c r="O259" s="69">
        <f t="shared" si="63"/>
        <v>0</v>
      </c>
      <c r="P259" s="69">
        <f t="shared" si="64"/>
        <v>0</v>
      </c>
      <c r="Q259" s="68">
        <f>IFERROR(SUMIF(紫外線照射装置!$C$30:$C$74,B259,紫外線照射装置!$N$30:$N$74)*((紫外線照射装置!$H$3-紫外線照射装置!$I$3)/紫外線照射装置!$H$3),0)</f>
        <v>0</v>
      </c>
      <c r="R259" s="69">
        <f t="shared" si="65"/>
        <v>0</v>
      </c>
      <c r="S259" s="102">
        <f t="shared" si="66"/>
        <v>0</v>
      </c>
      <c r="T259" s="68">
        <f>IFERROR(SUMIF(超音波画像診断装置!$C$30:$C$74,B259,超音波画像診断装置!$K$30:$K$74)*((超音波画像診断装置!$H$3-超音波画像診断装置!$I$3)/超音波画像診断装置!$H$3),0)</f>
        <v>0</v>
      </c>
      <c r="U259" s="69">
        <f t="shared" si="67"/>
        <v>0</v>
      </c>
      <c r="V259" s="68">
        <f>IFERROR(SUMIF(血液浄化装置!$C$30:$C$74,B259,血液浄化装置!$K$30:$K$74)*((血液浄化装置!$H$3-血液浄化装置!$I$3)/血液浄化装置!$H$3),0)</f>
        <v>0</v>
      </c>
      <c r="W259" s="69">
        <f t="shared" si="68"/>
        <v>0</v>
      </c>
      <c r="X259" s="68">
        <f>IFERROR(SUMIF(気管支鏡!$C$30:$C$74,B259,気管支鏡!$K$30:$K$74)*((気管支鏡!$H$3-気管支鏡!$I$3)/気管支鏡!$H$3),0)</f>
        <v>0</v>
      </c>
      <c r="Y259" s="69">
        <f t="shared" si="54"/>
        <v>0</v>
      </c>
      <c r="Z259" s="68">
        <f>IFERROR(SUMIF(CT撮影装置!$C$30:$C$74,B259,CT撮影装置!$K$30:$K$74)*((CT撮影装置!$H$3-CT撮影装置!$I$3)/CT撮影装置!$H$3),0)</f>
        <v>0</v>
      </c>
      <c r="AA259" s="69">
        <f t="shared" si="69"/>
        <v>0</v>
      </c>
      <c r="AB259" s="68">
        <f>IFERROR(SUMIF(生体情報モニタ!$C$30:$C$74,B259,生体情報モニタ!$K$30:$K$74)*((生体情報モニタ!$H$3-生体情報モニタ!$I$3)/生体情報モニタ!$H$3),0)</f>
        <v>0</v>
      </c>
      <c r="AC259" s="69">
        <f t="shared" si="55"/>
        <v>0</v>
      </c>
      <c r="AD259" s="68">
        <f>IFERROR(SUMIF(分娩監視装置!$C$30:$C$74,B259,分娩監視装置!$K$30:$K$74)*((分娩監視装置!$H$3-分娩監視装置!$I$3)/分娩監視装置!$H$3),0)</f>
        <v>0</v>
      </c>
      <c r="AE259" s="69">
        <f t="shared" si="70"/>
        <v>0</v>
      </c>
      <c r="AF259" s="68">
        <f>IFERROR(SUMIF(新生児モニタ!$C$30:$C$74,B259,新生児モニタ!$K$30:$K$74)*((新生児モニタ!$H$3-新生児モニタ!$I$3)/新生児モニタ!$H$3),0)</f>
        <v>0</v>
      </c>
      <c r="AG259" s="69">
        <f t="shared" si="71"/>
        <v>0</v>
      </c>
    </row>
    <row r="260" spans="2:33">
      <c r="B260" s="65" t="s">
        <v>929</v>
      </c>
      <c r="C260" s="68">
        <f>IFERROR(SUMIF(初度設備!$C$30:$C$74,B260,初度設備!$N$30:$N$74)*((初度設備!$H$3-初度設備!$I$3)/初度設備!$H$3),0)</f>
        <v>0</v>
      </c>
      <c r="D260" s="69">
        <f t="shared" si="56"/>
        <v>0</v>
      </c>
      <c r="E260" s="68">
        <f>IFERROR(SUMIF(人工呼吸器!$C$30:$C$74,B260,人工呼吸器!$N$30:$N$74)*((人工呼吸器!$H$3-人工呼吸器!$I$3)/人工呼吸器!$H$3),0)</f>
        <v>0</v>
      </c>
      <c r="F260" s="69">
        <f t="shared" si="57"/>
        <v>0</v>
      </c>
      <c r="G260" s="69">
        <f t="shared" si="58"/>
        <v>0</v>
      </c>
      <c r="H260" s="69">
        <f t="shared" si="59"/>
        <v>0</v>
      </c>
      <c r="I260" s="68">
        <f>IFERROR(SUMIF(簡易陰圧装置!$C$30:$C$74,B260,簡易陰圧装置!$N$30:$N$74)*((簡易陰圧装置!$H$3-簡易陰圧装置!$I$3)/簡易陰圧装置!$H$3),0)</f>
        <v>0</v>
      </c>
      <c r="J260" s="69">
        <f t="shared" si="60"/>
        <v>0</v>
      </c>
      <c r="K260" s="68">
        <f>IFERROR(SUMIF(#REF!,B260,#REF!)*((#REF!-#REF!)/#REF!),0)</f>
        <v>0</v>
      </c>
      <c r="L260" s="69">
        <f t="shared" si="61"/>
        <v>0</v>
      </c>
      <c r="M260" s="68">
        <f>IFERROR(SUMIF(体外式膜型人工肺!$C$30:$C$74,B260,体外式膜型人工肺!$N$30:$N$74)*((体外式膜型人工肺!$H$3-体外式膜型人工肺!$I$3)/体外式膜型人工肺!$H$3),0)</f>
        <v>0</v>
      </c>
      <c r="N260" s="69">
        <f t="shared" si="62"/>
        <v>0</v>
      </c>
      <c r="O260" s="69">
        <f t="shared" si="63"/>
        <v>0</v>
      </c>
      <c r="P260" s="69">
        <f t="shared" si="64"/>
        <v>0</v>
      </c>
      <c r="Q260" s="68">
        <f>IFERROR(SUMIF(紫外線照射装置!$C$30:$C$74,B260,紫外線照射装置!$N$30:$N$74)*((紫外線照射装置!$H$3-紫外線照射装置!$I$3)/紫外線照射装置!$H$3),0)</f>
        <v>0</v>
      </c>
      <c r="R260" s="69">
        <f t="shared" si="65"/>
        <v>0</v>
      </c>
      <c r="S260" s="102">
        <f t="shared" si="66"/>
        <v>0</v>
      </c>
      <c r="T260" s="68">
        <f>IFERROR(SUMIF(超音波画像診断装置!$C$30:$C$74,B260,超音波画像診断装置!$K$30:$K$74)*((超音波画像診断装置!$H$3-超音波画像診断装置!$I$3)/超音波画像診断装置!$H$3),0)</f>
        <v>0</v>
      </c>
      <c r="U260" s="69">
        <f t="shared" si="67"/>
        <v>0</v>
      </c>
      <c r="V260" s="68">
        <f>IFERROR(SUMIF(血液浄化装置!$C$30:$C$74,B260,血液浄化装置!$K$30:$K$74)*((血液浄化装置!$H$3-血液浄化装置!$I$3)/血液浄化装置!$H$3),0)</f>
        <v>0</v>
      </c>
      <c r="W260" s="69">
        <f t="shared" si="68"/>
        <v>0</v>
      </c>
      <c r="X260" s="68">
        <f>IFERROR(SUMIF(気管支鏡!$C$30:$C$74,B260,気管支鏡!$K$30:$K$74)*((気管支鏡!$H$3-気管支鏡!$I$3)/気管支鏡!$H$3),0)</f>
        <v>0</v>
      </c>
      <c r="Y260" s="69">
        <f t="shared" si="54"/>
        <v>0</v>
      </c>
      <c r="Z260" s="68">
        <f>IFERROR(SUMIF(CT撮影装置!$C$30:$C$74,B260,CT撮影装置!$K$30:$K$74)*((CT撮影装置!$H$3-CT撮影装置!$I$3)/CT撮影装置!$H$3),0)</f>
        <v>0</v>
      </c>
      <c r="AA260" s="69">
        <f t="shared" si="69"/>
        <v>0</v>
      </c>
      <c r="AB260" s="68">
        <f>IFERROR(SUMIF(生体情報モニタ!$C$30:$C$74,B260,生体情報モニタ!$K$30:$K$74)*((生体情報モニタ!$H$3-生体情報モニタ!$I$3)/生体情報モニタ!$H$3),0)</f>
        <v>0</v>
      </c>
      <c r="AC260" s="69">
        <f t="shared" si="55"/>
        <v>0</v>
      </c>
      <c r="AD260" s="68">
        <f>IFERROR(SUMIF(分娩監視装置!$C$30:$C$74,B260,分娩監視装置!$K$30:$K$74)*((分娩監視装置!$H$3-分娩監視装置!$I$3)/分娩監視装置!$H$3),0)</f>
        <v>0</v>
      </c>
      <c r="AE260" s="69">
        <f t="shared" si="70"/>
        <v>0</v>
      </c>
      <c r="AF260" s="68">
        <f>IFERROR(SUMIF(新生児モニタ!$C$30:$C$74,B260,新生児モニタ!$K$30:$K$74)*((新生児モニタ!$H$3-新生児モニタ!$I$3)/新生児モニタ!$H$3),0)</f>
        <v>0</v>
      </c>
      <c r="AG260" s="69">
        <f t="shared" si="71"/>
        <v>0</v>
      </c>
    </row>
    <row r="261" spans="2:33">
      <c r="B261" s="65" t="s">
        <v>930</v>
      </c>
      <c r="C261" s="68">
        <f>IFERROR(SUMIF(初度設備!$C$30:$C$74,B261,初度設備!$N$30:$N$74)*((初度設備!$H$3-初度設備!$I$3)/初度設備!$H$3),0)</f>
        <v>0</v>
      </c>
      <c r="D261" s="69">
        <f t="shared" si="56"/>
        <v>0</v>
      </c>
      <c r="E261" s="68">
        <f>IFERROR(SUMIF(人工呼吸器!$C$30:$C$74,B261,人工呼吸器!$N$30:$N$74)*((人工呼吸器!$H$3-人工呼吸器!$I$3)/人工呼吸器!$H$3),0)</f>
        <v>0</v>
      </c>
      <c r="F261" s="69">
        <f t="shared" si="57"/>
        <v>0</v>
      </c>
      <c r="G261" s="69">
        <f t="shared" si="58"/>
        <v>0</v>
      </c>
      <c r="H261" s="69">
        <f t="shared" si="59"/>
        <v>0</v>
      </c>
      <c r="I261" s="68">
        <f>IFERROR(SUMIF(簡易陰圧装置!$C$30:$C$74,B261,簡易陰圧装置!$N$30:$N$74)*((簡易陰圧装置!$H$3-簡易陰圧装置!$I$3)/簡易陰圧装置!$H$3),0)</f>
        <v>0</v>
      </c>
      <c r="J261" s="69">
        <f t="shared" si="60"/>
        <v>0</v>
      </c>
      <c r="K261" s="68">
        <f>IFERROR(SUMIF(#REF!,B261,#REF!)*((#REF!-#REF!)/#REF!),0)</f>
        <v>0</v>
      </c>
      <c r="L261" s="69">
        <f t="shared" si="61"/>
        <v>0</v>
      </c>
      <c r="M261" s="68">
        <f>IFERROR(SUMIF(体外式膜型人工肺!$C$30:$C$74,B261,体外式膜型人工肺!$N$30:$N$74)*((体外式膜型人工肺!$H$3-体外式膜型人工肺!$I$3)/体外式膜型人工肺!$H$3),0)</f>
        <v>0</v>
      </c>
      <c r="N261" s="69">
        <f t="shared" si="62"/>
        <v>0</v>
      </c>
      <c r="O261" s="69">
        <f t="shared" si="63"/>
        <v>0</v>
      </c>
      <c r="P261" s="69">
        <f t="shared" si="64"/>
        <v>0</v>
      </c>
      <c r="Q261" s="68">
        <f>IFERROR(SUMIF(紫外線照射装置!$C$30:$C$74,B261,紫外線照射装置!$N$30:$N$74)*((紫外線照射装置!$H$3-紫外線照射装置!$I$3)/紫外線照射装置!$H$3),0)</f>
        <v>0</v>
      </c>
      <c r="R261" s="69">
        <f t="shared" si="65"/>
        <v>0</v>
      </c>
      <c r="S261" s="102">
        <f t="shared" si="66"/>
        <v>0</v>
      </c>
      <c r="T261" s="68">
        <f>IFERROR(SUMIF(超音波画像診断装置!$C$30:$C$74,B261,超音波画像診断装置!$K$30:$K$74)*((超音波画像診断装置!$H$3-超音波画像診断装置!$I$3)/超音波画像診断装置!$H$3),0)</f>
        <v>0</v>
      </c>
      <c r="U261" s="69">
        <f t="shared" si="67"/>
        <v>0</v>
      </c>
      <c r="V261" s="68">
        <f>IFERROR(SUMIF(血液浄化装置!$C$30:$C$74,B261,血液浄化装置!$K$30:$K$74)*((血液浄化装置!$H$3-血液浄化装置!$I$3)/血液浄化装置!$H$3),0)</f>
        <v>0</v>
      </c>
      <c r="W261" s="69">
        <f t="shared" si="68"/>
        <v>0</v>
      </c>
      <c r="X261" s="68">
        <f>IFERROR(SUMIF(気管支鏡!$C$30:$C$74,B261,気管支鏡!$K$30:$K$74)*((気管支鏡!$H$3-気管支鏡!$I$3)/気管支鏡!$H$3),0)</f>
        <v>0</v>
      </c>
      <c r="Y261" s="69">
        <f t="shared" si="54"/>
        <v>0</v>
      </c>
      <c r="Z261" s="68">
        <f>IFERROR(SUMIF(CT撮影装置!$C$30:$C$74,B261,CT撮影装置!$K$30:$K$74)*((CT撮影装置!$H$3-CT撮影装置!$I$3)/CT撮影装置!$H$3),0)</f>
        <v>0</v>
      </c>
      <c r="AA261" s="69">
        <f t="shared" si="69"/>
        <v>0</v>
      </c>
      <c r="AB261" s="68">
        <f>IFERROR(SUMIF(生体情報モニタ!$C$30:$C$74,B261,生体情報モニタ!$K$30:$K$74)*((生体情報モニタ!$H$3-生体情報モニタ!$I$3)/生体情報モニタ!$H$3),0)</f>
        <v>0</v>
      </c>
      <c r="AC261" s="69">
        <f t="shared" si="55"/>
        <v>0</v>
      </c>
      <c r="AD261" s="68">
        <f>IFERROR(SUMIF(分娩監視装置!$C$30:$C$74,B261,分娩監視装置!$K$30:$K$74)*((分娩監視装置!$H$3-分娩監視装置!$I$3)/分娩監視装置!$H$3),0)</f>
        <v>0</v>
      </c>
      <c r="AE261" s="69">
        <f t="shared" si="70"/>
        <v>0</v>
      </c>
      <c r="AF261" s="68">
        <f>IFERROR(SUMIF(新生児モニタ!$C$30:$C$74,B261,新生児モニタ!$K$30:$K$74)*((新生児モニタ!$H$3-新生児モニタ!$I$3)/新生児モニタ!$H$3),0)</f>
        <v>0</v>
      </c>
      <c r="AG261" s="69">
        <f t="shared" si="71"/>
        <v>0</v>
      </c>
    </row>
    <row r="262" spans="2:33">
      <c r="B262" s="65" t="s">
        <v>931</v>
      </c>
      <c r="C262" s="68">
        <f>IFERROR(SUMIF(初度設備!$C$30:$C$74,B262,初度設備!$N$30:$N$74)*((初度設備!$H$3-初度設備!$I$3)/初度設備!$H$3),0)</f>
        <v>0</v>
      </c>
      <c r="D262" s="69">
        <f t="shared" si="56"/>
        <v>0</v>
      </c>
      <c r="E262" s="68">
        <f>IFERROR(SUMIF(人工呼吸器!$C$30:$C$74,B262,人工呼吸器!$N$30:$N$74)*((人工呼吸器!$H$3-人工呼吸器!$I$3)/人工呼吸器!$H$3),0)</f>
        <v>0</v>
      </c>
      <c r="F262" s="69">
        <f t="shared" si="57"/>
        <v>0</v>
      </c>
      <c r="G262" s="69">
        <f t="shared" si="58"/>
        <v>0</v>
      </c>
      <c r="H262" s="69">
        <f t="shared" si="59"/>
        <v>0</v>
      </c>
      <c r="I262" s="68">
        <f>IFERROR(SUMIF(簡易陰圧装置!$C$30:$C$74,B262,簡易陰圧装置!$N$30:$N$74)*((簡易陰圧装置!$H$3-簡易陰圧装置!$I$3)/簡易陰圧装置!$H$3),0)</f>
        <v>0</v>
      </c>
      <c r="J262" s="69">
        <f t="shared" si="60"/>
        <v>0</v>
      </c>
      <c r="K262" s="68">
        <f>IFERROR(SUMIF(#REF!,B262,#REF!)*((#REF!-#REF!)/#REF!),0)</f>
        <v>0</v>
      </c>
      <c r="L262" s="69">
        <f t="shared" si="61"/>
        <v>0</v>
      </c>
      <c r="M262" s="68">
        <f>IFERROR(SUMIF(体外式膜型人工肺!$C$30:$C$74,B262,体外式膜型人工肺!$N$30:$N$74)*((体外式膜型人工肺!$H$3-体外式膜型人工肺!$I$3)/体外式膜型人工肺!$H$3),0)</f>
        <v>0</v>
      </c>
      <c r="N262" s="69">
        <f t="shared" si="62"/>
        <v>0</v>
      </c>
      <c r="O262" s="69">
        <f t="shared" si="63"/>
        <v>0</v>
      </c>
      <c r="P262" s="69">
        <f t="shared" si="64"/>
        <v>0</v>
      </c>
      <c r="Q262" s="68">
        <f>IFERROR(SUMIF(紫外線照射装置!$C$30:$C$74,B262,紫外線照射装置!$N$30:$N$74)*((紫外線照射装置!$H$3-紫外線照射装置!$I$3)/紫外線照射装置!$H$3),0)</f>
        <v>0</v>
      </c>
      <c r="R262" s="69">
        <f t="shared" si="65"/>
        <v>0</v>
      </c>
      <c r="S262" s="102">
        <f t="shared" si="66"/>
        <v>0</v>
      </c>
      <c r="T262" s="68">
        <f>IFERROR(SUMIF(超音波画像診断装置!$C$30:$C$74,B262,超音波画像診断装置!$K$30:$K$74)*((超音波画像診断装置!$H$3-超音波画像診断装置!$I$3)/超音波画像診断装置!$H$3),0)</f>
        <v>0</v>
      </c>
      <c r="U262" s="69">
        <f t="shared" si="67"/>
        <v>0</v>
      </c>
      <c r="V262" s="68">
        <f>IFERROR(SUMIF(血液浄化装置!$C$30:$C$74,B262,血液浄化装置!$K$30:$K$74)*((血液浄化装置!$H$3-血液浄化装置!$I$3)/血液浄化装置!$H$3),0)</f>
        <v>0</v>
      </c>
      <c r="W262" s="69">
        <f t="shared" si="68"/>
        <v>0</v>
      </c>
      <c r="X262" s="68">
        <f>IFERROR(SUMIF(気管支鏡!$C$30:$C$74,B262,気管支鏡!$K$30:$K$74)*((気管支鏡!$H$3-気管支鏡!$I$3)/気管支鏡!$H$3),0)</f>
        <v>0</v>
      </c>
      <c r="Y262" s="69">
        <f t="shared" si="54"/>
        <v>0</v>
      </c>
      <c r="Z262" s="68">
        <f>IFERROR(SUMIF(CT撮影装置!$C$30:$C$74,B262,CT撮影装置!$K$30:$K$74)*((CT撮影装置!$H$3-CT撮影装置!$I$3)/CT撮影装置!$H$3),0)</f>
        <v>0</v>
      </c>
      <c r="AA262" s="69">
        <f t="shared" si="69"/>
        <v>0</v>
      </c>
      <c r="AB262" s="68">
        <f>IFERROR(SUMIF(生体情報モニタ!$C$30:$C$74,B262,生体情報モニタ!$K$30:$K$74)*((生体情報モニタ!$H$3-生体情報モニタ!$I$3)/生体情報モニタ!$H$3),0)</f>
        <v>0</v>
      </c>
      <c r="AC262" s="69">
        <f t="shared" si="55"/>
        <v>0</v>
      </c>
      <c r="AD262" s="68">
        <f>IFERROR(SUMIF(分娩監視装置!$C$30:$C$74,B262,分娩監視装置!$K$30:$K$74)*((分娩監視装置!$H$3-分娩監視装置!$I$3)/分娩監視装置!$H$3),0)</f>
        <v>0</v>
      </c>
      <c r="AE262" s="69">
        <f t="shared" si="70"/>
        <v>0</v>
      </c>
      <c r="AF262" s="68">
        <f>IFERROR(SUMIF(新生児モニタ!$C$30:$C$74,B262,新生児モニタ!$K$30:$K$74)*((新生児モニタ!$H$3-新生児モニタ!$I$3)/新生児モニタ!$H$3),0)</f>
        <v>0</v>
      </c>
      <c r="AG262" s="69">
        <f t="shared" si="71"/>
        <v>0</v>
      </c>
    </row>
    <row r="263" spans="2:33">
      <c r="B263" s="65" t="s">
        <v>932</v>
      </c>
      <c r="C263" s="68">
        <f>IFERROR(SUMIF(初度設備!$C$30:$C$74,B263,初度設備!$N$30:$N$74)*((初度設備!$H$3-初度設備!$I$3)/初度設備!$H$3),0)</f>
        <v>0</v>
      </c>
      <c r="D263" s="69">
        <f t="shared" si="56"/>
        <v>0</v>
      </c>
      <c r="E263" s="68">
        <f>IFERROR(SUMIF(人工呼吸器!$C$30:$C$74,B263,人工呼吸器!$N$30:$N$74)*((人工呼吸器!$H$3-人工呼吸器!$I$3)/人工呼吸器!$H$3),0)</f>
        <v>0</v>
      </c>
      <c r="F263" s="69">
        <f t="shared" si="57"/>
        <v>0</v>
      </c>
      <c r="G263" s="69">
        <f t="shared" si="58"/>
        <v>0</v>
      </c>
      <c r="H263" s="69">
        <f t="shared" si="59"/>
        <v>0</v>
      </c>
      <c r="I263" s="68">
        <f>IFERROR(SUMIF(簡易陰圧装置!$C$30:$C$74,B263,簡易陰圧装置!$N$30:$N$74)*((簡易陰圧装置!$H$3-簡易陰圧装置!$I$3)/簡易陰圧装置!$H$3),0)</f>
        <v>0</v>
      </c>
      <c r="J263" s="69">
        <f t="shared" si="60"/>
        <v>0</v>
      </c>
      <c r="K263" s="68">
        <f>IFERROR(SUMIF(#REF!,B263,#REF!)*((#REF!-#REF!)/#REF!),0)</f>
        <v>0</v>
      </c>
      <c r="L263" s="69">
        <f t="shared" si="61"/>
        <v>0</v>
      </c>
      <c r="M263" s="68">
        <f>IFERROR(SUMIF(体外式膜型人工肺!$C$30:$C$74,B263,体外式膜型人工肺!$N$30:$N$74)*((体外式膜型人工肺!$H$3-体外式膜型人工肺!$I$3)/体外式膜型人工肺!$H$3),0)</f>
        <v>0</v>
      </c>
      <c r="N263" s="69">
        <f t="shared" si="62"/>
        <v>0</v>
      </c>
      <c r="O263" s="69">
        <f t="shared" si="63"/>
        <v>0</v>
      </c>
      <c r="P263" s="69">
        <f t="shared" si="64"/>
        <v>0</v>
      </c>
      <c r="Q263" s="68">
        <f>IFERROR(SUMIF(紫外線照射装置!$C$30:$C$74,B263,紫外線照射装置!$N$30:$N$74)*((紫外線照射装置!$H$3-紫外線照射装置!$I$3)/紫外線照射装置!$H$3),0)</f>
        <v>0</v>
      </c>
      <c r="R263" s="69">
        <f t="shared" si="65"/>
        <v>0</v>
      </c>
      <c r="S263" s="102">
        <f t="shared" si="66"/>
        <v>0</v>
      </c>
      <c r="T263" s="68">
        <f>IFERROR(SUMIF(超音波画像診断装置!$C$30:$C$74,B263,超音波画像診断装置!$K$30:$K$74)*((超音波画像診断装置!$H$3-超音波画像診断装置!$I$3)/超音波画像診断装置!$H$3),0)</f>
        <v>0</v>
      </c>
      <c r="U263" s="69">
        <f t="shared" si="67"/>
        <v>0</v>
      </c>
      <c r="V263" s="68">
        <f>IFERROR(SUMIF(血液浄化装置!$C$30:$C$74,B263,血液浄化装置!$K$30:$K$74)*((血液浄化装置!$H$3-血液浄化装置!$I$3)/血液浄化装置!$H$3),0)</f>
        <v>0</v>
      </c>
      <c r="W263" s="69">
        <f t="shared" si="68"/>
        <v>0</v>
      </c>
      <c r="X263" s="68">
        <f>IFERROR(SUMIF(気管支鏡!$C$30:$C$74,B263,気管支鏡!$K$30:$K$74)*((気管支鏡!$H$3-気管支鏡!$I$3)/気管支鏡!$H$3),0)</f>
        <v>0</v>
      </c>
      <c r="Y263" s="69">
        <f t="shared" si="54"/>
        <v>0</v>
      </c>
      <c r="Z263" s="68">
        <f>IFERROR(SUMIF(CT撮影装置!$C$30:$C$74,B263,CT撮影装置!$K$30:$K$74)*((CT撮影装置!$H$3-CT撮影装置!$I$3)/CT撮影装置!$H$3),0)</f>
        <v>0</v>
      </c>
      <c r="AA263" s="69">
        <f t="shared" si="69"/>
        <v>0</v>
      </c>
      <c r="AB263" s="68">
        <f>IFERROR(SUMIF(生体情報モニタ!$C$30:$C$74,B263,生体情報モニタ!$K$30:$K$74)*((生体情報モニタ!$H$3-生体情報モニタ!$I$3)/生体情報モニタ!$H$3),0)</f>
        <v>0</v>
      </c>
      <c r="AC263" s="69">
        <f t="shared" si="55"/>
        <v>0</v>
      </c>
      <c r="AD263" s="68">
        <f>IFERROR(SUMIF(分娩監視装置!$C$30:$C$74,B263,分娩監視装置!$K$30:$K$74)*((分娩監視装置!$H$3-分娩監視装置!$I$3)/分娩監視装置!$H$3),0)</f>
        <v>0</v>
      </c>
      <c r="AE263" s="69">
        <f t="shared" si="70"/>
        <v>0</v>
      </c>
      <c r="AF263" s="68">
        <f>IFERROR(SUMIF(新生児モニタ!$C$30:$C$74,B263,新生児モニタ!$K$30:$K$74)*((新生児モニタ!$H$3-新生児モニタ!$I$3)/新生児モニタ!$H$3),0)</f>
        <v>0</v>
      </c>
      <c r="AG263" s="69">
        <f t="shared" si="71"/>
        <v>0</v>
      </c>
    </row>
    <row r="264" spans="2:33">
      <c r="B264" s="65" t="s">
        <v>933</v>
      </c>
      <c r="C264" s="68">
        <f>IFERROR(SUMIF(初度設備!$C$30:$C$74,B264,初度設備!$N$30:$N$74)*((初度設備!$H$3-初度設備!$I$3)/初度設備!$H$3),0)</f>
        <v>0</v>
      </c>
      <c r="D264" s="69">
        <f t="shared" si="56"/>
        <v>0</v>
      </c>
      <c r="E264" s="68">
        <f>IFERROR(SUMIF(人工呼吸器!$C$30:$C$74,B264,人工呼吸器!$N$30:$N$74)*((人工呼吸器!$H$3-人工呼吸器!$I$3)/人工呼吸器!$H$3),0)</f>
        <v>0</v>
      </c>
      <c r="F264" s="69">
        <f t="shared" si="57"/>
        <v>0</v>
      </c>
      <c r="G264" s="69">
        <f t="shared" si="58"/>
        <v>0</v>
      </c>
      <c r="H264" s="69">
        <f t="shared" si="59"/>
        <v>0</v>
      </c>
      <c r="I264" s="68">
        <f>IFERROR(SUMIF(簡易陰圧装置!$C$30:$C$74,B264,簡易陰圧装置!$N$30:$N$74)*((簡易陰圧装置!$H$3-簡易陰圧装置!$I$3)/簡易陰圧装置!$H$3),0)</f>
        <v>0</v>
      </c>
      <c r="J264" s="69">
        <f t="shared" si="60"/>
        <v>0</v>
      </c>
      <c r="K264" s="68">
        <f>IFERROR(SUMIF(#REF!,B264,#REF!)*((#REF!-#REF!)/#REF!),0)</f>
        <v>0</v>
      </c>
      <c r="L264" s="69">
        <f t="shared" si="61"/>
        <v>0</v>
      </c>
      <c r="M264" s="68">
        <f>IFERROR(SUMIF(体外式膜型人工肺!$C$30:$C$74,B264,体外式膜型人工肺!$N$30:$N$74)*((体外式膜型人工肺!$H$3-体外式膜型人工肺!$I$3)/体外式膜型人工肺!$H$3),0)</f>
        <v>0</v>
      </c>
      <c r="N264" s="69">
        <f t="shared" si="62"/>
        <v>0</v>
      </c>
      <c r="O264" s="69">
        <f t="shared" si="63"/>
        <v>0</v>
      </c>
      <c r="P264" s="69">
        <f t="shared" si="64"/>
        <v>0</v>
      </c>
      <c r="Q264" s="68">
        <f>IFERROR(SUMIF(紫外線照射装置!$C$30:$C$74,B264,紫外線照射装置!$N$30:$N$74)*((紫外線照射装置!$H$3-紫外線照射装置!$I$3)/紫外線照射装置!$H$3),0)</f>
        <v>0</v>
      </c>
      <c r="R264" s="69">
        <f t="shared" si="65"/>
        <v>0</v>
      </c>
      <c r="S264" s="102">
        <f t="shared" si="66"/>
        <v>0</v>
      </c>
      <c r="T264" s="68">
        <f>IFERROR(SUMIF(超音波画像診断装置!$C$30:$C$74,B264,超音波画像診断装置!$K$30:$K$74)*((超音波画像診断装置!$H$3-超音波画像診断装置!$I$3)/超音波画像診断装置!$H$3),0)</f>
        <v>0</v>
      </c>
      <c r="U264" s="69">
        <f t="shared" si="67"/>
        <v>0</v>
      </c>
      <c r="V264" s="68">
        <f>IFERROR(SUMIF(血液浄化装置!$C$30:$C$74,B264,血液浄化装置!$K$30:$K$74)*((血液浄化装置!$H$3-血液浄化装置!$I$3)/血液浄化装置!$H$3),0)</f>
        <v>0</v>
      </c>
      <c r="W264" s="69">
        <f t="shared" si="68"/>
        <v>0</v>
      </c>
      <c r="X264" s="68">
        <f>IFERROR(SUMIF(気管支鏡!$C$30:$C$74,B264,気管支鏡!$K$30:$K$74)*((気管支鏡!$H$3-気管支鏡!$I$3)/気管支鏡!$H$3),0)</f>
        <v>0</v>
      </c>
      <c r="Y264" s="69">
        <f t="shared" si="54"/>
        <v>0</v>
      </c>
      <c r="Z264" s="68">
        <f>IFERROR(SUMIF(CT撮影装置!$C$30:$C$74,B264,CT撮影装置!$K$30:$K$74)*((CT撮影装置!$H$3-CT撮影装置!$I$3)/CT撮影装置!$H$3),0)</f>
        <v>0</v>
      </c>
      <c r="AA264" s="69">
        <f t="shared" si="69"/>
        <v>0</v>
      </c>
      <c r="AB264" s="68">
        <f>IFERROR(SUMIF(生体情報モニタ!$C$30:$C$74,B264,生体情報モニタ!$K$30:$K$74)*((生体情報モニタ!$H$3-生体情報モニタ!$I$3)/生体情報モニタ!$H$3),0)</f>
        <v>0</v>
      </c>
      <c r="AC264" s="69">
        <f t="shared" si="55"/>
        <v>0</v>
      </c>
      <c r="AD264" s="68">
        <f>IFERROR(SUMIF(分娩監視装置!$C$30:$C$74,B264,分娩監視装置!$K$30:$K$74)*((分娩監視装置!$H$3-分娩監視装置!$I$3)/分娩監視装置!$H$3),0)</f>
        <v>0</v>
      </c>
      <c r="AE264" s="69">
        <f t="shared" si="70"/>
        <v>0</v>
      </c>
      <c r="AF264" s="68">
        <f>IFERROR(SUMIF(新生児モニタ!$C$30:$C$74,B264,新生児モニタ!$K$30:$K$74)*((新生児モニタ!$H$3-新生児モニタ!$I$3)/新生児モニタ!$H$3),0)</f>
        <v>0</v>
      </c>
      <c r="AG264" s="69">
        <f t="shared" si="71"/>
        <v>0</v>
      </c>
    </row>
    <row r="265" spans="2:33">
      <c r="B265" s="65" t="s">
        <v>934</v>
      </c>
      <c r="C265" s="68">
        <f>IFERROR(SUMIF(初度設備!$C$30:$C$74,B265,初度設備!$N$30:$N$74)*((初度設備!$H$3-初度設備!$I$3)/初度設備!$H$3),0)</f>
        <v>0</v>
      </c>
      <c r="D265" s="69">
        <f t="shared" si="56"/>
        <v>0</v>
      </c>
      <c r="E265" s="68">
        <f>IFERROR(SUMIF(人工呼吸器!$C$30:$C$74,B265,人工呼吸器!$N$30:$N$74)*((人工呼吸器!$H$3-人工呼吸器!$I$3)/人工呼吸器!$H$3),0)</f>
        <v>0</v>
      </c>
      <c r="F265" s="69">
        <f t="shared" si="57"/>
        <v>0</v>
      </c>
      <c r="G265" s="69">
        <f t="shared" si="58"/>
        <v>0</v>
      </c>
      <c r="H265" s="69">
        <f t="shared" si="59"/>
        <v>0</v>
      </c>
      <c r="I265" s="68">
        <f>IFERROR(SUMIF(簡易陰圧装置!$C$30:$C$74,B265,簡易陰圧装置!$N$30:$N$74)*((簡易陰圧装置!$H$3-簡易陰圧装置!$I$3)/簡易陰圧装置!$H$3),0)</f>
        <v>0</v>
      </c>
      <c r="J265" s="69">
        <f t="shared" si="60"/>
        <v>0</v>
      </c>
      <c r="K265" s="68">
        <f>IFERROR(SUMIF(#REF!,B265,#REF!)*((#REF!-#REF!)/#REF!),0)</f>
        <v>0</v>
      </c>
      <c r="L265" s="69">
        <f t="shared" si="61"/>
        <v>0</v>
      </c>
      <c r="M265" s="68">
        <f>IFERROR(SUMIF(体外式膜型人工肺!$C$30:$C$74,B265,体外式膜型人工肺!$N$30:$N$74)*((体外式膜型人工肺!$H$3-体外式膜型人工肺!$I$3)/体外式膜型人工肺!$H$3),0)</f>
        <v>0</v>
      </c>
      <c r="N265" s="69">
        <f t="shared" si="62"/>
        <v>0</v>
      </c>
      <c r="O265" s="69">
        <f t="shared" si="63"/>
        <v>0</v>
      </c>
      <c r="P265" s="69">
        <f t="shared" si="64"/>
        <v>0</v>
      </c>
      <c r="Q265" s="68">
        <f>IFERROR(SUMIF(紫外線照射装置!$C$30:$C$74,B265,紫外線照射装置!$N$30:$N$74)*((紫外線照射装置!$H$3-紫外線照射装置!$I$3)/紫外線照射装置!$H$3),0)</f>
        <v>0</v>
      </c>
      <c r="R265" s="69">
        <f t="shared" si="65"/>
        <v>0</v>
      </c>
      <c r="S265" s="102">
        <f t="shared" si="66"/>
        <v>0</v>
      </c>
      <c r="T265" s="68">
        <f>IFERROR(SUMIF(超音波画像診断装置!$C$30:$C$74,B265,超音波画像診断装置!$K$30:$K$74)*((超音波画像診断装置!$H$3-超音波画像診断装置!$I$3)/超音波画像診断装置!$H$3),0)</f>
        <v>0</v>
      </c>
      <c r="U265" s="69">
        <f t="shared" si="67"/>
        <v>0</v>
      </c>
      <c r="V265" s="68">
        <f>IFERROR(SUMIF(血液浄化装置!$C$30:$C$74,B265,血液浄化装置!$K$30:$K$74)*((血液浄化装置!$H$3-血液浄化装置!$I$3)/血液浄化装置!$H$3),0)</f>
        <v>0</v>
      </c>
      <c r="W265" s="69">
        <f t="shared" si="68"/>
        <v>0</v>
      </c>
      <c r="X265" s="68">
        <f>IFERROR(SUMIF(気管支鏡!$C$30:$C$74,B265,気管支鏡!$K$30:$K$74)*((気管支鏡!$H$3-気管支鏡!$I$3)/気管支鏡!$H$3),0)</f>
        <v>0</v>
      </c>
      <c r="Y265" s="69">
        <f t="shared" si="54"/>
        <v>0</v>
      </c>
      <c r="Z265" s="68">
        <f>IFERROR(SUMIF(CT撮影装置!$C$30:$C$74,B265,CT撮影装置!$K$30:$K$74)*((CT撮影装置!$H$3-CT撮影装置!$I$3)/CT撮影装置!$H$3),0)</f>
        <v>0</v>
      </c>
      <c r="AA265" s="69">
        <f t="shared" si="69"/>
        <v>0</v>
      </c>
      <c r="AB265" s="68">
        <f>IFERROR(SUMIF(生体情報モニタ!$C$30:$C$74,B265,生体情報モニタ!$K$30:$K$74)*((生体情報モニタ!$H$3-生体情報モニタ!$I$3)/生体情報モニタ!$H$3),0)</f>
        <v>0</v>
      </c>
      <c r="AC265" s="69">
        <f t="shared" si="55"/>
        <v>0</v>
      </c>
      <c r="AD265" s="68">
        <f>IFERROR(SUMIF(分娩監視装置!$C$30:$C$74,B265,分娩監視装置!$K$30:$K$74)*((分娩監視装置!$H$3-分娩監視装置!$I$3)/分娩監視装置!$H$3),0)</f>
        <v>0</v>
      </c>
      <c r="AE265" s="69">
        <f t="shared" si="70"/>
        <v>0</v>
      </c>
      <c r="AF265" s="68">
        <f>IFERROR(SUMIF(新生児モニタ!$C$30:$C$74,B265,新生児モニタ!$K$30:$K$74)*((新生児モニタ!$H$3-新生児モニタ!$I$3)/新生児モニタ!$H$3),0)</f>
        <v>0</v>
      </c>
      <c r="AG265" s="69">
        <f t="shared" si="71"/>
        <v>0</v>
      </c>
    </row>
    <row r="266" spans="2:33">
      <c r="B266" s="65" t="s">
        <v>935</v>
      </c>
      <c r="C266" s="68">
        <f>IFERROR(SUMIF(初度設備!$C$30:$C$74,B266,初度設備!$N$30:$N$74)*((初度設備!$H$3-初度設備!$I$3)/初度設備!$H$3),0)</f>
        <v>0</v>
      </c>
      <c r="D266" s="69">
        <f t="shared" si="56"/>
        <v>0</v>
      </c>
      <c r="E266" s="68">
        <f>IFERROR(SUMIF(人工呼吸器!$C$30:$C$74,B266,人工呼吸器!$N$30:$N$74)*((人工呼吸器!$H$3-人工呼吸器!$I$3)/人工呼吸器!$H$3),0)</f>
        <v>0</v>
      </c>
      <c r="F266" s="69">
        <f t="shared" si="57"/>
        <v>0</v>
      </c>
      <c r="G266" s="69">
        <f t="shared" si="58"/>
        <v>0</v>
      </c>
      <c r="H266" s="69">
        <f t="shared" si="59"/>
        <v>0</v>
      </c>
      <c r="I266" s="68">
        <f>IFERROR(SUMIF(簡易陰圧装置!$C$30:$C$74,B266,簡易陰圧装置!$N$30:$N$74)*((簡易陰圧装置!$H$3-簡易陰圧装置!$I$3)/簡易陰圧装置!$H$3),0)</f>
        <v>0</v>
      </c>
      <c r="J266" s="69">
        <f t="shared" si="60"/>
        <v>0</v>
      </c>
      <c r="K266" s="68">
        <f>IFERROR(SUMIF(#REF!,B266,#REF!)*((#REF!-#REF!)/#REF!),0)</f>
        <v>0</v>
      </c>
      <c r="L266" s="69">
        <f t="shared" si="61"/>
        <v>0</v>
      </c>
      <c r="M266" s="68">
        <f>IFERROR(SUMIF(体外式膜型人工肺!$C$30:$C$74,B266,体外式膜型人工肺!$N$30:$N$74)*((体外式膜型人工肺!$H$3-体外式膜型人工肺!$I$3)/体外式膜型人工肺!$H$3),0)</f>
        <v>0</v>
      </c>
      <c r="N266" s="69">
        <f t="shared" si="62"/>
        <v>0</v>
      </c>
      <c r="O266" s="69">
        <f t="shared" si="63"/>
        <v>0</v>
      </c>
      <c r="P266" s="69">
        <f t="shared" si="64"/>
        <v>0</v>
      </c>
      <c r="Q266" s="68">
        <f>IFERROR(SUMIF(紫外線照射装置!$C$30:$C$74,B266,紫外線照射装置!$N$30:$N$74)*((紫外線照射装置!$H$3-紫外線照射装置!$I$3)/紫外線照射装置!$H$3),0)</f>
        <v>0</v>
      </c>
      <c r="R266" s="69">
        <f t="shared" si="65"/>
        <v>0</v>
      </c>
      <c r="S266" s="102">
        <f t="shared" si="66"/>
        <v>0</v>
      </c>
      <c r="T266" s="68">
        <f>IFERROR(SUMIF(超音波画像診断装置!$C$30:$C$74,B266,超音波画像診断装置!$K$30:$K$74)*((超音波画像診断装置!$H$3-超音波画像診断装置!$I$3)/超音波画像診断装置!$H$3),0)</f>
        <v>0</v>
      </c>
      <c r="U266" s="69">
        <f t="shared" si="67"/>
        <v>0</v>
      </c>
      <c r="V266" s="68">
        <f>IFERROR(SUMIF(血液浄化装置!$C$30:$C$74,B266,血液浄化装置!$K$30:$K$74)*((血液浄化装置!$H$3-血液浄化装置!$I$3)/血液浄化装置!$H$3),0)</f>
        <v>0</v>
      </c>
      <c r="W266" s="69">
        <f t="shared" si="68"/>
        <v>0</v>
      </c>
      <c r="X266" s="68">
        <f>IFERROR(SUMIF(気管支鏡!$C$30:$C$74,B266,気管支鏡!$K$30:$K$74)*((気管支鏡!$H$3-気管支鏡!$I$3)/気管支鏡!$H$3),0)</f>
        <v>0</v>
      </c>
      <c r="Y266" s="69">
        <f t="shared" si="54"/>
        <v>0</v>
      </c>
      <c r="Z266" s="68">
        <f>IFERROR(SUMIF(CT撮影装置!$C$30:$C$74,B266,CT撮影装置!$K$30:$K$74)*((CT撮影装置!$H$3-CT撮影装置!$I$3)/CT撮影装置!$H$3),0)</f>
        <v>0</v>
      </c>
      <c r="AA266" s="69">
        <f t="shared" si="69"/>
        <v>0</v>
      </c>
      <c r="AB266" s="68">
        <f>IFERROR(SUMIF(生体情報モニタ!$C$30:$C$74,B266,生体情報モニタ!$K$30:$K$74)*((生体情報モニタ!$H$3-生体情報モニタ!$I$3)/生体情報モニタ!$H$3),0)</f>
        <v>0</v>
      </c>
      <c r="AC266" s="69">
        <f t="shared" si="55"/>
        <v>0</v>
      </c>
      <c r="AD266" s="68">
        <f>IFERROR(SUMIF(分娩監視装置!$C$30:$C$74,B266,分娩監視装置!$K$30:$K$74)*((分娩監視装置!$H$3-分娩監視装置!$I$3)/分娩監視装置!$H$3),0)</f>
        <v>0</v>
      </c>
      <c r="AE266" s="69">
        <f t="shared" si="70"/>
        <v>0</v>
      </c>
      <c r="AF266" s="68">
        <f>IFERROR(SUMIF(新生児モニタ!$C$30:$C$74,B266,新生児モニタ!$K$30:$K$74)*((新生児モニタ!$H$3-新生児モニタ!$I$3)/新生児モニタ!$H$3),0)</f>
        <v>0</v>
      </c>
      <c r="AG266" s="69">
        <f t="shared" si="71"/>
        <v>0</v>
      </c>
    </row>
    <row r="267" spans="2:33">
      <c r="B267" s="65" t="s">
        <v>936</v>
      </c>
      <c r="C267" s="68">
        <f>IFERROR(SUMIF(初度設備!$C$30:$C$74,B267,初度設備!$N$30:$N$74)*((初度設備!$H$3-初度設備!$I$3)/初度設備!$H$3),0)</f>
        <v>0</v>
      </c>
      <c r="D267" s="69">
        <f t="shared" si="56"/>
        <v>0</v>
      </c>
      <c r="E267" s="68">
        <f>IFERROR(SUMIF(人工呼吸器!$C$30:$C$74,B267,人工呼吸器!$N$30:$N$74)*((人工呼吸器!$H$3-人工呼吸器!$I$3)/人工呼吸器!$H$3),0)</f>
        <v>0</v>
      </c>
      <c r="F267" s="69">
        <f t="shared" si="57"/>
        <v>0</v>
      </c>
      <c r="G267" s="69">
        <f t="shared" si="58"/>
        <v>0</v>
      </c>
      <c r="H267" s="69">
        <f t="shared" si="59"/>
        <v>0</v>
      </c>
      <c r="I267" s="68">
        <f>IFERROR(SUMIF(簡易陰圧装置!$C$30:$C$74,B267,簡易陰圧装置!$N$30:$N$74)*((簡易陰圧装置!$H$3-簡易陰圧装置!$I$3)/簡易陰圧装置!$H$3),0)</f>
        <v>0</v>
      </c>
      <c r="J267" s="69">
        <f t="shared" si="60"/>
        <v>0</v>
      </c>
      <c r="K267" s="68">
        <f>IFERROR(SUMIF(#REF!,B267,#REF!)*((#REF!-#REF!)/#REF!),0)</f>
        <v>0</v>
      </c>
      <c r="L267" s="69">
        <f t="shared" si="61"/>
        <v>0</v>
      </c>
      <c r="M267" s="68">
        <f>IFERROR(SUMIF(体外式膜型人工肺!$C$30:$C$74,B267,体外式膜型人工肺!$N$30:$N$74)*((体外式膜型人工肺!$H$3-体外式膜型人工肺!$I$3)/体外式膜型人工肺!$H$3),0)</f>
        <v>0</v>
      </c>
      <c r="N267" s="69">
        <f t="shared" si="62"/>
        <v>0</v>
      </c>
      <c r="O267" s="69">
        <f t="shared" si="63"/>
        <v>0</v>
      </c>
      <c r="P267" s="69">
        <f t="shared" si="64"/>
        <v>0</v>
      </c>
      <c r="Q267" s="68">
        <f>IFERROR(SUMIF(紫外線照射装置!$C$30:$C$74,B267,紫外線照射装置!$N$30:$N$74)*((紫外線照射装置!$H$3-紫外線照射装置!$I$3)/紫外線照射装置!$H$3),0)</f>
        <v>0</v>
      </c>
      <c r="R267" s="69">
        <f t="shared" si="65"/>
        <v>0</v>
      </c>
      <c r="S267" s="102">
        <f t="shared" si="66"/>
        <v>0</v>
      </c>
      <c r="T267" s="68">
        <f>IFERROR(SUMIF(超音波画像診断装置!$C$30:$C$74,B267,超音波画像診断装置!$K$30:$K$74)*((超音波画像診断装置!$H$3-超音波画像診断装置!$I$3)/超音波画像診断装置!$H$3),0)</f>
        <v>0</v>
      </c>
      <c r="U267" s="69">
        <f t="shared" si="67"/>
        <v>0</v>
      </c>
      <c r="V267" s="68">
        <f>IFERROR(SUMIF(血液浄化装置!$C$30:$C$74,B267,血液浄化装置!$K$30:$K$74)*((血液浄化装置!$H$3-血液浄化装置!$I$3)/血液浄化装置!$H$3),0)</f>
        <v>0</v>
      </c>
      <c r="W267" s="69">
        <f t="shared" si="68"/>
        <v>0</v>
      </c>
      <c r="X267" s="68">
        <f>IFERROR(SUMIF(気管支鏡!$C$30:$C$74,B267,気管支鏡!$K$30:$K$74)*((気管支鏡!$H$3-気管支鏡!$I$3)/気管支鏡!$H$3),0)</f>
        <v>0</v>
      </c>
      <c r="Y267" s="69">
        <f t="shared" si="54"/>
        <v>0</v>
      </c>
      <c r="Z267" s="68">
        <f>IFERROR(SUMIF(CT撮影装置!$C$30:$C$74,B267,CT撮影装置!$K$30:$K$74)*((CT撮影装置!$H$3-CT撮影装置!$I$3)/CT撮影装置!$H$3),0)</f>
        <v>0</v>
      </c>
      <c r="AA267" s="69">
        <f t="shared" si="69"/>
        <v>0</v>
      </c>
      <c r="AB267" s="68">
        <f>IFERROR(SUMIF(生体情報モニタ!$C$30:$C$74,B267,生体情報モニタ!$K$30:$K$74)*((生体情報モニタ!$H$3-生体情報モニタ!$I$3)/生体情報モニタ!$H$3),0)</f>
        <v>0</v>
      </c>
      <c r="AC267" s="69">
        <f t="shared" si="55"/>
        <v>0</v>
      </c>
      <c r="AD267" s="68">
        <f>IFERROR(SUMIF(分娩監視装置!$C$30:$C$74,B267,分娩監視装置!$K$30:$K$74)*((分娩監視装置!$H$3-分娩監視装置!$I$3)/分娩監視装置!$H$3),0)</f>
        <v>0</v>
      </c>
      <c r="AE267" s="69">
        <f t="shared" si="70"/>
        <v>0</v>
      </c>
      <c r="AF267" s="68">
        <f>IFERROR(SUMIF(新生児モニタ!$C$30:$C$74,B267,新生児モニタ!$K$30:$K$74)*((新生児モニタ!$H$3-新生児モニタ!$I$3)/新生児モニタ!$H$3),0)</f>
        <v>0</v>
      </c>
      <c r="AG267" s="69">
        <f t="shared" si="71"/>
        <v>0</v>
      </c>
    </row>
    <row r="268" spans="2:33">
      <c r="B268" s="65" t="s">
        <v>937</v>
      </c>
      <c r="C268" s="68">
        <f>IFERROR(SUMIF(初度設備!$C$30:$C$74,B268,初度設備!$N$30:$N$74)*((初度設備!$H$3-初度設備!$I$3)/初度設備!$H$3),0)</f>
        <v>0</v>
      </c>
      <c r="D268" s="69">
        <f t="shared" si="56"/>
        <v>0</v>
      </c>
      <c r="E268" s="68">
        <f>IFERROR(SUMIF(人工呼吸器!$C$30:$C$74,B268,人工呼吸器!$N$30:$N$74)*((人工呼吸器!$H$3-人工呼吸器!$I$3)/人工呼吸器!$H$3),0)</f>
        <v>0</v>
      </c>
      <c r="F268" s="69">
        <f t="shared" si="57"/>
        <v>0</v>
      </c>
      <c r="G268" s="69">
        <f t="shared" si="58"/>
        <v>0</v>
      </c>
      <c r="H268" s="69">
        <f t="shared" si="59"/>
        <v>0</v>
      </c>
      <c r="I268" s="68">
        <f>IFERROR(SUMIF(簡易陰圧装置!$C$30:$C$74,B268,簡易陰圧装置!$N$30:$N$74)*((簡易陰圧装置!$H$3-簡易陰圧装置!$I$3)/簡易陰圧装置!$H$3),0)</f>
        <v>0</v>
      </c>
      <c r="J268" s="69">
        <f t="shared" si="60"/>
        <v>0</v>
      </c>
      <c r="K268" s="68">
        <f>IFERROR(SUMIF(#REF!,B268,#REF!)*((#REF!-#REF!)/#REF!),0)</f>
        <v>0</v>
      </c>
      <c r="L268" s="69">
        <f t="shared" si="61"/>
        <v>0</v>
      </c>
      <c r="M268" s="68">
        <f>IFERROR(SUMIF(体外式膜型人工肺!$C$30:$C$74,B268,体外式膜型人工肺!$N$30:$N$74)*((体外式膜型人工肺!$H$3-体外式膜型人工肺!$I$3)/体外式膜型人工肺!$H$3),0)</f>
        <v>0</v>
      </c>
      <c r="N268" s="69">
        <f t="shared" si="62"/>
        <v>0</v>
      </c>
      <c r="O268" s="69">
        <f t="shared" si="63"/>
        <v>0</v>
      </c>
      <c r="P268" s="69">
        <f t="shared" si="64"/>
        <v>0</v>
      </c>
      <c r="Q268" s="68">
        <f>IFERROR(SUMIF(紫外線照射装置!$C$30:$C$74,B268,紫外線照射装置!$N$30:$N$74)*((紫外線照射装置!$H$3-紫外線照射装置!$I$3)/紫外線照射装置!$H$3),0)</f>
        <v>0</v>
      </c>
      <c r="R268" s="69">
        <f t="shared" si="65"/>
        <v>0</v>
      </c>
      <c r="S268" s="102">
        <f t="shared" si="66"/>
        <v>0</v>
      </c>
      <c r="T268" s="68">
        <f>IFERROR(SUMIF(超音波画像診断装置!$C$30:$C$74,B268,超音波画像診断装置!$K$30:$K$74)*((超音波画像診断装置!$H$3-超音波画像診断装置!$I$3)/超音波画像診断装置!$H$3),0)</f>
        <v>0</v>
      </c>
      <c r="U268" s="69">
        <f t="shared" si="67"/>
        <v>0</v>
      </c>
      <c r="V268" s="68">
        <f>IFERROR(SUMIF(血液浄化装置!$C$30:$C$74,B268,血液浄化装置!$K$30:$K$74)*((血液浄化装置!$H$3-血液浄化装置!$I$3)/血液浄化装置!$H$3),0)</f>
        <v>0</v>
      </c>
      <c r="W268" s="69">
        <f t="shared" si="68"/>
        <v>0</v>
      </c>
      <c r="X268" s="68">
        <f>IFERROR(SUMIF(気管支鏡!$C$30:$C$74,B268,気管支鏡!$K$30:$K$74)*((気管支鏡!$H$3-気管支鏡!$I$3)/気管支鏡!$H$3),0)</f>
        <v>0</v>
      </c>
      <c r="Y268" s="69">
        <f t="shared" si="54"/>
        <v>0</v>
      </c>
      <c r="Z268" s="68">
        <f>IFERROR(SUMIF(CT撮影装置!$C$30:$C$74,B268,CT撮影装置!$K$30:$K$74)*((CT撮影装置!$H$3-CT撮影装置!$I$3)/CT撮影装置!$H$3),0)</f>
        <v>0</v>
      </c>
      <c r="AA268" s="69">
        <f t="shared" si="69"/>
        <v>0</v>
      </c>
      <c r="AB268" s="68">
        <f>IFERROR(SUMIF(生体情報モニタ!$C$30:$C$74,B268,生体情報モニタ!$K$30:$K$74)*((生体情報モニタ!$H$3-生体情報モニタ!$I$3)/生体情報モニタ!$H$3),0)</f>
        <v>0</v>
      </c>
      <c r="AC268" s="69">
        <f t="shared" si="55"/>
        <v>0</v>
      </c>
      <c r="AD268" s="68">
        <f>IFERROR(SUMIF(分娩監視装置!$C$30:$C$74,B268,分娩監視装置!$K$30:$K$74)*((分娩監視装置!$H$3-分娩監視装置!$I$3)/分娩監視装置!$H$3),0)</f>
        <v>0</v>
      </c>
      <c r="AE268" s="69">
        <f t="shared" si="70"/>
        <v>0</v>
      </c>
      <c r="AF268" s="68">
        <f>IFERROR(SUMIF(新生児モニタ!$C$30:$C$74,B268,新生児モニタ!$K$30:$K$74)*((新生児モニタ!$H$3-新生児モニタ!$I$3)/新生児モニタ!$H$3),0)</f>
        <v>0</v>
      </c>
      <c r="AG268" s="69">
        <f t="shared" si="71"/>
        <v>0</v>
      </c>
    </row>
    <row r="269" spans="2:33">
      <c r="B269" s="65" t="s">
        <v>938</v>
      </c>
      <c r="C269" s="68">
        <f>IFERROR(SUMIF(初度設備!$C$30:$C$74,B269,初度設備!$N$30:$N$74)*((初度設備!$H$3-初度設備!$I$3)/初度設備!$H$3),0)</f>
        <v>0</v>
      </c>
      <c r="D269" s="69">
        <f t="shared" si="56"/>
        <v>0</v>
      </c>
      <c r="E269" s="68">
        <f>IFERROR(SUMIF(人工呼吸器!$C$30:$C$74,B269,人工呼吸器!$N$30:$N$74)*((人工呼吸器!$H$3-人工呼吸器!$I$3)/人工呼吸器!$H$3),0)</f>
        <v>0</v>
      </c>
      <c r="F269" s="69">
        <f t="shared" si="57"/>
        <v>0</v>
      </c>
      <c r="G269" s="69">
        <f t="shared" si="58"/>
        <v>0</v>
      </c>
      <c r="H269" s="69">
        <f t="shared" si="59"/>
        <v>0</v>
      </c>
      <c r="I269" s="68">
        <f>IFERROR(SUMIF(簡易陰圧装置!$C$30:$C$74,B269,簡易陰圧装置!$N$30:$N$74)*((簡易陰圧装置!$H$3-簡易陰圧装置!$I$3)/簡易陰圧装置!$H$3),0)</f>
        <v>0</v>
      </c>
      <c r="J269" s="69">
        <f t="shared" si="60"/>
        <v>0</v>
      </c>
      <c r="K269" s="68">
        <f>IFERROR(SUMIF(#REF!,B269,#REF!)*((#REF!-#REF!)/#REF!),0)</f>
        <v>0</v>
      </c>
      <c r="L269" s="69">
        <f t="shared" si="61"/>
        <v>0</v>
      </c>
      <c r="M269" s="68">
        <f>IFERROR(SUMIF(体外式膜型人工肺!$C$30:$C$74,B269,体外式膜型人工肺!$N$30:$N$74)*((体外式膜型人工肺!$H$3-体外式膜型人工肺!$I$3)/体外式膜型人工肺!$H$3),0)</f>
        <v>0</v>
      </c>
      <c r="N269" s="69">
        <f t="shared" si="62"/>
        <v>0</v>
      </c>
      <c r="O269" s="69">
        <f t="shared" si="63"/>
        <v>0</v>
      </c>
      <c r="P269" s="69">
        <f t="shared" si="64"/>
        <v>0</v>
      </c>
      <c r="Q269" s="68">
        <f>IFERROR(SUMIF(紫外線照射装置!$C$30:$C$74,B269,紫外線照射装置!$N$30:$N$74)*((紫外線照射装置!$H$3-紫外線照射装置!$I$3)/紫外線照射装置!$H$3),0)</f>
        <v>0</v>
      </c>
      <c r="R269" s="69">
        <f t="shared" si="65"/>
        <v>0</v>
      </c>
      <c r="S269" s="102">
        <f t="shared" si="66"/>
        <v>0</v>
      </c>
      <c r="T269" s="68">
        <f>IFERROR(SUMIF(超音波画像診断装置!$C$30:$C$74,B269,超音波画像診断装置!$K$30:$K$74)*((超音波画像診断装置!$H$3-超音波画像診断装置!$I$3)/超音波画像診断装置!$H$3),0)</f>
        <v>0</v>
      </c>
      <c r="U269" s="69">
        <f t="shared" si="67"/>
        <v>0</v>
      </c>
      <c r="V269" s="68">
        <f>IFERROR(SUMIF(血液浄化装置!$C$30:$C$74,B269,血液浄化装置!$K$30:$K$74)*((血液浄化装置!$H$3-血液浄化装置!$I$3)/血液浄化装置!$H$3),0)</f>
        <v>0</v>
      </c>
      <c r="W269" s="69">
        <f t="shared" si="68"/>
        <v>0</v>
      </c>
      <c r="X269" s="68">
        <f>IFERROR(SUMIF(気管支鏡!$C$30:$C$74,B269,気管支鏡!$K$30:$K$74)*((気管支鏡!$H$3-気管支鏡!$I$3)/気管支鏡!$H$3),0)</f>
        <v>0</v>
      </c>
      <c r="Y269" s="69">
        <f t="shared" si="54"/>
        <v>0</v>
      </c>
      <c r="Z269" s="68">
        <f>IFERROR(SUMIF(CT撮影装置!$C$30:$C$74,B269,CT撮影装置!$K$30:$K$74)*((CT撮影装置!$H$3-CT撮影装置!$I$3)/CT撮影装置!$H$3),0)</f>
        <v>0</v>
      </c>
      <c r="AA269" s="69">
        <f t="shared" si="69"/>
        <v>0</v>
      </c>
      <c r="AB269" s="68">
        <f>IFERROR(SUMIF(生体情報モニタ!$C$30:$C$74,B269,生体情報モニタ!$K$30:$K$74)*((生体情報モニタ!$H$3-生体情報モニタ!$I$3)/生体情報モニタ!$H$3),0)</f>
        <v>0</v>
      </c>
      <c r="AC269" s="69">
        <f t="shared" si="55"/>
        <v>0</v>
      </c>
      <c r="AD269" s="68">
        <f>IFERROR(SUMIF(分娩監視装置!$C$30:$C$74,B269,分娩監視装置!$K$30:$K$74)*((分娩監視装置!$H$3-分娩監視装置!$I$3)/分娩監視装置!$H$3),0)</f>
        <v>0</v>
      </c>
      <c r="AE269" s="69">
        <f t="shared" si="70"/>
        <v>0</v>
      </c>
      <c r="AF269" s="68">
        <f>IFERROR(SUMIF(新生児モニタ!$C$30:$C$74,B269,新生児モニタ!$K$30:$K$74)*((新生児モニタ!$H$3-新生児モニタ!$I$3)/新生児モニタ!$H$3),0)</f>
        <v>0</v>
      </c>
      <c r="AG269" s="69">
        <f t="shared" si="71"/>
        <v>0</v>
      </c>
    </row>
    <row r="270" spans="2:33">
      <c r="B270" s="65" t="s">
        <v>939</v>
      </c>
      <c r="C270" s="68">
        <f>IFERROR(SUMIF(初度設備!$C$30:$C$74,B270,初度設備!$N$30:$N$74)*((初度設備!$H$3-初度設備!$I$3)/初度設備!$H$3),0)</f>
        <v>0</v>
      </c>
      <c r="D270" s="69">
        <f t="shared" si="56"/>
        <v>0</v>
      </c>
      <c r="E270" s="68">
        <f>IFERROR(SUMIF(人工呼吸器!$C$30:$C$74,B270,人工呼吸器!$N$30:$N$74)*((人工呼吸器!$H$3-人工呼吸器!$I$3)/人工呼吸器!$H$3),0)</f>
        <v>0</v>
      </c>
      <c r="F270" s="69">
        <f t="shared" si="57"/>
        <v>0</v>
      </c>
      <c r="G270" s="69">
        <f t="shared" si="58"/>
        <v>0</v>
      </c>
      <c r="H270" s="69">
        <f t="shared" si="59"/>
        <v>0</v>
      </c>
      <c r="I270" s="68">
        <f>IFERROR(SUMIF(簡易陰圧装置!$C$30:$C$74,B270,簡易陰圧装置!$N$30:$N$74)*((簡易陰圧装置!$H$3-簡易陰圧装置!$I$3)/簡易陰圧装置!$H$3),0)</f>
        <v>0</v>
      </c>
      <c r="J270" s="69">
        <f t="shared" si="60"/>
        <v>0</v>
      </c>
      <c r="K270" s="68">
        <f>IFERROR(SUMIF(#REF!,B270,#REF!)*((#REF!-#REF!)/#REF!),0)</f>
        <v>0</v>
      </c>
      <c r="L270" s="69">
        <f t="shared" si="61"/>
        <v>0</v>
      </c>
      <c r="M270" s="68">
        <f>IFERROR(SUMIF(体外式膜型人工肺!$C$30:$C$74,B270,体外式膜型人工肺!$N$30:$N$74)*((体外式膜型人工肺!$H$3-体外式膜型人工肺!$I$3)/体外式膜型人工肺!$H$3),0)</f>
        <v>0</v>
      </c>
      <c r="N270" s="69">
        <f t="shared" si="62"/>
        <v>0</v>
      </c>
      <c r="O270" s="69">
        <f t="shared" si="63"/>
        <v>0</v>
      </c>
      <c r="P270" s="69">
        <f t="shared" si="64"/>
        <v>0</v>
      </c>
      <c r="Q270" s="68">
        <f>IFERROR(SUMIF(紫外線照射装置!$C$30:$C$74,B270,紫外線照射装置!$N$30:$N$74)*((紫外線照射装置!$H$3-紫外線照射装置!$I$3)/紫外線照射装置!$H$3),0)</f>
        <v>0</v>
      </c>
      <c r="R270" s="69">
        <f t="shared" si="65"/>
        <v>0</v>
      </c>
      <c r="S270" s="102">
        <f t="shared" si="66"/>
        <v>0</v>
      </c>
      <c r="T270" s="68">
        <f>IFERROR(SUMIF(超音波画像診断装置!$C$30:$C$74,B270,超音波画像診断装置!$K$30:$K$74)*((超音波画像診断装置!$H$3-超音波画像診断装置!$I$3)/超音波画像診断装置!$H$3),0)</f>
        <v>0</v>
      </c>
      <c r="U270" s="69">
        <f t="shared" si="67"/>
        <v>0</v>
      </c>
      <c r="V270" s="68">
        <f>IFERROR(SUMIF(血液浄化装置!$C$30:$C$74,B270,血液浄化装置!$K$30:$K$74)*((血液浄化装置!$H$3-血液浄化装置!$I$3)/血液浄化装置!$H$3),0)</f>
        <v>0</v>
      </c>
      <c r="W270" s="69">
        <f t="shared" si="68"/>
        <v>0</v>
      </c>
      <c r="X270" s="68">
        <f>IFERROR(SUMIF(気管支鏡!$C$30:$C$74,B270,気管支鏡!$K$30:$K$74)*((気管支鏡!$H$3-気管支鏡!$I$3)/気管支鏡!$H$3),0)</f>
        <v>0</v>
      </c>
      <c r="Y270" s="69">
        <f t="shared" si="54"/>
        <v>0</v>
      </c>
      <c r="Z270" s="68">
        <f>IFERROR(SUMIF(CT撮影装置!$C$30:$C$74,B270,CT撮影装置!$K$30:$K$74)*((CT撮影装置!$H$3-CT撮影装置!$I$3)/CT撮影装置!$H$3),0)</f>
        <v>0</v>
      </c>
      <c r="AA270" s="69">
        <f t="shared" si="69"/>
        <v>0</v>
      </c>
      <c r="AB270" s="68">
        <f>IFERROR(SUMIF(生体情報モニタ!$C$30:$C$74,B270,生体情報モニタ!$K$30:$K$74)*((生体情報モニタ!$H$3-生体情報モニタ!$I$3)/生体情報モニタ!$H$3),0)</f>
        <v>0</v>
      </c>
      <c r="AC270" s="69">
        <f t="shared" si="55"/>
        <v>0</v>
      </c>
      <c r="AD270" s="68">
        <f>IFERROR(SUMIF(分娩監視装置!$C$30:$C$74,B270,分娩監視装置!$K$30:$K$74)*((分娩監視装置!$H$3-分娩監視装置!$I$3)/分娩監視装置!$H$3),0)</f>
        <v>0</v>
      </c>
      <c r="AE270" s="69">
        <f t="shared" si="70"/>
        <v>0</v>
      </c>
      <c r="AF270" s="68">
        <f>IFERROR(SUMIF(新生児モニタ!$C$30:$C$74,B270,新生児モニタ!$K$30:$K$74)*((新生児モニタ!$H$3-新生児モニタ!$I$3)/新生児モニタ!$H$3),0)</f>
        <v>0</v>
      </c>
      <c r="AG270" s="69">
        <f t="shared" si="71"/>
        <v>0</v>
      </c>
    </row>
    <row r="271" spans="2:33">
      <c r="B271" s="65" t="s">
        <v>940</v>
      </c>
      <c r="C271" s="68">
        <f>IFERROR(SUMIF(初度設備!$C$30:$C$74,B271,初度設備!$N$30:$N$74)*((初度設備!$H$3-初度設備!$I$3)/初度設備!$H$3),0)</f>
        <v>0</v>
      </c>
      <c r="D271" s="69">
        <f t="shared" si="56"/>
        <v>0</v>
      </c>
      <c r="E271" s="68">
        <f>IFERROR(SUMIF(人工呼吸器!$C$30:$C$74,B271,人工呼吸器!$N$30:$N$74)*((人工呼吸器!$H$3-人工呼吸器!$I$3)/人工呼吸器!$H$3),0)</f>
        <v>0</v>
      </c>
      <c r="F271" s="69">
        <f t="shared" si="57"/>
        <v>0</v>
      </c>
      <c r="G271" s="69">
        <f t="shared" si="58"/>
        <v>0</v>
      </c>
      <c r="H271" s="69">
        <f t="shared" si="59"/>
        <v>0</v>
      </c>
      <c r="I271" s="68">
        <f>IFERROR(SUMIF(簡易陰圧装置!$C$30:$C$74,B271,簡易陰圧装置!$N$30:$N$74)*((簡易陰圧装置!$H$3-簡易陰圧装置!$I$3)/簡易陰圧装置!$H$3),0)</f>
        <v>0</v>
      </c>
      <c r="J271" s="69">
        <f t="shared" si="60"/>
        <v>0</v>
      </c>
      <c r="K271" s="68">
        <f>IFERROR(SUMIF(#REF!,B271,#REF!)*((#REF!-#REF!)/#REF!),0)</f>
        <v>0</v>
      </c>
      <c r="L271" s="69">
        <f t="shared" si="61"/>
        <v>0</v>
      </c>
      <c r="M271" s="68">
        <f>IFERROR(SUMIF(体外式膜型人工肺!$C$30:$C$74,B271,体外式膜型人工肺!$N$30:$N$74)*((体外式膜型人工肺!$H$3-体外式膜型人工肺!$I$3)/体外式膜型人工肺!$H$3),0)</f>
        <v>0</v>
      </c>
      <c r="N271" s="69">
        <f t="shared" si="62"/>
        <v>0</v>
      </c>
      <c r="O271" s="69">
        <f t="shared" si="63"/>
        <v>0</v>
      </c>
      <c r="P271" s="69">
        <f t="shared" si="64"/>
        <v>0</v>
      </c>
      <c r="Q271" s="68">
        <f>IFERROR(SUMIF(紫外線照射装置!$C$30:$C$74,B271,紫外線照射装置!$N$30:$N$74)*((紫外線照射装置!$H$3-紫外線照射装置!$I$3)/紫外線照射装置!$H$3),0)</f>
        <v>0</v>
      </c>
      <c r="R271" s="69">
        <f t="shared" si="65"/>
        <v>0</v>
      </c>
      <c r="S271" s="102">
        <f t="shared" si="66"/>
        <v>0</v>
      </c>
      <c r="T271" s="68">
        <f>IFERROR(SUMIF(超音波画像診断装置!$C$30:$C$74,B271,超音波画像診断装置!$K$30:$K$74)*((超音波画像診断装置!$H$3-超音波画像診断装置!$I$3)/超音波画像診断装置!$H$3),0)</f>
        <v>0</v>
      </c>
      <c r="U271" s="69">
        <f t="shared" si="67"/>
        <v>0</v>
      </c>
      <c r="V271" s="68">
        <f>IFERROR(SUMIF(血液浄化装置!$C$30:$C$74,B271,血液浄化装置!$K$30:$K$74)*((血液浄化装置!$H$3-血液浄化装置!$I$3)/血液浄化装置!$H$3),0)</f>
        <v>0</v>
      </c>
      <c r="W271" s="69">
        <f t="shared" si="68"/>
        <v>0</v>
      </c>
      <c r="X271" s="68">
        <f>IFERROR(SUMIF(気管支鏡!$C$30:$C$74,B271,気管支鏡!$K$30:$K$74)*((気管支鏡!$H$3-気管支鏡!$I$3)/気管支鏡!$H$3),0)</f>
        <v>0</v>
      </c>
      <c r="Y271" s="69">
        <f t="shared" si="54"/>
        <v>0</v>
      </c>
      <c r="Z271" s="68">
        <f>IFERROR(SUMIF(CT撮影装置!$C$30:$C$74,B271,CT撮影装置!$K$30:$K$74)*((CT撮影装置!$H$3-CT撮影装置!$I$3)/CT撮影装置!$H$3),0)</f>
        <v>0</v>
      </c>
      <c r="AA271" s="69">
        <f t="shared" si="69"/>
        <v>0</v>
      </c>
      <c r="AB271" s="68">
        <f>IFERROR(SUMIF(生体情報モニタ!$C$30:$C$74,B271,生体情報モニタ!$K$30:$K$74)*((生体情報モニタ!$H$3-生体情報モニタ!$I$3)/生体情報モニタ!$H$3),0)</f>
        <v>0</v>
      </c>
      <c r="AC271" s="69">
        <f t="shared" si="55"/>
        <v>0</v>
      </c>
      <c r="AD271" s="68">
        <f>IFERROR(SUMIF(分娩監視装置!$C$30:$C$74,B271,分娩監視装置!$K$30:$K$74)*((分娩監視装置!$H$3-分娩監視装置!$I$3)/分娩監視装置!$H$3),0)</f>
        <v>0</v>
      </c>
      <c r="AE271" s="69">
        <f t="shared" si="70"/>
        <v>0</v>
      </c>
      <c r="AF271" s="68">
        <f>IFERROR(SUMIF(新生児モニタ!$C$30:$C$74,B271,新生児モニタ!$K$30:$K$74)*((新生児モニタ!$H$3-新生児モニタ!$I$3)/新生児モニタ!$H$3),0)</f>
        <v>0</v>
      </c>
      <c r="AG271" s="69">
        <f t="shared" si="71"/>
        <v>0</v>
      </c>
    </row>
    <row r="272" spans="2:33">
      <c r="B272" s="65" t="s">
        <v>941</v>
      </c>
      <c r="C272" s="68">
        <f>IFERROR(SUMIF(初度設備!$C$30:$C$74,B272,初度設備!$N$30:$N$74)*((初度設備!$H$3-初度設備!$I$3)/初度設備!$H$3),0)</f>
        <v>0</v>
      </c>
      <c r="D272" s="69">
        <f t="shared" si="56"/>
        <v>0</v>
      </c>
      <c r="E272" s="68">
        <f>IFERROR(SUMIF(人工呼吸器!$C$30:$C$74,B272,人工呼吸器!$N$30:$N$74)*((人工呼吸器!$H$3-人工呼吸器!$I$3)/人工呼吸器!$H$3),0)</f>
        <v>0</v>
      </c>
      <c r="F272" s="69">
        <f t="shared" si="57"/>
        <v>0</v>
      </c>
      <c r="G272" s="69">
        <f t="shared" si="58"/>
        <v>0</v>
      </c>
      <c r="H272" s="69">
        <f t="shared" si="59"/>
        <v>0</v>
      </c>
      <c r="I272" s="68">
        <f>IFERROR(SUMIF(簡易陰圧装置!$C$30:$C$74,B272,簡易陰圧装置!$N$30:$N$74)*((簡易陰圧装置!$H$3-簡易陰圧装置!$I$3)/簡易陰圧装置!$H$3),0)</f>
        <v>0</v>
      </c>
      <c r="J272" s="69">
        <f t="shared" si="60"/>
        <v>0</v>
      </c>
      <c r="K272" s="68">
        <f>IFERROR(SUMIF(#REF!,B272,#REF!)*((#REF!-#REF!)/#REF!),0)</f>
        <v>0</v>
      </c>
      <c r="L272" s="69">
        <f t="shared" si="61"/>
        <v>0</v>
      </c>
      <c r="M272" s="68">
        <f>IFERROR(SUMIF(体外式膜型人工肺!$C$30:$C$74,B272,体外式膜型人工肺!$N$30:$N$74)*((体外式膜型人工肺!$H$3-体外式膜型人工肺!$I$3)/体外式膜型人工肺!$H$3),0)</f>
        <v>0</v>
      </c>
      <c r="N272" s="69">
        <f t="shared" si="62"/>
        <v>0</v>
      </c>
      <c r="O272" s="69">
        <f t="shared" si="63"/>
        <v>0</v>
      </c>
      <c r="P272" s="69">
        <f t="shared" si="64"/>
        <v>0</v>
      </c>
      <c r="Q272" s="68">
        <f>IFERROR(SUMIF(紫外線照射装置!$C$30:$C$74,B272,紫外線照射装置!$N$30:$N$74)*((紫外線照射装置!$H$3-紫外線照射装置!$I$3)/紫外線照射装置!$H$3),0)</f>
        <v>0</v>
      </c>
      <c r="R272" s="69">
        <f t="shared" si="65"/>
        <v>0</v>
      </c>
      <c r="S272" s="102">
        <f t="shared" si="66"/>
        <v>0</v>
      </c>
      <c r="T272" s="68">
        <f>IFERROR(SUMIF(超音波画像診断装置!$C$30:$C$74,B272,超音波画像診断装置!$K$30:$K$74)*((超音波画像診断装置!$H$3-超音波画像診断装置!$I$3)/超音波画像診断装置!$H$3),0)</f>
        <v>0</v>
      </c>
      <c r="U272" s="69">
        <f t="shared" si="67"/>
        <v>0</v>
      </c>
      <c r="V272" s="68">
        <f>IFERROR(SUMIF(血液浄化装置!$C$30:$C$74,B272,血液浄化装置!$K$30:$K$74)*((血液浄化装置!$H$3-血液浄化装置!$I$3)/血液浄化装置!$H$3),0)</f>
        <v>0</v>
      </c>
      <c r="W272" s="69">
        <f t="shared" si="68"/>
        <v>0</v>
      </c>
      <c r="X272" s="68">
        <f>IFERROR(SUMIF(気管支鏡!$C$30:$C$74,B272,気管支鏡!$K$30:$K$74)*((気管支鏡!$H$3-気管支鏡!$I$3)/気管支鏡!$H$3),0)</f>
        <v>0</v>
      </c>
      <c r="Y272" s="69">
        <f t="shared" si="54"/>
        <v>0</v>
      </c>
      <c r="Z272" s="68">
        <f>IFERROR(SUMIF(CT撮影装置!$C$30:$C$74,B272,CT撮影装置!$K$30:$K$74)*((CT撮影装置!$H$3-CT撮影装置!$I$3)/CT撮影装置!$H$3),0)</f>
        <v>0</v>
      </c>
      <c r="AA272" s="69">
        <f t="shared" si="69"/>
        <v>0</v>
      </c>
      <c r="AB272" s="68">
        <f>IFERROR(SUMIF(生体情報モニタ!$C$30:$C$74,B272,生体情報モニタ!$K$30:$K$74)*((生体情報モニタ!$H$3-生体情報モニタ!$I$3)/生体情報モニタ!$H$3),0)</f>
        <v>0</v>
      </c>
      <c r="AC272" s="69">
        <f t="shared" si="55"/>
        <v>0</v>
      </c>
      <c r="AD272" s="68">
        <f>IFERROR(SUMIF(分娩監視装置!$C$30:$C$74,B272,分娩監視装置!$K$30:$K$74)*((分娩監視装置!$H$3-分娩監視装置!$I$3)/分娩監視装置!$H$3),0)</f>
        <v>0</v>
      </c>
      <c r="AE272" s="69">
        <f t="shared" si="70"/>
        <v>0</v>
      </c>
      <c r="AF272" s="68">
        <f>IFERROR(SUMIF(新生児モニタ!$C$30:$C$74,B272,新生児モニタ!$K$30:$K$74)*((新生児モニタ!$H$3-新生児モニタ!$I$3)/新生児モニタ!$H$3),0)</f>
        <v>0</v>
      </c>
      <c r="AG272" s="69">
        <f t="shared" si="71"/>
        <v>0</v>
      </c>
    </row>
    <row r="273" spans="2:33">
      <c r="B273" s="65" t="s">
        <v>942</v>
      </c>
      <c r="C273" s="68">
        <f>IFERROR(SUMIF(初度設備!$C$30:$C$74,B273,初度設備!$N$30:$N$74)*((初度設備!$H$3-初度設備!$I$3)/初度設備!$H$3),0)</f>
        <v>0</v>
      </c>
      <c r="D273" s="69">
        <f t="shared" si="56"/>
        <v>0</v>
      </c>
      <c r="E273" s="68">
        <f>IFERROR(SUMIF(人工呼吸器!$C$30:$C$74,B273,人工呼吸器!$N$30:$N$74)*((人工呼吸器!$H$3-人工呼吸器!$I$3)/人工呼吸器!$H$3),0)</f>
        <v>0</v>
      </c>
      <c r="F273" s="69">
        <f t="shared" si="57"/>
        <v>0</v>
      </c>
      <c r="G273" s="69">
        <f t="shared" si="58"/>
        <v>0</v>
      </c>
      <c r="H273" s="69">
        <f t="shared" si="59"/>
        <v>0</v>
      </c>
      <c r="I273" s="68">
        <f>IFERROR(SUMIF(簡易陰圧装置!$C$30:$C$74,B273,簡易陰圧装置!$N$30:$N$74)*((簡易陰圧装置!$H$3-簡易陰圧装置!$I$3)/簡易陰圧装置!$H$3),0)</f>
        <v>0</v>
      </c>
      <c r="J273" s="69">
        <f t="shared" si="60"/>
        <v>0</v>
      </c>
      <c r="K273" s="68">
        <f>IFERROR(SUMIF(#REF!,B273,#REF!)*((#REF!-#REF!)/#REF!),0)</f>
        <v>0</v>
      </c>
      <c r="L273" s="69">
        <f t="shared" si="61"/>
        <v>0</v>
      </c>
      <c r="M273" s="68">
        <f>IFERROR(SUMIF(体外式膜型人工肺!$C$30:$C$74,B273,体外式膜型人工肺!$N$30:$N$74)*((体外式膜型人工肺!$H$3-体外式膜型人工肺!$I$3)/体外式膜型人工肺!$H$3),0)</f>
        <v>0</v>
      </c>
      <c r="N273" s="69">
        <f t="shared" si="62"/>
        <v>0</v>
      </c>
      <c r="O273" s="69">
        <f t="shared" si="63"/>
        <v>0</v>
      </c>
      <c r="P273" s="69">
        <f t="shared" si="64"/>
        <v>0</v>
      </c>
      <c r="Q273" s="68">
        <f>IFERROR(SUMIF(紫外線照射装置!$C$30:$C$74,B273,紫外線照射装置!$N$30:$N$74)*((紫外線照射装置!$H$3-紫外線照射装置!$I$3)/紫外線照射装置!$H$3),0)</f>
        <v>0</v>
      </c>
      <c r="R273" s="69">
        <f t="shared" si="65"/>
        <v>0</v>
      </c>
      <c r="S273" s="102">
        <f t="shared" si="66"/>
        <v>0</v>
      </c>
      <c r="T273" s="68">
        <f>IFERROR(SUMIF(超音波画像診断装置!$C$30:$C$74,B273,超音波画像診断装置!$K$30:$K$74)*((超音波画像診断装置!$H$3-超音波画像診断装置!$I$3)/超音波画像診断装置!$H$3),0)</f>
        <v>0</v>
      </c>
      <c r="U273" s="69">
        <f t="shared" si="67"/>
        <v>0</v>
      </c>
      <c r="V273" s="68">
        <f>IFERROR(SUMIF(血液浄化装置!$C$30:$C$74,B273,血液浄化装置!$K$30:$K$74)*((血液浄化装置!$H$3-血液浄化装置!$I$3)/血液浄化装置!$H$3),0)</f>
        <v>0</v>
      </c>
      <c r="W273" s="69">
        <f t="shared" si="68"/>
        <v>0</v>
      </c>
      <c r="X273" s="68">
        <f>IFERROR(SUMIF(気管支鏡!$C$30:$C$74,B273,気管支鏡!$K$30:$K$74)*((気管支鏡!$H$3-気管支鏡!$I$3)/気管支鏡!$H$3),0)</f>
        <v>0</v>
      </c>
      <c r="Y273" s="69">
        <f t="shared" si="54"/>
        <v>0</v>
      </c>
      <c r="Z273" s="68">
        <f>IFERROR(SUMIF(CT撮影装置!$C$30:$C$74,B273,CT撮影装置!$K$30:$K$74)*((CT撮影装置!$H$3-CT撮影装置!$I$3)/CT撮影装置!$H$3),0)</f>
        <v>0</v>
      </c>
      <c r="AA273" s="69">
        <f t="shared" si="69"/>
        <v>0</v>
      </c>
      <c r="AB273" s="68">
        <f>IFERROR(SUMIF(生体情報モニタ!$C$30:$C$74,B273,生体情報モニタ!$K$30:$K$74)*((生体情報モニタ!$H$3-生体情報モニタ!$I$3)/生体情報モニタ!$H$3),0)</f>
        <v>0</v>
      </c>
      <c r="AC273" s="69">
        <f t="shared" si="55"/>
        <v>0</v>
      </c>
      <c r="AD273" s="68">
        <f>IFERROR(SUMIF(分娩監視装置!$C$30:$C$74,B273,分娩監視装置!$K$30:$K$74)*((分娩監視装置!$H$3-分娩監視装置!$I$3)/分娩監視装置!$H$3),0)</f>
        <v>0</v>
      </c>
      <c r="AE273" s="69">
        <f t="shared" si="70"/>
        <v>0</v>
      </c>
      <c r="AF273" s="68">
        <f>IFERROR(SUMIF(新生児モニタ!$C$30:$C$74,B273,新生児モニタ!$K$30:$K$74)*((新生児モニタ!$H$3-新生児モニタ!$I$3)/新生児モニタ!$H$3),0)</f>
        <v>0</v>
      </c>
      <c r="AG273" s="69">
        <f t="shared" si="71"/>
        <v>0</v>
      </c>
    </row>
    <row r="274" spans="2:33">
      <c r="B274" s="65" t="s">
        <v>943</v>
      </c>
      <c r="C274" s="68">
        <f>IFERROR(SUMIF(初度設備!$C$30:$C$74,B274,初度設備!$N$30:$N$74)*((初度設備!$H$3-初度設備!$I$3)/初度設備!$H$3),0)</f>
        <v>0</v>
      </c>
      <c r="D274" s="69">
        <f t="shared" si="56"/>
        <v>0</v>
      </c>
      <c r="E274" s="68">
        <f>IFERROR(SUMIF(人工呼吸器!$C$30:$C$74,B274,人工呼吸器!$N$30:$N$74)*((人工呼吸器!$H$3-人工呼吸器!$I$3)/人工呼吸器!$H$3),0)</f>
        <v>0</v>
      </c>
      <c r="F274" s="69">
        <f t="shared" si="57"/>
        <v>0</v>
      </c>
      <c r="G274" s="69">
        <f t="shared" si="58"/>
        <v>0</v>
      </c>
      <c r="H274" s="69">
        <f t="shared" si="59"/>
        <v>0</v>
      </c>
      <c r="I274" s="68">
        <f>IFERROR(SUMIF(簡易陰圧装置!$C$30:$C$74,B274,簡易陰圧装置!$N$30:$N$74)*((簡易陰圧装置!$H$3-簡易陰圧装置!$I$3)/簡易陰圧装置!$H$3),0)</f>
        <v>0</v>
      </c>
      <c r="J274" s="69">
        <f t="shared" si="60"/>
        <v>0</v>
      </c>
      <c r="K274" s="68">
        <f>IFERROR(SUMIF(#REF!,B274,#REF!)*((#REF!-#REF!)/#REF!),0)</f>
        <v>0</v>
      </c>
      <c r="L274" s="69">
        <f t="shared" si="61"/>
        <v>0</v>
      </c>
      <c r="M274" s="68">
        <f>IFERROR(SUMIF(体外式膜型人工肺!$C$30:$C$74,B274,体外式膜型人工肺!$N$30:$N$74)*((体外式膜型人工肺!$H$3-体外式膜型人工肺!$I$3)/体外式膜型人工肺!$H$3),0)</f>
        <v>0</v>
      </c>
      <c r="N274" s="69">
        <f t="shared" si="62"/>
        <v>0</v>
      </c>
      <c r="O274" s="69">
        <f t="shared" si="63"/>
        <v>0</v>
      </c>
      <c r="P274" s="69">
        <f t="shared" si="64"/>
        <v>0</v>
      </c>
      <c r="Q274" s="68">
        <f>IFERROR(SUMIF(紫外線照射装置!$C$30:$C$74,B274,紫外線照射装置!$N$30:$N$74)*((紫外線照射装置!$H$3-紫外線照射装置!$I$3)/紫外線照射装置!$H$3),0)</f>
        <v>0</v>
      </c>
      <c r="R274" s="69">
        <f t="shared" si="65"/>
        <v>0</v>
      </c>
      <c r="S274" s="102">
        <f t="shared" si="66"/>
        <v>0</v>
      </c>
      <c r="T274" s="68">
        <f>IFERROR(SUMIF(超音波画像診断装置!$C$30:$C$74,B274,超音波画像診断装置!$K$30:$K$74)*((超音波画像診断装置!$H$3-超音波画像診断装置!$I$3)/超音波画像診断装置!$H$3),0)</f>
        <v>0</v>
      </c>
      <c r="U274" s="69">
        <f t="shared" si="67"/>
        <v>0</v>
      </c>
      <c r="V274" s="68">
        <f>IFERROR(SUMIF(血液浄化装置!$C$30:$C$74,B274,血液浄化装置!$K$30:$K$74)*((血液浄化装置!$H$3-血液浄化装置!$I$3)/血液浄化装置!$H$3),0)</f>
        <v>0</v>
      </c>
      <c r="W274" s="69">
        <f t="shared" si="68"/>
        <v>0</v>
      </c>
      <c r="X274" s="68">
        <f>IFERROR(SUMIF(気管支鏡!$C$30:$C$74,B274,気管支鏡!$K$30:$K$74)*((気管支鏡!$H$3-気管支鏡!$I$3)/気管支鏡!$H$3),0)</f>
        <v>0</v>
      </c>
      <c r="Y274" s="69">
        <f t="shared" si="54"/>
        <v>0</v>
      </c>
      <c r="Z274" s="68">
        <f>IFERROR(SUMIF(CT撮影装置!$C$30:$C$74,B274,CT撮影装置!$K$30:$K$74)*((CT撮影装置!$H$3-CT撮影装置!$I$3)/CT撮影装置!$H$3),0)</f>
        <v>0</v>
      </c>
      <c r="AA274" s="69">
        <f t="shared" si="69"/>
        <v>0</v>
      </c>
      <c r="AB274" s="68">
        <f>IFERROR(SUMIF(生体情報モニタ!$C$30:$C$74,B274,生体情報モニタ!$K$30:$K$74)*((生体情報モニタ!$H$3-生体情報モニタ!$I$3)/生体情報モニタ!$H$3),0)</f>
        <v>0</v>
      </c>
      <c r="AC274" s="69">
        <f t="shared" si="55"/>
        <v>0</v>
      </c>
      <c r="AD274" s="68">
        <f>IFERROR(SUMIF(分娩監視装置!$C$30:$C$74,B274,分娩監視装置!$K$30:$K$74)*((分娩監視装置!$H$3-分娩監視装置!$I$3)/分娩監視装置!$H$3),0)</f>
        <v>0</v>
      </c>
      <c r="AE274" s="69">
        <f t="shared" si="70"/>
        <v>0</v>
      </c>
      <c r="AF274" s="68">
        <f>IFERROR(SUMIF(新生児モニタ!$C$30:$C$74,B274,新生児モニタ!$K$30:$K$74)*((新生児モニタ!$H$3-新生児モニタ!$I$3)/新生児モニタ!$H$3),0)</f>
        <v>0</v>
      </c>
      <c r="AG274" s="69">
        <f t="shared" si="71"/>
        <v>0</v>
      </c>
    </row>
    <row r="275" spans="2:33">
      <c r="B275" s="65" t="s">
        <v>944</v>
      </c>
      <c r="C275" s="68">
        <f>IFERROR(SUMIF(初度設備!$C$30:$C$74,B275,初度設備!$N$30:$N$74)*((初度設備!$H$3-初度設備!$I$3)/初度設備!$H$3),0)</f>
        <v>0</v>
      </c>
      <c r="D275" s="69">
        <f t="shared" si="56"/>
        <v>0</v>
      </c>
      <c r="E275" s="68">
        <f>IFERROR(SUMIF(人工呼吸器!$C$30:$C$74,B275,人工呼吸器!$N$30:$N$74)*((人工呼吸器!$H$3-人工呼吸器!$I$3)/人工呼吸器!$H$3),0)</f>
        <v>0</v>
      </c>
      <c r="F275" s="69">
        <f t="shared" si="57"/>
        <v>0</v>
      </c>
      <c r="G275" s="69">
        <f t="shared" si="58"/>
        <v>0</v>
      </c>
      <c r="H275" s="69">
        <f t="shared" si="59"/>
        <v>0</v>
      </c>
      <c r="I275" s="68">
        <f>IFERROR(SUMIF(簡易陰圧装置!$C$30:$C$74,B275,簡易陰圧装置!$N$30:$N$74)*((簡易陰圧装置!$H$3-簡易陰圧装置!$I$3)/簡易陰圧装置!$H$3),0)</f>
        <v>0</v>
      </c>
      <c r="J275" s="69">
        <f t="shared" si="60"/>
        <v>0</v>
      </c>
      <c r="K275" s="68">
        <f>IFERROR(SUMIF(#REF!,B275,#REF!)*((#REF!-#REF!)/#REF!),0)</f>
        <v>0</v>
      </c>
      <c r="L275" s="69">
        <f t="shared" si="61"/>
        <v>0</v>
      </c>
      <c r="M275" s="68">
        <f>IFERROR(SUMIF(体外式膜型人工肺!$C$30:$C$74,B275,体外式膜型人工肺!$N$30:$N$74)*((体外式膜型人工肺!$H$3-体外式膜型人工肺!$I$3)/体外式膜型人工肺!$H$3),0)</f>
        <v>0</v>
      </c>
      <c r="N275" s="69">
        <f t="shared" si="62"/>
        <v>0</v>
      </c>
      <c r="O275" s="69">
        <f t="shared" si="63"/>
        <v>0</v>
      </c>
      <c r="P275" s="69">
        <f t="shared" si="64"/>
        <v>0</v>
      </c>
      <c r="Q275" s="68">
        <f>IFERROR(SUMIF(紫外線照射装置!$C$30:$C$74,B275,紫外線照射装置!$N$30:$N$74)*((紫外線照射装置!$H$3-紫外線照射装置!$I$3)/紫外線照射装置!$H$3),0)</f>
        <v>0</v>
      </c>
      <c r="R275" s="69">
        <f t="shared" si="65"/>
        <v>0</v>
      </c>
      <c r="S275" s="102">
        <f t="shared" si="66"/>
        <v>0</v>
      </c>
      <c r="T275" s="68">
        <f>IFERROR(SUMIF(超音波画像診断装置!$C$30:$C$74,B275,超音波画像診断装置!$K$30:$K$74)*((超音波画像診断装置!$H$3-超音波画像診断装置!$I$3)/超音波画像診断装置!$H$3),0)</f>
        <v>0</v>
      </c>
      <c r="U275" s="69">
        <f t="shared" si="67"/>
        <v>0</v>
      </c>
      <c r="V275" s="68">
        <f>IFERROR(SUMIF(血液浄化装置!$C$30:$C$74,B275,血液浄化装置!$K$30:$K$74)*((血液浄化装置!$H$3-血液浄化装置!$I$3)/血液浄化装置!$H$3),0)</f>
        <v>0</v>
      </c>
      <c r="W275" s="69">
        <f t="shared" si="68"/>
        <v>0</v>
      </c>
      <c r="X275" s="68">
        <f>IFERROR(SUMIF(気管支鏡!$C$30:$C$74,B275,気管支鏡!$K$30:$K$74)*((気管支鏡!$H$3-気管支鏡!$I$3)/気管支鏡!$H$3),0)</f>
        <v>0</v>
      </c>
      <c r="Y275" s="69">
        <f t="shared" si="54"/>
        <v>0</v>
      </c>
      <c r="Z275" s="68">
        <f>IFERROR(SUMIF(CT撮影装置!$C$30:$C$74,B275,CT撮影装置!$K$30:$K$74)*((CT撮影装置!$H$3-CT撮影装置!$I$3)/CT撮影装置!$H$3),0)</f>
        <v>0</v>
      </c>
      <c r="AA275" s="69">
        <f t="shared" si="69"/>
        <v>0</v>
      </c>
      <c r="AB275" s="68">
        <f>IFERROR(SUMIF(生体情報モニタ!$C$30:$C$74,B275,生体情報モニタ!$K$30:$K$74)*((生体情報モニタ!$H$3-生体情報モニタ!$I$3)/生体情報モニタ!$H$3),0)</f>
        <v>0</v>
      </c>
      <c r="AC275" s="69">
        <f t="shared" si="55"/>
        <v>0</v>
      </c>
      <c r="AD275" s="68">
        <f>IFERROR(SUMIF(分娩監視装置!$C$30:$C$74,B275,分娩監視装置!$K$30:$K$74)*((分娩監視装置!$H$3-分娩監視装置!$I$3)/分娩監視装置!$H$3),0)</f>
        <v>0</v>
      </c>
      <c r="AE275" s="69">
        <f t="shared" si="70"/>
        <v>0</v>
      </c>
      <c r="AF275" s="68">
        <f>IFERROR(SUMIF(新生児モニタ!$C$30:$C$74,B275,新生児モニタ!$K$30:$K$74)*((新生児モニタ!$H$3-新生児モニタ!$I$3)/新生児モニタ!$H$3),0)</f>
        <v>0</v>
      </c>
      <c r="AG275" s="69">
        <f t="shared" si="71"/>
        <v>0</v>
      </c>
    </row>
    <row r="276" spans="2:33">
      <c r="B276" s="65" t="s">
        <v>945</v>
      </c>
      <c r="C276" s="68">
        <f>IFERROR(SUMIF(初度設備!$C$30:$C$74,B276,初度設備!$N$30:$N$74)*((初度設備!$H$3-初度設備!$I$3)/初度設備!$H$3),0)</f>
        <v>0</v>
      </c>
      <c r="D276" s="69">
        <f t="shared" si="56"/>
        <v>0</v>
      </c>
      <c r="E276" s="68">
        <f>IFERROR(SUMIF(人工呼吸器!$C$30:$C$74,B276,人工呼吸器!$N$30:$N$74)*((人工呼吸器!$H$3-人工呼吸器!$I$3)/人工呼吸器!$H$3),0)</f>
        <v>0</v>
      </c>
      <c r="F276" s="69">
        <f t="shared" si="57"/>
        <v>0</v>
      </c>
      <c r="G276" s="69">
        <f t="shared" si="58"/>
        <v>0</v>
      </c>
      <c r="H276" s="69">
        <f t="shared" si="59"/>
        <v>0</v>
      </c>
      <c r="I276" s="68">
        <f>IFERROR(SUMIF(簡易陰圧装置!$C$30:$C$74,B276,簡易陰圧装置!$N$30:$N$74)*((簡易陰圧装置!$H$3-簡易陰圧装置!$I$3)/簡易陰圧装置!$H$3),0)</f>
        <v>0</v>
      </c>
      <c r="J276" s="69">
        <f t="shared" si="60"/>
        <v>0</v>
      </c>
      <c r="K276" s="68">
        <f>IFERROR(SUMIF(#REF!,B276,#REF!)*((#REF!-#REF!)/#REF!),0)</f>
        <v>0</v>
      </c>
      <c r="L276" s="69">
        <f t="shared" si="61"/>
        <v>0</v>
      </c>
      <c r="M276" s="68">
        <f>IFERROR(SUMIF(体外式膜型人工肺!$C$30:$C$74,B276,体外式膜型人工肺!$N$30:$N$74)*((体外式膜型人工肺!$H$3-体外式膜型人工肺!$I$3)/体外式膜型人工肺!$H$3),0)</f>
        <v>0</v>
      </c>
      <c r="N276" s="69">
        <f t="shared" si="62"/>
        <v>0</v>
      </c>
      <c r="O276" s="69">
        <f t="shared" si="63"/>
        <v>0</v>
      </c>
      <c r="P276" s="69">
        <f t="shared" si="64"/>
        <v>0</v>
      </c>
      <c r="Q276" s="68">
        <f>IFERROR(SUMIF(紫外線照射装置!$C$30:$C$74,B276,紫外線照射装置!$N$30:$N$74)*((紫外線照射装置!$H$3-紫外線照射装置!$I$3)/紫外線照射装置!$H$3),0)</f>
        <v>0</v>
      </c>
      <c r="R276" s="69">
        <f t="shared" si="65"/>
        <v>0</v>
      </c>
      <c r="S276" s="102">
        <f t="shared" si="66"/>
        <v>0</v>
      </c>
      <c r="T276" s="68">
        <f>IFERROR(SUMIF(超音波画像診断装置!$C$30:$C$74,B276,超音波画像診断装置!$K$30:$K$74)*((超音波画像診断装置!$H$3-超音波画像診断装置!$I$3)/超音波画像診断装置!$H$3),0)</f>
        <v>0</v>
      </c>
      <c r="U276" s="69">
        <f t="shared" si="67"/>
        <v>0</v>
      </c>
      <c r="V276" s="68">
        <f>IFERROR(SUMIF(血液浄化装置!$C$30:$C$74,B276,血液浄化装置!$K$30:$K$74)*((血液浄化装置!$H$3-血液浄化装置!$I$3)/血液浄化装置!$H$3),0)</f>
        <v>0</v>
      </c>
      <c r="W276" s="69">
        <f t="shared" si="68"/>
        <v>0</v>
      </c>
      <c r="X276" s="68">
        <f>IFERROR(SUMIF(気管支鏡!$C$30:$C$74,B276,気管支鏡!$K$30:$K$74)*((気管支鏡!$H$3-気管支鏡!$I$3)/気管支鏡!$H$3),0)</f>
        <v>0</v>
      </c>
      <c r="Y276" s="69">
        <f t="shared" si="54"/>
        <v>0</v>
      </c>
      <c r="Z276" s="68">
        <f>IFERROR(SUMIF(CT撮影装置!$C$30:$C$74,B276,CT撮影装置!$K$30:$K$74)*((CT撮影装置!$H$3-CT撮影装置!$I$3)/CT撮影装置!$H$3),0)</f>
        <v>0</v>
      </c>
      <c r="AA276" s="69">
        <f t="shared" si="69"/>
        <v>0</v>
      </c>
      <c r="AB276" s="68">
        <f>IFERROR(SUMIF(生体情報モニタ!$C$30:$C$74,B276,生体情報モニタ!$K$30:$K$74)*((生体情報モニタ!$H$3-生体情報モニタ!$I$3)/生体情報モニタ!$H$3),0)</f>
        <v>0</v>
      </c>
      <c r="AC276" s="69">
        <f t="shared" si="55"/>
        <v>0</v>
      </c>
      <c r="AD276" s="68">
        <f>IFERROR(SUMIF(分娩監視装置!$C$30:$C$74,B276,分娩監視装置!$K$30:$K$74)*((分娩監視装置!$H$3-分娩監視装置!$I$3)/分娩監視装置!$H$3),0)</f>
        <v>0</v>
      </c>
      <c r="AE276" s="69">
        <f t="shared" si="70"/>
        <v>0</v>
      </c>
      <c r="AF276" s="68">
        <f>IFERROR(SUMIF(新生児モニタ!$C$30:$C$74,B276,新生児モニタ!$K$30:$K$74)*((新生児モニタ!$H$3-新生児モニタ!$I$3)/新生児モニタ!$H$3),0)</f>
        <v>0</v>
      </c>
      <c r="AG276" s="69">
        <f t="shared" si="71"/>
        <v>0</v>
      </c>
    </row>
    <row r="277" spans="2:33">
      <c r="B277" s="65" t="s">
        <v>946</v>
      </c>
      <c r="C277" s="68">
        <f>IFERROR(SUMIF(初度設備!$C$30:$C$74,B277,初度設備!$N$30:$N$74)*((初度設備!$H$3-初度設備!$I$3)/初度設備!$H$3),0)</f>
        <v>0</v>
      </c>
      <c r="D277" s="69">
        <f t="shared" si="56"/>
        <v>0</v>
      </c>
      <c r="E277" s="68">
        <f>IFERROR(SUMIF(人工呼吸器!$C$30:$C$74,B277,人工呼吸器!$N$30:$N$74)*((人工呼吸器!$H$3-人工呼吸器!$I$3)/人工呼吸器!$H$3),0)</f>
        <v>0</v>
      </c>
      <c r="F277" s="69">
        <f t="shared" si="57"/>
        <v>0</v>
      </c>
      <c r="G277" s="69">
        <f t="shared" si="58"/>
        <v>0</v>
      </c>
      <c r="H277" s="69">
        <f t="shared" si="59"/>
        <v>0</v>
      </c>
      <c r="I277" s="68">
        <f>IFERROR(SUMIF(簡易陰圧装置!$C$30:$C$74,B277,簡易陰圧装置!$N$30:$N$74)*((簡易陰圧装置!$H$3-簡易陰圧装置!$I$3)/簡易陰圧装置!$H$3),0)</f>
        <v>0</v>
      </c>
      <c r="J277" s="69">
        <f t="shared" si="60"/>
        <v>0</v>
      </c>
      <c r="K277" s="68">
        <f>IFERROR(SUMIF(#REF!,B277,#REF!)*((#REF!-#REF!)/#REF!),0)</f>
        <v>0</v>
      </c>
      <c r="L277" s="69">
        <f t="shared" si="61"/>
        <v>0</v>
      </c>
      <c r="M277" s="68">
        <f>IFERROR(SUMIF(体外式膜型人工肺!$C$30:$C$74,B277,体外式膜型人工肺!$N$30:$N$74)*((体外式膜型人工肺!$H$3-体外式膜型人工肺!$I$3)/体外式膜型人工肺!$H$3),0)</f>
        <v>0</v>
      </c>
      <c r="N277" s="69">
        <f t="shared" si="62"/>
        <v>0</v>
      </c>
      <c r="O277" s="69">
        <f t="shared" si="63"/>
        <v>0</v>
      </c>
      <c r="P277" s="69">
        <f t="shared" si="64"/>
        <v>0</v>
      </c>
      <c r="Q277" s="68">
        <f>IFERROR(SUMIF(紫外線照射装置!$C$30:$C$74,B277,紫外線照射装置!$N$30:$N$74)*((紫外線照射装置!$H$3-紫外線照射装置!$I$3)/紫外線照射装置!$H$3),0)</f>
        <v>0</v>
      </c>
      <c r="R277" s="69">
        <f t="shared" si="65"/>
        <v>0</v>
      </c>
      <c r="S277" s="102">
        <f t="shared" si="66"/>
        <v>0</v>
      </c>
      <c r="T277" s="68">
        <f>IFERROR(SUMIF(超音波画像診断装置!$C$30:$C$74,B277,超音波画像診断装置!$K$30:$K$74)*((超音波画像診断装置!$H$3-超音波画像診断装置!$I$3)/超音波画像診断装置!$H$3),0)</f>
        <v>0</v>
      </c>
      <c r="U277" s="69">
        <f t="shared" si="67"/>
        <v>0</v>
      </c>
      <c r="V277" s="68">
        <f>IFERROR(SUMIF(血液浄化装置!$C$30:$C$74,B277,血液浄化装置!$K$30:$K$74)*((血液浄化装置!$H$3-血液浄化装置!$I$3)/血液浄化装置!$H$3),0)</f>
        <v>0</v>
      </c>
      <c r="W277" s="69">
        <f t="shared" si="68"/>
        <v>0</v>
      </c>
      <c r="X277" s="68">
        <f>IFERROR(SUMIF(気管支鏡!$C$30:$C$74,B277,気管支鏡!$K$30:$K$74)*((気管支鏡!$H$3-気管支鏡!$I$3)/気管支鏡!$H$3),0)</f>
        <v>0</v>
      </c>
      <c r="Y277" s="69">
        <f t="shared" si="54"/>
        <v>0</v>
      </c>
      <c r="Z277" s="68">
        <f>IFERROR(SUMIF(CT撮影装置!$C$30:$C$74,B277,CT撮影装置!$K$30:$K$74)*((CT撮影装置!$H$3-CT撮影装置!$I$3)/CT撮影装置!$H$3),0)</f>
        <v>0</v>
      </c>
      <c r="AA277" s="69">
        <f t="shared" si="69"/>
        <v>0</v>
      </c>
      <c r="AB277" s="68">
        <f>IFERROR(SUMIF(生体情報モニタ!$C$30:$C$74,B277,生体情報モニタ!$K$30:$K$74)*((生体情報モニタ!$H$3-生体情報モニタ!$I$3)/生体情報モニタ!$H$3),0)</f>
        <v>0</v>
      </c>
      <c r="AC277" s="69">
        <f t="shared" si="55"/>
        <v>0</v>
      </c>
      <c r="AD277" s="68">
        <f>IFERROR(SUMIF(分娩監視装置!$C$30:$C$74,B277,分娩監視装置!$K$30:$K$74)*((分娩監視装置!$H$3-分娩監視装置!$I$3)/分娩監視装置!$H$3),0)</f>
        <v>0</v>
      </c>
      <c r="AE277" s="69">
        <f t="shared" si="70"/>
        <v>0</v>
      </c>
      <c r="AF277" s="68">
        <f>IFERROR(SUMIF(新生児モニタ!$C$30:$C$74,B277,新生児モニタ!$K$30:$K$74)*((新生児モニタ!$H$3-新生児モニタ!$I$3)/新生児モニタ!$H$3),0)</f>
        <v>0</v>
      </c>
      <c r="AG277" s="69">
        <f t="shared" si="71"/>
        <v>0</v>
      </c>
    </row>
    <row r="278" spans="2:33">
      <c r="B278" s="65" t="s">
        <v>947</v>
      </c>
      <c r="C278" s="68">
        <f>IFERROR(SUMIF(初度設備!$C$30:$C$74,B278,初度設備!$N$30:$N$74)*((初度設備!$H$3-初度設備!$I$3)/初度設備!$H$3),0)</f>
        <v>0</v>
      </c>
      <c r="D278" s="69">
        <f t="shared" si="56"/>
        <v>0</v>
      </c>
      <c r="E278" s="68">
        <f>IFERROR(SUMIF(人工呼吸器!$C$30:$C$74,B278,人工呼吸器!$N$30:$N$74)*((人工呼吸器!$H$3-人工呼吸器!$I$3)/人工呼吸器!$H$3),0)</f>
        <v>0</v>
      </c>
      <c r="F278" s="69">
        <f t="shared" si="57"/>
        <v>0</v>
      </c>
      <c r="G278" s="69">
        <f t="shared" si="58"/>
        <v>0</v>
      </c>
      <c r="H278" s="69">
        <f t="shared" si="59"/>
        <v>0</v>
      </c>
      <c r="I278" s="68">
        <f>IFERROR(SUMIF(簡易陰圧装置!$C$30:$C$74,B278,簡易陰圧装置!$N$30:$N$74)*((簡易陰圧装置!$H$3-簡易陰圧装置!$I$3)/簡易陰圧装置!$H$3),0)</f>
        <v>0</v>
      </c>
      <c r="J278" s="69">
        <f t="shared" si="60"/>
        <v>0</v>
      </c>
      <c r="K278" s="68">
        <f>IFERROR(SUMIF(#REF!,B278,#REF!)*((#REF!-#REF!)/#REF!),0)</f>
        <v>0</v>
      </c>
      <c r="L278" s="69">
        <f t="shared" si="61"/>
        <v>0</v>
      </c>
      <c r="M278" s="68">
        <f>IFERROR(SUMIF(体外式膜型人工肺!$C$30:$C$74,B278,体外式膜型人工肺!$N$30:$N$74)*((体外式膜型人工肺!$H$3-体外式膜型人工肺!$I$3)/体外式膜型人工肺!$H$3),0)</f>
        <v>0</v>
      </c>
      <c r="N278" s="69">
        <f t="shared" si="62"/>
        <v>0</v>
      </c>
      <c r="O278" s="69">
        <f t="shared" si="63"/>
        <v>0</v>
      </c>
      <c r="P278" s="69">
        <f t="shared" si="64"/>
        <v>0</v>
      </c>
      <c r="Q278" s="68">
        <f>IFERROR(SUMIF(紫外線照射装置!$C$30:$C$74,B278,紫外線照射装置!$N$30:$N$74)*((紫外線照射装置!$H$3-紫外線照射装置!$I$3)/紫外線照射装置!$H$3),0)</f>
        <v>0</v>
      </c>
      <c r="R278" s="69">
        <f t="shared" si="65"/>
        <v>0</v>
      </c>
      <c r="S278" s="102">
        <f t="shared" si="66"/>
        <v>0</v>
      </c>
      <c r="T278" s="68">
        <f>IFERROR(SUMIF(超音波画像診断装置!$C$30:$C$74,B278,超音波画像診断装置!$K$30:$K$74)*((超音波画像診断装置!$H$3-超音波画像診断装置!$I$3)/超音波画像診断装置!$H$3),0)</f>
        <v>0</v>
      </c>
      <c r="U278" s="69">
        <f t="shared" si="67"/>
        <v>0</v>
      </c>
      <c r="V278" s="68">
        <f>IFERROR(SUMIF(血液浄化装置!$C$30:$C$74,B278,血液浄化装置!$K$30:$K$74)*((血液浄化装置!$H$3-血液浄化装置!$I$3)/血液浄化装置!$H$3),0)</f>
        <v>0</v>
      </c>
      <c r="W278" s="69">
        <f t="shared" si="68"/>
        <v>0</v>
      </c>
      <c r="X278" s="68">
        <f>IFERROR(SUMIF(気管支鏡!$C$30:$C$74,B278,気管支鏡!$K$30:$K$74)*((気管支鏡!$H$3-気管支鏡!$I$3)/気管支鏡!$H$3),0)</f>
        <v>0</v>
      </c>
      <c r="Y278" s="69">
        <f t="shared" si="54"/>
        <v>0</v>
      </c>
      <c r="Z278" s="68">
        <f>IFERROR(SUMIF(CT撮影装置!$C$30:$C$74,B278,CT撮影装置!$K$30:$K$74)*((CT撮影装置!$H$3-CT撮影装置!$I$3)/CT撮影装置!$H$3),0)</f>
        <v>0</v>
      </c>
      <c r="AA278" s="69">
        <f t="shared" si="69"/>
        <v>0</v>
      </c>
      <c r="AB278" s="68">
        <f>IFERROR(SUMIF(生体情報モニタ!$C$30:$C$74,B278,生体情報モニタ!$K$30:$K$74)*((生体情報モニタ!$H$3-生体情報モニタ!$I$3)/生体情報モニタ!$H$3),0)</f>
        <v>0</v>
      </c>
      <c r="AC278" s="69">
        <f t="shared" si="55"/>
        <v>0</v>
      </c>
      <c r="AD278" s="68">
        <f>IFERROR(SUMIF(分娩監視装置!$C$30:$C$74,B278,分娩監視装置!$K$30:$K$74)*((分娩監視装置!$H$3-分娩監視装置!$I$3)/分娩監視装置!$H$3),0)</f>
        <v>0</v>
      </c>
      <c r="AE278" s="69">
        <f t="shared" si="70"/>
        <v>0</v>
      </c>
      <c r="AF278" s="68">
        <f>IFERROR(SUMIF(新生児モニタ!$C$30:$C$74,B278,新生児モニタ!$K$30:$K$74)*((新生児モニタ!$H$3-新生児モニタ!$I$3)/新生児モニタ!$H$3),0)</f>
        <v>0</v>
      </c>
      <c r="AG278" s="69">
        <f t="shared" si="71"/>
        <v>0</v>
      </c>
    </row>
    <row r="279" spans="2:33">
      <c r="B279" s="65" t="s">
        <v>948</v>
      </c>
      <c r="C279" s="68">
        <f>IFERROR(SUMIF(初度設備!$C$30:$C$74,B279,初度設備!$N$30:$N$74)*((初度設備!$H$3-初度設備!$I$3)/初度設備!$H$3),0)</f>
        <v>0</v>
      </c>
      <c r="D279" s="69">
        <f t="shared" si="56"/>
        <v>0</v>
      </c>
      <c r="E279" s="68">
        <f>IFERROR(SUMIF(人工呼吸器!$C$30:$C$74,B279,人工呼吸器!$N$30:$N$74)*((人工呼吸器!$H$3-人工呼吸器!$I$3)/人工呼吸器!$H$3),0)</f>
        <v>0</v>
      </c>
      <c r="F279" s="69">
        <f t="shared" si="57"/>
        <v>0</v>
      </c>
      <c r="G279" s="69">
        <f t="shared" si="58"/>
        <v>0</v>
      </c>
      <c r="H279" s="69">
        <f t="shared" si="59"/>
        <v>0</v>
      </c>
      <c r="I279" s="68">
        <f>IFERROR(SUMIF(簡易陰圧装置!$C$30:$C$74,B279,簡易陰圧装置!$N$30:$N$74)*((簡易陰圧装置!$H$3-簡易陰圧装置!$I$3)/簡易陰圧装置!$H$3),0)</f>
        <v>0</v>
      </c>
      <c r="J279" s="69">
        <f t="shared" si="60"/>
        <v>0</v>
      </c>
      <c r="K279" s="68">
        <f>IFERROR(SUMIF(#REF!,B279,#REF!)*((#REF!-#REF!)/#REF!),0)</f>
        <v>0</v>
      </c>
      <c r="L279" s="69">
        <f t="shared" si="61"/>
        <v>0</v>
      </c>
      <c r="M279" s="68">
        <f>IFERROR(SUMIF(体外式膜型人工肺!$C$30:$C$74,B279,体外式膜型人工肺!$N$30:$N$74)*((体外式膜型人工肺!$H$3-体外式膜型人工肺!$I$3)/体外式膜型人工肺!$H$3),0)</f>
        <v>0</v>
      </c>
      <c r="N279" s="69">
        <f t="shared" si="62"/>
        <v>0</v>
      </c>
      <c r="O279" s="69">
        <f t="shared" si="63"/>
        <v>0</v>
      </c>
      <c r="P279" s="69">
        <f t="shared" si="64"/>
        <v>0</v>
      </c>
      <c r="Q279" s="68">
        <f>IFERROR(SUMIF(紫外線照射装置!$C$30:$C$74,B279,紫外線照射装置!$N$30:$N$74)*((紫外線照射装置!$H$3-紫外線照射装置!$I$3)/紫外線照射装置!$H$3),0)</f>
        <v>0</v>
      </c>
      <c r="R279" s="69">
        <f t="shared" si="65"/>
        <v>0</v>
      </c>
      <c r="S279" s="102">
        <f t="shared" si="66"/>
        <v>0</v>
      </c>
      <c r="T279" s="68">
        <f>IFERROR(SUMIF(超音波画像診断装置!$C$30:$C$74,B279,超音波画像診断装置!$K$30:$K$74)*((超音波画像診断装置!$H$3-超音波画像診断装置!$I$3)/超音波画像診断装置!$H$3),0)</f>
        <v>0</v>
      </c>
      <c r="U279" s="69">
        <f t="shared" si="67"/>
        <v>0</v>
      </c>
      <c r="V279" s="68">
        <f>IFERROR(SUMIF(血液浄化装置!$C$30:$C$74,B279,血液浄化装置!$K$30:$K$74)*((血液浄化装置!$H$3-血液浄化装置!$I$3)/血液浄化装置!$H$3),0)</f>
        <v>0</v>
      </c>
      <c r="W279" s="69">
        <f t="shared" si="68"/>
        <v>0</v>
      </c>
      <c r="X279" s="68">
        <f>IFERROR(SUMIF(気管支鏡!$C$30:$C$74,B279,気管支鏡!$K$30:$K$74)*((気管支鏡!$H$3-気管支鏡!$I$3)/気管支鏡!$H$3),0)</f>
        <v>0</v>
      </c>
      <c r="Y279" s="69">
        <f t="shared" ref="Y279:Y322" si="72">ROUNDDOWN(MIN(X279,$Y$21),-3)</f>
        <v>0</v>
      </c>
      <c r="Z279" s="68">
        <f>IFERROR(SUMIF(CT撮影装置!$C$30:$C$74,B279,CT撮影装置!$K$30:$K$74)*((CT撮影装置!$H$3-CT撮影装置!$I$3)/CT撮影装置!$H$3),0)</f>
        <v>0</v>
      </c>
      <c r="AA279" s="69">
        <f t="shared" si="69"/>
        <v>0</v>
      </c>
      <c r="AB279" s="68">
        <f>IFERROR(SUMIF(生体情報モニタ!$C$30:$C$74,B279,生体情報モニタ!$K$30:$K$74)*((生体情報モニタ!$H$3-生体情報モニタ!$I$3)/生体情報モニタ!$H$3),0)</f>
        <v>0</v>
      </c>
      <c r="AC279" s="69">
        <f t="shared" ref="AC279:AC322" si="73">ROUNDDOWN(MIN(AB279,$AC$21),-3)</f>
        <v>0</v>
      </c>
      <c r="AD279" s="68">
        <f>IFERROR(SUMIF(分娩監視装置!$C$30:$C$74,B279,分娩監視装置!$K$30:$K$74)*((分娩監視装置!$H$3-分娩監視装置!$I$3)/分娩監視装置!$H$3),0)</f>
        <v>0</v>
      </c>
      <c r="AE279" s="69">
        <f t="shared" si="70"/>
        <v>0</v>
      </c>
      <c r="AF279" s="68">
        <f>IFERROR(SUMIF(新生児モニタ!$C$30:$C$74,B279,新生児モニタ!$K$30:$K$74)*((新生児モニタ!$H$3-新生児モニタ!$I$3)/新生児モニタ!$H$3),0)</f>
        <v>0</v>
      </c>
      <c r="AG279" s="69">
        <f t="shared" si="71"/>
        <v>0</v>
      </c>
    </row>
    <row r="280" spans="2:33">
      <c r="B280" s="65" t="s">
        <v>949</v>
      </c>
      <c r="C280" s="68">
        <f>IFERROR(SUMIF(初度設備!$C$30:$C$74,B280,初度設備!$N$30:$N$74)*((初度設備!$H$3-初度設備!$I$3)/初度設備!$H$3),0)</f>
        <v>0</v>
      </c>
      <c r="D280" s="69">
        <f t="shared" ref="D280:D322" si="74">ROUNDDOWN(MIN(C280,$D$21),-3)</f>
        <v>0</v>
      </c>
      <c r="E280" s="68">
        <f>IFERROR(SUMIF(人工呼吸器!$C$30:$C$74,B280,人工呼吸器!$N$30:$N$74)*((人工呼吸器!$H$3-人工呼吸器!$I$3)/人工呼吸器!$H$3),0)</f>
        <v>0</v>
      </c>
      <c r="F280" s="69">
        <f t="shared" ref="F280:F322" si="75">ROUNDDOWN(E280,-3)</f>
        <v>0</v>
      </c>
      <c r="G280" s="69">
        <f t="shared" ref="G280:G322" si="76">IF(F280&gt;=5000000,5000000,F280)</f>
        <v>0</v>
      </c>
      <c r="H280" s="69">
        <f t="shared" ref="H280:H322" si="77">IF(G280=5000000,F280-5000000,0)</f>
        <v>0</v>
      </c>
      <c r="I280" s="68">
        <f>IFERROR(SUMIF(簡易陰圧装置!$C$30:$C$74,B280,簡易陰圧装置!$N$30:$N$74)*((簡易陰圧装置!$H$3-簡易陰圧装置!$I$3)/簡易陰圧装置!$H$3),0)</f>
        <v>0</v>
      </c>
      <c r="J280" s="69">
        <f t="shared" ref="J280:J322" si="78">ROUNDDOWN(MIN(I280,$J$21),-3)</f>
        <v>0</v>
      </c>
      <c r="K280" s="68">
        <f>IFERROR(SUMIF(#REF!,B280,#REF!)*((#REF!-#REF!)/#REF!),0)</f>
        <v>0</v>
      </c>
      <c r="L280" s="69">
        <f t="shared" ref="L280:L322" si="79">ROUNDDOWN(MIN(K280,$L$21),-3)</f>
        <v>0</v>
      </c>
      <c r="M280" s="68">
        <f>IFERROR(SUMIF(体外式膜型人工肺!$C$30:$C$74,B280,体外式膜型人工肺!$N$30:$N$74)*((体外式膜型人工肺!$H$3-体外式膜型人工肺!$I$3)/体外式膜型人工肺!$H$3),0)</f>
        <v>0</v>
      </c>
      <c r="N280" s="69">
        <f t="shared" ref="N280:N322" si="80">ROUNDDOWN(M280,-3)</f>
        <v>0</v>
      </c>
      <c r="O280" s="69">
        <f t="shared" ref="O280:O322" si="81">IF(N280&gt;=21000000,21000000,N280)</f>
        <v>0</v>
      </c>
      <c r="P280" s="69">
        <f t="shared" ref="P280:P322" si="82">IF(O280=21000000,N280-21000000,0)</f>
        <v>0</v>
      </c>
      <c r="Q280" s="68">
        <f>IFERROR(SUMIF(紫外線照射装置!$C$30:$C$74,B280,紫外線照射装置!$N$30:$N$74)*((紫外線照射装置!$H$3-紫外線照射装置!$I$3)/紫外線照射装置!$H$3),0)</f>
        <v>0</v>
      </c>
      <c r="R280" s="69">
        <f t="shared" ref="R280:R322" si="83">IFERROR(ROUNDDOWN(MIN(Q280,$R$21)/2,-3),0)</f>
        <v>0</v>
      </c>
      <c r="S280" s="102">
        <f t="shared" ref="S280:S322" si="84">R280</f>
        <v>0</v>
      </c>
      <c r="T280" s="68">
        <f>IFERROR(SUMIF(超音波画像診断装置!$C$30:$C$74,B280,超音波画像診断装置!$K$30:$K$74)*((超音波画像診断装置!$H$3-超音波画像診断装置!$I$3)/超音波画像診断装置!$H$3),0)</f>
        <v>0</v>
      </c>
      <c r="U280" s="69">
        <f t="shared" ref="U280:U322" si="85">ROUNDDOWN(MIN(T280,$U$21),-3)</f>
        <v>0</v>
      </c>
      <c r="V280" s="68">
        <f>IFERROR(SUMIF(血液浄化装置!$C$30:$C$74,B280,血液浄化装置!$K$30:$K$74)*((血液浄化装置!$H$3-血液浄化装置!$I$3)/血液浄化装置!$H$3),0)</f>
        <v>0</v>
      </c>
      <c r="W280" s="69">
        <f t="shared" ref="W280:W322" si="86">ROUNDDOWN(MIN(V280,$W$21),-3)</f>
        <v>0</v>
      </c>
      <c r="X280" s="68">
        <f>IFERROR(SUMIF(気管支鏡!$C$30:$C$74,B280,気管支鏡!$K$30:$K$74)*((気管支鏡!$H$3-気管支鏡!$I$3)/気管支鏡!$H$3),0)</f>
        <v>0</v>
      </c>
      <c r="Y280" s="69">
        <f t="shared" si="72"/>
        <v>0</v>
      </c>
      <c r="Z280" s="68">
        <f>IFERROR(SUMIF(CT撮影装置!$C$30:$C$74,B280,CT撮影装置!$K$30:$K$74)*((CT撮影装置!$H$3-CT撮影装置!$I$3)/CT撮影装置!$H$3),0)</f>
        <v>0</v>
      </c>
      <c r="AA280" s="69">
        <f t="shared" ref="AA280:AA322" si="87">ROUNDDOWN(MIN(Z280,$AA$21),-3)</f>
        <v>0</v>
      </c>
      <c r="AB280" s="68">
        <f>IFERROR(SUMIF(生体情報モニタ!$C$30:$C$74,B280,生体情報モニタ!$K$30:$K$74)*((生体情報モニタ!$H$3-生体情報モニタ!$I$3)/生体情報モニタ!$H$3),0)</f>
        <v>0</v>
      </c>
      <c r="AC280" s="69">
        <f t="shared" si="73"/>
        <v>0</v>
      </c>
      <c r="AD280" s="68">
        <f>IFERROR(SUMIF(分娩監視装置!$C$30:$C$74,B280,分娩監視装置!$K$30:$K$74)*((分娩監視装置!$H$3-分娩監視装置!$I$3)/分娩監視装置!$H$3),0)</f>
        <v>0</v>
      </c>
      <c r="AE280" s="69">
        <f t="shared" ref="AE280:AE322" si="88">ROUNDDOWN(MIN(AD280,$AE$21),-3)</f>
        <v>0</v>
      </c>
      <c r="AF280" s="68">
        <f>IFERROR(SUMIF(新生児モニタ!$C$30:$C$74,B280,新生児モニタ!$K$30:$K$74)*((新生児モニタ!$H$3-新生児モニタ!$I$3)/新生児モニタ!$H$3),0)</f>
        <v>0</v>
      </c>
      <c r="AG280" s="69">
        <f t="shared" ref="AG280:AG322" si="89">ROUNDDOWN(MIN(AF280,$AG$21),-3)</f>
        <v>0</v>
      </c>
    </row>
    <row r="281" spans="2:33">
      <c r="B281" s="65" t="s">
        <v>950</v>
      </c>
      <c r="C281" s="68">
        <f>IFERROR(SUMIF(初度設備!$C$30:$C$74,B281,初度設備!$N$30:$N$74)*((初度設備!$H$3-初度設備!$I$3)/初度設備!$H$3),0)</f>
        <v>0</v>
      </c>
      <c r="D281" s="69">
        <f t="shared" si="74"/>
        <v>0</v>
      </c>
      <c r="E281" s="68">
        <f>IFERROR(SUMIF(人工呼吸器!$C$30:$C$74,B281,人工呼吸器!$N$30:$N$74)*((人工呼吸器!$H$3-人工呼吸器!$I$3)/人工呼吸器!$H$3),0)</f>
        <v>0</v>
      </c>
      <c r="F281" s="69">
        <f t="shared" si="75"/>
        <v>0</v>
      </c>
      <c r="G281" s="69">
        <f t="shared" si="76"/>
        <v>0</v>
      </c>
      <c r="H281" s="69">
        <f t="shared" si="77"/>
        <v>0</v>
      </c>
      <c r="I281" s="68">
        <f>IFERROR(SUMIF(簡易陰圧装置!$C$30:$C$74,B281,簡易陰圧装置!$N$30:$N$74)*((簡易陰圧装置!$H$3-簡易陰圧装置!$I$3)/簡易陰圧装置!$H$3),0)</f>
        <v>0</v>
      </c>
      <c r="J281" s="69">
        <f t="shared" si="78"/>
        <v>0</v>
      </c>
      <c r="K281" s="68">
        <f>IFERROR(SUMIF(#REF!,B281,#REF!)*((#REF!-#REF!)/#REF!),0)</f>
        <v>0</v>
      </c>
      <c r="L281" s="69">
        <f t="shared" si="79"/>
        <v>0</v>
      </c>
      <c r="M281" s="68">
        <f>IFERROR(SUMIF(体外式膜型人工肺!$C$30:$C$74,B281,体外式膜型人工肺!$N$30:$N$74)*((体外式膜型人工肺!$H$3-体外式膜型人工肺!$I$3)/体外式膜型人工肺!$H$3),0)</f>
        <v>0</v>
      </c>
      <c r="N281" s="69">
        <f t="shared" si="80"/>
        <v>0</v>
      </c>
      <c r="O281" s="69">
        <f t="shared" si="81"/>
        <v>0</v>
      </c>
      <c r="P281" s="69">
        <f t="shared" si="82"/>
        <v>0</v>
      </c>
      <c r="Q281" s="68">
        <f>IFERROR(SUMIF(紫外線照射装置!$C$30:$C$74,B281,紫外線照射装置!$N$30:$N$74)*((紫外線照射装置!$H$3-紫外線照射装置!$I$3)/紫外線照射装置!$H$3),0)</f>
        <v>0</v>
      </c>
      <c r="R281" s="69">
        <f t="shared" si="83"/>
        <v>0</v>
      </c>
      <c r="S281" s="102">
        <f t="shared" si="84"/>
        <v>0</v>
      </c>
      <c r="T281" s="68">
        <f>IFERROR(SUMIF(超音波画像診断装置!$C$30:$C$74,B281,超音波画像診断装置!$K$30:$K$74)*((超音波画像診断装置!$H$3-超音波画像診断装置!$I$3)/超音波画像診断装置!$H$3),0)</f>
        <v>0</v>
      </c>
      <c r="U281" s="69">
        <f t="shared" si="85"/>
        <v>0</v>
      </c>
      <c r="V281" s="68">
        <f>IFERROR(SUMIF(血液浄化装置!$C$30:$C$74,B281,血液浄化装置!$K$30:$K$74)*((血液浄化装置!$H$3-血液浄化装置!$I$3)/血液浄化装置!$H$3),0)</f>
        <v>0</v>
      </c>
      <c r="W281" s="69">
        <f t="shared" si="86"/>
        <v>0</v>
      </c>
      <c r="X281" s="68">
        <f>IFERROR(SUMIF(気管支鏡!$C$30:$C$74,B281,気管支鏡!$K$30:$K$74)*((気管支鏡!$H$3-気管支鏡!$I$3)/気管支鏡!$H$3),0)</f>
        <v>0</v>
      </c>
      <c r="Y281" s="69">
        <f t="shared" si="72"/>
        <v>0</v>
      </c>
      <c r="Z281" s="68">
        <f>IFERROR(SUMIF(CT撮影装置!$C$30:$C$74,B281,CT撮影装置!$K$30:$K$74)*((CT撮影装置!$H$3-CT撮影装置!$I$3)/CT撮影装置!$H$3),0)</f>
        <v>0</v>
      </c>
      <c r="AA281" s="69">
        <f t="shared" si="87"/>
        <v>0</v>
      </c>
      <c r="AB281" s="68">
        <f>IFERROR(SUMIF(生体情報モニタ!$C$30:$C$74,B281,生体情報モニタ!$K$30:$K$74)*((生体情報モニタ!$H$3-生体情報モニタ!$I$3)/生体情報モニタ!$H$3),0)</f>
        <v>0</v>
      </c>
      <c r="AC281" s="69">
        <f t="shared" si="73"/>
        <v>0</v>
      </c>
      <c r="AD281" s="68">
        <f>IFERROR(SUMIF(分娩監視装置!$C$30:$C$74,B281,分娩監視装置!$K$30:$K$74)*((分娩監視装置!$H$3-分娩監視装置!$I$3)/分娩監視装置!$H$3),0)</f>
        <v>0</v>
      </c>
      <c r="AE281" s="69">
        <f t="shared" si="88"/>
        <v>0</v>
      </c>
      <c r="AF281" s="68">
        <f>IFERROR(SUMIF(新生児モニタ!$C$30:$C$74,B281,新生児モニタ!$K$30:$K$74)*((新生児モニタ!$H$3-新生児モニタ!$I$3)/新生児モニタ!$H$3),0)</f>
        <v>0</v>
      </c>
      <c r="AG281" s="69">
        <f t="shared" si="89"/>
        <v>0</v>
      </c>
    </row>
    <row r="282" spans="2:33">
      <c r="B282" s="65" t="s">
        <v>951</v>
      </c>
      <c r="C282" s="68">
        <f>IFERROR(SUMIF(初度設備!$C$30:$C$74,B282,初度設備!$N$30:$N$74)*((初度設備!$H$3-初度設備!$I$3)/初度設備!$H$3),0)</f>
        <v>0</v>
      </c>
      <c r="D282" s="69">
        <f t="shared" si="74"/>
        <v>0</v>
      </c>
      <c r="E282" s="68">
        <f>IFERROR(SUMIF(人工呼吸器!$C$30:$C$74,B282,人工呼吸器!$N$30:$N$74)*((人工呼吸器!$H$3-人工呼吸器!$I$3)/人工呼吸器!$H$3),0)</f>
        <v>0</v>
      </c>
      <c r="F282" s="69">
        <f t="shared" si="75"/>
        <v>0</v>
      </c>
      <c r="G282" s="69">
        <f t="shared" si="76"/>
        <v>0</v>
      </c>
      <c r="H282" s="69">
        <f t="shared" si="77"/>
        <v>0</v>
      </c>
      <c r="I282" s="68">
        <f>IFERROR(SUMIF(簡易陰圧装置!$C$30:$C$74,B282,簡易陰圧装置!$N$30:$N$74)*((簡易陰圧装置!$H$3-簡易陰圧装置!$I$3)/簡易陰圧装置!$H$3),0)</f>
        <v>0</v>
      </c>
      <c r="J282" s="69">
        <f t="shared" si="78"/>
        <v>0</v>
      </c>
      <c r="K282" s="68">
        <f>IFERROR(SUMIF(#REF!,B282,#REF!)*((#REF!-#REF!)/#REF!),0)</f>
        <v>0</v>
      </c>
      <c r="L282" s="69">
        <f t="shared" si="79"/>
        <v>0</v>
      </c>
      <c r="M282" s="68">
        <f>IFERROR(SUMIF(体外式膜型人工肺!$C$30:$C$74,B282,体外式膜型人工肺!$N$30:$N$74)*((体外式膜型人工肺!$H$3-体外式膜型人工肺!$I$3)/体外式膜型人工肺!$H$3),0)</f>
        <v>0</v>
      </c>
      <c r="N282" s="69">
        <f t="shared" si="80"/>
        <v>0</v>
      </c>
      <c r="O282" s="69">
        <f t="shared" si="81"/>
        <v>0</v>
      </c>
      <c r="P282" s="69">
        <f t="shared" si="82"/>
        <v>0</v>
      </c>
      <c r="Q282" s="68">
        <f>IFERROR(SUMIF(紫外線照射装置!$C$30:$C$74,B282,紫外線照射装置!$N$30:$N$74)*((紫外線照射装置!$H$3-紫外線照射装置!$I$3)/紫外線照射装置!$H$3),0)</f>
        <v>0</v>
      </c>
      <c r="R282" s="69">
        <f t="shared" si="83"/>
        <v>0</v>
      </c>
      <c r="S282" s="102">
        <f t="shared" si="84"/>
        <v>0</v>
      </c>
      <c r="T282" s="68">
        <f>IFERROR(SUMIF(超音波画像診断装置!$C$30:$C$74,B282,超音波画像診断装置!$K$30:$K$74)*((超音波画像診断装置!$H$3-超音波画像診断装置!$I$3)/超音波画像診断装置!$H$3),0)</f>
        <v>0</v>
      </c>
      <c r="U282" s="69">
        <f t="shared" si="85"/>
        <v>0</v>
      </c>
      <c r="V282" s="68">
        <f>IFERROR(SUMIF(血液浄化装置!$C$30:$C$74,B282,血液浄化装置!$K$30:$K$74)*((血液浄化装置!$H$3-血液浄化装置!$I$3)/血液浄化装置!$H$3),0)</f>
        <v>0</v>
      </c>
      <c r="W282" s="69">
        <f t="shared" si="86"/>
        <v>0</v>
      </c>
      <c r="X282" s="68">
        <f>IFERROR(SUMIF(気管支鏡!$C$30:$C$74,B282,気管支鏡!$K$30:$K$74)*((気管支鏡!$H$3-気管支鏡!$I$3)/気管支鏡!$H$3),0)</f>
        <v>0</v>
      </c>
      <c r="Y282" s="69">
        <f t="shared" si="72"/>
        <v>0</v>
      </c>
      <c r="Z282" s="68">
        <f>IFERROR(SUMIF(CT撮影装置!$C$30:$C$74,B282,CT撮影装置!$K$30:$K$74)*((CT撮影装置!$H$3-CT撮影装置!$I$3)/CT撮影装置!$H$3),0)</f>
        <v>0</v>
      </c>
      <c r="AA282" s="69">
        <f t="shared" si="87"/>
        <v>0</v>
      </c>
      <c r="AB282" s="68">
        <f>IFERROR(SUMIF(生体情報モニタ!$C$30:$C$74,B282,生体情報モニタ!$K$30:$K$74)*((生体情報モニタ!$H$3-生体情報モニタ!$I$3)/生体情報モニタ!$H$3),0)</f>
        <v>0</v>
      </c>
      <c r="AC282" s="69">
        <f t="shared" si="73"/>
        <v>0</v>
      </c>
      <c r="AD282" s="68">
        <f>IFERROR(SUMIF(分娩監視装置!$C$30:$C$74,B282,分娩監視装置!$K$30:$K$74)*((分娩監視装置!$H$3-分娩監視装置!$I$3)/分娩監視装置!$H$3),0)</f>
        <v>0</v>
      </c>
      <c r="AE282" s="69">
        <f t="shared" si="88"/>
        <v>0</v>
      </c>
      <c r="AF282" s="68">
        <f>IFERROR(SUMIF(新生児モニタ!$C$30:$C$74,B282,新生児モニタ!$K$30:$K$74)*((新生児モニタ!$H$3-新生児モニタ!$I$3)/新生児モニタ!$H$3),0)</f>
        <v>0</v>
      </c>
      <c r="AG282" s="69">
        <f t="shared" si="89"/>
        <v>0</v>
      </c>
    </row>
    <row r="283" spans="2:33">
      <c r="B283" s="65" t="s">
        <v>952</v>
      </c>
      <c r="C283" s="68">
        <f>IFERROR(SUMIF(初度設備!$C$30:$C$74,B283,初度設備!$N$30:$N$74)*((初度設備!$H$3-初度設備!$I$3)/初度設備!$H$3),0)</f>
        <v>0</v>
      </c>
      <c r="D283" s="69">
        <f t="shared" si="74"/>
        <v>0</v>
      </c>
      <c r="E283" s="68">
        <f>IFERROR(SUMIF(人工呼吸器!$C$30:$C$74,B283,人工呼吸器!$N$30:$N$74)*((人工呼吸器!$H$3-人工呼吸器!$I$3)/人工呼吸器!$H$3),0)</f>
        <v>0</v>
      </c>
      <c r="F283" s="69">
        <f t="shared" si="75"/>
        <v>0</v>
      </c>
      <c r="G283" s="69">
        <f t="shared" si="76"/>
        <v>0</v>
      </c>
      <c r="H283" s="69">
        <f t="shared" si="77"/>
        <v>0</v>
      </c>
      <c r="I283" s="68">
        <f>IFERROR(SUMIF(簡易陰圧装置!$C$30:$C$74,B283,簡易陰圧装置!$N$30:$N$74)*((簡易陰圧装置!$H$3-簡易陰圧装置!$I$3)/簡易陰圧装置!$H$3),0)</f>
        <v>0</v>
      </c>
      <c r="J283" s="69">
        <f t="shared" si="78"/>
        <v>0</v>
      </c>
      <c r="K283" s="68">
        <f>IFERROR(SUMIF(#REF!,B283,#REF!)*((#REF!-#REF!)/#REF!),0)</f>
        <v>0</v>
      </c>
      <c r="L283" s="69">
        <f t="shared" si="79"/>
        <v>0</v>
      </c>
      <c r="M283" s="68">
        <f>IFERROR(SUMIF(体外式膜型人工肺!$C$30:$C$74,B283,体外式膜型人工肺!$N$30:$N$74)*((体外式膜型人工肺!$H$3-体外式膜型人工肺!$I$3)/体外式膜型人工肺!$H$3),0)</f>
        <v>0</v>
      </c>
      <c r="N283" s="69">
        <f t="shared" si="80"/>
        <v>0</v>
      </c>
      <c r="O283" s="69">
        <f t="shared" si="81"/>
        <v>0</v>
      </c>
      <c r="P283" s="69">
        <f t="shared" si="82"/>
        <v>0</v>
      </c>
      <c r="Q283" s="68">
        <f>IFERROR(SUMIF(紫外線照射装置!$C$30:$C$74,B283,紫外線照射装置!$N$30:$N$74)*((紫外線照射装置!$H$3-紫外線照射装置!$I$3)/紫外線照射装置!$H$3),0)</f>
        <v>0</v>
      </c>
      <c r="R283" s="69">
        <f t="shared" si="83"/>
        <v>0</v>
      </c>
      <c r="S283" s="102">
        <f t="shared" si="84"/>
        <v>0</v>
      </c>
      <c r="T283" s="68">
        <f>IFERROR(SUMIF(超音波画像診断装置!$C$30:$C$74,B283,超音波画像診断装置!$K$30:$K$74)*((超音波画像診断装置!$H$3-超音波画像診断装置!$I$3)/超音波画像診断装置!$H$3),0)</f>
        <v>0</v>
      </c>
      <c r="U283" s="69">
        <f t="shared" si="85"/>
        <v>0</v>
      </c>
      <c r="V283" s="68">
        <f>IFERROR(SUMIF(血液浄化装置!$C$30:$C$74,B283,血液浄化装置!$K$30:$K$74)*((血液浄化装置!$H$3-血液浄化装置!$I$3)/血液浄化装置!$H$3),0)</f>
        <v>0</v>
      </c>
      <c r="W283" s="69">
        <f t="shared" si="86"/>
        <v>0</v>
      </c>
      <c r="X283" s="68">
        <f>IFERROR(SUMIF(気管支鏡!$C$30:$C$74,B283,気管支鏡!$K$30:$K$74)*((気管支鏡!$H$3-気管支鏡!$I$3)/気管支鏡!$H$3),0)</f>
        <v>0</v>
      </c>
      <c r="Y283" s="69">
        <f t="shared" si="72"/>
        <v>0</v>
      </c>
      <c r="Z283" s="68">
        <f>IFERROR(SUMIF(CT撮影装置!$C$30:$C$74,B283,CT撮影装置!$K$30:$K$74)*((CT撮影装置!$H$3-CT撮影装置!$I$3)/CT撮影装置!$H$3),0)</f>
        <v>0</v>
      </c>
      <c r="AA283" s="69">
        <f t="shared" si="87"/>
        <v>0</v>
      </c>
      <c r="AB283" s="68">
        <f>IFERROR(SUMIF(生体情報モニタ!$C$30:$C$74,B283,生体情報モニタ!$K$30:$K$74)*((生体情報モニタ!$H$3-生体情報モニタ!$I$3)/生体情報モニタ!$H$3),0)</f>
        <v>0</v>
      </c>
      <c r="AC283" s="69">
        <f t="shared" si="73"/>
        <v>0</v>
      </c>
      <c r="AD283" s="68">
        <f>IFERROR(SUMIF(分娩監視装置!$C$30:$C$74,B283,分娩監視装置!$K$30:$K$74)*((分娩監視装置!$H$3-分娩監視装置!$I$3)/分娩監視装置!$H$3),0)</f>
        <v>0</v>
      </c>
      <c r="AE283" s="69">
        <f t="shared" si="88"/>
        <v>0</v>
      </c>
      <c r="AF283" s="68">
        <f>IFERROR(SUMIF(新生児モニタ!$C$30:$C$74,B283,新生児モニタ!$K$30:$K$74)*((新生児モニタ!$H$3-新生児モニタ!$I$3)/新生児モニタ!$H$3),0)</f>
        <v>0</v>
      </c>
      <c r="AG283" s="69">
        <f t="shared" si="89"/>
        <v>0</v>
      </c>
    </row>
    <row r="284" spans="2:33">
      <c r="B284" s="65" t="s">
        <v>953</v>
      </c>
      <c r="C284" s="68">
        <f>IFERROR(SUMIF(初度設備!$C$30:$C$74,B284,初度設備!$N$30:$N$74)*((初度設備!$H$3-初度設備!$I$3)/初度設備!$H$3),0)</f>
        <v>0</v>
      </c>
      <c r="D284" s="69">
        <f t="shared" si="74"/>
        <v>0</v>
      </c>
      <c r="E284" s="68">
        <f>IFERROR(SUMIF(人工呼吸器!$C$30:$C$74,B284,人工呼吸器!$N$30:$N$74)*((人工呼吸器!$H$3-人工呼吸器!$I$3)/人工呼吸器!$H$3),0)</f>
        <v>0</v>
      </c>
      <c r="F284" s="69">
        <f t="shared" si="75"/>
        <v>0</v>
      </c>
      <c r="G284" s="69">
        <f t="shared" si="76"/>
        <v>0</v>
      </c>
      <c r="H284" s="69">
        <f t="shared" si="77"/>
        <v>0</v>
      </c>
      <c r="I284" s="68">
        <f>IFERROR(SUMIF(簡易陰圧装置!$C$30:$C$74,B284,簡易陰圧装置!$N$30:$N$74)*((簡易陰圧装置!$H$3-簡易陰圧装置!$I$3)/簡易陰圧装置!$H$3),0)</f>
        <v>0</v>
      </c>
      <c r="J284" s="69">
        <f t="shared" si="78"/>
        <v>0</v>
      </c>
      <c r="K284" s="68">
        <f>IFERROR(SUMIF(#REF!,B284,#REF!)*((#REF!-#REF!)/#REF!),0)</f>
        <v>0</v>
      </c>
      <c r="L284" s="69">
        <f t="shared" si="79"/>
        <v>0</v>
      </c>
      <c r="M284" s="68">
        <f>IFERROR(SUMIF(体外式膜型人工肺!$C$30:$C$74,B284,体外式膜型人工肺!$N$30:$N$74)*((体外式膜型人工肺!$H$3-体外式膜型人工肺!$I$3)/体外式膜型人工肺!$H$3),0)</f>
        <v>0</v>
      </c>
      <c r="N284" s="69">
        <f t="shared" si="80"/>
        <v>0</v>
      </c>
      <c r="O284" s="69">
        <f t="shared" si="81"/>
        <v>0</v>
      </c>
      <c r="P284" s="69">
        <f t="shared" si="82"/>
        <v>0</v>
      </c>
      <c r="Q284" s="68">
        <f>IFERROR(SUMIF(紫外線照射装置!$C$30:$C$74,B284,紫外線照射装置!$N$30:$N$74)*((紫外線照射装置!$H$3-紫外線照射装置!$I$3)/紫外線照射装置!$H$3),0)</f>
        <v>0</v>
      </c>
      <c r="R284" s="69">
        <f t="shared" si="83"/>
        <v>0</v>
      </c>
      <c r="S284" s="102">
        <f t="shared" si="84"/>
        <v>0</v>
      </c>
      <c r="T284" s="68">
        <f>IFERROR(SUMIF(超音波画像診断装置!$C$30:$C$74,B284,超音波画像診断装置!$K$30:$K$74)*((超音波画像診断装置!$H$3-超音波画像診断装置!$I$3)/超音波画像診断装置!$H$3),0)</f>
        <v>0</v>
      </c>
      <c r="U284" s="69">
        <f t="shared" si="85"/>
        <v>0</v>
      </c>
      <c r="V284" s="68">
        <f>IFERROR(SUMIF(血液浄化装置!$C$30:$C$74,B284,血液浄化装置!$K$30:$K$74)*((血液浄化装置!$H$3-血液浄化装置!$I$3)/血液浄化装置!$H$3),0)</f>
        <v>0</v>
      </c>
      <c r="W284" s="69">
        <f t="shared" si="86"/>
        <v>0</v>
      </c>
      <c r="X284" s="68">
        <f>IFERROR(SUMIF(気管支鏡!$C$30:$C$74,B284,気管支鏡!$K$30:$K$74)*((気管支鏡!$H$3-気管支鏡!$I$3)/気管支鏡!$H$3),0)</f>
        <v>0</v>
      </c>
      <c r="Y284" s="69">
        <f t="shared" si="72"/>
        <v>0</v>
      </c>
      <c r="Z284" s="68">
        <f>IFERROR(SUMIF(CT撮影装置!$C$30:$C$74,B284,CT撮影装置!$K$30:$K$74)*((CT撮影装置!$H$3-CT撮影装置!$I$3)/CT撮影装置!$H$3),0)</f>
        <v>0</v>
      </c>
      <c r="AA284" s="69">
        <f t="shared" si="87"/>
        <v>0</v>
      </c>
      <c r="AB284" s="68">
        <f>IFERROR(SUMIF(生体情報モニタ!$C$30:$C$74,B284,生体情報モニタ!$K$30:$K$74)*((生体情報モニタ!$H$3-生体情報モニタ!$I$3)/生体情報モニタ!$H$3),0)</f>
        <v>0</v>
      </c>
      <c r="AC284" s="69">
        <f t="shared" si="73"/>
        <v>0</v>
      </c>
      <c r="AD284" s="68">
        <f>IFERROR(SUMIF(分娩監視装置!$C$30:$C$74,B284,分娩監視装置!$K$30:$K$74)*((分娩監視装置!$H$3-分娩監視装置!$I$3)/分娩監視装置!$H$3),0)</f>
        <v>0</v>
      </c>
      <c r="AE284" s="69">
        <f t="shared" si="88"/>
        <v>0</v>
      </c>
      <c r="AF284" s="68">
        <f>IFERROR(SUMIF(新生児モニタ!$C$30:$C$74,B284,新生児モニタ!$K$30:$K$74)*((新生児モニタ!$H$3-新生児モニタ!$I$3)/新生児モニタ!$H$3),0)</f>
        <v>0</v>
      </c>
      <c r="AG284" s="69">
        <f t="shared" si="89"/>
        <v>0</v>
      </c>
    </row>
    <row r="285" spans="2:33">
      <c r="B285" s="65" t="s">
        <v>954</v>
      </c>
      <c r="C285" s="68">
        <f>IFERROR(SUMIF(初度設備!$C$30:$C$74,B285,初度設備!$N$30:$N$74)*((初度設備!$H$3-初度設備!$I$3)/初度設備!$H$3),0)</f>
        <v>0</v>
      </c>
      <c r="D285" s="69">
        <f t="shared" si="74"/>
        <v>0</v>
      </c>
      <c r="E285" s="68">
        <f>IFERROR(SUMIF(人工呼吸器!$C$30:$C$74,B285,人工呼吸器!$N$30:$N$74)*((人工呼吸器!$H$3-人工呼吸器!$I$3)/人工呼吸器!$H$3),0)</f>
        <v>0</v>
      </c>
      <c r="F285" s="69">
        <f t="shared" si="75"/>
        <v>0</v>
      </c>
      <c r="G285" s="69">
        <f t="shared" si="76"/>
        <v>0</v>
      </c>
      <c r="H285" s="69">
        <f t="shared" si="77"/>
        <v>0</v>
      </c>
      <c r="I285" s="68">
        <f>IFERROR(SUMIF(簡易陰圧装置!$C$30:$C$74,B285,簡易陰圧装置!$N$30:$N$74)*((簡易陰圧装置!$H$3-簡易陰圧装置!$I$3)/簡易陰圧装置!$H$3),0)</f>
        <v>0</v>
      </c>
      <c r="J285" s="69">
        <f t="shared" si="78"/>
        <v>0</v>
      </c>
      <c r="K285" s="68">
        <f>IFERROR(SUMIF(#REF!,B285,#REF!)*((#REF!-#REF!)/#REF!),0)</f>
        <v>0</v>
      </c>
      <c r="L285" s="69">
        <f t="shared" si="79"/>
        <v>0</v>
      </c>
      <c r="M285" s="68">
        <f>IFERROR(SUMIF(体外式膜型人工肺!$C$30:$C$74,B285,体外式膜型人工肺!$N$30:$N$74)*((体外式膜型人工肺!$H$3-体外式膜型人工肺!$I$3)/体外式膜型人工肺!$H$3),0)</f>
        <v>0</v>
      </c>
      <c r="N285" s="69">
        <f t="shared" si="80"/>
        <v>0</v>
      </c>
      <c r="O285" s="69">
        <f t="shared" si="81"/>
        <v>0</v>
      </c>
      <c r="P285" s="69">
        <f t="shared" si="82"/>
        <v>0</v>
      </c>
      <c r="Q285" s="68">
        <f>IFERROR(SUMIF(紫外線照射装置!$C$30:$C$74,B285,紫外線照射装置!$N$30:$N$74)*((紫外線照射装置!$H$3-紫外線照射装置!$I$3)/紫外線照射装置!$H$3),0)</f>
        <v>0</v>
      </c>
      <c r="R285" s="69">
        <f t="shared" si="83"/>
        <v>0</v>
      </c>
      <c r="S285" s="102">
        <f t="shared" si="84"/>
        <v>0</v>
      </c>
      <c r="T285" s="68">
        <f>IFERROR(SUMIF(超音波画像診断装置!$C$30:$C$74,B285,超音波画像診断装置!$K$30:$K$74)*((超音波画像診断装置!$H$3-超音波画像診断装置!$I$3)/超音波画像診断装置!$H$3),0)</f>
        <v>0</v>
      </c>
      <c r="U285" s="69">
        <f t="shared" si="85"/>
        <v>0</v>
      </c>
      <c r="V285" s="68">
        <f>IFERROR(SUMIF(血液浄化装置!$C$30:$C$74,B285,血液浄化装置!$K$30:$K$74)*((血液浄化装置!$H$3-血液浄化装置!$I$3)/血液浄化装置!$H$3),0)</f>
        <v>0</v>
      </c>
      <c r="W285" s="69">
        <f t="shared" si="86"/>
        <v>0</v>
      </c>
      <c r="X285" s="68">
        <f>IFERROR(SUMIF(気管支鏡!$C$30:$C$74,B285,気管支鏡!$K$30:$K$74)*((気管支鏡!$H$3-気管支鏡!$I$3)/気管支鏡!$H$3),0)</f>
        <v>0</v>
      </c>
      <c r="Y285" s="69">
        <f t="shared" si="72"/>
        <v>0</v>
      </c>
      <c r="Z285" s="68">
        <f>IFERROR(SUMIF(CT撮影装置!$C$30:$C$74,B285,CT撮影装置!$K$30:$K$74)*((CT撮影装置!$H$3-CT撮影装置!$I$3)/CT撮影装置!$H$3),0)</f>
        <v>0</v>
      </c>
      <c r="AA285" s="69">
        <f t="shared" si="87"/>
        <v>0</v>
      </c>
      <c r="AB285" s="68">
        <f>IFERROR(SUMIF(生体情報モニタ!$C$30:$C$74,B285,生体情報モニタ!$K$30:$K$74)*((生体情報モニタ!$H$3-生体情報モニタ!$I$3)/生体情報モニタ!$H$3),0)</f>
        <v>0</v>
      </c>
      <c r="AC285" s="69">
        <f t="shared" si="73"/>
        <v>0</v>
      </c>
      <c r="AD285" s="68">
        <f>IFERROR(SUMIF(分娩監視装置!$C$30:$C$74,B285,分娩監視装置!$K$30:$K$74)*((分娩監視装置!$H$3-分娩監視装置!$I$3)/分娩監視装置!$H$3),0)</f>
        <v>0</v>
      </c>
      <c r="AE285" s="69">
        <f t="shared" si="88"/>
        <v>0</v>
      </c>
      <c r="AF285" s="68">
        <f>IFERROR(SUMIF(新生児モニタ!$C$30:$C$74,B285,新生児モニタ!$K$30:$K$74)*((新生児モニタ!$H$3-新生児モニタ!$I$3)/新生児モニタ!$H$3),0)</f>
        <v>0</v>
      </c>
      <c r="AG285" s="69">
        <f t="shared" si="89"/>
        <v>0</v>
      </c>
    </row>
    <row r="286" spans="2:33">
      <c r="B286" s="65" t="s">
        <v>955</v>
      </c>
      <c r="C286" s="68">
        <f>IFERROR(SUMIF(初度設備!$C$30:$C$74,B286,初度設備!$N$30:$N$74)*((初度設備!$H$3-初度設備!$I$3)/初度設備!$H$3),0)</f>
        <v>0</v>
      </c>
      <c r="D286" s="69">
        <f t="shared" si="74"/>
        <v>0</v>
      </c>
      <c r="E286" s="68">
        <f>IFERROR(SUMIF(人工呼吸器!$C$30:$C$74,B286,人工呼吸器!$N$30:$N$74)*((人工呼吸器!$H$3-人工呼吸器!$I$3)/人工呼吸器!$H$3),0)</f>
        <v>0</v>
      </c>
      <c r="F286" s="69">
        <f t="shared" si="75"/>
        <v>0</v>
      </c>
      <c r="G286" s="69">
        <f t="shared" si="76"/>
        <v>0</v>
      </c>
      <c r="H286" s="69">
        <f t="shared" si="77"/>
        <v>0</v>
      </c>
      <c r="I286" s="68">
        <f>IFERROR(SUMIF(簡易陰圧装置!$C$30:$C$74,B286,簡易陰圧装置!$N$30:$N$74)*((簡易陰圧装置!$H$3-簡易陰圧装置!$I$3)/簡易陰圧装置!$H$3),0)</f>
        <v>0</v>
      </c>
      <c r="J286" s="69">
        <f t="shared" si="78"/>
        <v>0</v>
      </c>
      <c r="K286" s="68">
        <f>IFERROR(SUMIF(#REF!,B286,#REF!)*((#REF!-#REF!)/#REF!),0)</f>
        <v>0</v>
      </c>
      <c r="L286" s="69">
        <f t="shared" si="79"/>
        <v>0</v>
      </c>
      <c r="M286" s="68">
        <f>IFERROR(SUMIF(体外式膜型人工肺!$C$30:$C$74,B286,体外式膜型人工肺!$N$30:$N$74)*((体外式膜型人工肺!$H$3-体外式膜型人工肺!$I$3)/体外式膜型人工肺!$H$3),0)</f>
        <v>0</v>
      </c>
      <c r="N286" s="69">
        <f t="shared" si="80"/>
        <v>0</v>
      </c>
      <c r="O286" s="69">
        <f t="shared" si="81"/>
        <v>0</v>
      </c>
      <c r="P286" s="69">
        <f t="shared" si="82"/>
        <v>0</v>
      </c>
      <c r="Q286" s="68">
        <f>IFERROR(SUMIF(紫外線照射装置!$C$30:$C$74,B286,紫外線照射装置!$N$30:$N$74)*((紫外線照射装置!$H$3-紫外線照射装置!$I$3)/紫外線照射装置!$H$3),0)</f>
        <v>0</v>
      </c>
      <c r="R286" s="69">
        <f t="shared" si="83"/>
        <v>0</v>
      </c>
      <c r="S286" s="102">
        <f t="shared" si="84"/>
        <v>0</v>
      </c>
      <c r="T286" s="68">
        <f>IFERROR(SUMIF(超音波画像診断装置!$C$30:$C$74,B286,超音波画像診断装置!$K$30:$K$74)*((超音波画像診断装置!$H$3-超音波画像診断装置!$I$3)/超音波画像診断装置!$H$3),0)</f>
        <v>0</v>
      </c>
      <c r="U286" s="69">
        <f t="shared" si="85"/>
        <v>0</v>
      </c>
      <c r="V286" s="68">
        <f>IFERROR(SUMIF(血液浄化装置!$C$30:$C$74,B286,血液浄化装置!$K$30:$K$74)*((血液浄化装置!$H$3-血液浄化装置!$I$3)/血液浄化装置!$H$3),0)</f>
        <v>0</v>
      </c>
      <c r="W286" s="69">
        <f t="shared" si="86"/>
        <v>0</v>
      </c>
      <c r="X286" s="68">
        <f>IFERROR(SUMIF(気管支鏡!$C$30:$C$74,B286,気管支鏡!$K$30:$K$74)*((気管支鏡!$H$3-気管支鏡!$I$3)/気管支鏡!$H$3),0)</f>
        <v>0</v>
      </c>
      <c r="Y286" s="69">
        <f t="shared" si="72"/>
        <v>0</v>
      </c>
      <c r="Z286" s="68">
        <f>IFERROR(SUMIF(CT撮影装置!$C$30:$C$74,B286,CT撮影装置!$K$30:$K$74)*((CT撮影装置!$H$3-CT撮影装置!$I$3)/CT撮影装置!$H$3),0)</f>
        <v>0</v>
      </c>
      <c r="AA286" s="69">
        <f t="shared" si="87"/>
        <v>0</v>
      </c>
      <c r="AB286" s="68">
        <f>IFERROR(SUMIF(生体情報モニタ!$C$30:$C$74,B286,生体情報モニタ!$K$30:$K$74)*((生体情報モニタ!$H$3-生体情報モニタ!$I$3)/生体情報モニタ!$H$3),0)</f>
        <v>0</v>
      </c>
      <c r="AC286" s="69">
        <f t="shared" si="73"/>
        <v>0</v>
      </c>
      <c r="AD286" s="68">
        <f>IFERROR(SUMIF(分娩監視装置!$C$30:$C$74,B286,分娩監視装置!$K$30:$K$74)*((分娩監視装置!$H$3-分娩監視装置!$I$3)/分娩監視装置!$H$3),0)</f>
        <v>0</v>
      </c>
      <c r="AE286" s="69">
        <f t="shared" si="88"/>
        <v>0</v>
      </c>
      <c r="AF286" s="68">
        <f>IFERROR(SUMIF(新生児モニタ!$C$30:$C$74,B286,新生児モニタ!$K$30:$K$74)*((新生児モニタ!$H$3-新生児モニタ!$I$3)/新生児モニタ!$H$3),0)</f>
        <v>0</v>
      </c>
      <c r="AG286" s="69">
        <f t="shared" si="89"/>
        <v>0</v>
      </c>
    </row>
    <row r="287" spans="2:33">
      <c r="B287" s="65" t="s">
        <v>956</v>
      </c>
      <c r="C287" s="68">
        <f>IFERROR(SUMIF(初度設備!$C$30:$C$74,B287,初度設備!$N$30:$N$74)*((初度設備!$H$3-初度設備!$I$3)/初度設備!$H$3),0)</f>
        <v>0</v>
      </c>
      <c r="D287" s="69">
        <f t="shared" si="74"/>
        <v>0</v>
      </c>
      <c r="E287" s="68">
        <f>IFERROR(SUMIF(人工呼吸器!$C$30:$C$74,B287,人工呼吸器!$N$30:$N$74)*((人工呼吸器!$H$3-人工呼吸器!$I$3)/人工呼吸器!$H$3),0)</f>
        <v>0</v>
      </c>
      <c r="F287" s="69">
        <f t="shared" si="75"/>
        <v>0</v>
      </c>
      <c r="G287" s="69">
        <f t="shared" si="76"/>
        <v>0</v>
      </c>
      <c r="H287" s="69">
        <f t="shared" si="77"/>
        <v>0</v>
      </c>
      <c r="I287" s="68">
        <f>IFERROR(SUMIF(簡易陰圧装置!$C$30:$C$74,B287,簡易陰圧装置!$N$30:$N$74)*((簡易陰圧装置!$H$3-簡易陰圧装置!$I$3)/簡易陰圧装置!$H$3),0)</f>
        <v>0</v>
      </c>
      <c r="J287" s="69">
        <f t="shared" si="78"/>
        <v>0</v>
      </c>
      <c r="K287" s="68">
        <f>IFERROR(SUMIF(#REF!,B287,#REF!)*((#REF!-#REF!)/#REF!),0)</f>
        <v>0</v>
      </c>
      <c r="L287" s="69">
        <f t="shared" si="79"/>
        <v>0</v>
      </c>
      <c r="M287" s="68">
        <f>IFERROR(SUMIF(体外式膜型人工肺!$C$30:$C$74,B287,体外式膜型人工肺!$N$30:$N$74)*((体外式膜型人工肺!$H$3-体外式膜型人工肺!$I$3)/体外式膜型人工肺!$H$3),0)</f>
        <v>0</v>
      </c>
      <c r="N287" s="69">
        <f t="shared" si="80"/>
        <v>0</v>
      </c>
      <c r="O287" s="69">
        <f t="shared" si="81"/>
        <v>0</v>
      </c>
      <c r="P287" s="69">
        <f t="shared" si="82"/>
        <v>0</v>
      </c>
      <c r="Q287" s="68">
        <f>IFERROR(SUMIF(紫外線照射装置!$C$30:$C$74,B287,紫外線照射装置!$N$30:$N$74)*((紫外線照射装置!$H$3-紫外線照射装置!$I$3)/紫外線照射装置!$H$3),0)</f>
        <v>0</v>
      </c>
      <c r="R287" s="69">
        <f t="shared" si="83"/>
        <v>0</v>
      </c>
      <c r="S287" s="102">
        <f t="shared" si="84"/>
        <v>0</v>
      </c>
      <c r="T287" s="68">
        <f>IFERROR(SUMIF(超音波画像診断装置!$C$30:$C$74,B287,超音波画像診断装置!$K$30:$K$74)*((超音波画像診断装置!$H$3-超音波画像診断装置!$I$3)/超音波画像診断装置!$H$3),0)</f>
        <v>0</v>
      </c>
      <c r="U287" s="69">
        <f t="shared" si="85"/>
        <v>0</v>
      </c>
      <c r="V287" s="68">
        <f>IFERROR(SUMIF(血液浄化装置!$C$30:$C$74,B287,血液浄化装置!$K$30:$K$74)*((血液浄化装置!$H$3-血液浄化装置!$I$3)/血液浄化装置!$H$3),0)</f>
        <v>0</v>
      </c>
      <c r="W287" s="69">
        <f t="shared" si="86"/>
        <v>0</v>
      </c>
      <c r="X287" s="68">
        <f>IFERROR(SUMIF(気管支鏡!$C$30:$C$74,B287,気管支鏡!$K$30:$K$74)*((気管支鏡!$H$3-気管支鏡!$I$3)/気管支鏡!$H$3),0)</f>
        <v>0</v>
      </c>
      <c r="Y287" s="69">
        <f t="shared" si="72"/>
        <v>0</v>
      </c>
      <c r="Z287" s="68">
        <f>IFERROR(SUMIF(CT撮影装置!$C$30:$C$74,B287,CT撮影装置!$K$30:$K$74)*((CT撮影装置!$H$3-CT撮影装置!$I$3)/CT撮影装置!$H$3),0)</f>
        <v>0</v>
      </c>
      <c r="AA287" s="69">
        <f t="shared" si="87"/>
        <v>0</v>
      </c>
      <c r="AB287" s="68">
        <f>IFERROR(SUMIF(生体情報モニタ!$C$30:$C$74,B287,生体情報モニタ!$K$30:$K$74)*((生体情報モニタ!$H$3-生体情報モニタ!$I$3)/生体情報モニタ!$H$3),0)</f>
        <v>0</v>
      </c>
      <c r="AC287" s="69">
        <f t="shared" si="73"/>
        <v>0</v>
      </c>
      <c r="AD287" s="68">
        <f>IFERROR(SUMIF(分娩監視装置!$C$30:$C$74,B287,分娩監視装置!$K$30:$K$74)*((分娩監視装置!$H$3-分娩監視装置!$I$3)/分娩監視装置!$H$3),0)</f>
        <v>0</v>
      </c>
      <c r="AE287" s="69">
        <f t="shared" si="88"/>
        <v>0</v>
      </c>
      <c r="AF287" s="68">
        <f>IFERROR(SUMIF(新生児モニタ!$C$30:$C$74,B287,新生児モニタ!$K$30:$K$74)*((新生児モニタ!$H$3-新生児モニタ!$I$3)/新生児モニタ!$H$3),0)</f>
        <v>0</v>
      </c>
      <c r="AG287" s="69">
        <f t="shared" si="89"/>
        <v>0</v>
      </c>
    </row>
    <row r="288" spans="2:33">
      <c r="B288" s="65" t="s">
        <v>957</v>
      </c>
      <c r="C288" s="68">
        <f>IFERROR(SUMIF(初度設備!$C$30:$C$74,B288,初度設備!$N$30:$N$74)*((初度設備!$H$3-初度設備!$I$3)/初度設備!$H$3),0)</f>
        <v>0</v>
      </c>
      <c r="D288" s="69">
        <f t="shared" si="74"/>
        <v>0</v>
      </c>
      <c r="E288" s="68">
        <f>IFERROR(SUMIF(人工呼吸器!$C$30:$C$74,B288,人工呼吸器!$N$30:$N$74)*((人工呼吸器!$H$3-人工呼吸器!$I$3)/人工呼吸器!$H$3),0)</f>
        <v>0</v>
      </c>
      <c r="F288" s="69">
        <f t="shared" si="75"/>
        <v>0</v>
      </c>
      <c r="G288" s="69">
        <f t="shared" si="76"/>
        <v>0</v>
      </c>
      <c r="H288" s="69">
        <f t="shared" si="77"/>
        <v>0</v>
      </c>
      <c r="I288" s="68">
        <f>IFERROR(SUMIF(簡易陰圧装置!$C$30:$C$74,B288,簡易陰圧装置!$N$30:$N$74)*((簡易陰圧装置!$H$3-簡易陰圧装置!$I$3)/簡易陰圧装置!$H$3),0)</f>
        <v>0</v>
      </c>
      <c r="J288" s="69">
        <f t="shared" si="78"/>
        <v>0</v>
      </c>
      <c r="K288" s="68">
        <f>IFERROR(SUMIF(#REF!,B288,#REF!)*((#REF!-#REF!)/#REF!),0)</f>
        <v>0</v>
      </c>
      <c r="L288" s="69">
        <f t="shared" si="79"/>
        <v>0</v>
      </c>
      <c r="M288" s="68">
        <f>IFERROR(SUMIF(体外式膜型人工肺!$C$30:$C$74,B288,体外式膜型人工肺!$N$30:$N$74)*((体外式膜型人工肺!$H$3-体外式膜型人工肺!$I$3)/体外式膜型人工肺!$H$3),0)</f>
        <v>0</v>
      </c>
      <c r="N288" s="69">
        <f t="shared" si="80"/>
        <v>0</v>
      </c>
      <c r="O288" s="69">
        <f t="shared" si="81"/>
        <v>0</v>
      </c>
      <c r="P288" s="69">
        <f t="shared" si="82"/>
        <v>0</v>
      </c>
      <c r="Q288" s="68">
        <f>IFERROR(SUMIF(紫外線照射装置!$C$30:$C$74,B288,紫外線照射装置!$N$30:$N$74)*((紫外線照射装置!$H$3-紫外線照射装置!$I$3)/紫外線照射装置!$H$3),0)</f>
        <v>0</v>
      </c>
      <c r="R288" s="69">
        <f t="shared" si="83"/>
        <v>0</v>
      </c>
      <c r="S288" s="102">
        <f t="shared" si="84"/>
        <v>0</v>
      </c>
      <c r="T288" s="68">
        <f>IFERROR(SUMIF(超音波画像診断装置!$C$30:$C$74,B288,超音波画像診断装置!$K$30:$K$74)*((超音波画像診断装置!$H$3-超音波画像診断装置!$I$3)/超音波画像診断装置!$H$3),0)</f>
        <v>0</v>
      </c>
      <c r="U288" s="69">
        <f t="shared" si="85"/>
        <v>0</v>
      </c>
      <c r="V288" s="68">
        <f>IFERROR(SUMIF(血液浄化装置!$C$30:$C$74,B288,血液浄化装置!$K$30:$K$74)*((血液浄化装置!$H$3-血液浄化装置!$I$3)/血液浄化装置!$H$3),0)</f>
        <v>0</v>
      </c>
      <c r="W288" s="69">
        <f t="shared" si="86"/>
        <v>0</v>
      </c>
      <c r="X288" s="68">
        <f>IFERROR(SUMIF(気管支鏡!$C$30:$C$74,B288,気管支鏡!$K$30:$K$74)*((気管支鏡!$H$3-気管支鏡!$I$3)/気管支鏡!$H$3),0)</f>
        <v>0</v>
      </c>
      <c r="Y288" s="69">
        <f t="shared" si="72"/>
        <v>0</v>
      </c>
      <c r="Z288" s="68">
        <f>IFERROR(SUMIF(CT撮影装置!$C$30:$C$74,B288,CT撮影装置!$K$30:$K$74)*((CT撮影装置!$H$3-CT撮影装置!$I$3)/CT撮影装置!$H$3),0)</f>
        <v>0</v>
      </c>
      <c r="AA288" s="69">
        <f t="shared" si="87"/>
        <v>0</v>
      </c>
      <c r="AB288" s="68">
        <f>IFERROR(SUMIF(生体情報モニタ!$C$30:$C$74,B288,生体情報モニタ!$K$30:$K$74)*((生体情報モニタ!$H$3-生体情報モニタ!$I$3)/生体情報モニタ!$H$3),0)</f>
        <v>0</v>
      </c>
      <c r="AC288" s="69">
        <f t="shared" si="73"/>
        <v>0</v>
      </c>
      <c r="AD288" s="68">
        <f>IFERROR(SUMIF(分娩監視装置!$C$30:$C$74,B288,分娩監視装置!$K$30:$K$74)*((分娩監視装置!$H$3-分娩監視装置!$I$3)/分娩監視装置!$H$3),0)</f>
        <v>0</v>
      </c>
      <c r="AE288" s="69">
        <f t="shared" si="88"/>
        <v>0</v>
      </c>
      <c r="AF288" s="68">
        <f>IFERROR(SUMIF(新生児モニタ!$C$30:$C$74,B288,新生児モニタ!$K$30:$K$74)*((新生児モニタ!$H$3-新生児モニタ!$I$3)/新生児モニタ!$H$3),0)</f>
        <v>0</v>
      </c>
      <c r="AG288" s="69">
        <f t="shared" si="89"/>
        <v>0</v>
      </c>
    </row>
    <row r="289" spans="2:33">
      <c r="B289" s="65" t="s">
        <v>958</v>
      </c>
      <c r="C289" s="68">
        <f>IFERROR(SUMIF(初度設備!$C$30:$C$74,B289,初度設備!$N$30:$N$74)*((初度設備!$H$3-初度設備!$I$3)/初度設備!$H$3),0)</f>
        <v>0</v>
      </c>
      <c r="D289" s="69">
        <f t="shared" si="74"/>
        <v>0</v>
      </c>
      <c r="E289" s="68">
        <f>IFERROR(SUMIF(人工呼吸器!$C$30:$C$74,B289,人工呼吸器!$N$30:$N$74)*((人工呼吸器!$H$3-人工呼吸器!$I$3)/人工呼吸器!$H$3),0)</f>
        <v>0</v>
      </c>
      <c r="F289" s="69">
        <f t="shared" si="75"/>
        <v>0</v>
      </c>
      <c r="G289" s="69">
        <f t="shared" si="76"/>
        <v>0</v>
      </c>
      <c r="H289" s="69">
        <f t="shared" si="77"/>
        <v>0</v>
      </c>
      <c r="I289" s="68">
        <f>IFERROR(SUMIF(簡易陰圧装置!$C$30:$C$74,B289,簡易陰圧装置!$N$30:$N$74)*((簡易陰圧装置!$H$3-簡易陰圧装置!$I$3)/簡易陰圧装置!$H$3),0)</f>
        <v>0</v>
      </c>
      <c r="J289" s="69">
        <f t="shared" si="78"/>
        <v>0</v>
      </c>
      <c r="K289" s="68">
        <f>IFERROR(SUMIF(#REF!,B289,#REF!)*((#REF!-#REF!)/#REF!),0)</f>
        <v>0</v>
      </c>
      <c r="L289" s="69">
        <f t="shared" si="79"/>
        <v>0</v>
      </c>
      <c r="M289" s="68">
        <f>IFERROR(SUMIF(体外式膜型人工肺!$C$30:$C$74,B289,体外式膜型人工肺!$N$30:$N$74)*((体外式膜型人工肺!$H$3-体外式膜型人工肺!$I$3)/体外式膜型人工肺!$H$3),0)</f>
        <v>0</v>
      </c>
      <c r="N289" s="69">
        <f t="shared" si="80"/>
        <v>0</v>
      </c>
      <c r="O289" s="69">
        <f t="shared" si="81"/>
        <v>0</v>
      </c>
      <c r="P289" s="69">
        <f t="shared" si="82"/>
        <v>0</v>
      </c>
      <c r="Q289" s="68">
        <f>IFERROR(SUMIF(紫外線照射装置!$C$30:$C$74,B289,紫外線照射装置!$N$30:$N$74)*((紫外線照射装置!$H$3-紫外線照射装置!$I$3)/紫外線照射装置!$H$3),0)</f>
        <v>0</v>
      </c>
      <c r="R289" s="69">
        <f t="shared" si="83"/>
        <v>0</v>
      </c>
      <c r="S289" s="102">
        <f t="shared" si="84"/>
        <v>0</v>
      </c>
      <c r="T289" s="68">
        <f>IFERROR(SUMIF(超音波画像診断装置!$C$30:$C$74,B289,超音波画像診断装置!$K$30:$K$74)*((超音波画像診断装置!$H$3-超音波画像診断装置!$I$3)/超音波画像診断装置!$H$3),0)</f>
        <v>0</v>
      </c>
      <c r="U289" s="69">
        <f t="shared" si="85"/>
        <v>0</v>
      </c>
      <c r="V289" s="68">
        <f>IFERROR(SUMIF(血液浄化装置!$C$30:$C$74,B289,血液浄化装置!$K$30:$K$74)*((血液浄化装置!$H$3-血液浄化装置!$I$3)/血液浄化装置!$H$3),0)</f>
        <v>0</v>
      </c>
      <c r="W289" s="69">
        <f t="shared" si="86"/>
        <v>0</v>
      </c>
      <c r="X289" s="68">
        <f>IFERROR(SUMIF(気管支鏡!$C$30:$C$74,B289,気管支鏡!$K$30:$K$74)*((気管支鏡!$H$3-気管支鏡!$I$3)/気管支鏡!$H$3),0)</f>
        <v>0</v>
      </c>
      <c r="Y289" s="69">
        <f t="shared" si="72"/>
        <v>0</v>
      </c>
      <c r="Z289" s="68">
        <f>IFERROR(SUMIF(CT撮影装置!$C$30:$C$74,B289,CT撮影装置!$K$30:$K$74)*((CT撮影装置!$H$3-CT撮影装置!$I$3)/CT撮影装置!$H$3),0)</f>
        <v>0</v>
      </c>
      <c r="AA289" s="69">
        <f t="shared" si="87"/>
        <v>0</v>
      </c>
      <c r="AB289" s="68">
        <f>IFERROR(SUMIF(生体情報モニタ!$C$30:$C$74,B289,生体情報モニタ!$K$30:$K$74)*((生体情報モニタ!$H$3-生体情報モニタ!$I$3)/生体情報モニタ!$H$3),0)</f>
        <v>0</v>
      </c>
      <c r="AC289" s="69">
        <f t="shared" si="73"/>
        <v>0</v>
      </c>
      <c r="AD289" s="68">
        <f>IFERROR(SUMIF(分娩監視装置!$C$30:$C$74,B289,分娩監視装置!$K$30:$K$74)*((分娩監視装置!$H$3-分娩監視装置!$I$3)/分娩監視装置!$H$3),0)</f>
        <v>0</v>
      </c>
      <c r="AE289" s="69">
        <f t="shared" si="88"/>
        <v>0</v>
      </c>
      <c r="AF289" s="68">
        <f>IFERROR(SUMIF(新生児モニタ!$C$30:$C$74,B289,新生児モニタ!$K$30:$K$74)*((新生児モニタ!$H$3-新生児モニタ!$I$3)/新生児モニタ!$H$3),0)</f>
        <v>0</v>
      </c>
      <c r="AG289" s="69">
        <f t="shared" si="89"/>
        <v>0</v>
      </c>
    </row>
    <row r="290" spans="2:33">
      <c r="B290" s="65" t="s">
        <v>959</v>
      </c>
      <c r="C290" s="68">
        <f>IFERROR(SUMIF(初度設備!$C$30:$C$74,B290,初度設備!$N$30:$N$74)*((初度設備!$H$3-初度設備!$I$3)/初度設備!$H$3),0)</f>
        <v>0</v>
      </c>
      <c r="D290" s="69">
        <f t="shared" si="74"/>
        <v>0</v>
      </c>
      <c r="E290" s="68">
        <f>IFERROR(SUMIF(人工呼吸器!$C$30:$C$74,B290,人工呼吸器!$N$30:$N$74)*((人工呼吸器!$H$3-人工呼吸器!$I$3)/人工呼吸器!$H$3),0)</f>
        <v>0</v>
      </c>
      <c r="F290" s="69">
        <f t="shared" si="75"/>
        <v>0</v>
      </c>
      <c r="G290" s="69">
        <f t="shared" si="76"/>
        <v>0</v>
      </c>
      <c r="H290" s="69">
        <f t="shared" si="77"/>
        <v>0</v>
      </c>
      <c r="I290" s="68">
        <f>IFERROR(SUMIF(簡易陰圧装置!$C$30:$C$74,B290,簡易陰圧装置!$N$30:$N$74)*((簡易陰圧装置!$H$3-簡易陰圧装置!$I$3)/簡易陰圧装置!$H$3),0)</f>
        <v>0</v>
      </c>
      <c r="J290" s="69">
        <f t="shared" si="78"/>
        <v>0</v>
      </c>
      <c r="K290" s="68">
        <f>IFERROR(SUMIF(#REF!,B290,#REF!)*((#REF!-#REF!)/#REF!),0)</f>
        <v>0</v>
      </c>
      <c r="L290" s="69">
        <f t="shared" si="79"/>
        <v>0</v>
      </c>
      <c r="M290" s="68">
        <f>IFERROR(SUMIF(体外式膜型人工肺!$C$30:$C$74,B290,体外式膜型人工肺!$N$30:$N$74)*((体外式膜型人工肺!$H$3-体外式膜型人工肺!$I$3)/体外式膜型人工肺!$H$3),0)</f>
        <v>0</v>
      </c>
      <c r="N290" s="69">
        <f t="shared" si="80"/>
        <v>0</v>
      </c>
      <c r="O290" s="69">
        <f t="shared" si="81"/>
        <v>0</v>
      </c>
      <c r="P290" s="69">
        <f t="shared" si="82"/>
        <v>0</v>
      </c>
      <c r="Q290" s="68">
        <f>IFERROR(SUMIF(紫外線照射装置!$C$30:$C$74,B290,紫外線照射装置!$N$30:$N$74)*((紫外線照射装置!$H$3-紫外線照射装置!$I$3)/紫外線照射装置!$H$3),0)</f>
        <v>0</v>
      </c>
      <c r="R290" s="69">
        <f t="shared" si="83"/>
        <v>0</v>
      </c>
      <c r="S290" s="102">
        <f t="shared" si="84"/>
        <v>0</v>
      </c>
      <c r="T290" s="68">
        <f>IFERROR(SUMIF(超音波画像診断装置!$C$30:$C$74,B290,超音波画像診断装置!$K$30:$K$74)*((超音波画像診断装置!$H$3-超音波画像診断装置!$I$3)/超音波画像診断装置!$H$3),0)</f>
        <v>0</v>
      </c>
      <c r="U290" s="69">
        <f t="shared" si="85"/>
        <v>0</v>
      </c>
      <c r="V290" s="68">
        <f>IFERROR(SUMIF(血液浄化装置!$C$30:$C$74,B290,血液浄化装置!$K$30:$K$74)*((血液浄化装置!$H$3-血液浄化装置!$I$3)/血液浄化装置!$H$3),0)</f>
        <v>0</v>
      </c>
      <c r="W290" s="69">
        <f t="shared" si="86"/>
        <v>0</v>
      </c>
      <c r="X290" s="68">
        <f>IFERROR(SUMIF(気管支鏡!$C$30:$C$74,B290,気管支鏡!$K$30:$K$74)*((気管支鏡!$H$3-気管支鏡!$I$3)/気管支鏡!$H$3),0)</f>
        <v>0</v>
      </c>
      <c r="Y290" s="69">
        <f t="shared" si="72"/>
        <v>0</v>
      </c>
      <c r="Z290" s="68">
        <f>IFERROR(SUMIF(CT撮影装置!$C$30:$C$74,B290,CT撮影装置!$K$30:$K$74)*((CT撮影装置!$H$3-CT撮影装置!$I$3)/CT撮影装置!$H$3),0)</f>
        <v>0</v>
      </c>
      <c r="AA290" s="69">
        <f t="shared" si="87"/>
        <v>0</v>
      </c>
      <c r="AB290" s="68">
        <f>IFERROR(SUMIF(生体情報モニタ!$C$30:$C$74,B290,生体情報モニタ!$K$30:$K$74)*((生体情報モニタ!$H$3-生体情報モニタ!$I$3)/生体情報モニタ!$H$3),0)</f>
        <v>0</v>
      </c>
      <c r="AC290" s="69">
        <f t="shared" si="73"/>
        <v>0</v>
      </c>
      <c r="AD290" s="68">
        <f>IFERROR(SUMIF(分娩監視装置!$C$30:$C$74,B290,分娩監視装置!$K$30:$K$74)*((分娩監視装置!$H$3-分娩監視装置!$I$3)/分娩監視装置!$H$3),0)</f>
        <v>0</v>
      </c>
      <c r="AE290" s="69">
        <f t="shared" si="88"/>
        <v>0</v>
      </c>
      <c r="AF290" s="68">
        <f>IFERROR(SUMIF(新生児モニタ!$C$30:$C$74,B290,新生児モニタ!$K$30:$K$74)*((新生児モニタ!$H$3-新生児モニタ!$I$3)/新生児モニタ!$H$3),0)</f>
        <v>0</v>
      </c>
      <c r="AG290" s="69">
        <f t="shared" si="89"/>
        <v>0</v>
      </c>
    </row>
    <row r="291" spans="2:33">
      <c r="B291" s="65" t="s">
        <v>960</v>
      </c>
      <c r="C291" s="68">
        <f>IFERROR(SUMIF(初度設備!$C$30:$C$74,B291,初度設備!$N$30:$N$74)*((初度設備!$H$3-初度設備!$I$3)/初度設備!$H$3),0)</f>
        <v>0</v>
      </c>
      <c r="D291" s="69">
        <f t="shared" si="74"/>
        <v>0</v>
      </c>
      <c r="E291" s="68">
        <f>IFERROR(SUMIF(人工呼吸器!$C$30:$C$74,B291,人工呼吸器!$N$30:$N$74)*((人工呼吸器!$H$3-人工呼吸器!$I$3)/人工呼吸器!$H$3),0)</f>
        <v>0</v>
      </c>
      <c r="F291" s="69">
        <f t="shared" si="75"/>
        <v>0</v>
      </c>
      <c r="G291" s="69">
        <f t="shared" si="76"/>
        <v>0</v>
      </c>
      <c r="H291" s="69">
        <f t="shared" si="77"/>
        <v>0</v>
      </c>
      <c r="I291" s="68">
        <f>IFERROR(SUMIF(簡易陰圧装置!$C$30:$C$74,B291,簡易陰圧装置!$N$30:$N$74)*((簡易陰圧装置!$H$3-簡易陰圧装置!$I$3)/簡易陰圧装置!$H$3),0)</f>
        <v>0</v>
      </c>
      <c r="J291" s="69">
        <f t="shared" si="78"/>
        <v>0</v>
      </c>
      <c r="K291" s="68">
        <f>IFERROR(SUMIF(#REF!,B291,#REF!)*((#REF!-#REF!)/#REF!),0)</f>
        <v>0</v>
      </c>
      <c r="L291" s="69">
        <f t="shared" si="79"/>
        <v>0</v>
      </c>
      <c r="M291" s="68">
        <f>IFERROR(SUMIF(体外式膜型人工肺!$C$30:$C$74,B291,体外式膜型人工肺!$N$30:$N$74)*((体外式膜型人工肺!$H$3-体外式膜型人工肺!$I$3)/体外式膜型人工肺!$H$3),0)</f>
        <v>0</v>
      </c>
      <c r="N291" s="69">
        <f t="shared" si="80"/>
        <v>0</v>
      </c>
      <c r="O291" s="69">
        <f t="shared" si="81"/>
        <v>0</v>
      </c>
      <c r="P291" s="69">
        <f t="shared" si="82"/>
        <v>0</v>
      </c>
      <c r="Q291" s="68">
        <f>IFERROR(SUMIF(紫外線照射装置!$C$30:$C$74,B291,紫外線照射装置!$N$30:$N$74)*((紫外線照射装置!$H$3-紫外線照射装置!$I$3)/紫外線照射装置!$H$3),0)</f>
        <v>0</v>
      </c>
      <c r="R291" s="69">
        <f t="shared" si="83"/>
        <v>0</v>
      </c>
      <c r="S291" s="102">
        <f t="shared" si="84"/>
        <v>0</v>
      </c>
      <c r="T291" s="68">
        <f>IFERROR(SUMIF(超音波画像診断装置!$C$30:$C$74,B291,超音波画像診断装置!$K$30:$K$74)*((超音波画像診断装置!$H$3-超音波画像診断装置!$I$3)/超音波画像診断装置!$H$3),0)</f>
        <v>0</v>
      </c>
      <c r="U291" s="69">
        <f t="shared" si="85"/>
        <v>0</v>
      </c>
      <c r="V291" s="68">
        <f>IFERROR(SUMIF(血液浄化装置!$C$30:$C$74,B291,血液浄化装置!$K$30:$K$74)*((血液浄化装置!$H$3-血液浄化装置!$I$3)/血液浄化装置!$H$3),0)</f>
        <v>0</v>
      </c>
      <c r="W291" s="69">
        <f t="shared" si="86"/>
        <v>0</v>
      </c>
      <c r="X291" s="68">
        <f>IFERROR(SUMIF(気管支鏡!$C$30:$C$74,B291,気管支鏡!$K$30:$K$74)*((気管支鏡!$H$3-気管支鏡!$I$3)/気管支鏡!$H$3),0)</f>
        <v>0</v>
      </c>
      <c r="Y291" s="69">
        <f t="shared" si="72"/>
        <v>0</v>
      </c>
      <c r="Z291" s="68">
        <f>IFERROR(SUMIF(CT撮影装置!$C$30:$C$74,B291,CT撮影装置!$K$30:$K$74)*((CT撮影装置!$H$3-CT撮影装置!$I$3)/CT撮影装置!$H$3),0)</f>
        <v>0</v>
      </c>
      <c r="AA291" s="69">
        <f t="shared" si="87"/>
        <v>0</v>
      </c>
      <c r="AB291" s="68">
        <f>IFERROR(SUMIF(生体情報モニタ!$C$30:$C$74,B291,生体情報モニタ!$K$30:$K$74)*((生体情報モニタ!$H$3-生体情報モニタ!$I$3)/生体情報モニタ!$H$3),0)</f>
        <v>0</v>
      </c>
      <c r="AC291" s="69">
        <f t="shared" si="73"/>
        <v>0</v>
      </c>
      <c r="AD291" s="68">
        <f>IFERROR(SUMIF(分娩監視装置!$C$30:$C$74,B291,分娩監視装置!$K$30:$K$74)*((分娩監視装置!$H$3-分娩監視装置!$I$3)/分娩監視装置!$H$3),0)</f>
        <v>0</v>
      </c>
      <c r="AE291" s="69">
        <f t="shared" si="88"/>
        <v>0</v>
      </c>
      <c r="AF291" s="68">
        <f>IFERROR(SUMIF(新生児モニタ!$C$30:$C$74,B291,新生児モニタ!$K$30:$K$74)*((新生児モニタ!$H$3-新生児モニタ!$I$3)/新生児モニタ!$H$3),0)</f>
        <v>0</v>
      </c>
      <c r="AG291" s="69">
        <f t="shared" si="89"/>
        <v>0</v>
      </c>
    </row>
    <row r="292" spans="2:33">
      <c r="B292" s="65" t="s">
        <v>961</v>
      </c>
      <c r="C292" s="68">
        <f>IFERROR(SUMIF(初度設備!$C$30:$C$74,B292,初度設備!$N$30:$N$74)*((初度設備!$H$3-初度設備!$I$3)/初度設備!$H$3),0)</f>
        <v>0</v>
      </c>
      <c r="D292" s="69">
        <f t="shared" si="74"/>
        <v>0</v>
      </c>
      <c r="E292" s="68">
        <f>IFERROR(SUMIF(人工呼吸器!$C$30:$C$74,B292,人工呼吸器!$N$30:$N$74)*((人工呼吸器!$H$3-人工呼吸器!$I$3)/人工呼吸器!$H$3),0)</f>
        <v>0</v>
      </c>
      <c r="F292" s="69">
        <f t="shared" si="75"/>
        <v>0</v>
      </c>
      <c r="G292" s="69">
        <f t="shared" si="76"/>
        <v>0</v>
      </c>
      <c r="H292" s="69">
        <f t="shared" si="77"/>
        <v>0</v>
      </c>
      <c r="I292" s="68">
        <f>IFERROR(SUMIF(簡易陰圧装置!$C$30:$C$74,B292,簡易陰圧装置!$N$30:$N$74)*((簡易陰圧装置!$H$3-簡易陰圧装置!$I$3)/簡易陰圧装置!$H$3),0)</f>
        <v>0</v>
      </c>
      <c r="J292" s="69">
        <f t="shared" si="78"/>
        <v>0</v>
      </c>
      <c r="K292" s="68">
        <f>IFERROR(SUMIF(#REF!,B292,#REF!)*((#REF!-#REF!)/#REF!),0)</f>
        <v>0</v>
      </c>
      <c r="L292" s="69">
        <f t="shared" si="79"/>
        <v>0</v>
      </c>
      <c r="M292" s="68">
        <f>IFERROR(SUMIF(体外式膜型人工肺!$C$30:$C$74,B292,体外式膜型人工肺!$N$30:$N$74)*((体外式膜型人工肺!$H$3-体外式膜型人工肺!$I$3)/体外式膜型人工肺!$H$3),0)</f>
        <v>0</v>
      </c>
      <c r="N292" s="69">
        <f t="shared" si="80"/>
        <v>0</v>
      </c>
      <c r="O292" s="69">
        <f t="shared" si="81"/>
        <v>0</v>
      </c>
      <c r="P292" s="69">
        <f t="shared" si="82"/>
        <v>0</v>
      </c>
      <c r="Q292" s="68">
        <f>IFERROR(SUMIF(紫外線照射装置!$C$30:$C$74,B292,紫外線照射装置!$N$30:$N$74)*((紫外線照射装置!$H$3-紫外線照射装置!$I$3)/紫外線照射装置!$H$3),0)</f>
        <v>0</v>
      </c>
      <c r="R292" s="69">
        <f t="shared" si="83"/>
        <v>0</v>
      </c>
      <c r="S292" s="102">
        <f t="shared" si="84"/>
        <v>0</v>
      </c>
      <c r="T292" s="68">
        <f>IFERROR(SUMIF(超音波画像診断装置!$C$30:$C$74,B292,超音波画像診断装置!$K$30:$K$74)*((超音波画像診断装置!$H$3-超音波画像診断装置!$I$3)/超音波画像診断装置!$H$3),0)</f>
        <v>0</v>
      </c>
      <c r="U292" s="69">
        <f t="shared" si="85"/>
        <v>0</v>
      </c>
      <c r="V292" s="68">
        <f>IFERROR(SUMIF(血液浄化装置!$C$30:$C$74,B292,血液浄化装置!$K$30:$K$74)*((血液浄化装置!$H$3-血液浄化装置!$I$3)/血液浄化装置!$H$3),0)</f>
        <v>0</v>
      </c>
      <c r="W292" s="69">
        <f t="shared" si="86"/>
        <v>0</v>
      </c>
      <c r="X292" s="68">
        <f>IFERROR(SUMIF(気管支鏡!$C$30:$C$74,B292,気管支鏡!$K$30:$K$74)*((気管支鏡!$H$3-気管支鏡!$I$3)/気管支鏡!$H$3),0)</f>
        <v>0</v>
      </c>
      <c r="Y292" s="69">
        <f t="shared" si="72"/>
        <v>0</v>
      </c>
      <c r="Z292" s="68">
        <f>IFERROR(SUMIF(CT撮影装置!$C$30:$C$74,B292,CT撮影装置!$K$30:$K$74)*((CT撮影装置!$H$3-CT撮影装置!$I$3)/CT撮影装置!$H$3),0)</f>
        <v>0</v>
      </c>
      <c r="AA292" s="69">
        <f t="shared" si="87"/>
        <v>0</v>
      </c>
      <c r="AB292" s="68">
        <f>IFERROR(SUMIF(生体情報モニタ!$C$30:$C$74,B292,生体情報モニタ!$K$30:$K$74)*((生体情報モニタ!$H$3-生体情報モニタ!$I$3)/生体情報モニタ!$H$3),0)</f>
        <v>0</v>
      </c>
      <c r="AC292" s="69">
        <f t="shared" si="73"/>
        <v>0</v>
      </c>
      <c r="AD292" s="68">
        <f>IFERROR(SUMIF(分娩監視装置!$C$30:$C$74,B292,分娩監視装置!$K$30:$K$74)*((分娩監視装置!$H$3-分娩監視装置!$I$3)/分娩監視装置!$H$3),0)</f>
        <v>0</v>
      </c>
      <c r="AE292" s="69">
        <f t="shared" si="88"/>
        <v>0</v>
      </c>
      <c r="AF292" s="68">
        <f>IFERROR(SUMIF(新生児モニタ!$C$30:$C$74,B292,新生児モニタ!$K$30:$K$74)*((新生児モニタ!$H$3-新生児モニタ!$I$3)/新生児モニタ!$H$3),0)</f>
        <v>0</v>
      </c>
      <c r="AG292" s="69">
        <f t="shared" si="89"/>
        <v>0</v>
      </c>
    </row>
    <row r="293" spans="2:33">
      <c r="B293" s="65" t="s">
        <v>962</v>
      </c>
      <c r="C293" s="68">
        <f>IFERROR(SUMIF(初度設備!$C$30:$C$74,B293,初度設備!$N$30:$N$74)*((初度設備!$H$3-初度設備!$I$3)/初度設備!$H$3),0)</f>
        <v>0</v>
      </c>
      <c r="D293" s="69">
        <f t="shared" si="74"/>
        <v>0</v>
      </c>
      <c r="E293" s="68">
        <f>IFERROR(SUMIF(人工呼吸器!$C$30:$C$74,B293,人工呼吸器!$N$30:$N$74)*((人工呼吸器!$H$3-人工呼吸器!$I$3)/人工呼吸器!$H$3),0)</f>
        <v>0</v>
      </c>
      <c r="F293" s="69">
        <f t="shared" si="75"/>
        <v>0</v>
      </c>
      <c r="G293" s="69">
        <f t="shared" si="76"/>
        <v>0</v>
      </c>
      <c r="H293" s="69">
        <f t="shared" si="77"/>
        <v>0</v>
      </c>
      <c r="I293" s="68">
        <f>IFERROR(SUMIF(簡易陰圧装置!$C$30:$C$74,B293,簡易陰圧装置!$N$30:$N$74)*((簡易陰圧装置!$H$3-簡易陰圧装置!$I$3)/簡易陰圧装置!$H$3),0)</f>
        <v>0</v>
      </c>
      <c r="J293" s="69">
        <f t="shared" si="78"/>
        <v>0</v>
      </c>
      <c r="K293" s="68">
        <f>IFERROR(SUMIF(#REF!,B293,#REF!)*((#REF!-#REF!)/#REF!),0)</f>
        <v>0</v>
      </c>
      <c r="L293" s="69">
        <f t="shared" si="79"/>
        <v>0</v>
      </c>
      <c r="M293" s="68">
        <f>IFERROR(SUMIF(体外式膜型人工肺!$C$30:$C$74,B293,体外式膜型人工肺!$N$30:$N$74)*((体外式膜型人工肺!$H$3-体外式膜型人工肺!$I$3)/体外式膜型人工肺!$H$3),0)</f>
        <v>0</v>
      </c>
      <c r="N293" s="69">
        <f t="shared" si="80"/>
        <v>0</v>
      </c>
      <c r="O293" s="69">
        <f t="shared" si="81"/>
        <v>0</v>
      </c>
      <c r="P293" s="69">
        <f t="shared" si="82"/>
        <v>0</v>
      </c>
      <c r="Q293" s="68">
        <f>IFERROR(SUMIF(紫外線照射装置!$C$30:$C$74,B293,紫外線照射装置!$N$30:$N$74)*((紫外線照射装置!$H$3-紫外線照射装置!$I$3)/紫外線照射装置!$H$3),0)</f>
        <v>0</v>
      </c>
      <c r="R293" s="69">
        <f t="shared" si="83"/>
        <v>0</v>
      </c>
      <c r="S293" s="102">
        <f t="shared" si="84"/>
        <v>0</v>
      </c>
      <c r="T293" s="68">
        <f>IFERROR(SUMIF(超音波画像診断装置!$C$30:$C$74,B293,超音波画像診断装置!$K$30:$K$74)*((超音波画像診断装置!$H$3-超音波画像診断装置!$I$3)/超音波画像診断装置!$H$3),0)</f>
        <v>0</v>
      </c>
      <c r="U293" s="69">
        <f t="shared" si="85"/>
        <v>0</v>
      </c>
      <c r="V293" s="68">
        <f>IFERROR(SUMIF(血液浄化装置!$C$30:$C$74,B293,血液浄化装置!$K$30:$K$74)*((血液浄化装置!$H$3-血液浄化装置!$I$3)/血液浄化装置!$H$3),0)</f>
        <v>0</v>
      </c>
      <c r="W293" s="69">
        <f t="shared" si="86"/>
        <v>0</v>
      </c>
      <c r="X293" s="68">
        <f>IFERROR(SUMIF(気管支鏡!$C$30:$C$74,B293,気管支鏡!$K$30:$K$74)*((気管支鏡!$H$3-気管支鏡!$I$3)/気管支鏡!$H$3),0)</f>
        <v>0</v>
      </c>
      <c r="Y293" s="69">
        <f t="shared" si="72"/>
        <v>0</v>
      </c>
      <c r="Z293" s="68">
        <f>IFERROR(SUMIF(CT撮影装置!$C$30:$C$74,B293,CT撮影装置!$K$30:$K$74)*((CT撮影装置!$H$3-CT撮影装置!$I$3)/CT撮影装置!$H$3),0)</f>
        <v>0</v>
      </c>
      <c r="AA293" s="69">
        <f t="shared" si="87"/>
        <v>0</v>
      </c>
      <c r="AB293" s="68">
        <f>IFERROR(SUMIF(生体情報モニタ!$C$30:$C$74,B293,生体情報モニタ!$K$30:$K$74)*((生体情報モニタ!$H$3-生体情報モニタ!$I$3)/生体情報モニタ!$H$3),0)</f>
        <v>0</v>
      </c>
      <c r="AC293" s="69">
        <f t="shared" si="73"/>
        <v>0</v>
      </c>
      <c r="AD293" s="68">
        <f>IFERROR(SUMIF(分娩監視装置!$C$30:$C$74,B293,分娩監視装置!$K$30:$K$74)*((分娩監視装置!$H$3-分娩監視装置!$I$3)/分娩監視装置!$H$3),0)</f>
        <v>0</v>
      </c>
      <c r="AE293" s="69">
        <f t="shared" si="88"/>
        <v>0</v>
      </c>
      <c r="AF293" s="68">
        <f>IFERROR(SUMIF(新生児モニタ!$C$30:$C$74,B293,新生児モニタ!$K$30:$K$74)*((新生児モニタ!$H$3-新生児モニタ!$I$3)/新生児モニタ!$H$3),0)</f>
        <v>0</v>
      </c>
      <c r="AG293" s="69">
        <f t="shared" si="89"/>
        <v>0</v>
      </c>
    </row>
    <row r="294" spans="2:33">
      <c r="B294" s="65" t="s">
        <v>963</v>
      </c>
      <c r="C294" s="68">
        <f>IFERROR(SUMIF(初度設備!$C$30:$C$74,B294,初度設備!$N$30:$N$74)*((初度設備!$H$3-初度設備!$I$3)/初度設備!$H$3),0)</f>
        <v>0</v>
      </c>
      <c r="D294" s="69">
        <f t="shared" si="74"/>
        <v>0</v>
      </c>
      <c r="E294" s="68">
        <f>IFERROR(SUMIF(人工呼吸器!$C$30:$C$74,B294,人工呼吸器!$N$30:$N$74)*((人工呼吸器!$H$3-人工呼吸器!$I$3)/人工呼吸器!$H$3),0)</f>
        <v>0</v>
      </c>
      <c r="F294" s="69">
        <f t="shared" si="75"/>
        <v>0</v>
      </c>
      <c r="G294" s="69">
        <f t="shared" si="76"/>
        <v>0</v>
      </c>
      <c r="H294" s="69">
        <f t="shared" si="77"/>
        <v>0</v>
      </c>
      <c r="I294" s="68">
        <f>IFERROR(SUMIF(簡易陰圧装置!$C$30:$C$74,B294,簡易陰圧装置!$N$30:$N$74)*((簡易陰圧装置!$H$3-簡易陰圧装置!$I$3)/簡易陰圧装置!$H$3),0)</f>
        <v>0</v>
      </c>
      <c r="J294" s="69">
        <f t="shared" si="78"/>
        <v>0</v>
      </c>
      <c r="K294" s="68">
        <f>IFERROR(SUMIF(#REF!,B294,#REF!)*((#REF!-#REF!)/#REF!),0)</f>
        <v>0</v>
      </c>
      <c r="L294" s="69">
        <f t="shared" si="79"/>
        <v>0</v>
      </c>
      <c r="M294" s="68">
        <f>IFERROR(SUMIF(体外式膜型人工肺!$C$30:$C$74,B294,体外式膜型人工肺!$N$30:$N$74)*((体外式膜型人工肺!$H$3-体外式膜型人工肺!$I$3)/体外式膜型人工肺!$H$3),0)</f>
        <v>0</v>
      </c>
      <c r="N294" s="69">
        <f t="shared" si="80"/>
        <v>0</v>
      </c>
      <c r="O294" s="69">
        <f t="shared" si="81"/>
        <v>0</v>
      </c>
      <c r="P294" s="69">
        <f t="shared" si="82"/>
        <v>0</v>
      </c>
      <c r="Q294" s="68">
        <f>IFERROR(SUMIF(紫外線照射装置!$C$30:$C$74,B294,紫外線照射装置!$N$30:$N$74)*((紫外線照射装置!$H$3-紫外線照射装置!$I$3)/紫外線照射装置!$H$3),0)</f>
        <v>0</v>
      </c>
      <c r="R294" s="69">
        <f t="shared" si="83"/>
        <v>0</v>
      </c>
      <c r="S294" s="102">
        <f t="shared" si="84"/>
        <v>0</v>
      </c>
      <c r="T294" s="68">
        <f>IFERROR(SUMIF(超音波画像診断装置!$C$30:$C$74,B294,超音波画像診断装置!$K$30:$K$74)*((超音波画像診断装置!$H$3-超音波画像診断装置!$I$3)/超音波画像診断装置!$H$3),0)</f>
        <v>0</v>
      </c>
      <c r="U294" s="69">
        <f t="shared" si="85"/>
        <v>0</v>
      </c>
      <c r="V294" s="68">
        <f>IFERROR(SUMIF(血液浄化装置!$C$30:$C$74,B294,血液浄化装置!$K$30:$K$74)*((血液浄化装置!$H$3-血液浄化装置!$I$3)/血液浄化装置!$H$3),0)</f>
        <v>0</v>
      </c>
      <c r="W294" s="69">
        <f t="shared" si="86"/>
        <v>0</v>
      </c>
      <c r="X294" s="68">
        <f>IFERROR(SUMIF(気管支鏡!$C$30:$C$74,B294,気管支鏡!$K$30:$K$74)*((気管支鏡!$H$3-気管支鏡!$I$3)/気管支鏡!$H$3),0)</f>
        <v>0</v>
      </c>
      <c r="Y294" s="69">
        <f t="shared" si="72"/>
        <v>0</v>
      </c>
      <c r="Z294" s="68">
        <f>IFERROR(SUMIF(CT撮影装置!$C$30:$C$74,B294,CT撮影装置!$K$30:$K$74)*((CT撮影装置!$H$3-CT撮影装置!$I$3)/CT撮影装置!$H$3),0)</f>
        <v>0</v>
      </c>
      <c r="AA294" s="69">
        <f t="shared" si="87"/>
        <v>0</v>
      </c>
      <c r="AB294" s="68">
        <f>IFERROR(SUMIF(生体情報モニタ!$C$30:$C$74,B294,生体情報モニタ!$K$30:$K$74)*((生体情報モニタ!$H$3-生体情報モニタ!$I$3)/生体情報モニタ!$H$3),0)</f>
        <v>0</v>
      </c>
      <c r="AC294" s="69">
        <f t="shared" si="73"/>
        <v>0</v>
      </c>
      <c r="AD294" s="68">
        <f>IFERROR(SUMIF(分娩監視装置!$C$30:$C$74,B294,分娩監視装置!$K$30:$K$74)*((分娩監視装置!$H$3-分娩監視装置!$I$3)/分娩監視装置!$H$3),0)</f>
        <v>0</v>
      </c>
      <c r="AE294" s="69">
        <f t="shared" si="88"/>
        <v>0</v>
      </c>
      <c r="AF294" s="68">
        <f>IFERROR(SUMIF(新生児モニタ!$C$30:$C$74,B294,新生児モニタ!$K$30:$K$74)*((新生児モニタ!$H$3-新生児モニタ!$I$3)/新生児モニタ!$H$3),0)</f>
        <v>0</v>
      </c>
      <c r="AG294" s="69">
        <f t="shared" si="89"/>
        <v>0</v>
      </c>
    </row>
    <row r="295" spans="2:33">
      <c r="B295" s="65" t="s">
        <v>964</v>
      </c>
      <c r="C295" s="68">
        <f>IFERROR(SUMIF(初度設備!$C$30:$C$74,B295,初度設備!$N$30:$N$74)*((初度設備!$H$3-初度設備!$I$3)/初度設備!$H$3),0)</f>
        <v>0</v>
      </c>
      <c r="D295" s="69">
        <f t="shared" si="74"/>
        <v>0</v>
      </c>
      <c r="E295" s="68">
        <f>IFERROR(SUMIF(人工呼吸器!$C$30:$C$74,B295,人工呼吸器!$N$30:$N$74)*((人工呼吸器!$H$3-人工呼吸器!$I$3)/人工呼吸器!$H$3),0)</f>
        <v>0</v>
      </c>
      <c r="F295" s="69">
        <f t="shared" si="75"/>
        <v>0</v>
      </c>
      <c r="G295" s="69">
        <f t="shared" si="76"/>
        <v>0</v>
      </c>
      <c r="H295" s="69">
        <f t="shared" si="77"/>
        <v>0</v>
      </c>
      <c r="I295" s="68">
        <f>IFERROR(SUMIF(簡易陰圧装置!$C$30:$C$74,B295,簡易陰圧装置!$N$30:$N$74)*((簡易陰圧装置!$H$3-簡易陰圧装置!$I$3)/簡易陰圧装置!$H$3),0)</f>
        <v>0</v>
      </c>
      <c r="J295" s="69">
        <f t="shared" si="78"/>
        <v>0</v>
      </c>
      <c r="K295" s="68">
        <f>IFERROR(SUMIF(#REF!,B295,#REF!)*((#REF!-#REF!)/#REF!),0)</f>
        <v>0</v>
      </c>
      <c r="L295" s="69">
        <f t="shared" si="79"/>
        <v>0</v>
      </c>
      <c r="M295" s="68">
        <f>IFERROR(SUMIF(体外式膜型人工肺!$C$30:$C$74,B295,体外式膜型人工肺!$N$30:$N$74)*((体外式膜型人工肺!$H$3-体外式膜型人工肺!$I$3)/体外式膜型人工肺!$H$3),0)</f>
        <v>0</v>
      </c>
      <c r="N295" s="69">
        <f t="shared" si="80"/>
        <v>0</v>
      </c>
      <c r="O295" s="69">
        <f t="shared" si="81"/>
        <v>0</v>
      </c>
      <c r="P295" s="69">
        <f t="shared" si="82"/>
        <v>0</v>
      </c>
      <c r="Q295" s="68">
        <f>IFERROR(SUMIF(紫外線照射装置!$C$30:$C$74,B295,紫外線照射装置!$N$30:$N$74)*((紫外線照射装置!$H$3-紫外線照射装置!$I$3)/紫外線照射装置!$H$3),0)</f>
        <v>0</v>
      </c>
      <c r="R295" s="69">
        <f t="shared" si="83"/>
        <v>0</v>
      </c>
      <c r="S295" s="102">
        <f t="shared" si="84"/>
        <v>0</v>
      </c>
      <c r="T295" s="68">
        <f>IFERROR(SUMIF(超音波画像診断装置!$C$30:$C$74,B295,超音波画像診断装置!$K$30:$K$74)*((超音波画像診断装置!$H$3-超音波画像診断装置!$I$3)/超音波画像診断装置!$H$3),0)</f>
        <v>0</v>
      </c>
      <c r="U295" s="69">
        <f t="shared" si="85"/>
        <v>0</v>
      </c>
      <c r="V295" s="68">
        <f>IFERROR(SUMIF(血液浄化装置!$C$30:$C$74,B295,血液浄化装置!$K$30:$K$74)*((血液浄化装置!$H$3-血液浄化装置!$I$3)/血液浄化装置!$H$3),0)</f>
        <v>0</v>
      </c>
      <c r="W295" s="69">
        <f t="shared" si="86"/>
        <v>0</v>
      </c>
      <c r="X295" s="68">
        <f>IFERROR(SUMIF(気管支鏡!$C$30:$C$74,B295,気管支鏡!$K$30:$K$74)*((気管支鏡!$H$3-気管支鏡!$I$3)/気管支鏡!$H$3),0)</f>
        <v>0</v>
      </c>
      <c r="Y295" s="69">
        <f t="shared" si="72"/>
        <v>0</v>
      </c>
      <c r="Z295" s="68">
        <f>IFERROR(SUMIF(CT撮影装置!$C$30:$C$74,B295,CT撮影装置!$K$30:$K$74)*((CT撮影装置!$H$3-CT撮影装置!$I$3)/CT撮影装置!$H$3),0)</f>
        <v>0</v>
      </c>
      <c r="AA295" s="69">
        <f t="shared" si="87"/>
        <v>0</v>
      </c>
      <c r="AB295" s="68">
        <f>IFERROR(SUMIF(生体情報モニタ!$C$30:$C$74,B295,生体情報モニタ!$K$30:$K$74)*((生体情報モニタ!$H$3-生体情報モニタ!$I$3)/生体情報モニタ!$H$3),0)</f>
        <v>0</v>
      </c>
      <c r="AC295" s="69">
        <f t="shared" si="73"/>
        <v>0</v>
      </c>
      <c r="AD295" s="68">
        <f>IFERROR(SUMIF(分娩監視装置!$C$30:$C$74,B295,分娩監視装置!$K$30:$K$74)*((分娩監視装置!$H$3-分娩監視装置!$I$3)/分娩監視装置!$H$3),0)</f>
        <v>0</v>
      </c>
      <c r="AE295" s="69">
        <f t="shared" si="88"/>
        <v>0</v>
      </c>
      <c r="AF295" s="68">
        <f>IFERROR(SUMIF(新生児モニタ!$C$30:$C$74,B295,新生児モニタ!$K$30:$K$74)*((新生児モニタ!$H$3-新生児モニタ!$I$3)/新生児モニタ!$H$3),0)</f>
        <v>0</v>
      </c>
      <c r="AG295" s="69">
        <f t="shared" si="89"/>
        <v>0</v>
      </c>
    </row>
    <row r="296" spans="2:33">
      <c r="B296" s="65" t="s">
        <v>965</v>
      </c>
      <c r="C296" s="68">
        <f>IFERROR(SUMIF(初度設備!$C$30:$C$74,B296,初度設備!$N$30:$N$74)*((初度設備!$H$3-初度設備!$I$3)/初度設備!$H$3),0)</f>
        <v>0</v>
      </c>
      <c r="D296" s="69">
        <f t="shared" si="74"/>
        <v>0</v>
      </c>
      <c r="E296" s="68">
        <f>IFERROR(SUMIF(人工呼吸器!$C$30:$C$74,B296,人工呼吸器!$N$30:$N$74)*((人工呼吸器!$H$3-人工呼吸器!$I$3)/人工呼吸器!$H$3),0)</f>
        <v>0</v>
      </c>
      <c r="F296" s="69">
        <f t="shared" si="75"/>
        <v>0</v>
      </c>
      <c r="G296" s="69">
        <f t="shared" si="76"/>
        <v>0</v>
      </c>
      <c r="H296" s="69">
        <f t="shared" si="77"/>
        <v>0</v>
      </c>
      <c r="I296" s="68">
        <f>IFERROR(SUMIF(簡易陰圧装置!$C$30:$C$74,B296,簡易陰圧装置!$N$30:$N$74)*((簡易陰圧装置!$H$3-簡易陰圧装置!$I$3)/簡易陰圧装置!$H$3),0)</f>
        <v>0</v>
      </c>
      <c r="J296" s="69">
        <f t="shared" si="78"/>
        <v>0</v>
      </c>
      <c r="K296" s="68">
        <f>IFERROR(SUMIF(#REF!,B296,#REF!)*((#REF!-#REF!)/#REF!),0)</f>
        <v>0</v>
      </c>
      <c r="L296" s="69">
        <f t="shared" si="79"/>
        <v>0</v>
      </c>
      <c r="M296" s="68">
        <f>IFERROR(SUMIF(体外式膜型人工肺!$C$30:$C$74,B296,体外式膜型人工肺!$N$30:$N$74)*((体外式膜型人工肺!$H$3-体外式膜型人工肺!$I$3)/体外式膜型人工肺!$H$3),0)</f>
        <v>0</v>
      </c>
      <c r="N296" s="69">
        <f t="shared" si="80"/>
        <v>0</v>
      </c>
      <c r="O296" s="69">
        <f t="shared" si="81"/>
        <v>0</v>
      </c>
      <c r="P296" s="69">
        <f t="shared" si="82"/>
        <v>0</v>
      </c>
      <c r="Q296" s="68">
        <f>IFERROR(SUMIF(紫外線照射装置!$C$30:$C$74,B296,紫外線照射装置!$N$30:$N$74)*((紫外線照射装置!$H$3-紫外線照射装置!$I$3)/紫外線照射装置!$H$3),0)</f>
        <v>0</v>
      </c>
      <c r="R296" s="69">
        <f t="shared" si="83"/>
        <v>0</v>
      </c>
      <c r="S296" s="102">
        <f t="shared" si="84"/>
        <v>0</v>
      </c>
      <c r="T296" s="68">
        <f>IFERROR(SUMIF(超音波画像診断装置!$C$30:$C$74,B296,超音波画像診断装置!$K$30:$K$74)*((超音波画像診断装置!$H$3-超音波画像診断装置!$I$3)/超音波画像診断装置!$H$3),0)</f>
        <v>0</v>
      </c>
      <c r="U296" s="69">
        <f t="shared" si="85"/>
        <v>0</v>
      </c>
      <c r="V296" s="68">
        <f>IFERROR(SUMIF(血液浄化装置!$C$30:$C$74,B296,血液浄化装置!$K$30:$K$74)*((血液浄化装置!$H$3-血液浄化装置!$I$3)/血液浄化装置!$H$3),0)</f>
        <v>0</v>
      </c>
      <c r="W296" s="69">
        <f t="shared" si="86"/>
        <v>0</v>
      </c>
      <c r="X296" s="68">
        <f>IFERROR(SUMIF(気管支鏡!$C$30:$C$74,B296,気管支鏡!$K$30:$K$74)*((気管支鏡!$H$3-気管支鏡!$I$3)/気管支鏡!$H$3),0)</f>
        <v>0</v>
      </c>
      <c r="Y296" s="69">
        <f t="shared" si="72"/>
        <v>0</v>
      </c>
      <c r="Z296" s="68">
        <f>IFERROR(SUMIF(CT撮影装置!$C$30:$C$74,B296,CT撮影装置!$K$30:$K$74)*((CT撮影装置!$H$3-CT撮影装置!$I$3)/CT撮影装置!$H$3),0)</f>
        <v>0</v>
      </c>
      <c r="AA296" s="69">
        <f t="shared" si="87"/>
        <v>0</v>
      </c>
      <c r="AB296" s="68">
        <f>IFERROR(SUMIF(生体情報モニタ!$C$30:$C$74,B296,生体情報モニタ!$K$30:$K$74)*((生体情報モニタ!$H$3-生体情報モニタ!$I$3)/生体情報モニタ!$H$3),0)</f>
        <v>0</v>
      </c>
      <c r="AC296" s="69">
        <f t="shared" si="73"/>
        <v>0</v>
      </c>
      <c r="AD296" s="68">
        <f>IFERROR(SUMIF(分娩監視装置!$C$30:$C$74,B296,分娩監視装置!$K$30:$K$74)*((分娩監視装置!$H$3-分娩監視装置!$I$3)/分娩監視装置!$H$3),0)</f>
        <v>0</v>
      </c>
      <c r="AE296" s="69">
        <f t="shared" si="88"/>
        <v>0</v>
      </c>
      <c r="AF296" s="68">
        <f>IFERROR(SUMIF(新生児モニタ!$C$30:$C$74,B296,新生児モニタ!$K$30:$K$74)*((新生児モニタ!$H$3-新生児モニタ!$I$3)/新生児モニタ!$H$3),0)</f>
        <v>0</v>
      </c>
      <c r="AG296" s="69">
        <f t="shared" si="89"/>
        <v>0</v>
      </c>
    </row>
    <row r="297" spans="2:33">
      <c r="B297" s="65" t="s">
        <v>966</v>
      </c>
      <c r="C297" s="68">
        <f>IFERROR(SUMIF(初度設備!$C$30:$C$74,B297,初度設備!$N$30:$N$74)*((初度設備!$H$3-初度設備!$I$3)/初度設備!$H$3),0)</f>
        <v>0</v>
      </c>
      <c r="D297" s="69">
        <f t="shared" si="74"/>
        <v>0</v>
      </c>
      <c r="E297" s="68">
        <f>IFERROR(SUMIF(人工呼吸器!$C$30:$C$74,B297,人工呼吸器!$N$30:$N$74)*((人工呼吸器!$H$3-人工呼吸器!$I$3)/人工呼吸器!$H$3),0)</f>
        <v>0</v>
      </c>
      <c r="F297" s="69">
        <f t="shared" si="75"/>
        <v>0</v>
      </c>
      <c r="G297" s="69">
        <f t="shared" si="76"/>
        <v>0</v>
      </c>
      <c r="H297" s="69">
        <f t="shared" si="77"/>
        <v>0</v>
      </c>
      <c r="I297" s="68">
        <f>IFERROR(SUMIF(簡易陰圧装置!$C$30:$C$74,B297,簡易陰圧装置!$N$30:$N$74)*((簡易陰圧装置!$H$3-簡易陰圧装置!$I$3)/簡易陰圧装置!$H$3),0)</f>
        <v>0</v>
      </c>
      <c r="J297" s="69">
        <f t="shared" si="78"/>
        <v>0</v>
      </c>
      <c r="K297" s="68">
        <f>IFERROR(SUMIF(#REF!,B297,#REF!)*((#REF!-#REF!)/#REF!),0)</f>
        <v>0</v>
      </c>
      <c r="L297" s="69">
        <f t="shared" si="79"/>
        <v>0</v>
      </c>
      <c r="M297" s="68">
        <f>IFERROR(SUMIF(体外式膜型人工肺!$C$30:$C$74,B297,体外式膜型人工肺!$N$30:$N$74)*((体外式膜型人工肺!$H$3-体外式膜型人工肺!$I$3)/体外式膜型人工肺!$H$3),0)</f>
        <v>0</v>
      </c>
      <c r="N297" s="69">
        <f t="shared" si="80"/>
        <v>0</v>
      </c>
      <c r="O297" s="69">
        <f t="shared" si="81"/>
        <v>0</v>
      </c>
      <c r="P297" s="69">
        <f t="shared" si="82"/>
        <v>0</v>
      </c>
      <c r="Q297" s="68">
        <f>IFERROR(SUMIF(紫外線照射装置!$C$30:$C$74,B297,紫外線照射装置!$N$30:$N$74)*((紫外線照射装置!$H$3-紫外線照射装置!$I$3)/紫外線照射装置!$H$3),0)</f>
        <v>0</v>
      </c>
      <c r="R297" s="69">
        <f t="shared" si="83"/>
        <v>0</v>
      </c>
      <c r="S297" s="102">
        <f t="shared" si="84"/>
        <v>0</v>
      </c>
      <c r="T297" s="68">
        <f>IFERROR(SUMIF(超音波画像診断装置!$C$30:$C$74,B297,超音波画像診断装置!$K$30:$K$74)*((超音波画像診断装置!$H$3-超音波画像診断装置!$I$3)/超音波画像診断装置!$H$3),0)</f>
        <v>0</v>
      </c>
      <c r="U297" s="69">
        <f t="shared" si="85"/>
        <v>0</v>
      </c>
      <c r="V297" s="68">
        <f>IFERROR(SUMIF(血液浄化装置!$C$30:$C$74,B297,血液浄化装置!$K$30:$K$74)*((血液浄化装置!$H$3-血液浄化装置!$I$3)/血液浄化装置!$H$3),0)</f>
        <v>0</v>
      </c>
      <c r="W297" s="69">
        <f t="shared" si="86"/>
        <v>0</v>
      </c>
      <c r="X297" s="68">
        <f>IFERROR(SUMIF(気管支鏡!$C$30:$C$74,B297,気管支鏡!$K$30:$K$74)*((気管支鏡!$H$3-気管支鏡!$I$3)/気管支鏡!$H$3),0)</f>
        <v>0</v>
      </c>
      <c r="Y297" s="69">
        <f t="shared" si="72"/>
        <v>0</v>
      </c>
      <c r="Z297" s="68">
        <f>IFERROR(SUMIF(CT撮影装置!$C$30:$C$74,B297,CT撮影装置!$K$30:$K$74)*((CT撮影装置!$H$3-CT撮影装置!$I$3)/CT撮影装置!$H$3),0)</f>
        <v>0</v>
      </c>
      <c r="AA297" s="69">
        <f t="shared" si="87"/>
        <v>0</v>
      </c>
      <c r="AB297" s="68">
        <f>IFERROR(SUMIF(生体情報モニタ!$C$30:$C$74,B297,生体情報モニタ!$K$30:$K$74)*((生体情報モニタ!$H$3-生体情報モニタ!$I$3)/生体情報モニタ!$H$3),0)</f>
        <v>0</v>
      </c>
      <c r="AC297" s="69">
        <f t="shared" si="73"/>
        <v>0</v>
      </c>
      <c r="AD297" s="68">
        <f>IFERROR(SUMIF(分娩監視装置!$C$30:$C$74,B297,分娩監視装置!$K$30:$K$74)*((分娩監視装置!$H$3-分娩監視装置!$I$3)/分娩監視装置!$H$3),0)</f>
        <v>0</v>
      </c>
      <c r="AE297" s="69">
        <f t="shared" si="88"/>
        <v>0</v>
      </c>
      <c r="AF297" s="68">
        <f>IFERROR(SUMIF(新生児モニタ!$C$30:$C$74,B297,新生児モニタ!$K$30:$K$74)*((新生児モニタ!$H$3-新生児モニタ!$I$3)/新生児モニタ!$H$3),0)</f>
        <v>0</v>
      </c>
      <c r="AG297" s="69">
        <f t="shared" si="89"/>
        <v>0</v>
      </c>
    </row>
    <row r="298" spans="2:33">
      <c r="B298" s="65" t="s">
        <v>967</v>
      </c>
      <c r="C298" s="68">
        <f>IFERROR(SUMIF(初度設備!$C$30:$C$74,B298,初度設備!$N$30:$N$74)*((初度設備!$H$3-初度設備!$I$3)/初度設備!$H$3),0)</f>
        <v>0</v>
      </c>
      <c r="D298" s="69">
        <f t="shared" si="74"/>
        <v>0</v>
      </c>
      <c r="E298" s="68">
        <f>IFERROR(SUMIF(人工呼吸器!$C$30:$C$74,B298,人工呼吸器!$N$30:$N$74)*((人工呼吸器!$H$3-人工呼吸器!$I$3)/人工呼吸器!$H$3),0)</f>
        <v>0</v>
      </c>
      <c r="F298" s="69">
        <f t="shared" si="75"/>
        <v>0</v>
      </c>
      <c r="G298" s="69">
        <f t="shared" si="76"/>
        <v>0</v>
      </c>
      <c r="H298" s="69">
        <f t="shared" si="77"/>
        <v>0</v>
      </c>
      <c r="I298" s="68">
        <f>IFERROR(SUMIF(簡易陰圧装置!$C$30:$C$74,B298,簡易陰圧装置!$N$30:$N$74)*((簡易陰圧装置!$H$3-簡易陰圧装置!$I$3)/簡易陰圧装置!$H$3),0)</f>
        <v>0</v>
      </c>
      <c r="J298" s="69">
        <f t="shared" si="78"/>
        <v>0</v>
      </c>
      <c r="K298" s="68">
        <f>IFERROR(SUMIF(#REF!,B298,#REF!)*((#REF!-#REF!)/#REF!),0)</f>
        <v>0</v>
      </c>
      <c r="L298" s="69">
        <f t="shared" si="79"/>
        <v>0</v>
      </c>
      <c r="M298" s="68">
        <f>IFERROR(SUMIF(体外式膜型人工肺!$C$30:$C$74,B298,体外式膜型人工肺!$N$30:$N$74)*((体外式膜型人工肺!$H$3-体外式膜型人工肺!$I$3)/体外式膜型人工肺!$H$3),0)</f>
        <v>0</v>
      </c>
      <c r="N298" s="69">
        <f t="shared" si="80"/>
        <v>0</v>
      </c>
      <c r="O298" s="69">
        <f t="shared" si="81"/>
        <v>0</v>
      </c>
      <c r="P298" s="69">
        <f t="shared" si="82"/>
        <v>0</v>
      </c>
      <c r="Q298" s="68">
        <f>IFERROR(SUMIF(紫外線照射装置!$C$30:$C$74,B298,紫外線照射装置!$N$30:$N$74)*((紫外線照射装置!$H$3-紫外線照射装置!$I$3)/紫外線照射装置!$H$3),0)</f>
        <v>0</v>
      </c>
      <c r="R298" s="69">
        <f t="shared" si="83"/>
        <v>0</v>
      </c>
      <c r="S298" s="102">
        <f t="shared" si="84"/>
        <v>0</v>
      </c>
      <c r="T298" s="68">
        <f>IFERROR(SUMIF(超音波画像診断装置!$C$30:$C$74,B298,超音波画像診断装置!$K$30:$K$74)*((超音波画像診断装置!$H$3-超音波画像診断装置!$I$3)/超音波画像診断装置!$H$3),0)</f>
        <v>0</v>
      </c>
      <c r="U298" s="69">
        <f t="shared" si="85"/>
        <v>0</v>
      </c>
      <c r="V298" s="68">
        <f>IFERROR(SUMIF(血液浄化装置!$C$30:$C$74,B298,血液浄化装置!$K$30:$K$74)*((血液浄化装置!$H$3-血液浄化装置!$I$3)/血液浄化装置!$H$3),0)</f>
        <v>0</v>
      </c>
      <c r="W298" s="69">
        <f t="shared" si="86"/>
        <v>0</v>
      </c>
      <c r="X298" s="68">
        <f>IFERROR(SUMIF(気管支鏡!$C$30:$C$74,B298,気管支鏡!$K$30:$K$74)*((気管支鏡!$H$3-気管支鏡!$I$3)/気管支鏡!$H$3),0)</f>
        <v>0</v>
      </c>
      <c r="Y298" s="69">
        <f t="shared" si="72"/>
        <v>0</v>
      </c>
      <c r="Z298" s="68">
        <f>IFERROR(SUMIF(CT撮影装置!$C$30:$C$74,B298,CT撮影装置!$K$30:$K$74)*((CT撮影装置!$H$3-CT撮影装置!$I$3)/CT撮影装置!$H$3),0)</f>
        <v>0</v>
      </c>
      <c r="AA298" s="69">
        <f t="shared" si="87"/>
        <v>0</v>
      </c>
      <c r="AB298" s="68">
        <f>IFERROR(SUMIF(生体情報モニタ!$C$30:$C$74,B298,生体情報モニタ!$K$30:$K$74)*((生体情報モニタ!$H$3-生体情報モニタ!$I$3)/生体情報モニタ!$H$3),0)</f>
        <v>0</v>
      </c>
      <c r="AC298" s="69">
        <f t="shared" si="73"/>
        <v>0</v>
      </c>
      <c r="AD298" s="68">
        <f>IFERROR(SUMIF(分娩監視装置!$C$30:$C$74,B298,分娩監視装置!$K$30:$K$74)*((分娩監視装置!$H$3-分娩監視装置!$I$3)/分娩監視装置!$H$3),0)</f>
        <v>0</v>
      </c>
      <c r="AE298" s="69">
        <f t="shared" si="88"/>
        <v>0</v>
      </c>
      <c r="AF298" s="68">
        <f>IFERROR(SUMIF(新生児モニタ!$C$30:$C$74,B298,新生児モニタ!$K$30:$K$74)*((新生児モニタ!$H$3-新生児モニタ!$I$3)/新生児モニタ!$H$3),0)</f>
        <v>0</v>
      </c>
      <c r="AG298" s="69">
        <f t="shared" si="89"/>
        <v>0</v>
      </c>
    </row>
    <row r="299" spans="2:33">
      <c r="B299" s="65" t="s">
        <v>968</v>
      </c>
      <c r="C299" s="68">
        <f>IFERROR(SUMIF(初度設備!$C$30:$C$74,B299,初度設備!$N$30:$N$74)*((初度設備!$H$3-初度設備!$I$3)/初度設備!$H$3),0)</f>
        <v>0</v>
      </c>
      <c r="D299" s="69">
        <f t="shared" si="74"/>
        <v>0</v>
      </c>
      <c r="E299" s="68">
        <f>IFERROR(SUMIF(人工呼吸器!$C$30:$C$74,B299,人工呼吸器!$N$30:$N$74)*((人工呼吸器!$H$3-人工呼吸器!$I$3)/人工呼吸器!$H$3),0)</f>
        <v>0</v>
      </c>
      <c r="F299" s="69">
        <f t="shared" si="75"/>
        <v>0</v>
      </c>
      <c r="G299" s="69">
        <f t="shared" si="76"/>
        <v>0</v>
      </c>
      <c r="H299" s="69">
        <f t="shared" si="77"/>
        <v>0</v>
      </c>
      <c r="I299" s="68">
        <f>IFERROR(SUMIF(簡易陰圧装置!$C$30:$C$74,B299,簡易陰圧装置!$N$30:$N$74)*((簡易陰圧装置!$H$3-簡易陰圧装置!$I$3)/簡易陰圧装置!$H$3),0)</f>
        <v>0</v>
      </c>
      <c r="J299" s="69">
        <f t="shared" si="78"/>
        <v>0</v>
      </c>
      <c r="K299" s="68">
        <f>IFERROR(SUMIF(#REF!,B299,#REF!)*((#REF!-#REF!)/#REF!),0)</f>
        <v>0</v>
      </c>
      <c r="L299" s="69">
        <f t="shared" si="79"/>
        <v>0</v>
      </c>
      <c r="M299" s="68">
        <f>IFERROR(SUMIF(体外式膜型人工肺!$C$30:$C$74,B299,体外式膜型人工肺!$N$30:$N$74)*((体外式膜型人工肺!$H$3-体外式膜型人工肺!$I$3)/体外式膜型人工肺!$H$3),0)</f>
        <v>0</v>
      </c>
      <c r="N299" s="69">
        <f t="shared" si="80"/>
        <v>0</v>
      </c>
      <c r="O299" s="69">
        <f t="shared" si="81"/>
        <v>0</v>
      </c>
      <c r="P299" s="69">
        <f t="shared" si="82"/>
        <v>0</v>
      </c>
      <c r="Q299" s="68">
        <f>IFERROR(SUMIF(紫外線照射装置!$C$30:$C$74,B299,紫外線照射装置!$N$30:$N$74)*((紫外線照射装置!$H$3-紫外線照射装置!$I$3)/紫外線照射装置!$H$3),0)</f>
        <v>0</v>
      </c>
      <c r="R299" s="69">
        <f t="shared" si="83"/>
        <v>0</v>
      </c>
      <c r="S299" s="102">
        <f t="shared" si="84"/>
        <v>0</v>
      </c>
      <c r="T299" s="68">
        <f>IFERROR(SUMIF(超音波画像診断装置!$C$30:$C$74,B299,超音波画像診断装置!$K$30:$K$74)*((超音波画像診断装置!$H$3-超音波画像診断装置!$I$3)/超音波画像診断装置!$H$3),0)</f>
        <v>0</v>
      </c>
      <c r="U299" s="69">
        <f t="shared" si="85"/>
        <v>0</v>
      </c>
      <c r="V299" s="68">
        <f>IFERROR(SUMIF(血液浄化装置!$C$30:$C$74,B299,血液浄化装置!$K$30:$K$74)*((血液浄化装置!$H$3-血液浄化装置!$I$3)/血液浄化装置!$H$3),0)</f>
        <v>0</v>
      </c>
      <c r="W299" s="69">
        <f t="shared" si="86"/>
        <v>0</v>
      </c>
      <c r="X299" s="68">
        <f>IFERROR(SUMIF(気管支鏡!$C$30:$C$74,B299,気管支鏡!$K$30:$K$74)*((気管支鏡!$H$3-気管支鏡!$I$3)/気管支鏡!$H$3),0)</f>
        <v>0</v>
      </c>
      <c r="Y299" s="69">
        <f t="shared" si="72"/>
        <v>0</v>
      </c>
      <c r="Z299" s="68">
        <f>IFERROR(SUMIF(CT撮影装置!$C$30:$C$74,B299,CT撮影装置!$K$30:$K$74)*((CT撮影装置!$H$3-CT撮影装置!$I$3)/CT撮影装置!$H$3),0)</f>
        <v>0</v>
      </c>
      <c r="AA299" s="69">
        <f t="shared" si="87"/>
        <v>0</v>
      </c>
      <c r="AB299" s="68">
        <f>IFERROR(SUMIF(生体情報モニタ!$C$30:$C$74,B299,生体情報モニタ!$K$30:$K$74)*((生体情報モニタ!$H$3-生体情報モニタ!$I$3)/生体情報モニタ!$H$3),0)</f>
        <v>0</v>
      </c>
      <c r="AC299" s="69">
        <f t="shared" si="73"/>
        <v>0</v>
      </c>
      <c r="AD299" s="68">
        <f>IFERROR(SUMIF(分娩監視装置!$C$30:$C$74,B299,分娩監視装置!$K$30:$K$74)*((分娩監視装置!$H$3-分娩監視装置!$I$3)/分娩監視装置!$H$3),0)</f>
        <v>0</v>
      </c>
      <c r="AE299" s="69">
        <f t="shared" si="88"/>
        <v>0</v>
      </c>
      <c r="AF299" s="68">
        <f>IFERROR(SUMIF(新生児モニタ!$C$30:$C$74,B299,新生児モニタ!$K$30:$K$74)*((新生児モニタ!$H$3-新生児モニタ!$I$3)/新生児モニタ!$H$3),0)</f>
        <v>0</v>
      </c>
      <c r="AG299" s="69">
        <f t="shared" si="89"/>
        <v>0</v>
      </c>
    </row>
    <row r="300" spans="2:33">
      <c r="B300" s="65" t="s">
        <v>969</v>
      </c>
      <c r="C300" s="68">
        <f>IFERROR(SUMIF(初度設備!$C$30:$C$74,B300,初度設備!$N$30:$N$74)*((初度設備!$H$3-初度設備!$I$3)/初度設備!$H$3),0)</f>
        <v>0</v>
      </c>
      <c r="D300" s="69">
        <f t="shared" si="74"/>
        <v>0</v>
      </c>
      <c r="E300" s="68">
        <f>IFERROR(SUMIF(人工呼吸器!$C$30:$C$74,B300,人工呼吸器!$N$30:$N$74)*((人工呼吸器!$H$3-人工呼吸器!$I$3)/人工呼吸器!$H$3),0)</f>
        <v>0</v>
      </c>
      <c r="F300" s="69">
        <f t="shared" si="75"/>
        <v>0</v>
      </c>
      <c r="G300" s="69">
        <f t="shared" si="76"/>
        <v>0</v>
      </c>
      <c r="H300" s="69">
        <f t="shared" si="77"/>
        <v>0</v>
      </c>
      <c r="I300" s="68">
        <f>IFERROR(SUMIF(簡易陰圧装置!$C$30:$C$74,B300,簡易陰圧装置!$N$30:$N$74)*((簡易陰圧装置!$H$3-簡易陰圧装置!$I$3)/簡易陰圧装置!$H$3),0)</f>
        <v>0</v>
      </c>
      <c r="J300" s="69">
        <f t="shared" si="78"/>
        <v>0</v>
      </c>
      <c r="K300" s="68">
        <f>IFERROR(SUMIF(#REF!,B300,#REF!)*((#REF!-#REF!)/#REF!),0)</f>
        <v>0</v>
      </c>
      <c r="L300" s="69">
        <f t="shared" si="79"/>
        <v>0</v>
      </c>
      <c r="M300" s="68">
        <f>IFERROR(SUMIF(体外式膜型人工肺!$C$30:$C$74,B300,体外式膜型人工肺!$N$30:$N$74)*((体外式膜型人工肺!$H$3-体外式膜型人工肺!$I$3)/体外式膜型人工肺!$H$3),0)</f>
        <v>0</v>
      </c>
      <c r="N300" s="69">
        <f t="shared" si="80"/>
        <v>0</v>
      </c>
      <c r="O300" s="69">
        <f t="shared" si="81"/>
        <v>0</v>
      </c>
      <c r="P300" s="69">
        <f t="shared" si="82"/>
        <v>0</v>
      </c>
      <c r="Q300" s="68">
        <f>IFERROR(SUMIF(紫外線照射装置!$C$30:$C$74,B300,紫外線照射装置!$N$30:$N$74)*((紫外線照射装置!$H$3-紫外線照射装置!$I$3)/紫外線照射装置!$H$3),0)</f>
        <v>0</v>
      </c>
      <c r="R300" s="69">
        <f t="shared" si="83"/>
        <v>0</v>
      </c>
      <c r="S300" s="102">
        <f t="shared" si="84"/>
        <v>0</v>
      </c>
      <c r="T300" s="68">
        <f>IFERROR(SUMIF(超音波画像診断装置!$C$30:$C$74,B300,超音波画像診断装置!$K$30:$K$74)*((超音波画像診断装置!$H$3-超音波画像診断装置!$I$3)/超音波画像診断装置!$H$3),0)</f>
        <v>0</v>
      </c>
      <c r="U300" s="69">
        <f t="shared" si="85"/>
        <v>0</v>
      </c>
      <c r="V300" s="68">
        <f>IFERROR(SUMIF(血液浄化装置!$C$30:$C$74,B300,血液浄化装置!$K$30:$K$74)*((血液浄化装置!$H$3-血液浄化装置!$I$3)/血液浄化装置!$H$3),0)</f>
        <v>0</v>
      </c>
      <c r="W300" s="69">
        <f t="shared" si="86"/>
        <v>0</v>
      </c>
      <c r="X300" s="68">
        <f>IFERROR(SUMIF(気管支鏡!$C$30:$C$74,B300,気管支鏡!$K$30:$K$74)*((気管支鏡!$H$3-気管支鏡!$I$3)/気管支鏡!$H$3),0)</f>
        <v>0</v>
      </c>
      <c r="Y300" s="69">
        <f t="shared" si="72"/>
        <v>0</v>
      </c>
      <c r="Z300" s="68">
        <f>IFERROR(SUMIF(CT撮影装置!$C$30:$C$74,B300,CT撮影装置!$K$30:$K$74)*((CT撮影装置!$H$3-CT撮影装置!$I$3)/CT撮影装置!$H$3),0)</f>
        <v>0</v>
      </c>
      <c r="AA300" s="69">
        <f t="shared" si="87"/>
        <v>0</v>
      </c>
      <c r="AB300" s="68">
        <f>IFERROR(SUMIF(生体情報モニタ!$C$30:$C$74,B300,生体情報モニタ!$K$30:$K$74)*((生体情報モニタ!$H$3-生体情報モニタ!$I$3)/生体情報モニタ!$H$3),0)</f>
        <v>0</v>
      </c>
      <c r="AC300" s="69">
        <f t="shared" si="73"/>
        <v>0</v>
      </c>
      <c r="AD300" s="68">
        <f>IFERROR(SUMIF(分娩監視装置!$C$30:$C$74,B300,分娩監視装置!$K$30:$K$74)*((分娩監視装置!$H$3-分娩監視装置!$I$3)/分娩監視装置!$H$3),0)</f>
        <v>0</v>
      </c>
      <c r="AE300" s="69">
        <f t="shared" si="88"/>
        <v>0</v>
      </c>
      <c r="AF300" s="68">
        <f>IFERROR(SUMIF(新生児モニタ!$C$30:$C$74,B300,新生児モニタ!$K$30:$K$74)*((新生児モニタ!$H$3-新生児モニタ!$I$3)/新生児モニタ!$H$3),0)</f>
        <v>0</v>
      </c>
      <c r="AG300" s="69">
        <f t="shared" si="89"/>
        <v>0</v>
      </c>
    </row>
    <row r="301" spans="2:33">
      <c r="B301" s="65" t="s">
        <v>970</v>
      </c>
      <c r="C301" s="68">
        <f>IFERROR(SUMIF(初度設備!$C$30:$C$74,B301,初度設備!$N$30:$N$74)*((初度設備!$H$3-初度設備!$I$3)/初度設備!$H$3),0)</f>
        <v>0</v>
      </c>
      <c r="D301" s="69">
        <f t="shared" si="74"/>
        <v>0</v>
      </c>
      <c r="E301" s="68">
        <f>IFERROR(SUMIF(人工呼吸器!$C$30:$C$74,B301,人工呼吸器!$N$30:$N$74)*((人工呼吸器!$H$3-人工呼吸器!$I$3)/人工呼吸器!$H$3),0)</f>
        <v>0</v>
      </c>
      <c r="F301" s="69">
        <f t="shared" si="75"/>
        <v>0</v>
      </c>
      <c r="G301" s="69">
        <f t="shared" si="76"/>
        <v>0</v>
      </c>
      <c r="H301" s="69">
        <f t="shared" si="77"/>
        <v>0</v>
      </c>
      <c r="I301" s="68">
        <f>IFERROR(SUMIF(簡易陰圧装置!$C$30:$C$74,B301,簡易陰圧装置!$N$30:$N$74)*((簡易陰圧装置!$H$3-簡易陰圧装置!$I$3)/簡易陰圧装置!$H$3),0)</f>
        <v>0</v>
      </c>
      <c r="J301" s="69">
        <f t="shared" si="78"/>
        <v>0</v>
      </c>
      <c r="K301" s="68">
        <f>IFERROR(SUMIF(#REF!,B301,#REF!)*((#REF!-#REF!)/#REF!),0)</f>
        <v>0</v>
      </c>
      <c r="L301" s="69">
        <f t="shared" si="79"/>
        <v>0</v>
      </c>
      <c r="M301" s="68">
        <f>IFERROR(SUMIF(体外式膜型人工肺!$C$30:$C$74,B301,体外式膜型人工肺!$N$30:$N$74)*((体外式膜型人工肺!$H$3-体外式膜型人工肺!$I$3)/体外式膜型人工肺!$H$3),0)</f>
        <v>0</v>
      </c>
      <c r="N301" s="69">
        <f t="shared" si="80"/>
        <v>0</v>
      </c>
      <c r="O301" s="69">
        <f t="shared" si="81"/>
        <v>0</v>
      </c>
      <c r="P301" s="69">
        <f t="shared" si="82"/>
        <v>0</v>
      </c>
      <c r="Q301" s="68">
        <f>IFERROR(SUMIF(紫外線照射装置!$C$30:$C$74,B301,紫外線照射装置!$N$30:$N$74)*((紫外線照射装置!$H$3-紫外線照射装置!$I$3)/紫外線照射装置!$H$3),0)</f>
        <v>0</v>
      </c>
      <c r="R301" s="69">
        <f t="shared" si="83"/>
        <v>0</v>
      </c>
      <c r="S301" s="102">
        <f t="shared" si="84"/>
        <v>0</v>
      </c>
      <c r="T301" s="68">
        <f>IFERROR(SUMIF(超音波画像診断装置!$C$30:$C$74,B301,超音波画像診断装置!$K$30:$K$74)*((超音波画像診断装置!$H$3-超音波画像診断装置!$I$3)/超音波画像診断装置!$H$3),0)</f>
        <v>0</v>
      </c>
      <c r="U301" s="69">
        <f t="shared" si="85"/>
        <v>0</v>
      </c>
      <c r="V301" s="68">
        <f>IFERROR(SUMIF(血液浄化装置!$C$30:$C$74,B301,血液浄化装置!$K$30:$K$74)*((血液浄化装置!$H$3-血液浄化装置!$I$3)/血液浄化装置!$H$3),0)</f>
        <v>0</v>
      </c>
      <c r="W301" s="69">
        <f t="shared" si="86"/>
        <v>0</v>
      </c>
      <c r="X301" s="68">
        <f>IFERROR(SUMIF(気管支鏡!$C$30:$C$74,B301,気管支鏡!$K$30:$K$74)*((気管支鏡!$H$3-気管支鏡!$I$3)/気管支鏡!$H$3),0)</f>
        <v>0</v>
      </c>
      <c r="Y301" s="69">
        <f t="shared" si="72"/>
        <v>0</v>
      </c>
      <c r="Z301" s="68">
        <f>IFERROR(SUMIF(CT撮影装置!$C$30:$C$74,B301,CT撮影装置!$K$30:$K$74)*((CT撮影装置!$H$3-CT撮影装置!$I$3)/CT撮影装置!$H$3),0)</f>
        <v>0</v>
      </c>
      <c r="AA301" s="69">
        <f t="shared" si="87"/>
        <v>0</v>
      </c>
      <c r="AB301" s="68">
        <f>IFERROR(SUMIF(生体情報モニタ!$C$30:$C$74,B301,生体情報モニタ!$K$30:$K$74)*((生体情報モニタ!$H$3-生体情報モニタ!$I$3)/生体情報モニタ!$H$3),0)</f>
        <v>0</v>
      </c>
      <c r="AC301" s="69">
        <f t="shared" si="73"/>
        <v>0</v>
      </c>
      <c r="AD301" s="68">
        <f>IFERROR(SUMIF(分娩監視装置!$C$30:$C$74,B301,分娩監視装置!$K$30:$K$74)*((分娩監視装置!$H$3-分娩監視装置!$I$3)/分娩監視装置!$H$3),0)</f>
        <v>0</v>
      </c>
      <c r="AE301" s="69">
        <f t="shared" si="88"/>
        <v>0</v>
      </c>
      <c r="AF301" s="68">
        <f>IFERROR(SUMIF(新生児モニタ!$C$30:$C$74,B301,新生児モニタ!$K$30:$K$74)*((新生児モニタ!$H$3-新生児モニタ!$I$3)/新生児モニタ!$H$3),0)</f>
        <v>0</v>
      </c>
      <c r="AG301" s="69">
        <f t="shared" si="89"/>
        <v>0</v>
      </c>
    </row>
    <row r="302" spans="2:33">
      <c r="B302" s="65" t="s">
        <v>971</v>
      </c>
      <c r="C302" s="68">
        <f>IFERROR(SUMIF(初度設備!$C$30:$C$74,B302,初度設備!$N$30:$N$74)*((初度設備!$H$3-初度設備!$I$3)/初度設備!$H$3),0)</f>
        <v>0</v>
      </c>
      <c r="D302" s="69">
        <f t="shared" si="74"/>
        <v>0</v>
      </c>
      <c r="E302" s="68">
        <f>IFERROR(SUMIF(人工呼吸器!$C$30:$C$74,B302,人工呼吸器!$N$30:$N$74)*((人工呼吸器!$H$3-人工呼吸器!$I$3)/人工呼吸器!$H$3),0)</f>
        <v>0</v>
      </c>
      <c r="F302" s="69">
        <f t="shared" si="75"/>
        <v>0</v>
      </c>
      <c r="G302" s="69">
        <f t="shared" si="76"/>
        <v>0</v>
      </c>
      <c r="H302" s="69">
        <f t="shared" si="77"/>
        <v>0</v>
      </c>
      <c r="I302" s="68">
        <f>IFERROR(SUMIF(簡易陰圧装置!$C$30:$C$74,B302,簡易陰圧装置!$N$30:$N$74)*((簡易陰圧装置!$H$3-簡易陰圧装置!$I$3)/簡易陰圧装置!$H$3),0)</f>
        <v>0</v>
      </c>
      <c r="J302" s="69">
        <f t="shared" si="78"/>
        <v>0</v>
      </c>
      <c r="K302" s="68">
        <f>IFERROR(SUMIF(#REF!,B302,#REF!)*((#REF!-#REF!)/#REF!),0)</f>
        <v>0</v>
      </c>
      <c r="L302" s="69">
        <f t="shared" si="79"/>
        <v>0</v>
      </c>
      <c r="M302" s="68">
        <f>IFERROR(SUMIF(体外式膜型人工肺!$C$30:$C$74,B302,体外式膜型人工肺!$N$30:$N$74)*((体外式膜型人工肺!$H$3-体外式膜型人工肺!$I$3)/体外式膜型人工肺!$H$3),0)</f>
        <v>0</v>
      </c>
      <c r="N302" s="69">
        <f t="shared" si="80"/>
        <v>0</v>
      </c>
      <c r="O302" s="69">
        <f t="shared" si="81"/>
        <v>0</v>
      </c>
      <c r="P302" s="69">
        <f t="shared" si="82"/>
        <v>0</v>
      </c>
      <c r="Q302" s="68">
        <f>IFERROR(SUMIF(紫外線照射装置!$C$30:$C$74,B302,紫外線照射装置!$N$30:$N$74)*((紫外線照射装置!$H$3-紫外線照射装置!$I$3)/紫外線照射装置!$H$3),0)</f>
        <v>0</v>
      </c>
      <c r="R302" s="69">
        <f t="shared" si="83"/>
        <v>0</v>
      </c>
      <c r="S302" s="102">
        <f t="shared" si="84"/>
        <v>0</v>
      </c>
      <c r="T302" s="68">
        <f>IFERROR(SUMIF(超音波画像診断装置!$C$30:$C$74,B302,超音波画像診断装置!$K$30:$K$74)*((超音波画像診断装置!$H$3-超音波画像診断装置!$I$3)/超音波画像診断装置!$H$3),0)</f>
        <v>0</v>
      </c>
      <c r="U302" s="69">
        <f t="shared" si="85"/>
        <v>0</v>
      </c>
      <c r="V302" s="68">
        <f>IFERROR(SUMIF(血液浄化装置!$C$30:$C$74,B302,血液浄化装置!$K$30:$K$74)*((血液浄化装置!$H$3-血液浄化装置!$I$3)/血液浄化装置!$H$3),0)</f>
        <v>0</v>
      </c>
      <c r="W302" s="69">
        <f t="shared" si="86"/>
        <v>0</v>
      </c>
      <c r="X302" s="68">
        <f>IFERROR(SUMIF(気管支鏡!$C$30:$C$74,B302,気管支鏡!$K$30:$K$74)*((気管支鏡!$H$3-気管支鏡!$I$3)/気管支鏡!$H$3),0)</f>
        <v>0</v>
      </c>
      <c r="Y302" s="69">
        <f t="shared" si="72"/>
        <v>0</v>
      </c>
      <c r="Z302" s="68">
        <f>IFERROR(SUMIF(CT撮影装置!$C$30:$C$74,B302,CT撮影装置!$K$30:$K$74)*((CT撮影装置!$H$3-CT撮影装置!$I$3)/CT撮影装置!$H$3),0)</f>
        <v>0</v>
      </c>
      <c r="AA302" s="69">
        <f t="shared" si="87"/>
        <v>0</v>
      </c>
      <c r="AB302" s="68">
        <f>IFERROR(SUMIF(生体情報モニタ!$C$30:$C$74,B302,生体情報モニタ!$K$30:$K$74)*((生体情報モニタ!$H$3-生体情報モニタ!$I$3)/生体情報モニタ!$H$3),0)</f>
        <v>0</v>
      </c>
      <c r="AC302" s="69">
        <f t="shared" si="73"/>
        <v>0</v>
      </c>
      <c r="AD302" s="68">
        <f>IFERROR(SUMIF(分娩監視装置!$C$30:$C$74,B302,分娩監視装置!$K$30:$K$74)*((分娩監視装置!$H$3-分娩監視装置!$I$3)/分娩監視装置!$H$3),0)</f>
        <v>0</v>
      </c>
      <c r="AE302" s="69">
        <f t="shared" si="88"/>
        <v>0</v>
      </c>
      <c r="AF302" s="68">
        <f>IFERROR(SUMIF(新生児モニタ!$C$30:$C$74,B302,新生児モニタ!$K$30:$K$74)*((新生児モニタ!$H$3-新生児モニタ!$I$3)/新生児モニタ!$H$3),0)</f>
        <v>0</v>
      </c>
      <c r="AG302" s="69">
        <f t="shared" si="89"/>
        <v>0</v>
      </c>
    </row>
    <row r="303" spans="2:33">
      <c r="B303" s="65" t="s">
        <v>972</v>
      </c>
      <c r="C303" s="68">
        <f>IFERROR(SUMIF(初度設備!$C$30:$C$74,B303,初度設備!$N$30:$N$74)*((初度設備!$H$3-初度設備!$I$3)/初度設備!$H$3),0)</f>
        <v>0</v>
      </c>
      <c r="D303" s="69">
        <f t="shared" si="74"/>
        <v>0</v>
      </c>
      <c r="E303" s="68">
        <f>IFERROR(SUMIF(人工呼吸器!$C$30:$C$74,B303,人工呼吸器!$N$30:$N$74)*((人工呼吸器!$H$3-人工呼吸器!$I$3)/人工呼吸器!$H$3),0)</f>
        <v>0</v>
      </c>
      <c r="F303" s="69">
        <f t="shared" si="75"/>
        <v>0</v>
      </c>
      <c r="G303" s="69">
        <f t="shared" si="76"/>
        <v>0</v>
      </c>
      <c r="H303" s="69">
        <f t="shared" si="77"/>
        <v>0</v>
      </c>
      <c r="I303" s="68">
        <f>IFERROR(SUMIF(簡易陰圧装置!$C$30:$C$74,B303,簡易陰圧装置!$N$30:$N$74)*((簡易陰圧装置!$H$3-簡易陰圧装置!$I$3)/簡易陰圧装置!$H$3),0)</f>
        <v>0</v>
      </c>
      <c r="J303" s="69">
        <f t="shared" si="78"/>
        <v>0</v>
      </c>
      <c r="K303" s="68">
        <f>IFERROR(SUMIF(#REF!,B303,#REF!)*((#REF!-#REF!)/#REF!),0)</f>
        <v>0</v>
      </c>
      <c r="L303" s="69">
        <f t="shared" si="79"/>
        <v>0</v>
      </c>
      <c r="M303" s="68">
        <f>IFERROR(SUMIF(体外式膜型人工肺!$C$30:$C$74,B303,体外式膜型人工肺!$N$30:$N$74)*((体外式膜型人工肺!$H$3-体外式膜型人工肺!$I$3)/体外式膜型人工肺!$H$3),0)</f>
        <v>0</v>
      </c>
      <c r="N303" s="69">
        <f t="shared" si="80"/>
        <v>0</v>
      </c>
      <c r="O303" s="69">
        <f t="shared" si="81"/>
        <v>0</v>
      </c>
      <c r="P303" s="69">
        <f t="shared" si="82"/>
        <v>0</v>
      </c>
      <c r="Q303" s="68">
        <f>IFERROR(SUMIF(紫外線照射装置!$C$30:$C$74,B303,紫外線照射装置!$N$30:$N$74)*((紫外線照射装置!$H$3-紫外線照射装置!$I$3)/紫外線照射装置!$H$3),0)</f>
        <v>0</v>
      </c>
      <c r="R303" s="69">
        <f t="shared" si="83"/>
        <v>0</v>
      </c>
      <c r="S303" s="102">
        <f t="shared" si="84"/>
        <v>0</v>
      </c>
      <c r="T303" s="68">
        <f>IFERROR(SUMIF(超音波画像診断装置!$C$30:$C$74,B303,超音波画像診断装置!$K$30:$K$74)*((超音波画像診断装置!$H$3-超音波画像診断装置!$I$3)/超音波画像診断装置!$H$3),0)</f>
        <v>0</v>
      </c>
      <c r="U303" s="69">
        <f t="shared" si="85"/>
        <v>0</v>
      </c>
      <c r="V303" s="68">
        <f>IFERROR(SUMIF(血液浄化装置!$C$30:$C$74,B303,血液浄化装置!$K$30:$K$74)*((血液浄化装置!$H$3-血液浄化装置!$I$3)/血液浄化装置!$H$3),0)</f>
        <v>0</v>
      </c>
      <c r="W303" s="69">
        <f t="shared" si="86"/>
        <v>0</v>
      </c>
      <c r="X303" s="68">
        <f>IFERROR(SUMIF(気管支鏡!$C$30:$C$74,B303,気管支鏡!$K$30:$K$74)*((気管支鏡!$H$3-気管支鏡!$I$3)/気管支鏡!$H$3),0)</f>
        <v>0</v>
      </c>
      <c r="Y303" s="69">
        <f t="shared" si="72"/>
        <v>0</v>
      </c>
      <c r="Z303" s="68">
        <f>IFERROR(SUMIF(CT撮影装置!$C$30:$C$74,B303,CT撮影装置!$K$30:$K$74)*((CT撮影装置!$H$3-CT撮影装置!$I$3)/CT撮影装置!$H$3),0)</f>
        <v>0</v>
      </c>
      <c r="AA303" s="69">
        <f t="shared" si="87"/>
        <v>0</v>
      </c>
      <c r="AB303" s="68">
        <f>IFERROR(SUMIF(生体情報モニタ!$C$30:$C$74,B303,生体情報モニタ!$K$30:$K$74)*((生体情報モニタ!$H$3-生体情報モニタ!$I$3)/生体情報モニタ!$H$3),0)</f>
        <v>0</v>
      </c>
      <c r="AC303" s="69">
        <f t="shared" si="73"/>
        <v>0</v>
      </c>
      <c r="AD303" s="68">
        <f>IFERROR(SUMIF(分娩監視装置!$C$30:$C$74,B303,分娩監視装置!$K$30:$K$74)*((分娩監視装置!$H$3-分娩監視装置!$I$3)/分娩監視装置!$H$3),0)</f>
        <v>0</v>
      </c>
      <c r="AE303" s="69">
        <f t="shared" si="88"/>
        <v>0</v>
      </c>
      <c r="AF303" s="68">
        <f>IFERROR(SUMIF(新生児モニタ!$C$30:$C$74,B303,新生児モニタ!$K$30:$K$74)*((新生児モニタ!$H$3-新生児モニタ!$I$3)/新生児モニタ!$H$3),0)</f>
        <v>0</v>
      </c>
      <c r="AG303" s="69">
        <f t="shared" si="89"/>
        <v>0</v>
      </c>
    </row>
    <row r="304" spans="2:33">
      <c r="B304" s="65" t="s">
        <v>973</v>
      </c>
      <c r="C304" s="68">
        <f>IFERROR(SUMIF(初度設備!$C$30:$C$74,B304,初度設備!$N$30:$N$74)*((初度設備!$H$3-初度設備!$I$3)/初度設備!$H$3),0)</f>
        <v>0</v>
      </c>
      <c r="D304" s="69">
        <f t="shared" si="74"/>
        <v>0</v>
      </c>
      <c r="E304" s="68">
        <f>IFERROR(SUMIF(人工呼吸器!$C$30:$C$74,B304,人工呼吸器!$N$30:$N$74)*((人工呼吸器!$H$3-人工呼吸器!$I$3)/人工呼吸器!$H$3),0)</f>
        <v>0</v>
      </c>
      <c r="F304" s="69">
        <f t="shared" si="75"/>
        <v>0</v>
      </c>
      <c r="G304" s="69">
        <f t="shared" si="76"/>
        <v>0</v>
      </c>
      <c r="H304" s="69">
        <f t="shared" si="77"/>
        <v>0</v>
      </c>
      <c r="I304" s="68">
        <f>IFERROR(SUMIF(簡易陰圧装置!$C$30:$C$74,B304,簡易陰圧装置!$N$30:$N$74)*((簡易陰圧装置!$H$3-簡易陰圧装置!$I$3)/簡易陰圧装置!$H$3),0)</f>
        <v>0</v>
      </c>
      <c r="J304" s="69">
        <f t="shared" si="78"/>
        <v>0</v>
      </c>
      <c r="K304" s="68">
        <f>IFERROR(SUMIF(#REF!,B304,#REF!)*((#REF!-#REF!)/#REF!),0)</f>
        <v>0</v>
      </c>
      <c r="L304" s="69">
        <f t="shared" si="79"/>
        <v>0</v>
      </c>
      <c r="M304" s="68">
        <f>IFERROR(SUMIF(体外式膜型人工肺!$C$30:$C$74,B304,体外式膜型人工肺!$N$30:$N$74)*((体外式膜型人工肺!$H$3-体外式膜型人工肺!$I$3)/体外式膜型人工肺!$H$3),0)</f>
        <v>0</v>
      </c>
      <c r="N304" s="69">
        <f t="shared" si="80"/>
        <v>0</v>
      </c>
      <c r="O304" s="69">
        <f t="shared" si="81"/>
        <v>0</v>
      </c>
      <c r="P304" s="69">
        <f t="shared" si="82"/>
        <v>0</v>
      </c>
      <c r="Q304" s="68">
        <f>IFERROR(SUMIF(紫外線照射装置!$C$30:$C$74,B304,紫外線照射装置!$N$30:$N$74)*((紫外線照射装置!$H$3-紫外線照射装置!$I$3)/紫外線照射装置!$H$3),0)</f>
        <v>0</v>
      </c>
      <c r="R304" s="69">
        <f t="shared" si="83"/>
        <v>0</v>
      </c>
      <c r="S304" s="102">
        <f t="shared" si="84"/>
        <v>0</v>
      </c>
      <c r="T304" s="68">
        <f>IFERROR(SUMIF(超音波画像診断装置!$C$30:$C$74,B304,超音波画像診断装置!$K$30:$K$74)*((超音波画像診断装置!$H$3-超音波画像診断装置!$I$3)/超音波画像診断装置!$H$3),0)</f>
        <v>0</v>
      </c>
      <c r="U304" s="69">
        <f t="shared" si="85"/>
        <v>0</v>
      </c>
      <c r="V304" s="68">
        <f>IFERROR(SUMIF(血液浄化装置!$C$30:$C$74,B304,血液浄化装置!$K$30:$K$74)*((血液浄化装置!$H$3-血液浄化装置!$I$3)/血液浄化装置!$H$3),0)</f>
        <v>0</v>
      </c>
      <c r="W304" s="69">
        <f t="shared" si="86"/>
        <v>0</v>
      </c>
      <c r="X304" s="68">
        <f>IFERROR(SUMIF(気管支鏡!$C$30:$C$74,B304,気管支鏡!$K$30:$K$74)*((気管支鏡!$H$3-気管支鏡!$I$3)/気管支鏡!$H$3),0)</f>
        <v>0</v>
      </c>
      <c r="Y304" s="69">
        <f t="shared" si="72"/>
        <v>0</v>
      </c>
      <c r="Z304" s="68">
        <f>IFERROR(SUMIF(CT撮影装置!$C$30:$C$74,B304,CT撮影装置!$K$30:$K$74)*((CT撮影装置!$H$3-CT撮影装置!$I$3)/CT撮影装置!$H$3),0)</f>
        <v>0</v>
      </c>
      <c r="AA304" s="69">
        <f t="shared" si="87"/>
        <v>0</v>
      </c>
      <c r="AB304" s="68">
        <f>IFERROR(SUMIF(生体情報モニタ!$C$30:$C$74,B304,生体情報モニタ!$K$30:$K$74)*((生体情報モニタ!$H$3-生体情報モニタ!$I$3)/生体情報モニタ!$H$3),0)</f>
        <v>0</v>
      </c>
      <c r="AC304" s="69">
        <f t="shared" si="73"/>
        <v>0</v>
      </c>
      <c r="AD304" s="68">
        <f>IFERROR(SUMIF(分娩監視装置!$C$30:$C$74,B304,分娩監視装置!$K$30:$K$74)*((分娩監視装置!$H$3-分娩監視装置!$I$3)/分娩監視装置!$H$3),0)</f>
        <v>0</v>
      </c>
      <c r="AE304" s="69">
        <f t="shared" si="88"/>
        <v>0</v>
      </c>
      <c r="AF304" s="68">
        <f>IFERROR(SUMIF(新生児モニタ!$C$30:$C$74,B304,新生児モニタ!$K$30:$K$74)*((新生児モニタ!$H$3-新生児モニタ!$I$3)/新生児モニタ!$H$3),0)</f>
        <v>0</v>
      </c>
      <c r="AG304" s="69">
        <f t="shared" si="89"/>
        <v>0</v>
      </c>
    </row>
    <row r="305" spans="2:33">
      <c r="B305" s="65" t="s">
        <v>974</v>
      </c>
      <c r="C305" s="68">
        <f>IFERROR(SUMIF(初度設備!$C$30:$C$74,B305,初度設備!$N$30:$N$74)*((初度設備!$H$3-初度設備!$I$3)/初度設備!$H$3),0)</f>
        <v>0</v>
      </c>
      <c r="D305" s="69">
        <f t="shared" si="74"/>
        <v>0</v>
      </c>
      <c r="E305" s="68">
        <f>IFERROR(SUMIF(人工呼吸器!$C$30:$C$74,B305,人工呼吸器!$N$30:$N$74)*((人工呼吸器!$H$3-人工呼吸器!$I$3)/人工呼吸器!$H$3),0)</f>
        <v>0</v>
      </c>
      <c r="F305" s="69">
        <f t="shared" si="75"/>
        <v>0</v>
      </c>
      <c r="G305" s="69">
        <f t="shared" si="76"/>
        <v>0</v>
      </c>
      <c r="H305" s="69">
        <f t="shared" si="77"/>
        <v>0</v>
      </c>
      <c r="I305" s="68">
        <f>IFERROR(SUMIF(簡易陰圧装置!$C$30:$C$74,B305,簡易陰圧装置!$N$30:$N$74)*((簡易陰圧装置!$H$3-簡易陰圧装置!$I$3)/簡易陰圧装置!$H$3),0)</f>
        <v>0</v>
      </c>
      <c r="J305" s="69">
        <f t="shared" si="78"/>
        <v>0</v>
      </c>
      <c r="K305" s="68">
        <f>IFERROR(SUMIF(#REF!,B305,#REF!)*((#REF!-#REF!)/#REF!),0)</f>
        <v>0</v>
      </c>
      <c r="L305" s="69">
        <f t="shared" si="79"/>
        <v>0</v>
      </c>
      <c r="M305" s="68">
        <f>IFERROR(SUMIF(体外式膜型人工肺!$C$30:$C$74,B305,体外式膜型人工肺!$N$30:$N$74)*((体外式膜型人工肺!$H$3-体外式膜型人工肺!$I$3)/体外式膜型人工肺!$H$3),0)</f>
        <v>0</v>
      </c>
      <c r="N305" s="69">
        <f t="shared" si="80"/>
        <v>0</v>
      </c>
      <c r="O305" s="69">
        <f t="shared" si="81"/>
        <v>0</v>
      </c>
      <c r="P305" s="69">
        <f t="shared" si="82"/>
        <v>0</v>
      </c>
      <c r="Q305" s="68">
        <f>IFERROR(SUMIF(紫外線照射装置!$C$30:$C$74,B305,紫外線照射装置!$N$30:$N$74)*((紫外線照射装置!$H$3-紫外線照射装置!$I$3)/紫外線照射装置!$H$3),0)</f>
        <v>0</v>
      </c>
      <c r="R305" s="69">
        <f t="shared" si="83"/>
        <v>0</v>
      </c>
      <c r="S305" s="102">
        <f t="shared" si="84"/>
        <v>0</v>
      </c>
      <c r="T305" s="68">
        <f>IFERROR(SUMIF(超音波画像診断装置!$C$30:$C$74,B305,超音波画像診断装置!$K$30:$K$74)*((超音波画像診断装置!$H$3-超音波画像診断装置!$I$3)/超音波画像診断装置!$H$3),0)</f>
        <v>0</v>
      </c>
      <c r="U305" s="69">
        <f t="shared" si="85"/>
        <v>0</v>
      </c>
      <c r="V305" s="68">
        <f>IFERROR(SUMIF(血液浄化装置!$C$30:$C$74,B305,血液浄化装置!$K$30:$K$74)*((血液浄化装置!$H$3-血液浄化装置!$I$3)/血液浄化装置!$H$3),0)</f>
        <v>0</v>
      </c>
      <c r="W305" s="69">
        <f t="shared" si="86"/>
        <v>0</v>
      </c>
      <c r="X305" s="68">
        <f>IFERROR(SUMIF(気管支鏡!$C$30:$C$74,B305,気管支鏡!$K$30:$K$74)*((気管支鏡!$H$3-気管支鏡!$I$3)/気管支鏡!$H$3),0)</f>
        <v>0</v>
      </c>
      <c r="Y305" s="69">
        <f t="shared" si="72"/>
        <v>0</v>
      </c>
      <c r="Z305" s="68">
        <f>IFERROR(SUMIF(CT撮影装置!$C$30:$C$74,B305,CT撮影装置!$K$30:$K$74)*((CT撮影装置!$H$3-CT撮影装置!$I$3)/CT撮影装置!$H$3),0)</f>
        <v>0</v>
      </c>
      <c r="AA305" s="69">
        <f t="shared" si="87"/>
        <v>0</v>
      </c>
      <c r="AB305" s="68">
        <f>IFERROR(SUMIF(生体情報モニタ!$C$30:$C$74,B305,生体情報モニタ!$K$30:$K$74)*((生体情報モニタ!$H$3-生体情報モニタ!$I$3)/生体情報モニタ!$H$3),0)</f>
        <v>0</v>
      </c>
      <c r="AC305" s="69">
        <f t="shared" si="73"/>
        <v>0</v>
      </c>
      <c r="AD305" s="68">
        <f>IFERROR(SUMIF(分娩監視装置!$C$30:$C$74,B305,分娩監視装置!$K$30:$K$74)*((分娩監視装置!$H$3-分娩監視装置!$I$3)/分娩監視装置!$H$3),0)</f>
        <v>0</v>
      </c>
      <c r="AE305" s="69">
        <f t="shared" si="88"/>
        <v>0</v>
      </c>
      <c r="AF305" s="68">
        <f>IFERROR(SUMIF(新生児モニタ!$C$30:$C$74,B305,新生児モニタ!$K$30:$K$74)*((新生児モニタ!$H$3-新生児モニタ!$I$3)/新生児モニタ!$H$3),0)</f>
        <v>0</v>
      </c>
      <c r="AG305" s="69">
        <f t="shared" si="89"/>
        <v>0</v>
      </c>
    </row>
    <row r="306" spans="2:33">
      <c r="B306" s="65" t="s">
        <v>975</v>
      </c>
      <c r="C306" s="68">
        <f>IFERROR(SUMIF(初度設備!$C$30:$C$74,B306,初度設備!$N$30:$N$74)*((初度設備!$H$3-初度設備!$I$3)/初度設備!$H$3),0)</f>
        <v>0</v>
      </c>
      <c r="D306" s="69">
        <f t="shared" si="74"/>
        <v>0</v>
      </c>
      <c r="E306" s="68">
        <f>IFERROR(SUMIF(人工呼吸器!$C$30:$C$74,B306,人工呼吸器!$N$30:$N$74)*((人工呼吸器!$H$3-人工呼吸器!$I$3)/人工呼吸器!$H$3),0)</f>
        <v>0</v>
      </c>
      <c r="F306" s="69">
        <f t="shared" si="75"/>
        <v>0</v>
      </c>
      <c r="G306" s="69">
        <f t="shared" si="76"/>
        <v>0</v>
      </c>
      <c r="H306" s="69">
        <f t="shared" si="77"/>
        <v>0</v>
      </c>
      <c r="I306" s="68">
        <f>IFERROR(SUMIF(簡易陰圧装置!$C$30:$C$74,B306,簡易陰圧装置!$N$30:$N$74)*((簡易陰圧装置!$H$3-簡易陰圧装置!$I$3)/簡易陰圧装置!$H$3),0)</f>
        <v>0</v>
      </c>
      <c r="J306" s="69">
        <f t="shared" si="78"/>
        <v>0</v>
      </c>
      <c r="K306" s="68">
        <f>IFERROR(SUMIF(#REF!,B306,#REF!)*((#REF!-#REF!)/#REF!),0)</f>
        <v>0</v>
      </c>
      <c r="L306" s="69">
        <f t="shared" si="79"/>
        <v>0</v>
      </c>
      <c r="M306" s="68">
        <f>IFERROR(SUMIF(体外式膜型人工肺!$C$30:$C$74,B306,体外式膜型人工肺!$N$30:$N$74)*((体外式膜型人工肺!$H$3-体外式膜型人工肺!$I$3)/体外式膜型人工肺!$H$3),0)</f>
        <v>0</v>
      </c>
      <c r="N306" s="69">
        <f t="shared" si="80"/>
        <v>0</v>
      </c>
      <c r="O306" s="69">
        <f t="shared" si="81"/>
        <v>0</v>
      </c>
      <c r="P306" s="69">
        <f t="shared" si="82"/>
        <v>0</v>
      </c>
      <c r="Q306" s="68">
        <f>IFERROR(SUMIF(紫外線照射装置!$C$30:$C$74,B306,紫外線照射装置!$N$30:$N$74)*((紫外線照射装置!$H$3-紫外線照射装置!$I$3)/紫外線照射装置!$H$3),0)</f>
        <v>0</v>
      </c>
      <c r="R306" s="69">
        <f t="shared" si="83"/>
        <v>0</v>
      </c>
      <c r="S306" s="102">
        <f t="shared" si="84"/>
        <v>0</v>
      </c>
      <c r="T306" s="68">
        <f>IFERROR(SUMIF(超音波画像診断装置!$C$30:$C$74,B306,超音波画像診断装置!$K$30:$K$74)*((超音波画像診断装置!$H$3-超音波画像診断装置!$I$3)/超音波画像診断装置!$H$3),0)</f>
        <v>0</v>
      </c>
      <c r="U306" s="69">
        <f t="shared" si="85"/>
        <v>0</v>
      </c>
      <c r="V306" s="68">
        <f>IFERROR(SUMIF(血液浄化装置!$C$30:$C$74,B306,血液浄化装置!$K$30:$K$74)*((血液浄化装置!$H$3-血液浄化装置!$I$3)/血液浄化装置!$H$3),0)</f>
        <v>0</v>
      </c>
      <c r="W306" s="69">
        <f t="shared" si="86"/>
        <v>0</v>
      </c>
      <c r="X306" s="68">
        <f>IFERROR(SUMIF(気管支鏡!$C$30:$C$74,B306,気管支鏡!$K$30:$K$74)*((気管支鏡!$H$3-気管支鏡!$I$3)/気管支鏡!$H$3),0)</f>
        <v>0</v>
      </c>
      <c r="Y306" s="69">
        <f t="shared" si="72"/>
        <v>0</v>
      </c>
      <c r="Z306" s="68">
        <f>IFERROR(SUMIF(CT撮影装置!$C$30:$C$74,B306,CT撮影装置!$K$30:$K$74)*((CT撮影装置!$H$3-CT撮影装置!$I$3)/CT撮影装置!$H$3),0)</f>
        <v>0</v>
      </c>
      <c r="AA306" s="69">
        <f t="shared" si="87"/>
        <v>0</v>
      </c>
      <c r="AB306" s="68">
        <f>IFERROR(SUMIF(生体情報モニタ!$C$30:$C$74,B306,生体情報モニタ!$K$30:$K$74)*((生体情報モニタ!$H$3-生体情報モニタ!$I$3)/生体情報モニタ!$H$3),0)</f>
        <v>0</v>
      </c>
      <c r="AC306" s="69">
        <f t="shared" si="73"/>
        <v>0</v>
      </c>
      <c r="AD306" s="68">
        <f>IFERROR(SUMIF(分娩監視装置!$C$30:$C$74,B306,分娩監視装置!$K$30:$K$74)*((分娩監視装置!$H$3-分娩監視装置!$I$3)/分娩監視装置!$H$3),0)</f>
        <v>0</v>
      </c>
      <c r="AE306" s="69">
        <f t="shared" si="88"/>
        <v>0</v>
      </c>
      <c r="AF306" s="68">
        <f>IFERROR(SUMIF(新生児モニタ!$C$30:$C$74,B306,新生児モニタ!$K$30:$K$74)*((新生児モニタ!$H$3-新生児モニタ!$I$3)/新生児モニタ!$H$3),0)</f>
        <v>0</v>
      </c>
      <c r="AG306" s="69">
        <f t="shared" si="89"/>
        <v>0</v>
      </c>
    </row>
    <row r="307" spans="2:33">
      <c r="B307" s="65" t="s">
        <v>976</v>
      </c>
      <c r="C307" s="68">
        <f>IFERROR(SUMIF(初度設備!$C$30:$C$74,B307,初度設備!$N$30:$N$74)*((初度設備!$H$3-初度設備!$I$3)/初度設備!$H$3),0)</f>
        <v>0</v>
      </c>
      <c r="D307" s="69">
        <f t="shared" si="74"/>
        <v>0</v>
      </c>
      <c r="E307" s="68">
        <f>IFERROR(SUMIF(人工呼吸器!$C$30:$C$74,B307,人工呼吸器!$N$30:$N$74)*((人工呼吸器!$H$3-人工呼吸器!$I$3)/人工呼吸器!$H$3),0)</f>
        <v>0</v>
      </c>
      <c r="F307" s="69">
        <f t="shared" si="75"/>
        <v>0</v>
      </c>
      <c r="G307" s="69">
        <f t="shared" si="76"/>
        <v>0</v>
      </c>
      <c r="H307" s="69">
        <f t="shared" si="77"/>
        <v>0</v>
      </c>
      <c r="I307" s="68">
        <f>IFERROR(SUMIF(簡易陰圧装置!$C$30:$C$74,B307,簡易陰圧装置!$N$30:$N$74)*((簡易陰圧装置!$H$3-簡易陰圧装置!$I$3)/簡易陰圧装置!$H$3),0)</f>
        <v>0</v>
      </c>
      <c r="J307" s="69">
        <f t="shared" si="78"/>
        <v>0</v>
      </c>
      <c r="K307" s="68">
        <f>IFERROR(SUMIF(#REF!,B307,#REF!)*((#REF!-#REF!)/#REF!),0)</f>
        <v>0</v>
      </c>
      <c r="L307" s="69">
        <f t="shared" si="79"/>
        <v>0</v>
      </c>
      <c r="M307" s="68">
        <f>IFERROR(SUMIF(体外式膜型人工肺!$C$30:$C$74,B307,体外式膜型人工肺!$N$30:$N$74)*((体外式膜型人工肺!$H$3-体外式膜型人工肺!$I$3)/体外式膜型人工肺!$H$3),0)</f>
        <v>0</v>
      </c>
      <c r="N307" s="69">
        <f t="shared" si="80"/>
        <v>0</v>
      </c>
      <c r="O307" s="69">
        <f t="shared" si="81"/>
        <v>0</v>
      </c>
      <c r="P307" s="69">
        <f t="shared" si="82"/>
        <v>0</v>
      </c>
      <c r="Q307" s="68">
        <f>IFERROR(SUMIF(紫外線照射装置!$C$30:$C$74,B307,紫外線照射装置!$N$30:$N$74)*((紫外線照射装置!$H$3-紫外線照射装置!$I$3)/紫外線照射装置!$H$3),0)</f>
        <v>0</v>
      </c>
      <c r="R307" s="69">
        <f t="shared" si="83"/>
        <v>0</v>
      </c>
      <c r="S307" s="102">
        <f t="shared" si="84"/>
        <v>0</v>
      </c>
      <c r="T307" s="68">
        <f>IFERROR(SUMIF(超音波画像診断装置!$C$30:$C$74,B307,超音波画像診断装置!$K$30:$K$74)*((超音波画像診断装置!$H$3-超音波画像診断装置!$I$3)/超音波画像診断装置!$H$3),0)</f>
        <v>0</v>
      </c>
      <c r="U307" s="69">
        <f t="shared" si="85"/>
        <v>0</v>
      </c>
      <c r="V307" s="68">
        <f>IFERROR(SUMIF(血液浄化装置!$C$30:$C$74,B307,血液浄化装置!$K$30:$K$74)*((血液浄化装置!$H$3-血液浄化装置!$I$3)/血液浄化装置!$H$3),0)</f>
        <v>0</v>
      </c>
      <c r="W307" s="69">
        <f t="shared" si="86"/>
        <v>0</v>
      </c>
      <c r="X307" s="68">
        <f>IFERROR(SUMIF(気管支鏡!$C$30:$C$74,B307,気管支鏡!$K$30:$K$74)*((気管支鏡!$H$3-気管支鏡!$I$3)/気管支鏡!$H$3),0)</f>
        <v>0</v>
      </c>
      <c r="Y307" s="69">
        <f t="shared" si="72"/>
        <v>0</v>
      </c>
      <c r="Z307" s="68">
        <f>IFERROR(SUMIF(CT撮影装置!$C$30:$C$74,B307,CT撮影装置!$K$30:$K$74)*((CT撮影装置!$H$3-CT撮影装置!$I$3)/CT撮影装置!$H$3),0)</f>
        <v>0</v>
      </c>
      <c r="AA307" s="69">
        <f t="shared" si="87"/>
        <v>0</v>
      </c>
      <c r="AB307" s="68">
        <f>IFERROR(SUMIF(生体情報モニタ!$C$30:$C$74,B307,生体情報モニタ!$K$30:$K$74)*((生体情報モニタ!$H$3-生体情報モニタ!$I$3)/生体情報モニタ!$H$3),0)</f>
        <v>0</v>
      </c>
      <c r="AC307" s="69">
        <f t="shared" si="73"/>
        <v>0</v>
      </c>
      <c r="AD307" s="68">
        <f>IFERROR(SUMIF(分娩監視装置!$C$30:$C$74,B307,分娩監視装置!$K$30:$K$74)*((分娩監視装置!$H$3-分娩監視装置!$I$3)/分娩監視装置!$H$3),0)</f>
        <v>0</v>
      </c>
      <c r="AE307" s="69">
        <f t="shared" si="88"/>
        <v>0</v>
      </c>
      <c r="AF307" s="68">
        <f>IFERROR(SUMIF(新生児モニタ!$C$30:$C$74,B307,新生児モニタ!$K$30:$K$74)*((新生児モニタ!$H$3-新生児モニタ!$I$3)/新生児モニタ!$H$3),0)</f>
        <v>0</v>
      </c>
      <c r="AG307" s="69">
        <f t="shared" si="89"/>
        <v>0</v>
      </c>
    </row>
    <row r="308" spans="2:33">
      <c r="B308" s="65" t="s">
        <v>977</v>
      </c>
      <c r="C308" s="68">
        <f>IFERROR(SUMIF(初度設備!$C$30:$C$74,B308,初度設備!$N$30:$N$74)*((初度設備!$H$3-初度設備!$I$3)/初度設備!$H$3),0)</f>
        <v>0</v>
      </c>
      <c r="D308" s="69">
        <f t="shared" si="74"/>
        <v>0</v>
      </c>
      <c r="E308" s="68">
        <f>IFERROR(SUMIF(人工呼吸器!$C$30:$C$74,B308,人工呼吸器!$N$30:$N$74)*((人工呼吸器!$H$3-人工呼吸器!$I$3)/人工呼吸器!$H$3),0)</f>
        <v>0</v>
      </c>
      <c r="F308" s="69">
        <f t="shared" si="75"/>
        <v>0</v>
      </c>
      <c r="G308" s="69">
        <f t="shared" si="76"/>
        <v>0</v>
      </c>
      <c r="H308" s="69">
        <f t="shared" si="77"/>
        <v>0</v>
      </c>
      <c r="I308" s="68">
        <f>IFERROR(SUMIF(簡易陰圧装置!$C$30:$C$74,B308,簡易陰圧装置!$N$30:$N$74)*((簡易陰圧装置!$H$3-簡易陰圧装置!$I$3)/簡易陰圧装置!$H$3),0)</f>
        <v>0</v>
      </c>
      <c r="J308" s="69">
        <f t="shared" si="78"/>
        <v>0</v>
      </c>
      <c r="K308" s="68">
        <f>IFERROR(SUMIF(#REF!,B308,#REF!)*((#REF!-#REF!)/#REF!),0)</f>
        <v>0</v>
      </c>
      <c r="L308" s="69">
        <f t="shared" si="79"/>
        <v>0</v>
      </c>
      <c r="M308" s="68">
        <f>IFERROR(SUMIF(体外式膜型人工肺!$C$30:$C$74,B308,体外式膜型人工肺!$N$30:$N$74)*((体外式膜型人工肺!$H$3-体外式膜型人工肺!$I$3)/体外式膜型人工肺!$H$3),0)</f>
        <v>0</v>
      </c>
      <c r="N308" s="69">
        <f t="shared" si="80"/>
        <v>0</v>
      </c>
      <c r="O308" s="69">
        <f t="shared" si="81"/>
        <v>0</v>
      </c>
      <c r="P308" s="69">
        <f t="shared" si="82"/>
        <v>0</v>
      </c>
      <c r="Q308" s="68">
        <f>IFERROR(SUMIF(紫外線照射装置!$C$30:$C$74,B308,紫外線照射装置!$N$30:$N$74)*((紫外線照射装置!$H$3-紫外線照射装置!$I$3)/紫外線照射装置!$H$3),0)</f>
        <v>0</v>
      </c>
      <c r="R308" s="69">
        <f t="shared" si="83"/>
        <v>0</v>
      </c>
      <c r="S308" s="102">
        <f t="shared" si="84"/>
        <v>0</v>
      </c>
      <c r="T308" s="68">
        <f>IFERROR(SUMIF(超音波画像診断装置!$C$30:$C$74,B308,超音波画像診断装置!$K$30:$K$74)*((超音波画像診断装置!$H$3-超音波画像診断装置!$I$3)/超音波画像診断装置!$H$3),0)</f>
        <v>0</v>
      </c>
      <c r="U308" s="69">
        <f t="shared" si="85"/>
        <v>0</v>
      </c>
      <c r="V308" s="68">
        <f>IFERROR(SUMIF(血液浄化装置!$C$30:$C$74,B308,血液浄化装置!$K$30:$K$74)*((血液浄化装置!$H$3-血液浄化装置!$I$3)/血液浄化装置!$H$3),0)</f>
        <v>0</v>
      </c>
      <c r="W308" s="69">
        <f t="shared" si="86"/>
        <v>0</v>
      </c>
      <c r="X308" s="68">
        <f>IFERROR(SUMIF(気管支鏡!$C$30:$C$74,B308,気管支鏡!$K$30:$K$74)*((気管支鏡!$H$3-気管支鏡!$I$3)/気管支鏡!$H$3),0)</f>
        <v>0</v>
      </c>
      <c r="Y308" s="69">
        <f t="shared" si="72"/>
        <v>0</v>
      </c>
      <c r="Z308" s="68">
        <f>IFERROR(SUMIF(CT撮影装置!$C$30:$C$74,B308,CT撮影装置!$K$30:$K$74)*((CT撮影装置!$H$3-CT撮影装置!$I$3)/CT撮影装置!$H$3),0)</f>
        <v>0</v>
      </c>
      <c r="AA308" s="69">
        <f t="shared" si="87"/>
        <v>0</v>
      </c>
      <c r="AB308" s="68">
        <f>IFERROR(SUMIF(生体情報モニタ!$C$30:$C$74,B308,生体情報モニタ!$K$30:$K$74)*((生体情報モニタ!$H$3-生体情報モニタ!$I$3)/生体情報モニタ!$H$3),0)</f>
        <v>0</v>
      </c>
      <c r="AC308" s="69">
        <f t="shared" si="73"/>
        <v>0</v>
      </c>
      <c r="AD308" s="68">
        <f>IFERROR(SUMIF(分娩監視装置!$C$30:$C$74,B308,分娩監視装置!$K$30:$K$74)*((分娩監視装置!$H$3-分娩監視装置!$I$3)/分娩監視装置!$H$3),0)</f>
        <v>0</v>
      </c>
      <c r="AE308" s="69">
        <f t="shared" si="88"/>
        <v>0</v>
      </c>
      <c r="AF308" s="68">
        <f>IFERROR(SUMIF(新生児モニタ!$C$30:$C$74,B308,新生児モニタ!$K$30:$K$74)*((新生児モニタ!$H$3-新生児モニタ!$I$3)/新生児モニタ!$H$3),0)</f>
        <v>0</v>
      </c>
      <c r="AG308" s="69">
        <f t="shared" si="89"/>
        <v>0</v>
      </c>
    </row>
    <row r="309" spans="2:33">
      <c r="B309" s="65" t="s">
        <v>978</v>
      </c>
      <c r="C309" s="68">
        <f>IFERROR(SUMIF(初度設備!$C$30:$C$74,B309,初度設備!$N$30:$N$74)*((初度設備!$H$3-初度設備!$I$3)/初度設備!$H$3),0)</f>
        <v>0</v>
      </c>
      <c r="D309" s="69">
        <f t="shared" si="74"/>
        <v>0</v>
      </c>
      <c r="E309" s="68">
        <f>IFERROR(SUMIF(人工呼吸器!$C$30:$C$74,B309,人工呼吸器!$N$30:$N$74)*((人工呼吸器!$H$3-人工呼吸器!$I$3)/人工呼吸器!$H$3),0)</f>
        <v>0</v>
      </c>
      <c r="F309" s="69">
        <f t="shared" si="75"/>
        <v>0</v>
      </c>
      <c r="G309" s="69">
        <f t="shared" si="76"/>
        <v>0</v>
      </c>
      <c r="H309" s="69">
        <f t="shared" si="77"/>
        <v>0</v>
      </c>
      <c r="I309" s="68">
        <f>IFERROR(SUMIF(簡易陰圧装置!$C$30:$C$74,B309,簡易陰圧装置!$N$30:$N$74)*((簡易陰圧装置!$H$3-簡易陰圧装置!$I$3)/簡易陰圧装置!$H$3),0)</f>
        <v>0</v>
      </c>
      <c r="J309" s="69">
        <f t="shared" si="78"/>
        <v>0</v>
      </c>
      <c r="K309" s="68">
        <f>IFERROR(SUMIF(#REF!,B309,#REF!)*((#REF!-#REF!)/#REF!),0)</f>
        <v>0</v>
      </c>
      <c r="L309" s="69">
        <f t="shared" si="79"/>
        <v>0</v>
      </c>
      <c r="M309" s="68">
        <f>IFERROR(SUMIF(体外式膜型人工肺!$C$30:$C$74,B309,体外式膜型人工肺!$N$30:$N$74)*((体外式膜型人工肺!$H$3-体外式膜型人工肺!$I$3)/体外式膜型人工肺!$H$3),0)</f>
        <v>0</v>
      </c>
      <c r="N309" s="69">
        <f t="shared" si="80"/>
        <v>0</v>
      </c>
      <c r="O309" s="69">
        <f t="shared" si="81"/>
        <v>0</v>
      </c>
      <c r="P309" s="69">
        <f t="shared" si="82"/>
        <v>0</v>
      </c>
      <c r="Q309" s="68">
        <f>IFERROR(SUMIF(紫外線照射装置!$C$30:$C$74,B309,紫外線照射装置!$N$30:$N$74)*((紫外線照射装置!$H$3-紫外線照射装置!$I$3)/紫外線照射装置!$H$3),0)</f>
        <v>0</v>
      </c>
      <c r="R309" s="69">
        <f t="shared" si="83"/>
        <v>0</v>
      </c>
      <c r="S309" s="102">
        <f t="shared" si="84"/>
        <v>0</v>
      </c>
      <c r="T309" s="68">
        <f>IFERROR(SUMIF(超音波画像診断装置!$C$30:$C$74,B309,超音波画像診断装置!$K$30:$K$74)*((超音波画像診断装置!$H$3-超音波画像診断装置!$I$3)/超音波画像診断装置!$H$3),0)</f>
        <v>0</v>
      </c>
      <c r="U309" s="69">
        <f t="shared" si="85"/>
        <v>0</v>
      </c>
      <c r="V309" s="68">
        <f>IFERROR(SUMIF(血液浄化装置!$C$30:$C$74,B309,血液浄化装置!$K$30:$K$74)*((血液浄化装置!$H$3-血液浄化装置!$I$3)/血液浄化装置!$H$3),0)</f>
        <v>0</v>
      </c>
      <c r="W309" s="69">
        <f t="shared" si="86"/>
        <v>0</v>
      </c>
      <c r="X309" s="68">
        <f>IFERROR(SUMIF(気管支鏡!$C$30:$C$74,B309,気管支鏡!$K$30:$K$74)*((気管支鏡!$H$3-気管支鏡!$I$3)/気管支鏡!$H$3),0)</f>
        <v>0</v>
      </c>
      <c r="Y309" s="69">
        <f t="shared" si="72"/>
        <v>0</v>
      </c>
      <c r="Z309" s="68">
        <f>IFERROR(SUMIF(CT撮影装置!$C$30:$C$74,B309,CT撮影装置!$K$30:$K$74)*((CT撮影装置!$H$3-CT撮影装置!$I$3)/CT撮影装置!$H$3),0)</f>
        <v>0</v>
      </c>
      <c r="AA309" s="69">
        <f t="shared" si="87"/>
        <v>0</v>
      </c>
      <c r="AB309" s="68">
        <f>IFERROR(SUMIF(生体情報モニタ!$C$30:$C$74,B309,生体情報モニタ!$K$30:$K$74)*((生体情報モニタ!$H$3-生体情報モニタ!$I$3)/生体情報モニタ!$H$3),0)</f>
        <v>0</v>
      </c>
      <c r="AC309" s="69">
        <f t="shared" si="73"/>
        <v>0</v>
      </c>
      <c r="AD309" s="68">
        <f>IFERROR(SUMIF(分娩監視装置!$C$30:$C$74,B309,分娩監視装置!$K$30:$K$74)*((分娩監視装置!$H$3-分娩監視装置!$I$3)/分娩監視装置!$H$3),0)</f>
        <v>0</v>
      </c>
      <c r="AE309" s="69">
        <f t="shared" si="88"/>
        <v>0</v>
      </c>
      <c r="AF309" s="68">
        <f>IFERROR(SUMIF(新生児モニタ!$C$30:$C$74,B309,新生児モニタ!$K$30:$K$74)*((新生児モニタ!$H$3-新生児モニタ!$I$3)/新生児モニタ!$H$3),0)</f>
        <v>0</v>
      </c>
      <c r="AG309" s="69">
        <f t="shared" si="89"/>
        <v>0</v>
      </c>
    </row>
    <row r="310" spans="2:33">
      <c r="B310" s="65" t="s">
        <v>979</v>
      </c>
      <c r="C310" s="68">
        <f>IFERROR(SUMIF(初度設備!$C$30:$C$74,B310,初度設備!$N$30:$N$74)*((初度設備!$H$3-初度設備!$I$3)/初度設備!$H$3),0)</f>
        <v>0</v>
      </c>
      <c r="D310" s="69">
        <f t="shared" si="74"/>
        <v>0</v>
      </c>
      <c r="E310" s="68">
        <f>IFERROR(SUMIF(人工呼吸器!$C$30:$C$74,B310,人工呼吸器!$N$30:$N$74)*((人工呼吸器!$H$3-人工呼吸器!$I$3)/人工呼吸器!$H$3),0)</f>
        <v>0</v>
      </c>
      <c r="F310" s="69">
        <f t="shared" si="75"/>
        <v>0</v>
      </c>
      <c r="G310" s="69">
        <f t="shared" si="76"/>
        <v>0</v>
      </c>
      <c r="H310" s="69">
        <f t="shared" si="77"/>
        <v>0</v>
      </c>
      <c r="I310" s="68">
        <f>IFERROR(SUMIF(簡易陰圧装置!$C$30:$C$74,B310,簡易陰圧装置!$N$30:$N$74)*((簡易陰圧装置!$H$3-簡易陰圧装置!$I$3)/簡易陰圧装置!$H$3),0)</f>
        <v>0</v>
      </c>
      <c r="J310" s="69">
        <f t="shared" si="78"/>
        <v>0</v>
      </c>
      <c r="K310" s="68">
        <f>IFERROR(SUMIF(#REF!,B310,#REF!)*((#REF!-#REF!)/#REF!),0)</f>
        <v>0</v>
      </c>
      <c r="L310" s="69">
        <f t="shared" si="79"/>
        <v>0</v>
      </c>
      <c r="M310" s="68">
        <f>IFERROR(SUMIF(体外式膜型人工肺!$C$30:$C$74,B310,体外式膜型人工肺!$N$30:$N$74)*((体外式膜型人工肺!$H$3-体外式膜型人工肺!$I$3)/体外式膜型人工肺!$H$3),0)</f>
        <v>0</v>
      </c>
      <c r="N310" s="69">
        <f t="shared" si="80"/>
        <v>0</v>
      </c>
      <c r="O310" s="69">
        <f t="shared" si="81"/>
        <v>0</v>
      </c>
      <c r="P310" s="69">
        <f t="shared" si="82"/>
        <v>0</v>
      </c>
      <c r="Q310" s="68">
        <f>IFERROR(SUMIF(紫外線照射装置!$C$30:$C$74,B310,紫外線照射装置!$N$30:$N$74)*((紫外線照射装置!$H$3-紫外線照射装置!$I$3)/紫外線照射装置!$H$3),0)</f>
        <v>0</v>
      </c>
      <c r="R310" s="69">
        <f t="shared" si="83"/>
        <v>0</v>
      </c>
      <c r="S310" s="102">
        <f t="shared" si="84"/>
        <v>0</v>
      </c>
      <c r="T310" s="68">
        <f>IFERROR(SUMIF(超音波画像診断装置!$C$30:$C$74,B310,超音波画像診断装置!$K$30:$K$74)*((超音波画像診断装置!$H$3-超音波画像診断装置!$I$3)/超音波画像診断装置!$H$3),0)</f>
        <v>0</v>
      </c>
      <c r="U310" s="69">
        <f t="shared" si="85"/>
        <v>0</v>
      </c>
      <c r="V310" s="68">
        <f>IFERROR(SUMIF(血液浄化装置!$C$30:$C$74,B310,血液浄化装置!$K$30:$K$74)*((血液浄化装置!$H$3-血液浄化装置!$I$3)/血液浄化装置!$H$3),0)</f>
        <v>0</v>
      </c>
      <c r="W310" s="69">
        <f t="shared" si="86"/>
        <v>0</v>
      </c>
      <c r="X310" s="68">
        <f>IFERROR(SUMIF(気管支鏡!$C$30:$C$74,B310,気管支鏡!$K$30:$K$74)*((気管支鏡!$H$3-気管支鏡!$I$3)/気管支鏡!$H$3),0)</f>
        <v>0</v>
      </c>
      <c r="Y310" s="69">
        <f t="shared" si="72"/>
        <v>0</v>
      </c>
      <c r="Z310" s="68">
        <f>IFERROR(SUMIF(CT撮影装置!$C$30:$C$74,B310,CT撮影装置!$K$30:$K$74)*((CT撮影装置!$H$3-CT撮影装置!$I$3)/CT撮影装置!$H$3),0)</f>
        <v>0</v>
      </c>
      <c r="AA310" s="69">
        <f t="shared" si="87"/>
        <v>0</v>
      </c>
      <c r="AB310" s="68">
        <f>IFERROR(SUMIF(生体情報モニタ!$C$30:$C$74,B310,生体情報モニタ!$K$30:$K$74)*((生体情報モニタ!$H$3-生体情報モニタ!$I$3)/生体情報モニタ!$H$3),0)</f>
        <v>0</v>
      </c>
      <c r="AC310" s="69">
        <f t="shared" si="73"/>
        <v>0</v>
      </c>
      <c r="AD310" s="68">
        <f>IFERROR(SUMIF(分娩監視装置!$C$30:$C$74,B310,分娩監視装置!$K$30:$K$74)*((分娩監視装置!$H$3-分娩監視装置!$I$3)/分娩監視装置!$H$3),0)</f>
        <v>0</v>
      </c>
      <c r="AE310" s="69">
        <f t="shared" si="88"/>
        <v>0</v>
      </c>
      <c r="AF310" s="68">
        <f>IFERROR(SUMIF(新生児モニタ!$C$30:$C$74,B310,新生児モニタ!$K$30:$K$74)*((新生児モニタ!$H$3-新生児モニタ!$I$3)/新生児モニタ!$H$3),0)</f>
        <v>0</v>
      </c>
      <c r="AG310" s="69">
        <f t="shared" si="89"/>
        <v>0</v>
      </c>
    </row>
    <row r="311" spans="2:33">
      <c r="B311" s="65" t="s">
        <v>980</v>
      </c>
      <c r="C311" s="68">
        <f>IFERROR(SUMIF(初度設備!$C$30:$C$74,B311,初度設備!$N$30:$N$74)*((初度設備!$H$3-初度設備!$I$3)/初度設備!$H$3),0)</f>
        <v>0</v>
      </c>
      <c r="D311" s="69">
        <f t="shared" si="74"/>
        <v>0</v>
      </c>
      <c r="E311" s="68">
        <f>IFERROR(SUMIF(人工呼吸器!$C$30:$C$74,B311,人工呼吸器!$N$30:$N$74)*((人工呼吸器!$H$3-人工呼吸器!$I$3)/人工呼吸器!$H$3),0)</f>
        <v>0</v>
      </c>
      <c r="F311" s="69">
        <f t="shared" si="75"/>
        <v>0</v>
      </c>
      <c r="G311" s="69">
        <f t="shared" si="76"/>
        <v>0</v>
      </c>
      <c r="H311" s="69">
        <f t="shared" si="77"/>
        <v>0</v>
      </c>
      <c r="I311" s="68">
        <f>IFERROR(SUMIF(簡易陰圧装置!$C$30:$C$74,B311,簡易陰圧装置!$N$30:$N$74)*((簡易陰圧装置!$H$3-簡易陰圧装置!$I$3)/簡易陰圧装置!$H$3),0)</f>
        <v>0</v>
      </c>
      <c r="J311" s="69">
        <f t="shared" si="78"/>
        <v>0</v>
      </c>
      <c r="K311" s="68">
        <f>IFERROR(SUMIF(#REF!,B311,#REF!)*((#REF!-#REF!)/#REF!),0)</f>
        <v>0</v>
      </c>
      <c r="L311" s="69">
        <f t="shared" si="79"/>
        <v>0</v>
      </c>
      <c r="M311" s="68">
        <f>IFERROR(SUMIF(体外式膜型人工肺!$C$30:$C$74,B311,体外式膜型人工肺!$N$30:$N$74)*((体外式膜型人工肺!$H$3-体外式膜型人工肺!$I$3)/体外式膜型人工肺!$H$3),0)</f>
        <v>0</v>
      </c>
      <c r="N311" s="69">
        <f t="shared" si="80"/>
        <v>0</v>
      </c>
      <c r="O311" s="69">
        <f t="shared" si="81"/>
        <v>0</v>
      </c>
      <c r="P311" s="69">
        <f t="shared" si="82"/>
        <v>0</v>
      </c>
      <c r="Q311" s="68">
        <f>IFERROR(SUMIF(紫外線照射装置!$C$30:$C$74,B311,紫外線照射装置!$N$30:$N$74)*((紫外線照射装置!$H$3-紫外線照射装置!$I$3)/紫外線照射装置!$H$3),0)</f>
        <v>0</v>
      </c>
      <c r="R311" s="69">
        <f t="shared" si="83"/>
        <v>0</v>
      </c>
      <c r="S311" s="102">
        <f t="shared" si="84"/>
        <v>0</v>
      </c>
      <c r="T311" s="68">
        <f>IFERROR(SUMIF(超音波画像診断装置!$C$30:$C$74,B311,超音波画像診断装置!$K$30:$K$74)*((超音波画像診断装置!$H$3-超音波画像診断装置!$I$3)/超音波画像診断装置!$H$3),0)</f>
        <v>0</v>
      </c>
      <c r="U311" s="69">
        <f t="shared" si="85"/>
        <v>0</v>
      </c>
      <c r="V311" s="68">
        <f>IFERROR(SUMIF(血液浄化装置!$C$30:$C$74,B311,血液浄化装置!$K$30:$K$74)*((血液浄化装置!$H$3-血液浄化装置!$I$3)/血液浄化装置!$H$3),0)</f>
        <v>0</v>
      </c>
      <c r="W311" s="69">
        <f t="shared" si="86"/>
        <v>0</v>
      </c>
      <c r="X311" s="68">
        <f>IFERROR(SUMIF(気管支鏡!$C$30:$C$74,B311,気管支鏡!$K$30:$K$74)*((気管支鏡!$H$3-気管支鏡!$I$3)/気管支鏡!$H$3),0)</f>
        <v>0</v>
      </c>
      <c r="Y311" s="69">
        <f t="shared" si="72"/>
        <v>0</v>
      </c>
      <c r="Z311" s="68">
        <f>IFERROR(SUMIF(CT撮影装置!$C$30:$C$74,B311,CT撮影装置!$K$30:$K$74)*((CT撮影装置!$H$3-CT撮影装置!$I$3)/CT撮影装置!$H$3),0)</f>
        <v>0</v>
      </c>
      <c r="AA311" s="69">
        <f t="shared" si="87"/>
        <v>0</v>
      </c>
      <c r="AB311" s="68">
        <f>IFERROR(SUMIF(生体情報モニタ!$C$30:$C$74,B311,生体情報モニタ!$K$30:$K$74)*((生体情報モニタ!$H$3-生体情報モニタ!$I$3)/生体情報モニタ!$H$3),0)</f>
        <v>0</v>
      </c>
      <c r="AC311" s="69">
        <f t="shared" si="73"/>
        <v>0</v>
      </c>
      <c r="AD311" s="68">
        <f>IFERROR(SUMIF(分娩監視装置!$C$30:$C$74,B311,分娩監視装置!$K$30:$K$74)*((分娩監視装置!$H$3-分娩監視装置!$I$3)/分娩監視装置!$H$3),0)</f>
        <v>0</v>
      </c>
      <c r="AE311" s="69">
        <f t="shared" si="88"/>
        <v>0</v>
      </c>
      <c r="AF311" s="68">
        <f>IFERROR(SUMIF(新生児モニタ!$C$30:$C$74,B311,新生児モニタ!$K$30:$K$74)*((新生児モニタ!$H$3-新生児モニタ!$I$3)/新生児モニタ!$H$3),0)</f>
        <v>0</v>
      </c>
      <c r="AG311" s="69">
        <f t="shared" si="89"/>
        <v>0</v>
      </c>
    </row>
    <row r="312" spans="2:33">
      <c r="B312" s="65" t="s">
        <v>981</v>
      </c>
      <c r="C312" s="68">
        <f>IFERROR(SUMIF(初度設備!$C$30:$C$74,B312,初度設備!$N$30:$N$74)*((初度設備!$H$3-初度設備!$I$3)/初度設備!$H$3),0)</f>
        <v>0</v>
      </c>
      <c r="D312" s="69">
        <f t="shared" si="74"/>
        <v>0</v>
      </c>
      <c r="E312" s="68">
        <f>IFERROR(SUMIF(人工呼吸器!$C$30:$C$74,B312,人工呼吸器!$N$30:$N$74)*((人工呼吸器!$H$3-人工呼吸器!$I$3)/人工呼吸器!$H$3),0)</f>
        <v>0</v>
      </c>
      <c r="F312" s="69">
        <f t="shared" si="75"/>
        <v>0</v>
      </c>
      <c r="G312" s="69">
        <f t="shared" si="76"/>
        <v>0</v>
      </c>
      <c r="H312" s="69">
        <f t="shared" si="77"/>
        <v>0</v>
      </c>
      <c r="I312" s="68">
        <f>IFERROR(SUMIF(簡易陰圧装置!$C$30:$C$74,B312,簡易陰圧装置!$N$30:$N$74)*((簡易陰圧装置!$H$3-簡易陰圧装置!$I$3)/簡易陰圧装置!$H$3),0)</f>
        <v>0</v>
      </c>
      <c r="J312" s="69">
        <f t="shared" si="78"/>
        <v>0</v>
      </c>
      <c r="K312" s="68">
        <f>IFERROR(SUMIF(#REF!,B312,#REF!)*((#REF!-#REF!)/#REF!),0)</f>
        <v>0</v>
      </c>
      <c r="L312" s="69">
        <f t="shared" si="79"/>
        <v>0</v>
      </c>
      <c r="M312" s="68">
        <f>IFERROR(SUMIF(体外式膜型人工肺!$C$30:$C$74,B312,体外式膜型人工肺!$N$30:$N$74)*((体外式膜型人工肺!$H$3-体外式膜型人工肺!$I$3)/体外式膜型人工肺!$H$3),0)</f>
        <v>0</v>
      </c>
      <c r="N312" s="69">
        <f t="shared" si="80"/>
        <v>0</v>
      </c>
      <c r="O312" s="69">
        <f t="shared" si="81"/>
        <v>0</v>
      </c>
      <c r="P312" s="69">
        <f t="shared" si="82"/>
        <v>0</v>
      </c>
      <c r="Q312" s="68">
        <f>IFERROR(SUMIF(紫外線照射装置!$C$30:$C$74,B312,紫外線照射装置!$N$30:$N$74)*((紫外線照射装置!$H$3-紫外線照射装置!$I$3)/紫外線照射装置!$H$3),0)</f>
        <v>0</v>
      </c>
      <c r="R312" s="69">
        <f t="shared" si="83"/>
        <v>0</v>
      </c>
      <c r="S312" s="102">
        <f t="shared" si="84"/>
        <v>0</v>
      </c>
      <c r="T312" s="68">
        <f>IFERROR(SUMIF(超音波画像診断装置!$C$30:$C$74,B312,超音波画像診断装置!$K$30:$K$74)*((超音波画像診断装置!$H$3-超音波画像診断装置!$I$3)/超音波画像診断装置!$H$3),0)</f>
        <v>0</v>
      </c>
      <c r="U312" s="69">
        <f t="shared" si="85"/>
        <v>0</v>
      </c>
      <c r="V312" s="68">
        <f>IFERROR(SUMIF(血液浄化装置!$C$30:$C$74,B312,血液浄化装置!$K$30:$K$74)*((血液浄化装置!$H$3-血液浄化装置!$I$3)/血液浄化装置!$H$3),0)</f>
        <v>0</v>
      </c>
      <c r="W312" s="69">
        <f t="shared" si="86"/>
        <v>0</v>
      </c>
      <c r="X312" s="68">
        <f>IFERROR(SUMIF(気管支鏡!$C$30:$C$74,B312,気管支鏡!$K$30:$K$74)*((気管支鏡!$H$3-気管支鏡!$I$3)/気管支鏡!$H$3),0)</f>
        <v>0</v>
      </c>
      <c r="Y312" s="69">
        <f t="shared" si="72"/>
        <v>0</v>
      </c>
      <c r="Z312" s="68">
        <f>IFERROR(SUMIF(CT撮影装置!$C$30:$C$74,B312,CT撮影装置!$K$30:$K$74)*((CT撮影装置!$H$3-CT撮影装置!$I$3)/CT撮影装置!$H$3),0)</f>
        <v>0</v>
      </c>
      <c r="AA312" s="69">
        <f t="shared" si="87"/>
        <v>0</v>
      </c>
      <c r="AB312" s="68">
        <f>IFERROR(SUMIF(生体情報モニタ!$C$30:$C$74,B312,生体情報モニタ!$K$30:$K$74)*((生体情報モニタ!$H$3-生体情報モニタ!$I$3)/生体情報モニタ!$H$3),0)</f>
        <v>0</v>
      </c>
      <c r="AC312" s="69">
        <f t="shared" si="73"/>
        <v>0</v>
      </c>
      <c r="AD312" s="68">
        <f>IFERROR(SUMIF(分娩監視装置!$C$30:$C$74,B312,分娩監視装置!$K$30:$K$74)*((分娩監視装置!$H$3-分娩監視装置!$I$3)/分娩監視装置!$H$3),0)</f>
        <v>0</v>
      </c>
      <c r="AE312" s="69">
        <f t="shared" si="88"/>
        <v>0</v>
      </c>
      <c r="AF312" s="68">
        <f>IFERROR(SUMIF(新生児モニタ!$C$30:$C$74,B312,新生児モニタ!$K$30:$K$74)*((新生児モニタ!$H$3-新生児モニタ!$I$3)/新生児モニタ!$H$3),0)</f>
        <v>0</v>
      </c>
      <c r="AG312" s="69">
        <f t="shared" si="89"/>
        <v>0</v>
      </c>
    </row>
    <row r="313" spans="2:33">
      <c r="B313" s="65" t="s">
        <v>982</v>
      </c>
      <c r="C313" s="68">
        <f>IFERROR(SUMIF(初度設備!$C$30:$C$74,B313,初度設備!$N$30:$N$74)*((初度設備!$H$3-初度設備!$I$3)/初度設備!$H$3),0)</f>
        <v>0</v>
      </c>
      <c r="D313" s="69">
        <f t="shared" si="74"/>
        <v>0</v>
      </c>
      <c r="E313" s="68">
        <f>IFERROR(SUMIF(人工呼吸器!$C$30:$C$74,B313,人工呼吸器!$N$30:$N$74)*((人工呼吸器!$H$3-人工呼吸器!$I$3)/人工呼吸器!$H$3),0)</f>
        <v>0</v>
      </c>
      <c r="F313" s="69">
        <f t="shared" si="75"/>
        <v>0</v>
      </c>
      <c r="G313" s="69">
        <f t="shared" si="76"/>
        <v>0</v>
      </c>
      <c r="H313" s="69">
        <f t="shared" si="77"/>
        <v>0</v>
      </c>
      <c r="I313" s="68">
        <f>IFERROR(SUMIF(簡易陰圧装置!$C$30:$C$74,B313,簡易陰圧装置!$N$30:$N$74)*((簡易陰圧装置!$H$3-簡易陰圧装置!$I$3)/簡易陰圧装置!$H$3),0)</f>
        <v>0</v>
      </c>
      <c r="J313" s="69">
        <f t="shared" si="78"/>
        <v>0</v>
      </c>
      <c r="K313" s="68">
        <f>IFERROR(SUMIF(#REF!,B313,#REF!)*((#REF!-#REF!)/#REF!),0)</f>
        <v>0</v>
      </c>
      <c r="L313" s="69">
        <f t="shared" si="79"/>
        <v>0</v>
      </c>
      <c r="M313" s="68">
        <f>IFERROR(SUMIF(体外式膜型人工肺!$C$30:$C$74,B313,体外式膜型人工肺!$N$30:$N$74)*((体外式膜型人工肺!$H$3-体外式膜型人工肺!$I$3)/体外式膜型人工肺!$H$3),0)</f>
        <v>0</v>
      </c>
      <c r="N313" s="69">
        <f t="shared" si="80"/>
        <v>0</v>
      </c>
      <c r="O313" s="69">
        <f t="shared" si="81"/>
        <v>0</v>
      </c>
      <c r="P313" s="69">
        <f t="shared" si="82"/>
        <v>0</v>
      </c>
      <c r="Q313" s="68">
        <f>IFERROR(SUMIF(紫外線照射装置!$C$30:$C$74,B313,紫外線照射装置!$N$30:$N$74)*((紫外線照射装置!$H$3-紫外線照射装置!$I$3)/紫外線照射装置!$H$3),0)</f>
        <v>0</v>
      </c>
      <c r="R313" s="69">
        <f t="shared" si="83"/>
        <v>0</v>
      </c>
      <c r="S313" s="102">
        <f t="shared" si="84"/>
        <v>0</v>
      </c>
      <c r="T313" s="68">
        <f>IFERROR(SUMIF(超音波画像診断装置!$C$30:$C$74,B313,超音波画像診断装置!$K$30:$K$74)*((超音波画像診断装置!$H$3-超音波画像診断装置!$I$3)/超音波画像診断装置!$H$3),0)</f>
        <v>0</v>
      </c>
      <c r="U313" s="69">
        <f t="shared" si="85"/>
        <v>0</v>
      </c>
      <c r="V313" s="68">
        <f>IFERROR(SUMIF(血液浄化装置!$C$30:$C$74,B313,血液浄化装置!$K$30:$K$74)*((血液浄化装置!$H$3-血液浄化装置!$I$3)/血液浄化装置!$H$3),0)</f>
        <v>0</v>
      </c>
      <c r="W313" s="69">
        <f t="shared" si="86"/>
        <v>0</v>
      </c>
      <c r="X313" s="68">
        <f>IFERROR(SUMIF(気管支鏡!$C$30:$C$74,B313,気管支鏡!$K$30:$K$74)*((気管支鏡!$H$3-気管支鏡!$I$3)/気管支鏡!$H$3),0)</f>
        <v>0</v>
      </c>
      <c r="Y313" s="69">
        <f t="shared" si="72"/>
        <v>0</v>
      </c>
      <c r="Z313" s="68">
        <f>IFERROR(SUMIF(CT撮影装置!$C$30:$C$74,B313,CT撮影装置!$K$30:$K$74)*((CT撮影装置!$H$3-CT撮影装置!$I$3)/CT撮影装置!$H$3),0)</f>
        <v>0</v>
      </c>
      <c r="AA313" s="69">
        <f t="shared" si="87"/>
        <v>0</v>
      </c>
      <c r="AB313" s="68">
        <f>IFERROR(SUMIF(生体情報モニタ!$C$30:$C$74,B313,生体情報モニタ!$K$30:$K$74)*((生体情報モニタ!$H$3-生体情報モニタ!$I$3)/生体情報モニタ!$H$3),0)</f>
        <v>0</v>
      </c>
      <c r="AC313" s="69">
        <f t="shared" si="73"/>
        <v>0</v>
      </c>
      <c r="AD313" s="68">
        <f>IFERROR(SUMIF(分娩監視装置!$C$30:$C$74,B313,分娩監視装置!$K$30:$K$74)*((分娩監視装置!$H$3-分娩監視装置!$I$3)/分娩監視装置!$H$3),0)</f>
        <v>0</v>
      </c>
      <c r="AE313" s="69">
        <f t="shared" si="88"/>
        <v>0</v>
      </c>
      <c r="AF313" s="68">
        <f>IFERROR(SUMIF(新生児モニタ!$C$30:$C$74,B313,新生児モニタ!$K$30:$K$74)*((新生児モニタ!$H$3-新生児モニタ!$I$3)/新生児モニタ!$H$3),0)</f>
        <v>0</v>
      </c>
      <c r="AG313" s="69">
        <f t="shared" si="89"/>
        <v>0</v>
      </c>
    </row>
    <row r="314" spans="2:33">
      <c r="B314" s="65" t="s">
        <v>983</v>
      </c>
      <c r="C314" s="68">
        <f>IFERROR(SUMIF(初度設備!$C$30:$C$74,B314,初度設備!$N$30:$N$74)*((初度設備!$H$3-初度設備!$I$3)/初度設備!$H$3),0)</f>
        <v>0</v>
      </c>
      <c r="D314" s="69">
        <f t="shared" si="74"/>
        <v>0</v>
      </c>
      <c r="E314" s="68">
        <f>IFERROR(SUMIF(人工呼吸器!$C$30:$C$74,B314,人工呼吸器!$N$30:$N$74)*((人工呼吸器!$H$3-人工呼吸器!$I$3)/人工呼吸器!$H$3),0)</f>
        <v>0</v>
      </c>
      <c r="F314" s="69">
        <f t="shared" si="75"/>
        <v>0</v>
      </c>
      <c r="G314" s="69">
        <f t="shared" si="76"/>
        <v>0</v>
      </c>
      <c r="H314" s="69">
        <f t="shared" si="77"/>
        <v>0</v>
      </c>
      <c r="I314" s="68">
        <f>IFERROR(SUMIF(簡易陰圧装置!$C$30:$C$74,B314,簡易陰圧装置!$N$30:$N$74)*((簡易陰圧装置!$H$3-簡易陰圧装置!$I$3)/簡易陰圧装置!$H$3),0)</f>
        <v>0</v>
      </c>
      <c r="J314" s="69">
        <f t="shared" si="78"/>
        <v>0</v>
      </c>
      <c r="K314" s="68">
        <f>IFERROR(SUMIF(#REF!,B314,#REF!)*((#REF!-#REF!)/#REF!),0)</f>
        <v>0</v>
      </c>
      <c r="L314" s="69">
        <f t="shared" si="79"/>
        <v>0</v>
      </c>
      <c r="M314" s="68">
        <f>IFERROR(SUMIF(体外式膜型人工肺!$C$30:$C$74,B314,体外式膜型人工肺!$N$30:$N$74)*((体外式膜型人工肺!$H$3-体外式膜型人工肺!$I$3)/体外式膜型人工肺!$H$3),0)</f>
        <v>0</v>
      </c>
      <c r="N314" s="69">
        <f t="shared" si="80"/>
        <v>0</v>
      </c>
      <c r="O314" s="69">
        <f t="shared" si="81"/>
        <v>0</v>
      </c>
      <c r="P314" s="69">
        <f t="shared" si="82"/>
        <v>0</v>
      </c>
      <c r="Q314" s="68">
        <f>IFERROR(SUMIF(紫外線照射装置!$C$30:$C$74,B314,紫外線照射装置!$N$30:$N$74)*((紫外線照射装置!$H$3-紫外線照射装置!$I$3)/紫外線照射装置!$H$3),0)</f>
        <v>0</v>
      </c>
      <c r="R314" s="69">
        <f t="shared" si="83"/>
        <v>0</v>
      </c>
      <c r="S314" s="102">
        <f t="shared" si="84"/>
        <v>0</v>
      </c>
      <c r="T314" s="68">
        <f>IFERROR(SUMIF(超音波画像診断装置!$C$30:$C$74,B314,超音波画像診断装置!$K$30:$K$74)*((超音波画像診断装置!$H$3-超音波画像診断装置!$I$3)/超音波画像診断装置!$H$3),0)</f>
        <v>0</v>
      </c>
      <c r="U314" s="69">
        <f t="shared" si="85"/>
        <v>0</v>
      </c>
      <c r="V314" s="68">
        <f>IFERROR(SUMIF(血液浄化装置!$C$30:$C$74,B314,血液浄化装置!$K$30:$K$74)*((血液浄化装置!$H$3-血液浄化装置!$I$3)/血液浄化装置!$H$3),0)</f>
        <v>0</v>
      </c>
      <c r="W314" s="69">
        <f t="shared" si="86"/>
        <v>0</v>
      </c>
      <c r="X314" s="68">
        <f>IFERROR(SUMIF(気管支鏡!$C$30:$C$74,B314,気管支鏡!$K$30:$K$74)*((気管支鏡!$H$3-気管支鏡!$I$3)/気管支鏡!$H$3),0)</f>
        <v>0</v>
      </c>
      <c r="Y314" s="69">
        <f t="shared" si="72"/>
        <v>0</v>
      </c>
      <c r="Z314" s="68">
        <f>IFERROR(SUMIF(CT撮影装置!$C$30:$C$74,B314,CT撮影装置!$K$30:$K$74)*((CT撮影装置!$H$3-CT撮影装置!$I$3)/CT撮影装置!$H$3),0)</f>
        <v>0</v>
      </c>
      <c r="AA314" s="69">
        <f t="shared" si="87"/>
        <v>0</v>
      </c>
      <c r="AB314" s="68">
        <f>IFERROR(SUMIF(生体情報モニタ!$C$30:$C$74,B314,生体情報モニタ!$K$30:$K$74)*((生体情報モニタ!$H$3-生体情報モニタ!$I$3)/生体情報モニタ!$H$3),0)</f>
        <v>0</v>
      </c>
      <c r="AC314" s="69">
        <f t="shared" si="73"/>
        <v>0</v>
      </c>
      <c r="AD314" s="68">
        <f>IFERROR(SUMIF(分娩監視装置!$C$30:$C$74,B314,分娩監視装置!$K$30:$K$74)*((分娩監視装置!$H$3-分娩監視装置!$I$3)/分娩監視装置!$H$3),0)</f>
        <v>0</v>
      </c>
      <c r="AE314" s="69">
        <f t="shared" si="88"/>
        <v>0</v>
      </c>
      <c r="AF314" s="68">
        <f>IFERROR(SUMIF(新生児モニタ!$C$30:$C$74,B314,新生児モニタ!$K$30:$K$74)*((新生児モニタ!$H$3-新生児モニタ!$I$3)/新生児モニタ!$H$3),0)</f>
        <v>0</v>
      </c>
      <c r="AG314" s="69">
        <f t="shared" si="89"/>
        <v>0</v>
      </c>
    </row>
    <row r="315" spans="2:33">
      <c r="B315" s="65" t="s">
        <v>984</v>
      </c>
      <c r="C315" s="68">
        <f>IFERROR(SUMIF(初度設備!$C$30:$C$74,B315,初度設備!$N$30:$N$74)*((初度設備!$H$3-初度設備!$I$3)/初度設備!$H$3),0)</f>
        <v>0</v>
      </c>
      <c r="D315" s="69">
        <f t="shared" si="74"/>
        <v>0</v>
      </c>
      <c r="E315" s="68">
        <f>IFERROR(SUMIF(人工呼吸器!$C$30:$C$74,B315,人工呼吸器!$N$30:$N$74)*((人工呼吸器!$H$3-人工呼吸器!$I$3)/人工呼吸器!$H$3),0)</f>
        <v>0</v>
      </c>
      <c r="F315" s="69">
        <f t="shared" si="75"/>
        <v>0</v>
      </c>
      <c r="G315" s="69">
        <f t="shared" si="76"/>
        <v>0</v>
      </c>
      <c r="H315" s="69">
        <f t="shared" si="77"/>
        <v>0</v>
      </c>
      <c r="I315" s="68">
        <f>IFERROR(SUMIF(簡易陰圧装置!$C$30:$C$74,B315,簡易陰圧装置!$N$30:$N$74)*((簡易陰圧装置!$H$3-簡易陰圧装置!$I$3)/簡易陰圧装置!$H$3),0)</f>
        <v>0</v>
      </c>
      <c r="J315" s="69">
        <f t="shared" si="78"/>
        <v>0</v>
      </c>
      <c r="K315" s="68">
        <f>IFERROR(SUMIF(#REF!,B315,#REF!)*((#REF!-#REF!)/#REF!),0)</f>
        <v>0</v>
      </c>
      <c r="L315" s="69">
        <f t="shared" si="79"/>
        <v>0</v>
      </c>
      <c r="M315" s="68">
        <f>IFERROR(SUMIF(体外式膜型人工肺!$C$30:$C$74,B315,体外式膜型人工肺!$N$30:$N$74)*((体外式膜型人工肺!$H$3-体外式膜型人工肺!$I$3)/体外式膜型人工肺!$H$3),0)</f>
        <v>0</v>
      </c>
      <c r="N315" s="69">
        <f t="shared" si="80"/>
        <v>0</v>
      </c>
      <c r="O315" s="69">
        <f t="shared" si="81"/>
        <v>0</v>
      </c>
      <c r="P315" s="69">
        <f t="shared" si="82"/>
        <v>0</v>
      </c>
      <c r="Q315" s="68">
        <f>IFERROR(SUMIF(紫外線照射装置!$C$30:$C$74,B315,紫外線照射装置!$N$30:$N$74)*((紫外線照射装置!$H$3-紫外線照射装置!$I$3)/紫外線照射装置!$H$3),0)</f>
        <v>0</v>
      </c>
      <c r="R315" s="69">
        <f t="shared" si="83"/>
        <v>0</v>
      </c>
      <c r="S315" s="102">
        <f t="shared" si="84"/>
        <v>0</v>
      </c>
      <c r="T315" s="68">
        <f>IFERROR(SUMIF(超音波画像診断装置!$C$30:$C$74,B315,超音波画像診断装置!$K$30:$K$74)*((超音波画像診断装置!$H$3-超音波画像診断装置!$I$3)/超音波画像診断装置!$H$3),0)</f>
        <v>0</v>
      </c>
      <c r="U315" s="69">
        <f t="shared" si="85"/>
        <v>0</v>
      </c>
      <c r="V315" s="68">
        <f>IFERROR(SUMIF(血液浄化装置!$C$30:$C$74,B315,血液浄化装置!$K$30:$K$74)*((血液浄化装置!$H$3-血液浄化装置!$I$3)/血液浄化装置!$H$3),0)</f>
        <v>0</v>
      </c>
      <c r="W315" s="69">
        <f t="shared" si="86"/>
        <v>0</v>
      </c>
      <c r="X315" s="68">
        <f>IFERROR(SUMIF(気管支鏡!$C$30:$C$74,B315,気管支鏡!$K$30:$K$74)*((気管支鏡!$H$3-気管支鏡!$I$3)/気管支鏡!$H$3),0)</f>
        <v>0</v>
      </c>
      <c r="Y315" s="69">
        <f t="shared" si="72"/>
        <v>0</v>
      </c>
      <c r="Z315" s="68">
        <f>IFERROR(SUMIF(CT撮影装置!$C$30:$C$74,B315,CT撮影装置!$K$30:$K$74)*((CT撮影装置!$H$3-CT撮影装置!$I$3)/CT撮影装置!$H$3),0)</f>
        <v>0</v>
      </c>
      <c r="AA315" s="69">
        <f t="shared" si="87"/>
        <v>0</v>
      </c>
      <c r="AB315" s="68">
        <f>IFERROR(SUMIF(生体情報モニタ!$C$30:$C$74,B315,生体情報モニタ!$K$30:$K$74)*((生体情報モニタ!$H$3-生体情報モニタ!$I$3)/生体情報モニタ!$H$3),0)</f>
        <v>0</v>
      </c>
      <c r="AC315" s="69">
        <f t="shared" si="73"/>
        <v>0</v>
      </c>
      <c r="AD315" s="68">
        <f>IFERROR(SUMIF(分娩監視装置!$C$30:$C$74,B315,分娩監視装置!$K$30:$K$74)*((分娩監視装置!$H$3-分娩監視装置!$I$3)/分娩監視装置!$H$3),0)</f>
        <v>0</v>
      </c>
      <c r="AE315" s="69">
        <f t="shared" si="88"/>
        <v>0</v>
      </c>
      <c r="AF315" s="68">
        <f>IFERROR(SUMIF(新生児モニタ!$C$30:$C$74,B315,新生児モニタ!$K$30:$K$74)*((新生児モニタ!$H$3-新生児モニタ!$I$3)/新生児モニタ!$H$3),0)</f>
        <v>0</v>
      </c>
      <c r="AG315" s="69">
        <f t="shared" si="89"/>
        <v>0</v>
      </c>
    </row>
    <row r="316" spans="2:33">
      <c r="B316" s="65" t="s">
        <v>985</v>
      </c>
      <c r="C316" s="68">
        <f>IFERROR(SUMIF(初度設備!$C$30:$C$74,B316,初度設備!$N$30:$N$74)*((初度設備!$H$3-初度設備!$I$3)/初度設備!$H$3),0)</f>
        <v>0</v>
      </c>
      <c r="D316" s="69">
        <f t="shared" si="74"/>
        <v>0</v>
      </c>
      <c r="E316" s="68">
        <f>IFERROR(SUMIF(人工呼吸器!$C$30:$C$74,B316,人工呼吸器!$N$30:$N$74)*((人工呼吸器!$H$3-人工呼吸器!$I$3)/人工呼吸器!$H$3),0)</f>
        <v>0</v>
      </c>
      <c r="F316" s="69">
        <f t="shared" si="75"/>
        <v>0</v>
      </c>
      <c r="G316" s="69">
        <f t="shared" si="76"/>
        <v>0</v>
      </c>
      <c r="H316" s="69">
        <f t="shared" si="77"/>
        <v>0</v>
      </c>
      <c r="I316" s="68">
        <f>IFERROR(SUMIF(簡易陰圧装置!$C$30:$C$74,B316,簡易陰圧装置!$N$30:$N$74)*((簡易陰圧装置!$H$3-簡易陰圧装置!$I$3)/簡易陰圧装置!$H$3),0)</f>
        <v>0</v>
      </c>
      <c r="J316" s="69">
        <f t="shared" si="78"/>
        <v>0</v>
      </c>
      <c r="K316" s="68">
        <f>IFERROR(SUMIF(#REF!,B316,#REF!)*((#REF!-#REF!)/#REF!),0)</f>
        <v>0</v>
      </c>
      <c r="L316" s="69">
        <f t="shared" si="79"/>
        <v>0</v>
      </c>
      <c r="M316" s="68">
        <f>IFERROR(SUMIF(体外式膜型人工肺!$C$30:$C$74,B316,体外式膜型人工肺!$N$30:$N$74)*((体外式膜型人工肺!$H$3-体外式膜型人工肺!$I$3)/体外式膜型人工肺!$H$3),0)</f>
        <v>0</v>
      </c>
      <c r="N316" s="69">
        <f t="shared" si="80"/>
        <v>0</v>
      </c>
      <c r="O316" s="69">
        <f t="shared" si="81"/>
        <v>0</v>
      </c>
      <c r="P316" s="69">
        <f t="shared" si="82"/>
        <v>0</v>
      </c>
      <c r="Q316" s="68">
        <f>IFERROR(SUMIF(紫外線照射装置!$C$30:$C$74,B316,紫外線照射装置!$N$30:$N$74)*((紫外線照射装置!$H$3-紫外線照射装置!$I$3)/紫外線照射装置!$H$3),0)</f>
        <v>0</v>
      </c>
      <c r="R316" s="69">
        <f t="shared" si="83"/>
        <v>0</v>
      </c>
      <c r="S316" s="102">
        <f t="shared" si="84"/>
        <v>0</v>
      </c>
      <c r="T316" s="68">
        <f>IFERROR(SUMIF(超音波画像診断装置!$C$30:$C$74,B316,超音波画像診断装置!$K$30:$K$74)*((超音波画像診断装置!$H$3-超音波画像診断装置!$I$3)/超音波画像診断装置!$H$3),0)</f>
        <v>0</v>
      </c>
      <c r="U316" s="69">
        <f t="shared" si="85"/>
        <v>0</v>
      </c>
      <c r="V316" s="68">
        <f>IFERROR(SUMIF(血液浄化装置!$C$30:$C$74,B316,血液浄化装置!$K$30:$K$74)*((血液浄化装置!$H$3-血液浄化装置!$I$3)/血液浄化装置!$H$3),0)</f>
        <v>0</v>
      </c>
      <c r="W316" s="69">
        <f t="shared" si="86"/>
        <v>0</v>
      </c>
      <c r="X316" s="68">
        <f>IFERROR(SUMIF(気管支鏡!$C$30:$C$74,B316,気管支鏡!$K$30:$K$74)*((気管支鏡!$H$3-気管支鏡!$I$3)/気管支鏡!$H$3),0)</f>
        <v>0</v>
      </c>
      <c r="Y316" s="69">
        <f t="shared" si="72"/>
        <v>0</v>
      </c>
      <c r="Z316" s="68">
        <f>IFERROR(SUMIF(CT撮影装置!$C$30:$C$74,B316,CT撮影装置!$K$30:$K$74)*((CT撮影装置!$H$3-CT撮影装置!$I$3)/CT撮影装置!$H$3),0)</f>
        <v>0</v>
      </c>
      <c r="AA316" s="69">
        <f t="shared" si="87"/>
        <v>0</v>
      </c>
      <c r="AB316" s="68">
        <f>IFERROR(SUMIF(生体情報モニタ!$C$30:$C$74,B316,生体情報モニタ!$K$30:$K$74)*((生体情報モニタ!$H$3-生体情報モニタ!$I$3)/生体情報モニタ!$H$3),0)</f>
        <v>0</v>
      </c>
      <c r="AC316" s="69">
        <f t="shared" si="73"/>
        <v>0</v>
      </c>
      <c r="AD316" s="68">
        <f>IFERROR(SUMIF(分娩監視装置!$C$30:$C$74,B316,分娩監視装置!$K$30:$K$74)*((分娩監視装置!$H$3-分娩監視装置!$I$3)/分娩監視装置!$H$3),0)</f>
        <v>0</v>
      </c>
      <c r="AE316" s="69">
        <f t="shared" si="88"/>
        <v>0</v>
      </c>
      <c r="AF316" s="68">
        <f>IFERROR(SUMIF(新生児モニタ!$C$30:$C$74,B316,新生児モニタ!$K$30:$K$74)*((新生児モニタ!$H$3-新生児モニタ!$I$3)/新生児モニタ!$H$3),0)</f>
        <v>0</v>
      </c>
      <c r="AG316" s="69">
        <f t="shared" si="89"/>
        <v>0</v>
      </c>
    </row>
    <row r="317" spans="2:33">
      <c r="B317" s="65" t="s">
        <v>986</v>
      </c>
      <c r="C317" s="68">
        <f>IFERROR(SUMIF(初度設備!$C$30:$C$74,B317,初度設備!$N$30:$N$74)*((初度設備!$H$3-初度設備!$I$3)/初度設備!$H$3),0)</f>
        <v>0</v>
      </c>
      <c r="D317" s="69">
        <f t="shared" si="74"/>
        <v>0</v>
      </c>
      <c r="E317" s="68">
        <f>IFERROR(SUMIF(人工呼吸器!$C$30:$C$74,B317,人工呼吸器!$N$30:$N$74)*((人工呼吸器!$H$3-人工呼吸器!$I$3)/人工呼吸器!$H$3),0)</f>
        <v>0</v>
      </c>
      <c r="F317" s="69">
        <f t="shared" si="75"/>
        <v>0</v>
      </c>
      <c r="G317" s="69">
        <f t="shared" si="76"/>
        <v>0</v>
      </c>
      <c r="H317" s="69">
        <f t="shared" si="77"/>
        <v>0</v>
      </c>
      <c r="I317" s="68">
        <f>IFERROR(SUMIF(簡易陰圧装置!$C$30:$C$74,B317,簡易陰圧装置!$N$30:$N$74)*((簡易陰圧装置!$H$3-簡易陰圧装置!$I$3)/簡易陰圧装置!$H$3),0)</f>
        <v>0</v>
      </c>
      <c r="J317" s="69">
        <f t="shared" si="78"/>
        <v>0</v>
      </c>
      <c r="K317" s="68">
        <f>IFERROR(SUMIF(#REF!,B317,#REF!)*((#REF!-#REF!)/#REF!),0)</f>
        <v>0</v>
      </c>
      <c r="L317" s="69">
        <f t="shared" si="79"/>
        <v>0</v>
      </c>
      <c r="M317" s="68">
        <f>IFERROR(SUMIF(体外式膜型人工肺!$C$30:$C$74,B317,体外式膜型人工肺!$N$30:$N$74)*((体外式膜型人工肺!$H$3-体外式膜型人工肺!$I$3)/体外式膜型人工肺!$H$3),0)</f>
        <v>0</v>
      </c>
      <c r="N317" s="69">
        <f t="shared" si="80"/>
        <v>0</v>
      </c>
      <c r="O317" s="69">
        <f t="shared" si="81"/>
        <v>0</v>
      </c>
      <c r="P317" s="69">
        <f t="shared" si="82"/>
        <v>0</v>
      </c>
      <c r="Q317" s="68">
        <f>IFERROR(SUMIF(紫外線照射装置!$C$30:$C$74,B317,紫外線照射装置!$N$30:$N$74)*((紫外線照射装置!$H$3-紫外線照射装置!$I$3)/紫外線照射装置!$H$3),0)</f>
        <v>0</v>
      </c>
      <c r="R317" s="69">
        <f t="shared" si="83"/>
        <v>0</v>
      </c>
      <c r="S317" s="102">
        <f t="shared" si="84"/>
        <v>0</v>
      </c>
      <c r="T317" s="68">
        <f>IFERROR(SUMIF(超音波画像診断装置!$C$30:$C$74,B317,超音波画像診断装置!$K$30:$K$74)*((超音波画像診断装置!$H$3-超音波画像診断装置!$I$3)/超音波画像診断装置!$H$3),0)</f>
        <v>0</v>
      </c>
      <c r="U317" s="69">
        <f t="shared" si="85"/>
        <v>0</v>
      </c>
      <c r="V317" s="68">
        <f>IFERROR(SUMIF(血液浄化装置!$C$30:$C$74,B317,血液浄化装置!$K$30:$K$74)*((血液浄化装置!$H$3-血液浄化装置!$I$3)/血液浄化装置!$H$3),0)</f>
        <v>0</v>
      </c>
      <c r="W317" s="69">
        <f t="shared" si="86"/>
        <v>0</v>
      </c>
      <c r="X317" s="68">
        <f>IFERROR(SUMIF(気管支鏡!$C$30:$C$74,B317,気管支鏡!$K$30:$K$74)*((気管支鏡!$H$3-気管支鏡!$I$3)/気管支鏡!$H$3),0)</f>
        <v>0</v>
      </c>
      <c r="Y317" s="69">
        <f t="shared" si="72"/>
        <v>0</v>
      </c>
      <c r="Z317" s="68">
        <f>IFERROR(SUMIF(CT撮影装置!$C$30:$C$74,B317,CT撮影装置!$K$30:$K$74)*((CT撮影装置!$H$3-CT撮影装置!$I$3)/CT撮影装置!$H$3),0)</f>
        <v>0</v>
      </c>
      <c r="AA317" s="69">
        <f t="shared" si="87"/>
        <v>0</v>
      </c>
      <c r="AB317" s="68">
        <f>IFERROR(SUMIF(生体情報モニタ!$C$30:$C$74,B317,生体情報モニタ!$K$30:$K$74)*((生体情報モニタ!$H$3-生体情報モニタ!$I$3)/生体情報モニタ!$H$3),0)</f>
        <v>0</v>
      </c>
      <c r="AC317" s="69">
        <f t="shared" si="73"/>
        <v>0</v>
      </c>
      <c r="AD317" s="68">
        <f>IFERROR(SUMIF(分娩監視装置!$C$30:$C$74,B317,分娩監視装置!$K$30:$K$74)*((分娩監視装置!$H$3-分娩監視装置!$I$3)/分娩監視装置!$H$3),0)</f>
        <v>0</v>
      </c>
      <c r="AE317" s="69">
        <f t="shared" si="88"/>
        <v>0</v>
      </c>
      <c r="AF317" s="68">
        <f>IFERROR(SUMIF(新生児モニタ!$C$30:$C$74,B317,新生児モニタ!$K$30:$K$74)*((新生児モニタ!$H$3-新生児モニタ!$I$3)/新生児モニタ!$H$3),0)</f>
        <v>0</v>
      </c>
      <c r="AG317" s="69">
        <f t="shared" si="89"/>
        <v>0</v>
      </c>
    </row>
    <row r="318" spans="2:33">
      <c r="B318" s="65" t="s">
        <v>987</v>
      </c>
      <c r="C318" s="68">
        <f>IFERROR(SUMIF(初度設備!$C$30:$C$74,B318,初度設備!$N$30:$N$74)*((初度設備!$H$3-初度設備!$I$3)/初度設備!$H$3),0)</f>
        <v>0</v>
      </c>
      <c r="D318" s="69">
        <f t="shared" si="74"/>
        <v>0</v>
      </c>
      <c r="E318" s="68">
        <f>IFERROR(SUMIF(人工呼吸器!$C$30:$C$74,B318,人工呼吸器!$N$30:$N$74)*((人工呼吸器!$H$3-人工呼吸器!$I$3)/人工呼吸器!$H$3),0)</f>
        <v>0</v>
      </c>
      <c r="F318" s="69">
        <f t="shared" si="75"/>
        <v>0</v>
      </c>
      <c r="G318" s="69">
        <f t="shared" si="76"/>
        <v>0</v>
      </c>
      <c r="H318" s="69">
        <f t="shared" si="77"/>
        <v>0</v>
      </c>
      <c r="I318" s="68">
        <f>IFERROR(SUMIF(簡易陰圧装置!$C$30:$C$74,B318,簡易陰圧装置!$N$30:$N$74)*((簡易陰圧装置!$H$3-簡易陰圧装置!$I$3)/簡易陰圧装置!$H$3),0)</f>
        <v>0</v>
      </c>
      <c r="J318" s="69">
        <f t="shared" si="78"/>
        <v>0</v>
      </c>
      <c r="K318" s="68">
        <f>IFERROR(SUMIF(#REF!,B318,#REF!)*((#REF!-#REF!)/#REF!),0)</f>
        <v>0</v>
      </c>
      <c r="L318" s="69">
        <f t="shared" si="79"/>
        <v>0</v>
      </c>
      <c r="M318" s="68">
        <f>IFERROR(SUMIF(体外式膜型人工肺!$C$30:$C$74,B318,体外式膜型人工肺!$N$30:$N$74)*((体外式膜型人工肺!$H$3-体外式膜型人工肺!$I$3)/体外式膜型人工肺!$H$3),0)</f>
        <v>0</v>
      </c>
      <c r="N318" s="69">
        <f t="shared" si="80"/>
        <v>0</v>
      </c>
      <c r="O318" s="69">
        <f t="shared" si="81"/>
        <v>0</v>
      </c>
      <c r="P318" s="69">
        <f t="shared" si="82"/>
        <v>0</v>
      </c>
      <c r="Q318" s="68">
        <f>IFERROR(SUMIF(紫外線照射装置!$C$30:$C$74,B318,紫外線照射装置!$N$30:$N$74)*((紫外線照射装置!$H$3-紫外線照射装置!$I$3)/紫外線照射装置!$H$3),0)</f>
        <v>0</v>
      </c>
      <c r="R318" s="69">
        <f t="shared" si="83"/>
        <v>0</v>
      </c>
      <c r="S318" s="102">
        <f t="shared" si="84"/>
        <v>0</v>
      </c>
      <c r="T318" s="68">
        <f>IFERROR(SUMIF(超音波画像診断装置!$C$30:$C$74,B318,超音波画像診断装置!$K$30:$K$74)*((超音波画像診断装置!$H$3-超音波画像診断装置!$I$3)/超音波画像診断装置!$H$3),0)</f>
        <v>0</v>
      </c>
      <c r="U318" s="69">
        <f t="shared" si="85"/>
        <v>0</v>
      </c>
      <c r="V318" s="68">
        <f>IFERROR(SUMIF(血液浄化装置!$C$30:$C$74,B318,血液浄化装置!$K$30:$K$74)*((血液浄化装置!$H$3-血液浄化装置!$I$3)/血液浄化装置!$H$3),0)</f>
        <v>0</v>
      </c>
      <c r="W318" s="69">
        <f t="shared" si="86"/>
        <v>0</v>
      </c>
      <c r="X318" s="68">
        <f>IFERROR(SUMIF(気管支鏡!$C$30:$C$74,B318,気管支鏡!$K$30:$K$74)*((気管支鏡!$H$3-気管支鏡!$I$3)/気管支鏡!$H$3),0)</f>
        <v>0</v>
      </c>
      <c r="Y318" s="69">
        <f t="shared" si="72"/>
        <v>0</v>
      </c>
      <c r="Z318" s="68">
        <f>IFERROR(SUMIF(CT撮影装置!$C$30:$C$74,B318,CT撮影装置!$K$30:$K$74)*((CT撮影装置!$H$3-CT撮影装置!$I$3)/CT撮影装置!$H$3),0)</f>
        <v>0</v>
      </c>
      <c r="AA318" s="69">
        <f t="shared" si="87"/>
        <v>0</v>
      </c>
      <c r="AB318" s="68">
        <f>IFERROR(SUMIF(生体情報モニタ!$C$30:$C$74,B318,生体情報モニタ!$K$30:$K$74)*((生体情報モニタ!$H$3-生体情報モニタ!$I$3)/生体情報モニタ!$H$3),0)</f>
        <v>0</v>
      </c>
      <c r="AC318" s="69">
        <f t="shared" si="73"/>
        <v>0</v>
      </c>
      <c r="AD318" s="68">
        <f>IFERROR(SUMIF(分娩監視装置!$C$30:$C$74,B318,分娩監視装置!$K$30:$K$74)*((分娩監視装置!$H$3-分娩監視装置!$I$3)/分娩監視装置!$H$3),0)</f>
        <v>0</v>
      </c>
      <c r="AE318" s="69">
        <f t="shared" si="88"/>
        <v>0</v>
      </c>
      <c r="AF318" s="68">
        <f>IFERROR(SUMIF(新生児モニタ!$C$30:$C$74,B318,新生児モニタ!$K$30:$K$74)*((新生児モニタ!$H$3-新生児モニタ!$I$3)/新生児モニタ!$H$3),0)</f>
        <v>0</v>
      </c>
      <c r="AG318" s="69">
        <f t="shared" si="89"/>
        <v>0</v>
      </c>
    </row>
    <row r="319" spans="2:33">
      <c r="B319" s="65" t="s">
        <v>988</v>
      </c>
      <c r="C319" s="68">
        <f>IFERROR(SUMIF(初度設備!$C$30:$C$74,B319,初度設備!$N$30:$N$74)*((初度設備!$H$3-初度設備!$I$3)/初度設備!$H$3),0)</f>
        <v>0</v>
      </c>
      <c r="D319" s="69">
        <f t="shared" si="74"/>
        <v>0</v>
      </c>
      <c r="E319" s="68">
        <f>IFERROR(SUMIF(人工呼吸器!$C$30:$C$74,B319,人工呼吸器!$N$30:$N$74)*((人工呼吸器!$H$3-人工呼吸器!$I$3)/人工呼吸器!$H$3),0)</f>
        <v>0</v>
      </c>
      <c r="F319" s="69">
        <f t="shared" si="75"/>
        <v>0</v>
      </c>
      <c r="G319" s="69">
        <f t="shared" si="76"/>
        <v>0</v>
      </c>
      <c r="H319" s="69">
        <f t="shared" si="77"/>
        <v>0</v>
      </c>
      <c r="I319" s="68">
        <f>IFERROR(SUMIF(簡易陰圧装置!$C$30:$C$74,B319,簡易陰圧装置!$N$30:$N$74)*((簡易陰圧装置!$H$3-簡易陰圧装置!$I$3)/簡易陰圧装置!$H$3),0)</f>
        <v>0</v>
      </c>
      <c r="J319" s="69">
        <f t="shared" si="78"/>
        <v>0</v>
      </c>
      <c r="K319" s="68">
        <f>IFERROR(SUMIF(#REF!,B319,#REF!)*((#REF!-#REF!)/#REF!),0)</f>
        <v>0</v>
      </c>
      <c r="L319" s="69">
        <f t="shared" si="79"/>
        <v>0</v>
      </c>
      <c r="M319" s="68">
        <f>IFERROR(SUMIF(体外式膜型人工肺!$C$30:$C$74,B319,体外式膜型人工肺!$N$30:$N$74)*((体外式膜型人工肺!$H$3-体外式膜型人工肺!$I$3)/体外式膜型人工肺!$H$3),0)</f>
        <v>0</v>
      </c>
      <c r="N319" s="69">
        <f t="shared" si="80"/>
        <v>0</v>
      </c>
      <c r="O319" s="69">
        <f t="shared" si="81"/>
        <v>0</v>
      </c>
      <c r="P319" s="69">
        <f t="shared" si="82"/>
        <v>0</v>
      </c>
      <c r="Q319" s="68">
        <f>IFERROR(SUMIF(紫外線照射装置!$C$30:$C$74,B319,紫外線照射装置!$N$30:$N$74)*((紫外線照射装置!$H$3-紫外線照射装置!$I$3)/紫外線照射装置!$H$3),0)</f>
        <v>0</v>
      </c>
      <c r="R319" s="69">
        <f t="shared" si="83"/>
        <v>0</v>
      </c>
      <c r="S319" s="102">
        <f t="shared" si="84"/>
        <v>0</v>
      </c>
      <c r="T319" s="68">
        <f>IFERROR(SUMIF(超音波画像診断装置!$C$30:$C$74,B319,超音波画像診断装置!$K$30:$K$74)*((超音波画像診断装置!$H$3-超音波画像診断装置!$I$3)/超音波画像診断装置!$H$3),0)</f>
        <v>0</v>
      </c>
      <c r="U319" s="69">
        <f t="shared" si="85"/>
        <v>0</v>
      </c>
      <c r="V319" s="68">
        <f>IFERROR(SUMIF(血液浄化装置!$C$30:$C$74,B319,血液浄化装置!$K$30:$K$74)*((血液浄化装置!$H$3-血液浄化装置!$I$3)/血液浄化装置!$H$3),0)</f>
        <v>0</v>
      </c>
      <c r="W319" s="69">
        <f t="shared" si="86"/>
        <v>0</v>
      </c>
      <c r="X319" s="68">
        <f>IFERROR(SUMIF(気管支鏡!$C$30:$C$74,B319,気管支鏡!$K$30:$K$74)*((気管支鏡!$H$3-気管支鏡!$I$3)/気管支鏡!$H$3),0)</f>
        <v>0</v>
      </c>
      <c r="Y319" s="69">
        <f t="shared" si="72"/>
        <v>0</v>
      </c>
      <c r="Z319" s="68">
        <f>IFERROR(SUMIF(CT撮影装置!$C$30:$C$74,B319,CT撮影装置!$K$30:$K$74)*((CT撮影装置!$H$3-CT撮影装置!$I$3)/CT撮影装置!$H$3),0)</f>
        <v>0</v>
      </c>
      <c r="AA319" s="69">
        <f t="shared" si="87"/>
        <v>0</v>
      </c>
      <c r="AB319" s="68">
        <f>IFERROR(SUMIF(生体情報モニタ!$C$30:$C$74,B319,生体情報モニタ!$K$30:$K$74)*((生体情報モニタ!$H$3-生体情報モニタ!$I$3)/生体情報モニタ!$H$3),0)</f>
        <v>0</v>
      </c>
      <c r="AC319" s="69">
        <f t="shared" si="73"/>
        <v>0</v>
      </c>
      <c r="AD319" s="68">
        <f>IFERROR(SUMIF(分娩監視装置!$C$30:$C$74,B319,分娩監視装置!$K$30:$K$74)*((分娩監視装置!$H$3-分娩監視装置!$I$3)/分娩監視装置!$H$3),0)</f>
        <v>0</v>
      </c>
      <c r="AE319" s="69">
        <f t="shared" si="88"/>
        <v>0</v>
      </c>
      <c r="AF319" s="68">
        <f>IFERROR(SUMIF(新生児モニタ!$C$30:$C$74,B319,新生児モニタ!$K$30:$K$74)*((新生児モニタ!$H$3-新生児モニタ!$I$3)/新生児モニタ!$H$3),0)</f>
        <v>0</v>
      </c>
      <c r="AG319" s="69">
        <f t="shared" si="89"/>
        <v>0</v>
      </c>
    </row>
    <row r="320" spans="2:33">
      <c r="B320" s="65" t="s">
        <v>989</v>
      </c>
      <c r="C320" s="68">
        <f>IFERROR(SUMIF(初度設備!$C$30:$C$74,B320,初度設備!$N$30:$N$74)*((初度設備!$H$3-初度設備!$I$3)/初度設備!$H$3),0)</f>
        <v>0</v>
      </c>
      <c r="D320" s="69">
        <f t="shared" si="74"/>
        <v>0</v>
      </c>
      <c r="E320" s="68">
        <f>IFERROR(SUMIF(人工呼吸器!$C$30:$C$74,B320,人工呼吸器!$N$30:$N$74)*((人工呼吸器!$H$3-人工呼吸器!$I$3)/人工呼吸器!$H$3),0)</f>
        <v>0</v>
      </c>
      <c r="F320" s="69">
        <f t="shared" si="75"/>
        <v>0</v>
      </c>
      <c r="G320" s="69">
        <f t="shared" si="76"/>
        <v>0</v>
      </c>
      <c r="H320" s="69">
        <f t="shared" si="77"/>
        <v>0</v>
      </c>
      <c r="I320" s="68">
        <f>IFERROR(SUMIF(簡易陰圧装置!$C$30:$C$74,B320,簡易陰圧装置!$N$30:$N$74)*((簡易陰圧装置!$H$3-簡易陰圧装置!$I$3)/簡易陰圧装置!$H$3),0)</f>
        <v>0</v>
      </c>
      <c r="J320" s="69">
        <f t="shared" si="78"/>
        <v>0</v>
      </c>
      <c r="K320" s="68">
        <f>IFERROR(SUMIF(#REF!,B320,#REF!)*((#REF!-#REF!)/#REF!),0)</f>
        <v>0</v>
      </c>
      <c r="L320" s="69">
        <f t="shared" si="79"/>
        <v>0</v>
      </c>
      <c r="M320" s="68">
        <f>IFERROR(SUMIF(体外式膜型人工肺!$C$30:$C$74,B320,体外式膜型人工肺!$N$30:$N$74)*((体外式膜型人工肺!$H$3-体外式膜型人工肺!$I$3)/体外式膜型人工肺!$H$3),0)</f>
        <v>0</v>
      </c>
      <c r="N320" s="69">
        <f t="shared" si="80"/>
        <v>0</v>
      </c>
      <c r="O320" s="69">
        <f t="shared" si="81"/>
        <v>0</v>
      </c>
      <c r="P320" s="69">
        <f t="shared" si="82"/>
        <v>0</v>
      </c>
      <c r="Q320" s="68">
        <f>IFERROR(SUMIF(紫外線照射装置!$C$30:$C$74,B320,紫外線照射装置!$N$30:$N$74)*((紫外線照射装置!$H$3-紫外線照射装置!$I$3)/紫外線照射装置!$H$3),0)</f>
        <v>0</v>
      </c>
      <c r="R320" s="69">
        <f t="shared" si="83"/>
        <v>0</v>
      </c>
      <c r="S320" s="102">
        <f t="shared" si="84"/>
        <v>0</v>
      </c>
      <c r="T320" s="68">
        <f>IFERROR(SUMIF(超音波画像診断装置!$C$30:$C$74,B320,超音波画像診断装置!$K$30:$K$74)*((超音波画像診断装置!$H$3-超音波画像診断装置!$I$3)/超音波画像診断装置!$H$3),0)</f>
        <v>0</v>
      </c>
      <c r="U320" s="69">
        <f t="shared" si="85"/>
        <v>0</v>
      </c>
      <c r="V320" s="68">
        <f>IFERROR(SUMIF(血液浄化装置!$C$30:$C$74,B320,血液浄化装置!$K$30:$K$74)*((血液浄化装置!$H$3-血液浄化装置!$I$3)/血液浄化装置!$H$3),0)</f>
        <v>0</v>
      </c>
      <c r="W320" s="69">
        <f t="shared" si="86"/>
        <v>0</v>
      </c>
      <c r="X320" s="68">
        <f>IFERROR(SUMIF(気管支鏡!$C$30:$C$74,B320,気管支鏡!$K$30:$K$74)*((気管支鏡!$H$3-気管支鏡!$I$3)/気管支鏡!$H$3),0)</f>
        <v>0</v>
      </c>
      <c r="Y320" s="69">
        <f t="shared" si="72"/>
        <v>0</v>
      </c>
      <c r="Z320" s="68">
        <f>IFERROR(SUMIF(CT撮影装置!$C$30:$C$74,B320,CT撮影装置!$K$30:$K$74)*((CT撮影装置!$H$3-CT撮影装置!$I$3)/CT撮影装置!$H$3),0)</f>
        <v>0</v>
      </c>
      <c r="AA320" s="69">
        <f t="shared" si="87"/>
        <v>0</v>
      </c>
      <c r="AB320" s="68">
        <f>IFERROR(SUMIF(生体情報モニタ!$C$30:$C$74,B320,生体情報モニタ!$K$30:$K$74)*((生体情報モニタ!$H$3-生体情報モニタ!$I$3)/生体情報モニタ!$H$3),0)</f>
        <v>0</v>
      </c>
      <c r="AC320" s="69">
        <f t="shared" si="73"/>
        <v>0</v>
      </c>
      <c r="AD320" s="68">
        <f>IFERROR(SUMIF(分娩監視装置!$C$30:$C$74,B320,分娩監視装置!$K$30:$K$74)*((分娩監視装置!$H$3-分娩監視装置!$I$3)/分娩監視装置!$H$3),0)</f>
        <v>0</v>
      </c>
      <c r="AE320" s="69">
        <f t="shared" si="88"/>
        <v>0</v>
      </c>
      <c r="AF320" s="68">
        <f>IFERROR(SUMIF(新生児モニタ!$C$30:$C$74,B320,新生児モニタ!$K$30:$K$74)*((新生児モニタ!$H$3-新生児モニタ!$I$3)/新生児モニタ!$H$3),0)</f>
        <v>0</v>
      </c>
      <c r="AG320" s="69">
        <f t="shared" si="89"/>
        <v>0</v>
      </c>
    </row>
    <row r="321" spans="2:33">
      <c r="B321" s="65" t="s">
        <v>990</v>
      </c>
      <c r="C321" s="68">
        <f>IFERROR(SUMIF(初度設備!$C$30:$C$74,B321,初度設備!$N$30:$N$74)*((初度設備!$H$3-初度設備!$I$3)/初度設備!$H$3),0)</f>
        <v>0</v>
      </c>
      <c r="D321" s="69">
        <f t="shared" si="74"/>
        <v>0</v>
      </c>
      <c r="E321" s="68">
        <f>IFERROR(SUMIF(人工呼吸器!$C$30:$C$74,B321,人工呼吸器!$N$30:$N$74)*((人工呼吸器!$H$3-人工呼吸器!$I$3)/人工呼吸器!$H$3),0)</f>
        <v>0</v>
      </c>
      <c r="F321" s="69">
        <f t="shared" si="75"/>
        <v>0</v>
      </c>
      <c r="G321" s="69">
        <f t="shared" si="76"/>
        <v>0</v>
      </c>
      <c r="H321" s="69">
        <f t="shared" si="77"/>
        <v>0</v>
      </c>
      <c r="I321" s="68">
        <f>IFERROR(SUMIF(簡易陰圧装置!$C$30:$C$74,B321,簡易陰圧装置!$N$30:$N$74)*((簡易陰圧装置!$H$3-簡易陰圧装置!$I$3)/簡易陰圧装置!$H$3),0)</f>
        <v>0</v>
      </c>
      <c r="J321" s="69">
        <f t="shared" si="78"/>
        <v>0</v>
      </c>
      <c r="K321" s="68">
        <f>IFERROR(SUMIF(#REF!,B321,#REF!)*((#REF!-#REF!)/#REF!),0)</f>
        <v>0</v>
      </c>
      <c r="L321" s="69">
        <f t="shared" si="79"/>
        <v>0</v>
      </c>
      <c r="M321" s="68">
        <f>IFERROR(SUMIF(体外式膜型人工肺!$C$30:$C$74,B321,体外式膜型人工肺!$N$30:$N$74)*((体外式膜型人工肺!$H$3-体外式膜型人工肺!$I$3)/体外式膜型人工肺!$H$3),0)</f>
        <v>0</v>
      </c>
      <c r="N321" s="69">
        <f t="shared" si="80"/>
        <v>0</v>
      </c>
      <c r="O321" s="69">
        <f t="shared" si="81"/>
        <v>0</v>
      </c>
      <c r="P321" s="69">
        <f t="shared" si="82"/>
        <v>0</v>
      </c>
      <c r="Q321" s="68">
        <f>IFERROR(SUMIF(紫外線照射装置!$C$30:$C$74,B321,紫外線照射装置!$N$30:$N$74)*((紫外線照射装置!$H$3-紫外線照射装置!$I$3)/紫外線照射装置!$H$3),0)</f>
        <v>0</v>
      </c>
      <c r="R321" s="69">
        <f t="shared" si="83"/>
        <v>0</v>
      </c>
      <c r="S321" s="102">
        <f t="shared" si="84"/>
        <v>0</v>
      </c>
      <c r="T321" s="68">
        <f>IFERROR(SUMIF(超音波画像診断装置!$C$30:$C$74,B321,超音波画像診断装置!$K$30:$K$74)*((超音波画像診断装置!$H$3-超音波画像診断装置!$I$3)/超音波画像診断装置!$H$3),0)</f>
        <v>0</v>
      </c>
      <c r="U321" s="69">
        <f t="shared" si="85"/>
        <v>0</v>
      </c>
      <c r="V321" s="68">
        <f>IFERROR(SUMIF(血液浄化装置!$C$30:$C$74,B321,血液浄化装置!$K$30:$K$74)*((血液浄化装置!$H$3-血液浄化装置!$I$3)/血液浄化装置!$H$3),0)</f>
        <v>0</v>
      </c>
      <c r="W321" s="69">
        <f t="shared" si="86"/>
        <v>0</v>
      </c>
      <c r="X321" s="68">
        <f>IFERROR(SUMIF(気管支鏡!$C$30:$C$74,B321,気管支鏡!$K$30:$K$74)*((気管支鏡!$H$3-気管支鏡!$I$3)/気管支鏡!$H$3),0)</f>
        <v>0</v>
      </c>
      <c r="Y321" s="69">
        <f t="shared" si="72"/>
        <v>0</v>
      </c>
      <c r="Z321" s="68">
        <f>IFERROR(SUMIF(CT撮影装置!$C$30:$C$74,B321,CT撮影装置!$K$30:$K$74)*((CT撮影装置!$H$3-CT撮影装置!$I$3)/CT撮影装置!$H$3),0)</f>
        <v>0</v>
      </c>
      <c r="AA321" s="69">
        <f t="shared" si="87"/>
        <v>0</v>
      </c>
      <c r="AB321" s="68">
        <f>IFERROR(SUMIF(生体情報モニタ!$C$30:$C$74,B321,生体情報モニタ!$K$30:$K$74)*((生体情報モニタ!$H$3-生体情報モニタ!$I$3)/生体情報モニタ!$H$3),0)</f>
        <v>0</v>
      </c>
      <c r="AC321" s="69">
        <f t="shared" si="73"/>
        <v>0</v>
      </c>
      <c r="AD321" s="68">
        <f>IFERROR(SUMIF(分娩監視装置!$C$30:$C$74,B321,分娩監視装置!$K$30:$K$74)*((分娩監視装置!$H$3-分娩監視装置!$I$3)/分娩監視装置!$H$3),0)</f>
        <v>0</v>
      </c>
      <c r="AE321" s="69">
        <f t="shared" si="88"/>
        <v>0</v>
      </c>
      <c r="AF321" s="68">
        <f>IFERROR(SUMIF(新生児モニタ!$C$30:$C$74,B321,新生児モニタ!$K$30:$K$74)*((新生児モニタ!$H$3-新生児モニタ!$I$3)/新生児モニタ!$H$3),0)</f>
        <v>0</v>
      </c>
      <c r="AG321" s="69">
        <f t="shared" si="89"/>
        <v>0</v>
      </c>
    </row>
    <row r="322" spans="2:33">
      <c r="B322" s="65" t="s">
        <v>991</v>
      </c>
      <c r="C322" s="68">
        <f>IFERROR(SUMIF(初度設備!$C$30:$C$74,B322,初度設備!$N$30:$N$74)*((初度設備!$H$3-初度設備!$I$3)/初度設備!$H$3),0)</f>
        <v>0</v>
      </c>
      <c r="D322" s="69">
        <f t="shared" si="74"/>
        <v>0</v>
      </c>
      <c r="E322" s="68">
        <f>IFERROR(SUMIF(人工呼吸器!$C$30:$C$74,B322,人工呼吸器!$N$30:$N$74)*((人工呼吸器!$H$3-人工呼吸器!$I$3)/人工呼吸器!$H$3),0)</f>
        <v>0</v>
      </c>
      <c r="F322" s="69">
        <f t="shared" si="75"/>
        <v>0</v>
      </c>
      <c r="G322" s="69">
        <f t="shared" si="76"/>
        <v>0</v>
      </c>
      <c r="H322" s="69">
        <f t="shared" si="77"/>
        <v>0</v>
      </c>
      <c r="I322" s="68">
        <f>IFERROR(SUMIF(簡易陰圧装置!$C$30:$C$74,B322,簡易陰圧装置!$N$30:$N$74)*((簡易陰圧装置!$H$3-簡易陰圧装置!$I$3)/簡易陰圧装置!$H$3),0)</f>
        <v>0</v>
      </c>
      <c r="J322" s="69">
        <f t="shared" si="78"/>
        <v>0</v>
      </c>
      <c r="K322" s="68">
        <f>IFERROR(SUMIF(#REF!,B322,#REF!)*((#REF!-#REF!)/#REF!),0)</f>
        <v>0</v>
      </c>
      <c r="L322" s="69">
        <f t="shared" si="79"/>
        <v>0</v>
      </c>
      <c r="M322" s="68">
        <f>IFERROR(SUMIF(体外式膜型人工肺!$C$30:$C$74,B322,体外式膜型人工肺!$N$30:$N$74)*((体外式膜型人工肺!$H$3-体外式膜型人工肺!$I$3)/体外式膜型人工肺!$H$3),0)</f>
        <v>0</v>
      </c>
      <c r="N322" s="69">
        <f t="shared" si="80"/>
        <v>0</v>
      </c>
      <c r="O322" s="69">
        <f t="shared" si="81"/>
        <v>0</v>
      </c>
      <c r="P322" s="69">
        <f t="shared" si="82"/>
        <v>0</v>
      </c>
      <c r="Q322" s="68">
        <f>IFERROR(SUMIF(紫外線照射装置!$C$30:$C$74,B322,紫外線照射装置!$N$30:$N$74)*((紫外線照射装置!$H$3-紫外線照射装置!$I$3)/紫外線照射装置!$H$3),0)</f>
        <v>0</v>
      </c>
      <c r="R322" s="69">
        <f t="shared" si="83"/>
        <v>0</v>
      </c>
      <c r="S322" s="102">
        <f t="shared" si="84"/>
        <v>0</v>
      </c>
      <c r="T322" s="68">
        <f>IFERROR(SUMIF(超音波画像診断装置!$C$30:$C$74,B322,超音波画像診断装置!$K$30:$K$74)*((超音波画像診断装置!$H$3-超音波画像診断装置!$I$3)/超音波画像診断装置!$H$3),0)</f>
        <v>0</v>
      </c>
      <c r="U322" s="69">
        <f t="shared" si="85"/>
        <v>0</v>
      </c>
      <c r="V322" s="68">
        <f>IFERROR(SUMIF(血液浄化装置!$C$30:$C$74,B322,血液浄化装置!$K$30:$K$74)*((血液浄化装置!$H$3-血液浄化装置!$I$3)/血液浄化装置!$H$3),0)</f>
        <v>0</v>
      </c>
      <c r="W322" s="69">
        <f t="shared" si="86"/>
        <v>0</v>
      </c>
      <c r="X322" s="68">
        <f>IFERROR(SUMIF(気管支鏡!$C$30:$C$74,B322,気管支鏡!$K$30:$K$74)*((気管支鏡!$H$3-気管支鏡!$I$3)/気管支鏡!$H$3),0)</f>
        <v>0</v>
      </c>
      <c r="Y322" s="69">
        <f t="shared" si="72"/>
        <v>0</v>
      </c>
      <c r="Z322" s="68">
        <f>IFERROR(SUMIF(CT撮影装置!$C$30:$C$74,B322,CT撮影装置!$K$30:$K$74)*((CT撮影装置!$H$3-CT撮影装置!$I$3)/CT撮影装置!$H$3),0)</f>
        <v>0</v>
      </c>
      <c r="AA322" s="69">
        <f t="shared" si="87"/>
        <v>0</v>
      </c>
      <c r="AB322" s="68">
        <f>IFERROR(SUMIF(生体情報モニタ!$C$30:$C$74,B322,生体情報モニタ!$K$30:$K$74)*((生体情報モニタ!$H$3-生体情報モニタ!$I$3)/生体情報モニタ!$H$3),0)</f>
        <v>0</v>
      </c>
      <c r="AC322" s="69">
        <f t="shared" si="73"/>
        <v>0</v>
      </c>
      <c r="AD322" s="68">
        <f>IFERROR(SUMIF(分娩監視装置!$C$30:$C$74,B322,分娩監視装置!$K$30:$K$74)*((分娩監視装置!$H$3-分娩監視装置!$I$3)/分娩監視装置!$H$3),0)</f>
        <v>0</v>
      </c>
      <c r="AE322" s="69">
        <f t="shared" si="88"/>
        <v>0</v>
      </c>
      <c r="AF322" s="68">
        <f>IFERROR(SUMIF(新生児モニタ!$C$30:$C$74,B322,新生児モニタ!$K$30:$K$74)*((新生児モニタ!$H$3-新生児モニタ!$I$3)/新生児モニタ!$H$3),0)</f>
        <v>0</v>
      </c>
      <c r="AG322" s="69">
        <f t="shared" si="89"/>
        <v>0</v>
      </c>
    </row>
  </sheetData>
  <mergeCells count="19">
    <mergeCell ref="AF20:AF21"/>
    <mergeCell ref="C20:C21"/>
    <mergeCell ref="I20:I21"/>
    <mergeCell ref="K20:K21"/>
    <mergeCell ref="Q20:Q21"/>
    <mergeCell ref="T20:T21"/>
    <mergeCell ref="V20:V21"/>
    <mergeCell ref="X20:X21"/>
    <mergeCell ref="Z20:Z21"/>
    <mergeCell ref="AB20:AB21"/>
    <mergeCell ref="AD20:AD21"/>
    <mergeCell ref="E20:E21"/>
    <mergeCell ref="F20:H20"/>
    <mergeCell ref="F21:H21"/>
    <mergeCell ref="R20:S20"/>
    <mergeCell ref="R21:S21"/>
    <mergeCell ref="M20:M21"/>
    <mergeCell ref="N20:P20"/>
    <mergeCell ref="N21:P21"/>
  </mergeCells>
  <phoneticPr fontId="9"/>
  <conditionalFormatting sqref="C23:D322 I23:L322 Q23:AG322">
    <cfRule type="cellIs" dxfId="371" priority="3" operator="greaterThan">
      <formula>0</formula>
    </cfRule>
  </conditionalFormatting>
  <conditionalFormatting sqref="E23:H322">
    <cfRule type="cellIs" dxfId="370" priority="2" operator="greaterThan">
      <formula>0</formula>
    </cfRule>
  </conditionalFormatting>
  <conditionalFormatting sqref="M23:P322">
    <cfRule type="cellIs" dxfId="369" priority="1" operator="greaterThan">
      <formula>0</formula>
    </cfRule>
  </conditionalFormatting>
  <pageMargins left="0.7" right="0.7" top="0.75" bottom="0.75" header="0.3" footer="0.3"/>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5">
    <tabColor theme="4" tint="0.79998168889431442"/>
    <pageSetUpPr fitToPage="1"/>
  </sheetPr>
  <dimension ref="A1:AF74"/>
  <sheetViews>
    <sheetView showGridLines="0" view="pageBreakPreview" topLeftCell="A25" zoomScale="60" zoomScaleNormal="100" workbookViewId="0">
      <selection activeCell="B26" sqref="B26:L26"/>
    </sheetView>
  </sheetViews>
  <sheetFormatPr defaultColWidth="8.625" defaultRowHeight="18"/>
  <cols>
    <col min="1" max="1" width="3.625" style="12" customWidth="1"/>
    <col min="2" max="4" width="8.625" style="19"/>
    <col min="5" max="5" width="30.625" style="19" customWidth="1"/>
    <col min="6" max="6" width="8.625" style="19"/>
    <col min="7" max="11" width="12.625" style="19" customWidth="1"/>
    <col min="12" max="12" width="8.625" style="19"/>
    <col min="13" max="13" width="3.625" style="19" customWidth="1"/>
    <col min="14" max="23" width="8.625" style="19"/>
    <col min="24" max="24" width="8.625" style="19" customWidth="1"/>
    <col min="25" max="25" width="3.625" style="12" customWidth="1"/>
    <col min="26" max="26" width="8.625" style="19"/>
    <col min="27" max="27" width="40.625" style="19" customWidth="1"/>
    <col min="28" max="28" width="3.625" style="19" customWidth="1"/>
    <col min="29" max="32" width="8.625" style="19"/>
    <col min="33" max="33" width="30.625" style="19" customWidth="1"/>
    <col min="34" max="16384" width="8.625" style="19"/>
  </cols>
  <sheetData>
    <row r="1" spans="1:32" ht="20.100000000000001" customHeight="1">
      <c r="K1" s="1829" t="str">
        <f xml:space="preserve">
IF(表紙!X2="交付申請兼実績報告","（４月１日～５月７日分）",
IF(OR(表紙!X2="事前協議",表紙!X2="交付申請",表紙!X2="変更申請",表紙!X2="実績報告"),"（５月８日～９月30日分）",
))</f>
        <v>（５月８日～９月30日分）</v>
      </c>
      <c r="L1" s="1364"/>
      <c r="M1" s="1364"/>
    </row>
    <row r="2" spans="1:32" ht="20.100000000000001" customHeight="1">
      <c r="B2" s="1817" t="s">
        <v>433</v>
      </c>
      <c r="C2" s="1818"/>
      <c r="D2" s="1819"/>
      <c r="H2" s="5" t="s">
        <v>538</v>
      </c>
      <c r="I2" s="374" t="s">
        <v>539</v>
      </c>
      <c r="J2" s="5" t="s">
        <v>44</v>
      </c>
      <c r="Z2" s="374" t="s">
        <v>419</v>
      </c>
      <c r="AA2" s="374" t="s">
        <v>417</v>
      </c>
      <c r="AC2" s="374" t="str">
        <f>Z9</f>
        <v>×</v>
      </c>
      <c r="AD2" s="374" t="str">
        <f>Z15</f>
        <v>◎</v>
      </c>
      <c r="AE2" s="374" t="str">
        <f>Z22</f>
        <v>◎</v>
      </c>
      <c r="AF2" s="374" t="str">
        <f>Z26</f>
        <v>◎</v>
      </c>
    </row>
    <row r="3" spans="1:32" ht="20.100000000000001" customHeight="1">
      <c r="B3" s="1820"/>
      <c r="C3" s="1821"/>
      <c r="D3" s="1822"/>
      <c r="H3" s="358">
        <f>SUM(I30:I74)</f>
        <v>12136300000</v>
      </c>
      <c r="I3" s="8"/>
      <c r="J3" s="358">
        <f>IFERROR(ROUNDUP(SUM(K30:K74)*((H3-I3)/H3),0),0)</f>
        <v>12124200000</v>
      </c>
      <c r="Z3" s="863" t="str">
        <f xml:space="preserve">
IF(COUNTIF(AD2:AF2,"○")=3,"○",
IF(COUNTIF(AD2:AF2,"◎")=3,"◎","×"
))</f>
        <v>◎</v>
      </c>
      <c r="AA3" s="1812" t="str">
        <f xml:space="preserve">
IF(Z3="○","整備しない場合は入力不要です。",
IF(Z3="×","【要修正】入力が不十分な箇所があります。",
IF(Z3="◎","適切に入力がされました。")))</f>
        <v>適切に入力がされました。</v>
      </c>
    </row>
    <row r="4" spans="1:32" ht="9.9499999999999993" customHeight="1">
      <c r="Z4" s="863"/>
      <c r="AA4" s="1812"/>
    </row>
    <row r="5" spans="1:32" ht="20.100000000000001" customHeight="1">
      <c r="B5" s="393" t="s">
        <v>55</v>
      </c>
      <c r="C5" s="393"/>
      <c r="D5" s="393"/>
      <c r="E5" s="393"/>
      <c r="F5" s="393"/>
      <c r="G5" s="393"/>
      <c r="H5" s="393"/>
      <c r="I5" s="393"/>
      <c r="J5" s="393"/>
      <c r="K5" s="393"/>
      <c r="L5" s="393"/>
      <c r="Z5" s="908"/>
      <c r="AA5" s="843"/>
    </row>
    <row r="6" spans="1:32" ht="9.9499999999999993" customHeight="1"/>
    <row r="7" spans="1:32" ht="20.100000000000001" customHeight="1">
      <c r="B7" s="1833" t="str">
        <f xml:space="preserve">
IF(OR(表紙!X2="事前協議",表紙!X2="交付申請"),"（１）整備を行う対象の新規で指定を受けた確保病床数あるいは、確保病床を有しない場合は整備を行う病床の数",
IF(表紙!X2="交付申請兼実績報告","（１）整備を行う対象の新規で指定を受けた確保病床数"))</f>
        <v>（１）整備を行う対象の新規で指定を受けた確保病床数あるいは、確保病床を有しない場合は整備を行う病床の数</v>
      </c>
      <c r="C7" s="932"/>
      <c r="D7" s="932"/>
      <c r="E7" s="932"/>
      <c r="F7" s="932"/>
      <c r="G7" s="932"/>
      <c r="H7" s="932"/>
      <c r="I7" s="932"/>
      <c r="J7" s="932"/>
      <c r="K7" s="932"/>
      <c r="L7" s="932"/>
      <c r="Z7" s="1808" t="s">
        <v>415</v>
      </c>
      <c r="AA7" s="1808" t="s">
        <v>417</v>
      </c>
    </row>
    <row r="8" spans="1:32" ht="9.9499999999999993" customHeight="1">
      <c r="Z8" s="1809"/>
      <c r="AA8" s="1809"/>
    </row>
    <row r="9" spans="1:32" ht="35.1" customHeight="1">
      <c r="B9" s="1834" t="s">
        <v>56</v>
      </c>
      <c r="C9" s="1835"/>
      <c r="D9" s="205" t="str">
        <f>IF(はじめに入力してください!K50="","",はじめに入力してください!K50)</f>
        <v/>
      </c>
      <c r="E9" s="359"/>
      <c r="F9" s="360"/>
      <c r="G9" s="360"/>
      <c r="H9" s="360"/>
      <c r="I9" s="360"/>
      <c r="J9" s="361"/>
      <c r="K9" s="361"/>
      <c r="L9" s="361"/>
      <c r="Z9" s="374" t="str">
        <f xml:space="preserve">
IF(D9="","×",
IF(D9=0,"○",
IF(D9&gt;=1,"◎",
)))</f>
        <v>×</v>
      </c>
      <c r="AA9" s="395" t="str">
        <f xml:space="preserve">
IF(D9="","【要修正】「はじめに入力してください」シートに整備を行う病床の数を入力してください。",
IF(D9=0,"申請しない場合は以下入力不要です。",
IF(D9&gt;=1,"適切に入力されました。",
)))</f>
        <v>【要修正】「はじめに入力してください」シートに整備を行う病床の数を入力してください。</v>
      </c>
    </row>
    <row r="10" spans="1:32" ht="20.100000000000001" customHeight="1">
      <c r="B10" s="1830"/>
      <c r="C10" s="1831"/>
      <c r="D10" s="1832"/>
      <c r="E10" s="1832"/>
      <c r="F10" s="1832"/>
      <c r="G10" s="1832"/>
      <c r="H10" s="1832"/>
      <c r="I10" s="1832"/>
      <c r="J10" s="1832"/>
      <c r="K10" s="1832"/>
      <c r="L10" s="1832"/>
    </row>
    <row r="11" spans="1:32" ht="20.100000000000001" hidden="1" customHeight="1"/>
    <row r="12" spans="1:32" ht="20.100000000000001" customHeight="1">
      <c r="B12" s="1833" t="s">
        <v>57</v>
      </c>
      <c r="C12" s="932"/>
      <c r="D12" s="932"/>
      <c r="E12" s="932"/>
      <c r="F12" s="932"/>
      <c r="G12" s="932"/>
      <c r="H12" s="932"/>
      <c r="I12" s="932"/>
      <c r="J12" s="932"/>
      <c r="K12" s="932"/>
      <c r="L12" s="932"/>
    </row>
    <row r="13" spans="1:32" ht="39.950000000000003" customHeight="1">
      <c r="B13" s="1813" t="s">
        <v>540</v>
      </c>
      <c r="C13" s="931"/>
      <c r="D13" s="931"/>
      <c r="E13" s="931"/>
      <c r="F13" s="931"/>
      <c r="G13" s="931"/>
      <c r="H13" s="931"/>
      <c r="I13" s="931"/>
      <c r="J13" s="931"/>
      <c r="K13" s="931"/>
      <c r="L13" s="931"/>
    </row>
    <row r="14" spans="1:32" s="392" customFormat="1" ht="60" customHeight="1">
      <c r="A14" s="13"/>
      <c r="B14" s="1813" t="str">
        <f>VLOOKUP(B2,テーブル!M37:N51,2,FALSE)</f>
        <v>（例）当院は総合病院として１病棟を重点病床として指定を受けているが、入院患者の肺炎・消化器症状を撮影するためのCT撮影装置は確保病床とは別棟に
　　　ある撮影室までの移動を要した。移動にあたっては隔離搬送用のストレッチャーを使用していたが、別棟への移動の負担及び一般入院患者からの院内
　　　感染への懸念の声が上がっているのも事実としてあるため、CT室を新たに重点病床病棟に新設し、コロナ専用CT撮影機を配備することとしたい。</v>
      </c>
      <c r="C14" s="1645"/>
      <c r="D14" s="1645"/>
      <c r="E14" s="1645"/>
      <c r="F14" s="1645"/>
      <c r="G14" s="1645"/>
      <c r="H14" s="1645"/>
      <c r="I14" s="1645"/>
      <c r="J14" s="1645"/>
      <c r="K14" s="1645"/>
      <c r="L14" s="1645"/>
      <c r="Y14" s="13"/>
      <c r="Z14" s="373" t="s">
        <v>415</v>
      </c>
      <c r="AA14" s="373" t="s">
        <v>416</v>
      </c>
    </row>
    <row r="15" spans="1:32" ht="120" customHeight="1">
      <c r="B15" s="1814" t="s">
        <v>1321</v>
      </c>
      <c r="C15" s="1815"/>
      <c r="D15" s="1815"/>
      <c r="E15" s="1815"/>
      <c r="F15" s="1815"/>
      <c r="G15" s="1815"/>
      <c r="H15" s="1815"/>
      <c r="I15" s="1815"/>
      <c r="J15" s="1815"/>
      <c r="K15" s="1815"/>
      <c r="L15" s="1816"/>
      <c r="Z15" s="374" t="str">
        <f xml:space="preserve">
IF(COUNTA(B15)=0,"○",
IF(COUNTA(B15)=1,"◎"))</f>
        <v>◎</v>
      </c>
      <c r="AA15" s="395" t="str">
        <f xml:space="preserve">
IF(COUNTA(B15)=0,"整備しない場合は入力不要です。",
IF(COUNTA(B15)=1,"入力された状態になりました。"))</f>
        <v>入力された状態になりました。</v>
      </c>
    </row>
    <row r="16" spans="1:32" ht="20.100000000000001" customHeight="1"/>
    <row r="17" spans="1:27" ht="20.100000000000001" customHeight="1">
      <c r="B17" s="393" t="s">
        <v>454</v>
      </c>
      <c r="C17" s="393"/>
      <c r="D17" s="393"/>
      <c r="E17" s="393"/>
      <c r="F17" s="393"/>
      <c r="G17" s="393"/>
      <c r="H17" s="393"/>
      <c r="I17" s="393"/>
      <c r="J17" s="393"/>
      <c r="K17" s="393"/>
      <c r="L17" s="393"/>
    </row>
    <row r="18" spans="1:27" ht="20.100000000000001" customHeight="1">
      <c r="B18" s="1813" t="s">
        <v>482</v>
      </c>
      <c r="C18" s="931"/>
      <c r="D18" s="931"/>
      <c r="E18" s="931"/>
      <c r="F18" s="931"/>
      <c r="G18" s="931"/>
      <c r="H18" s="931"/>
      <c r="I18" s="931"/>
      <c r="J18" s="931"/>
      <c r="K18" s="931"/>
      <c r="L18" s="931"/>
    </row>
    <row r="19" spans="1:27" ht="20.100000000000001" customHeight="1">
      <c r="B19" s="1813"/>
      <c r="C19" s="931"/>
      <c r="D19" s="931"/>
      <c r="E19" s="931"/>
      <c r="F19" s="931"/>
      <c r="G19" s="931"/>
      <c r="H19" s="931"/>
      <c r="I19" s="931"/>
      <c r="J19" s="931"/>
      <c r="K19" s="931"/>
      <c r="L19" s="931"/>
    </row>
    <row r="20" spans="1:27" ht="20.100000000000001" customHeight="1">
      <c r="B20" s="1813"/>
      <c r="C20" s="931"/>
      <c r="D20" s="931"/>
      <c r="E20" s="931"/>
      <c r="F20" s="931"/>
      <c r="G20" s="931"/>
      <c r="H20" s="931"/>
      <c r="I20" s="931"/>
      <c r="J20" s="931"/>
      <c r="K20" s="931"/>
      <c r="L20" s="931"/>
    </row>
    <row r="21" spans="1:27" ht="20.100000000000001" customHeight="1">
      <c r="B21" s="931"/>
      <c r="C21" s="931"/>
      <c r="D21" s="931"/>
      <c r="E21" s="931"/>
      <c r="F21" s="931"/>
      <c r="G21" s="931"/>
      <c r="H21" s="931"/>
      <c r="I21" s="931"/>
      <c r="J21" s="931"/>
      <c r="K21" s="931"/>
      <c r="L21" s="931"/>
    </row>
    <row r="22" spans="1:27" ht="120" customHeight="1">
      <c r="B22" s="1814" t="s">
        <v>1321</v>
      </c>
      <c r="C22" s="1815"/>
      <c r="D22" s="1815"/>
      <c r="E22" s="1815"/>
      <c r="F22" s="1815"/>
      <c r="G22" s="1815"/>
      <c r="H22" s="1815"/>
      <c r="I22" s="1815"/>
      <c r="J22" s="1815"/>
      <c r="K22" s="1815"/>
      <c r="L22" s="1816"/>
      <c r="Z22" s="374" t="str">
        <f xml:space="preserve">
IF(COUNTA(B22)=0,"○",
IF(COUNTA(B22)=1,"◎"))</f>
        <v>◎</v>
      </c>
      <c r="AA22" s="395" t="str">
        <f xml:space="preserve">
IF(COUNTA(B22)=0,"整備しない場合は入力不要です。",
IF(COUNTA(B22)=1,"入力された状態になりました。"))</f>
        <v>入力された状態になりました。</v>
      </c>
    </row>
    <row r="23" spans="1:27" ht="20.100000000000001" customHeight="1"/>
    <row r="24" spans="1:27" ht="20.100000000000001" customHeight="1">
      <c r="B24" s="393" t="s">
        <v>453</v>
      </c>
      <c r="C24" s="393"/>
      <c r="D24" s="393"/>
      <c r="E24" s="393"/>
      <c r="F24" s="393"/>
      <c r="G24" s="393"/>
      <c r="H24" s="393"/>
      <c r="I24" s="393"/>
      <c r="J24" s="393"/>
      <c r="K24" s="393"/>
      <c r="L24" s="393"/>
      <c r="Z24" s="14"/>
    </row>
    <row r="25" spans="1:27" ht="9.9499999999999993" customHeight="1"/>
    <row r="26" spans="1:27" ht="60" customHeight="1">
      <c r="B26" s="1813" t="s">
        <v>561</v>
      </c>
      <c r="C26" s="932"/>
      <c r="D26" s="932"/>
      <c r="E26" s="932"/>
      <c r="F26" s="932"/>
      <c r="G26" s="932"/>
      <c r="H26" s="932"/>
      <c r="I26" s="932"/>
      <c r="J26" s="932"/>
      <c r="K26" s="932"/>
      <c r="L26" s="932"/>
      <c r="Z26" s="374" t="str">
        <f xml:space="preserve">
IF(COUNTIF(Z30:Z74,"○")=45,"○",
IF(COUNTIF(Z30:Z74,"×")&gt;=1,"×",
IF(AND(COUNTIF(Z30:Z74,"◎")&gt;=1,COUNTIF(Z30:Z74,"×")=0),"◎")))</f>
        <v>◎</v>
      </c>
      <c r="AA26" s="395" t="str">
        <f xml:space="preserve">
IF(COUNTIF(Z30:Z74,"○")=45,"整備しない場合は入力不要です。",
IF(COUNTIF(Z30:Z74,"×")&gt;=1,"【要修正】入力が不十分な箇所があります。",
IF(AND(COUNTIF(Z30:Z74,"◎")&gt;=1,COUNTIF(Z30:Z74,"×")=0),"適切に入力がされました。")))</f>
        <v>適切に入力がされました。</v>
      </c>
    </row>
    <row r="27" spans="1:27" ht="9.9499999999999993" customHeight="1">
      <c r="Z27" s="1807" t="s">
        <v>418</v>
      </c>
      <c r="AA27" s="1810" t="s">
        <v>420</v>
      </c>
    </row>
    <row r="28" spans="1:27">
      <c r="B28" s="1823" t="s">
        <v>41</v>
      </c>
      <c r="C28" s="1824"/>
      <c r="D28" s="1825"/>
      <c r="E28" s="1823" t="s">
        <v>42</v>
      </c>
      <c r="F28" s="1825"/>
      <c r="G28" s="1823" t="s">
        <v>43</v>
      </c>
      <c r="H28" s="1824"/>
      <c r="I28" s="1824"/>
      <c r="J28" s="1825"/>
      <c r="K28" s="1826" t="s">
        <v>44</v>
      </c>
      <c r="L28" s="1826" t="s">
        <v>45</v>
      </c>
      <c r="Z28" s="1084"/>
      <c r="AA28" s="1811"/>
    </row>
    <row r="29" spans="1:27">
      <c r="B29" s="3" t="s">
        <v>46</v>
      </c>
      <c r="C29" s="3" t="s">
        <v>47</v>
      </c>
      <c r="D29" s="3" t="s">
        <v>48</v>
      </c>
      <c r="E29" s="3" t="s">
        <v>54</v>
      </c>
      <c r="F29" s="3" t="s">
        <v>49</v>
      </c>
      <c r="G29" s="3" t="s">
        <v>50</v>
      </c>
      <c r="H29" s="3" t="s">
        <v>51</v>
      </c>
      <c r="I29" s="3" t="s">
        <v>52</v>
      </c>
      <c r="J29" s="3" t="s">
        <v>53</v>
      </c>
      <c r="K29" s="1827"/>
      <c r="L29" s="1827"/>
      <c r="Z29" s="374" t="s">
        <v>415</v>
      </c>
      <c r="AA29" s="374" t="s">
        <v>417</v>
      </c>
    </row>
    <row r="30" spans="1:27">
      <c r="A30" s="12">
        <v>1</v>
      </c>
      <c r="B30" s="6"/>
      <c r="C30" s="6"/>
      <c r="D30" s="6"/>
      <c r="E30" s="10"/>
      <c r="F30" s="7"/>
      <c r="G30" s="541"/>
      <c r="H30" s="15">
        <f>ROUNDDOWN(G30*1.1,0)</f>
        <v>0</v>
      </c>
      <c r="I30" s="4">
        <f>F30*H30</f>
        <v>0</v>
      </c>
      <c r="J30" s="9"/>
      <c r="K30" s="4">
        <f>IF(J30="補助対象",I30,IF(J30="補助対象外",0,0))</f>
        <v>0</v>
      </c>
      <c r="L30" s="5" t="str">
        <f>IF(Z30="◎",COUNTIF($Z$30:Z30,"◎"),"")</f>
        <v/>
      </c>
      <c r="W30" s="395" t="str">
        <f>IF(B30="個別病床",はじめに入力してください!$K$50,IF(B30="共通使用",はじめに入力してください!$K$52,""))</f>
        <v/>
      </c>
      <c r="Y30" s="12">
        <v>1</v>
      </c>
      <c r="Z30" s="374" t="str">
        <f xml:space="preserve">
IF(SUM(COUNTA(B30:G30),COUNTA(J30))=0,"○",
IF(AND(SUM(COUNTA(B30:G30),COUNTA(J30))&gt;0,SUM(COUNTA(B30:G30),COUNTA(J30))&lt;7),"×",
IF(SUM(COUNTA(B30:G30),COUNTA(J30))=7,"◎")))</f>
        <v>○</v>
      </c>
      <c r="AA30" s="395" t="str">
        <f xml:space="preserve">
IF(SUM(COUNTA(B30:G30),COUNTA(J30))=0,"整備しない場合は入力不要です。",
IF(AND(SUM(COUNTA(B30:G30),COUNTA(J30))&gt;0,SUM(COUNTA(B30:G30),COUNTA(J30))&lt;7),"【要修正】未入力の箇所があります。",
IF(SUM(COUNTA(B30:G30),COUNTA(J30))=7,"適切に入力がされました。")))</f>
        <v>整備しない場合は入力不要です。</v>
      </c>
    </row>
    <row r="31" spans="1:27">
      <c r="A31" s="12">
        <v>2</v>
      </c>
      <c r="B31" s="6"/>
      <c r="C31" s="6"/>
      <c r="D31" s="6"/>
      <c r="E31" s="10"/>
      <c r="F31" s="7"/>
      <c r="G31" s="541"/>
      <c r="H31" s="15">
        <f t="shared" ref="H31:H74" si="0">ROUNDDOWN(G31*1.1,0)</f>
        <v>0</v>
      </c>
      <c r="I31" s="4">
        <f t="shared" ref="I31:I74" si="1">F31*H31</f>
        <v>0</v>
      </c>
      <c r="J31" s="9"/>
      <c r="K31" s="4">
        <f t="shared" ref="K31:K74" si="2">IF(J31="補助対象",I31,IF(J31="補助対象外",0,0))</f>
        <v>0</v>
      </c>
      <c r="L31" s="5" t="str">
        <f>IF(Z31="◎",COUNTIF($Z$30:Z31,"◎"),"")</f>
        <v/>
      </c>
      <c r="W31" s="395" t="str">
        <f>IF(B31="個別病床",はじめに入力してください!$K$50,IF(B31="共通使用",はじめに入力してください!$K$52,""))</f>
        <v/>
      </c>
      <c r="Y31" s="12">
        <v>2</v>
      </c>
      <c r="Z31" s="374" t="str">
        <f t="shared" ref="Z31:Z74" si="3" xml:space="preserve">
IF(SUM(COUNTA(B31:G31),COUNTA(J31))=0,"○",
IF(AND(SUM(COUNTA(B31:G31),COUNTA(J31))&gt;0,SUM(COUNTA(B31:G31),COUNTA(J31))&lt;7),"×",
IF(SUM(COUNTA(B31:G31),COUNTA(J31))=7,"◎")))</f>
        <v>○</v>
      </c>
      <c r="AA31" s="395" t="str">
        <f t="shared" ref="AA31:AA74" si="4" xml:space="preserve">
IF(SUM(COUNTA(B31:G31),COUNTA(J31))=0,"整備しない場合は入力不要です。",
IF(AND(SUM(COUNTA(B31:G31),COUNTA(J31))&gt;0,SUM(COUNTA(B31:G31),COUNTA(J31))&lt;7),"【要修正】未入力の箇所があります。",
IF(SUM(COUNTA(B31:G31),COUNTA(J31))=7,"適切に入力がされました。")))</f>
        <v>整備しない場合は入力不要です。</v>
      </c>
    </row>
    <row r="32" spans="1:27">
      <c r="A32" s="12">
        <v>3</v>
      </c>
      <c r="B32" s="6"/>
      <c r="C32" s="6"/>
      <c r="D32" s="6"/>
      <c r="E32" s="10"/>
      <c r="F32" s="7"/>
      <c r="G32" s="541"/>
      <c r="H32" s="15">
        <f t="shared" si="0"/>
        <v>0</v>
      </c>
      <c r="I32" s="4">
        <f t="shared" si="1"/>
        <v>0</v>
      </c>
      <c r="J32" s="9"/>
      <c r="K32" s="4">
        <f t="shared" si="2"/>
        <v>0</v>
      </c>
      <c r="L32" s="5" t="str">
        <f>IF(Z32="◎",COUNTIF($Z$30:Z32,"◎"),"")</f>
        <v/>
      </c>
      <c r="W32" s="395" t="str">
        <f>IF(B32="個別病床",はじめに入力してください!$K$50,IF(B32="共通使用",はじめに入力してください!$K$52,""))</f>
        <v/>
      </c>
      <c r="Y32" s="12">
        <v>3</v>
      </c>
      <c r="Z32" s="374" t="str">
        <f t="shared" si="3"/>
        <v>○</v>
      </c>
      <c r="AA32" s="395" t="str">
        <f t="shared" si="4"/>
        <v>整備しない場合は入力不要です。</v>
      </c>
    </row>
    <row r="33" spans="1:27">
      <c r="A33" s="12">
        <v>4</v>
      </c>
      <c r="B33" s="6"/>
      <c r="C33" s="6"/>
      <c r="D33" s="6"/>
      <c r="E33" s="10"/>
      <c r="F33" s="7"/>
      <c r="G33" s="541"/>
      <c r="H33" s="15">
        <f t="shared" si="0"/>
        <v>0</v>
      </c>
      <c r="I33" s="4">
        <f t="shared" si="1"/>
        <v>0</v>
      </c>
      <c r="J33" s="9"/>
      <c r="K33" s="4">
        <f t="shared" si="2"/>
        <v>0</v>
      </c>
      <c r="L33" s="5" t="str">
        <f>IF(Z33="◎",COUNTIF($Z$30:Z33,"◎"),"")</f>
        <v/>
      </c>
      <c r="W33" s="395" t="str">
        <f>IF(B33="個別病床",はじめに入力してください!$K$50,IF(B33="共通使用",はじめに入力してください!$K$52,""))</f>
        <v/>
      </c>
      <c r="Y33" s="12">
        <v>4</v>
      </c>
      <c r="Z33" s="374" t="str">
        <f t="shared" si="3"/>
        <v>○</v>
      </c>
      <c r="AA33" s="395" t="str">
        <f t="shared" si="4"/>
        <v>整備しない場合は入力不要です。</v>
      </c>
    </row>
    <row r="34" spans="1:27">
      <c r="A34" s="12">
        <v>5</v>
      </c>
      <c r="B34" s="6"/>
      <c r="C34" s="6"/>
      <c r="D34" s="6"/>
      <c r="E34" s="10"/>
      <c r="F34" s="7"/>
      <c r="G34" s="541"/>
      <c r="H34" s="15">
        <f t="shared" si="0"/>
        <v>0</v>
      </c>
      <c r="I34" s="4">
        <f t="shared" si="1"/>
        <v>0</v>
      </c>
      <c r="J34" s="9"/>
      <c r="K34" s="4">
        <f t="shared" si="2"/>
        <v>0</v>
      </c>
      <c r="L34" s="5" t="str">
        <f>IF(Z34="◎",COUNTIF($Z$30:Z34,"◎"),"")</f>
        <v/>
      </c>
      <c r="W34" s="395" t="str">
        <f>IF(B34="個別病床",はじめに入力してください!$K$50,IF(B34="共通使用",はじめに入力してください!$K$52,""))</f>
        <v/>
      </c>
      <c r="Y34" s="12">
        <v>5</v>
      </c>
      <c r="Z34" s="374" t="str">
        <f t="shared" si="3"/>
        <v>○</v>
      </c>
      <c r="AA34" s="395" t="str">
        <f t="shared" si="4"/>
        <v>整備しない場合は入力不要です。</v>
      </c>
    </row>
    <row r="35" spans="1:27">
      <c r="A35" s="12">
        <v>6</v>
      </c>
      <c r="B35" s="6"/>
      <c r="C35" s="6"/>
      <c r="D35" s="6"/>
      <c r="E35" s="10"/>
      <c r="F35" s="7"/>
      <c r="G35" s="541"/>
      <c r="H35" s="15">
        <f t="shared" si="0"/>
        <v>0</v>
      </c>
      <c r="I35" s="4">
        <f t="shared" si="1"/>
        <v>0</v>
      </c>
      <c r="J35" s="9"/>
      <c r="K35" s="4">
        <f t="shared" si="2"/>
        <v>0</v>
      </c>
      <c r="L35" s="5" t="str">
        <f>IF(Z35="◎",COUNTIF($Z$30:Z35,"◎"),"")</f>
        <v/>
      </c>
      <c r="W35" s="395" t="str">
        <f>IF(B35="個別病床",はじめに入力してください!$K$50,IF(B35="共通使用",はじめに入力してください!$K$52,""))</f>
        <v/>
      </c>
      <c r="Y35" s="12">
        <v>6</v>
      </c>
      <c r="Z35" s="374" t="str">
        <f t="shared" si="3"/>
        <v>○</v>
      </c>
      <c r="AA35" s="395" t="str">
        <f t="shared" si="4"/>
        <v>整備しない場合は入力不要です。</v>
      </c>
    </row>
    <row r="36" spans="1:27">
      <c r="A36" s="12">
        <v>7</v>
      </c>
      <c r="B36" s="6"/>
      <c r="C36" s="6"/>
      <c r="D36" s="6"/>
      <c r="E36" s="10"/>
      <c r="F36" s="7"/>
      <c r="G36" s="541"/>
      <c r="H36" s="15">
        <f t="shared" si="0"/>
        <v>0</v>
      </c>
      <c r="I36" s="4">
        <f t="shared" si="1"/>
        <v>0</v>
      </c>
      <c r="J36" s="9"/>
      <c r="K36" s="4">
        <f t="shared" si="2"/>
        <v>0</v>
      </c>
      <c r="L36" s="5" t="str">
        <f>IF(Z36="◎",COUNTIF($Z$30:Z36,"◎"),"")</f>
        <v/>
      </c>
      <c r="W36" s="395" t="str">
        <f>IF(B36="個別病床",はじめに入力してください!$K$50,IF(B36="共通使用",はじめに入力してください!$K$52,""))</f>
        <v/>
      </c>
      <c r="Y36" s="12">
        <v>7</v>
      </c>
      <c r="Z36" s="374" t="str">
        <f t="shared" si="3"/>
        <v>○</v>
      </c>
      <c r="AA36" s="395" t="str">
        <f t="shared" si="4"/>
        <v>整備しない場合は入力不要です。</v>
      </c>
    </row>
    <row r="37" spans="1:27">
      <c r="A37" s="12">
        <v>8</v>
      </c>
      <c r="B37" s="6"/>
      <c r="C37" s="6"/>
      <c r="D37" s="6"/>
      <c r="E37" s="10"/>
      <c r="F37" s="7"/>
      <c r="G37" s="541"/>
      <c r="H37" s="15">
        <f t="shared" si="0"/>
        <v>0</v>
      </c>
      <c r="I37" s="4">
        <f t="shared" si="1"/>
        <v>0</v>
      </c>
      <c r="J37" s="9"/>
      <c r="K37" s="4">
        <f t="shared" si="2"/>
        <v>0</v>
      </c>
      <c r="L37" s="5" t="str">
        <f>IF(Z37="◎",COUNTIF($Z$30:Z37,"◎"),"")</f>
        <v/>
      </c>
      <c r="W37" s="395" t="str">
        <f>IF(B37="個別病床",はじめに入力してください!$K$50,IF(B37="共通使用",はじめに入力してください!$K$52,""))</f>
        <v/>
      </c>
      <c r="Y37" s="12">
        <v>8</v>
      </c>
      <c r="Z37" s="374" t="str">
        <f t="shared" si="3"/>
        <v>○</v>
      </c>
      <c r="AA37" s="395" t="str">
        <f t="shared" si="4"/>
        <v>整備しない場合は入力不要です。</v>
      </c>
    </row>
    <row r="38" spans="1:27">
      <c r="A38" s="12">
        <v>9</v>
      </c>
      <c r="B38" s="6"/>
      <c r="C38" s="6"/>
      <c r="D38" s="6"/>
      <c r="E38" s="10"/>
      <c r="F38" s="7"/>
      <c r="G38" s="541"/>
      <c r="H38" s="15">
        <f t="shared" si="0"/>
        <v>0</v>
      </c>
      <c r="I38" s="4">
        <f t="shared" si="1"/>
        <v>0</v>
      </c>
      <c r="J38" s="9"/>
      <c r="K38" s="4">
        <f t="shared" si="2"/>
        <v>0</v>
      </c>
      <c r="L38" s="5" t="str">
        <f>IF(Z38="◎",COUNTIF($Z$30:Z38,"◎"),"")</f>
        <v/>
      </c>
      <c r="W38" s="395" t="str">
        <f>IF(B38="個別病床",はじめに入力してください!$K$50,IF(B38="共通使用",はじめに入力してください!$K$52,""))</f>
        <v/>
      </c>
      <c r="Y38" s="12">
        <v>9</v>
      </c>
      <c r="Z38" s="374" t="str">
        <f t="shared" si="3"/>
        <v>○</v>
      </c>
      <c r="AA38" s="395" t="str">
        <f t="shared" si="4"/>
        <v>整備しない場合は入力不要です。</v>
      </c>
    </row>
    <row r="39" spans="1:27">
      <c r="A39" s="12">
        <v>10</v>
      </c>
      <c r="B39" s="6"/>
      <c r="C39" s="6"/>
      <c r="D39" s="6"/>
      <c r="E39" s="10"/>
      <c r="F39" s="7"/>
      <c r="G39" s="541"/>
      <c r="H39" s="15">
        <f t="shared" si="0"/>
        <v>0</v>
      </c>
      <c r="I39" s="4">
        <f t="shared" si="1"/>
        <v>0</v>
      </c>
      <c r="J39" s="9"/>
      <c r="K39" s="4">
        <f t="shared" si="2"/>
        <v>0</v>
      </c>
      <c r="L39" s="5" t="str">
        <f>IF(Z39="◎",COUNTIF($Z$30:Z39,"◎"),"")</f>
        <v/>
      </c>
      <c r="W39" s="395" t="str">
        <f>IF(B39="個別病床",はじめに入力してください!$K$50,IF(B39="共通使用",はじめに入力してください!$K$52,""))</f>
        <v/>
      </c>
      <c r="Y39" s="12">
        <v>10</v>
      </c>
      <c r="Z39" s="374" t="str">
        <f t="shared" si="3"/>
        <v>○</v>
      </c>
      <c r="AA39" s="395" t="str">
        <f t="shared" si="4"/>
        <v>整備しない場合は入力不要です。</v>
      </c>
    </row>
    <row r="40" spans="1:27">
      <c r="A40" s="12">
        <v>11</v>
      </c>
      <c r="B40" s="6"/>
      <c r="C40" s="6"/>
      <c r="D40" s="6"/>
      <c r="E40" s="10"/>
      <c r="F40" s="7"/>
      <c r="G40" s="541"/>
      <c r="H40" s="15">
        <f t="shared" si="0"/>
        <v>0</v>
      </c>
      <c r="I40" s="4">
        <f t="shared" si="1"/>
        <v>0</v>
      </c>
      <c r="J40" s="9"/>
      <c r="K40" s="4">
        <f t="shared" si="2"/>
        <v>0</v>
      </c>
      <c r="L40" s="5" t="str">
        <f>IF(Z40="◎",COUNTIF($Z$30:Z40,"◎"),"")</f>
        <v/>
      </c>
      <c r="W40" s="395" t="str">
        <f>IF(B40="個別病床",はじめに入力してください!$K$50,IF(B40="共通使用",はじめに入力してください!$K$52,""))</f>
        <v/>
      </c>
      <c r="Y40" s="12">
        <v>11</v>
      </c>
      <c r="Z40" s="374" t="str">
        <f t="shared" si="3"/>
        <v>○</v>
      </c>
      <c r="AA40" s="395" t="str">
        <f t="shared" si="4"/>
        <v>整備しない場合は入力不要です。</v>
      </c>
    </row>
    <row r="41" spans="1:27">
      <c r="A41" s="12">
        <v>12</v>
      </c>
      <c r="B41" s="6"/>
      <c r="C41" s="6"/>
      <c r="D41" s="6"/>
      <c r="E41" s="10"/>
      <c r="F41" s="7"/>
      <c r="G41" s="541"/>
      <c r="H41" s="15">
        <f t="shared" si="0"/>
        <v>0</v>
      </c>
      <c r="I41" s="4">
        <f t="shared" si="1"/>
        <v>0</v>
      </c>
      <c r="J41" s="9"/>
      <c r="K41" s="4">
        <f t="shared" si="2"/>
        <v>0</v>
      </c>
      <c r="L41" s="5" t="str">
        <f>IF(Z41="◎",COUNTIF($Z$30:Z41,"◎"),"")</f>
        <v/>
      </c>
      <c r="W41" s="395" t="str">
        <f>IF(B41="個別病床",はじめに入力してください!$K$50,IF(B41="共通使用",はじめに入力してください!$K$52,""))</f>
        <v/>
      </c>
      <c r="Y41" s="12">
        <v>12</v>
      </c>
      <c r="Z41" s="374" t="str">
        <f t="shared" si="3"/>
        <v>○</v>
      </c>
      <c r="AA41" s="395" t="str">
        <f t="shared" si="4"/>
        <v>整備しない場合は入力不要です。</v>
      </c>
    </row>
    <row r="42" spans="1:27">
      <c r="A42" s="12">
        <v>13</v>
      </c>
      <c r="B42" s="6"/>
      <c r="C42" s="6"/>
      <c r="D42" s="6"/>
      <c r="E42" s="10"/>
      <c r="F42" s="7"/>
      <c r="G42" s="541"/>
      <c r="H42" s="15">
        <f t="shared" si="0"/>
        <v>0</v>
      </c>
      <c r="I42" s="4">
        <f t="shared" si="1"/>
        <v>0</v>
      </c>
      <c r="J42" s="9"/>
      <c r="K42" s="4">
        <f t="shared" si="2"/>
        <v>0</v>
      </c>
      <c r="L42" s="5" t="str">
        <f>IF(Z42="◎",COUNTIF($Z$30:Z42,"◎"),"")</f>
        <v/>
      </c>
      <c r="W42" s="395" t="str">
        <f>IF(B42="個別病床",はじめに入力してください!$K$50,IF(B42="共通使用",はじめに入力してください!$K$52,""))</f>
        <v/>
      </c>
      <c r="Y42" s="12">
        <v>13</v>
      </c>
      <c r="Z42" s="374" t="str">
        <f t="shared" si="3"/>
        <v>○</v>
      </c>
      <c r="AA42" s="395" t="str">
        <f t="shared" si="4"/>
        <v>整備しない場合は入力不要です。</v>
      </c>
    </row>
    <row r="43" spans="1:27">
      <c r="A43" s="12">
        <v>14</v>
      </c>
      <c r="B43" s="6" t="s">
        <v>691</v>
      </c>
      <c r="C43" s="6" t="s">
        <v>692</v>
      </c>
      <c r="D43" s="6" t="s">
        <v>1315</v>
      </c>
      <c r="E43" s="10" t="s">
        <v>1314</v>
      </c>
      <c r="F43" s="7">
        <v>11</v>
      </c>
      <c r="G43" s="541">
        <v>1000000000</v>
      </c>
      <c r="H43" s="15">
        <f t="shared" si="0"/>
        <v>1100000000</v>
      </c>
      <c r="I43" s="4">
        <f t="shared" si="1"/>
        <v>12100000000</v>
      </c>
      <c r="J43" s="9" t="s">
        <v>1319</v>
      </c>
      <c r="K43" s="4">
        <f t="shared" si="2"/>
        <v>12100000000</v>
      </c>
      <c r="L43" s="5">
        <f>IF(Z43="◎",COUNTIF($Z$30:Z43,"◎"),"")</f>
        <v>1</v>
      </c>
      <c r="W43" s="395">
        <f>IF(B43="個別病床",はじめに入力してください!$K$50,IF(B43="共通使用",はじめに入力してください!$K$52,""))</f>
        <v>0</v>
      </c>
      <c r="Y43" s="12">
        <v>14</v>
      </c>
      <c r="Z43" s="374" t="str">
        <f t="shared" si="3"/>
        <v>◎</v>
      </c>
      <c r="AA43" s="395" t="str">
        <f t="shared" si="4"/>
        <v>適切に入力がされました。</v>
      </c>
    </row>
    <row r="44" spans="1:27">
      <c r="A44" s="12">
        <v>15</v>
      </c>
      <c r="B44" s="6" t="s">
        <v>691</v>
      </c>
      <c r="C44" s="6" t="s">
        <v>692</v>
      </c>
      <c r="D44" s="6" t="s">
        <v>1316</v>
      </c>
      <c r="E44" s="10" t="s">
        <v>1317</v>
      </c>
      <c r="F44" s="7">
        <v>11</v>
      </c>
      <c r="G44" s="541">
        <v>1000000</v>
      </c>
      <c r="H44" s="15">
        <f t="shared" si="0"/>
        <v>1100000</v>
      </c>
      <c r="I44" s="4">
        <f t="shared" si="1"/>
        <v>12100000</v>
      </c>
      <c r="J44" s="9" t="s">
        <v>1320</v>
      </c>
      <c r="K44" s="4">
        <f t="shared" si="2"/>
        <v>0</v>
      </c>
      <c r="L44" s="5">
        <f>IF(Z44="◎",COUNTIF($Z$30:Z44,"◎"),"")</f>
        <v>2</v>
      </c>
      <c r="W44" s="395">
        <f>IF(B44="個別病床",はじめに入力してください!$K$50,IF(B44="共通使用",はじめに入力してください!$K$52,""))</f>
        <v>0</v>
      </c>
      <c r="Y44" s="12">
        <v>15</v>
      </c>
      <c r="Z44" s="374" t="str">
        <f t="shared" si="3"/>
        <v>◎</v>
      </c>
      <c r="AA44" s="395" t="str">
        <f t="shared" si="4"/>
        <v>適切に入力がされました。</v>
      </c>
    </row>
    <row r="45" spans="1:27">
      <c r="A45" s="12">
        <v>16</v>
      </c>
      <c r="B45" s="6" t="s">
        <v>102</v>
      </c>
      <c r="C45" s="6" t="s">
        <v>842</v>
      </c>
      <c r="D45" s="6" t="s">
        <v>1316</v>
      </c>
      <c r="E45" s="10" t="s">
        <v>1318</v>
      </c>
      <c r="F45" s="7">
        <v>11</v>
      </c>
      <c r="G45" s="541">
        <v>2000000</v>
      </c>
      <c r="H45" s="15">
        <f t="shared" si="0"/>
        <v>2200000</v>
      </c>
      <c r="I45" s="4">
        <f t="shared" si="1"/>
        <v>24200000</v>
      </c>
      <c r="J45" s="9" t="s">
        <v>1319</v>
      </c>
      <c r="K45" s="4">
        <f t="shared" si="2"/>
        <v>24200000</v>
      </c>
      <c r="L45" s="5">
        <f>IF(Z45="◎",COUNTIF($Z$30:Z45,"◎"),"")</f>
        <v>3</v>
      </c>
      <c r="W45" s="395">
        <f>IF(B45="個別病床",はじめに入力してください!$K$50,IF(B45="共通使用",はじめに入力してください!$K$52,""))</f>
        <v>0</v>
      </c>
      <c r="Y45" s="12">
        <v>16</v>
      </c>
      <c r="Z45" s="374" t="str">
        <f t="shared" si="3"/>
        <v>◎</v>
      </c>
      <c r="AA45" s="395" t="str">
        <f t="shared" si="4"/>
        <v>適切に入力がされました。</v>
      </c>
    </row>
    <row r="46" spans="1:27">
      <c r="A46" s="12">
        <v>17</v>
      </c>
      <c r="B46" s="6"/>
      <c r="C46" s="6"/>
      <c r="D46" s="6"/>
      <c r="E46" s="10"/>
      <c r="F46" s="7"/>
      <c r="G46" s="541"/>
      <c r="H46" s="15">
        <f t="shared" si="0"/>
        <v>0</v>
      </c>
      <c r="I46" s="4">
        <f t="shared" si="1"/>
        <v>0</v>
      </c>
      <c r="J46" s="9"/>
      <c r="K46" s="4">
        <f t="shared" si="2"/>
        <v>0</v>
      </c>
      <c r="L46" s="5" t="str">
        <f>IF(Z46="◎",COUNTIF($Z$30:Z46,"◎"),"")</f>
        <v/>
      </c>
      <c r="W46" s="395" t="str">
        <f>IF(B46="個別病床",はじめに入力してください!$K$50,IF(B46="共通使用",はじめに入力してください!$K$52,""))</f>
        <v/>
      </c>
      <c r="Y46" s="12">
        <v>17</v>
      </c>
      <c r="Z46" s="374" t="str">
        <f t="shared" si="3"/>
        <v>○</v>
      </c>
      <c r="AA46" s="395" t="str">
        <f t="shared" si="4"/>
        <v>整備しない場合は入力不要です。</v>
      </c>
    </row>
    <row r="47" spans="1:27">
      <c r="A47" s="12">
        <v>18</v>
      </c>
      <c r="B47" s="6"/>
      <c r="C47" s="6"/>
      <c r="D47" s="6"/>
      <c r="E47" s="10"/>
      <c r="F47" s="7"/>
      <c r="G47" s="541"/>
      <c r="H47" s="15">
        <f t="shared" si="0"/>
        <v>0</v>
      </c>
      <c r="I47" s="4">
        <f t="shared" si="1"/>
        <v>0</v>
      </c>
      <c r="J47" s="9"/>
      <c r="K47" s="4">
        <f t="shared" si="2"/>
        <v>0</v>
      </c>
      <c r="L47" s="5" t="str">
        <f>IF(Z47="◎",COUNTIF($Z$30:Z47,"◎"),"")</f>
        <v/>
      </c>
      <c r="W47" s="395" t="str">
        <f>IF(B47="個別病床",はじめに入力してください!$K$50,IF(B47="共通使用",はじめに入力してください!$K$52,""))</f>
        <v/>
      </c>
      <c r="Y47" s="12">
        <v>18</v>
      </c>
      <c r="Z47" s="374" t="str">
        <f t="shared" si="3"/>
        <v>○</v>
      </c>
      <c r="AA47" s="395" t="str">
        <f t="shared" si="4"/>
        <v>整備しない場合は入力不要です。</v>
      </c>
    </row>
    <row r="48" spans="1:27">
      <c r="A48" s="12">
        <v>19</v>
      </c>
      <c r="B48" s="6"/>
      <c r="C48" s="6"/>
      <c r="D48" s="6"/>
      <c r="E48" s="10"/>
      <c r="F48" s="7"/>
      <c r="G48" s="541"/>
      <c r="H48" s="15">
        <f t="shared" si="0"/>
        <v>0</v>
      </c>
      <c r="I48" s="4">
        <f t="shared" si="1"/>
        <v>0</v>
      </c>
      <c r="J48" s="9"/>
      <c r="K48" s="4">
        <f t="shared" si="2"/>
        <v>0</v>
      </c>
      <c r="L48" s="5" t="str">
        <f>IF(Z48="◎",COUNTIF($Z$30:Z48,"◎"),"")</f>
        <v/>
      </c>
      <c r="W48" s="395" t="str">
        <f>IF(B48="個別病床",はじめに入力してください!$K$50,IF(B48="共通使用",はじめに入力してください!$K$52,""))</f>
        <v/>
      </c>
      <c r="Y48" s="12">
        <v>19</v>
      </c>
      <c r="Z48" s="374" t="str">
        <f t="shared" si="3"/>
        <v>○</v>
      </c>
      <c r="AA48" s="395" t="str">
        <f t="shared" si="4"/>
        <v>整備しない場合は入力不要です。</v>
      </c>
    </row>
    <row r="49" spans="1:27">
      <c r="A49" s="12">
        <v>20</v>
      </c>
      <c r="B49" s="6"/>
      <c r="C49" s="6"/>
      <c r="D49" s="6"/>
      <c r="E49" s="10"/>
      <c r="F49" s="7"/>
      <c r="G49" s="541"/>
      <c r="H49" s="15">
        <f t="shared" si="0"/>
        <v>0</v>
      </c>
      <c r="I49" s="4">
        <f t="shared" si="1"/>
        <v>0</v>
      </c>
      <c r="J49" s="9"/>
      <c r="K49" s="4">
        <f t="shared" si="2"/>
        <v>0</v>
      </c>
      <c r="L49" s="5" t="str">
        <f>IF(Z49="◎",COUNTIF($Z$30:Z49,"◎"),"")</f>
        <v/>
      </c>
      <c r="W49" s="395" t="str">
        <f>IF(B49="個別病床",はじめに入力してください!$K$50,IF(B49="共通使用",はじめに入力してください!$K$52,""))</f>
        <v/>
      </c>
      <c r="Y49" s="12">
        <v>20</v>
      </c>
      <c r="Z49" s="374" t="str">
        <f t="shared" si="3"/>
        <v>○</v>
      </c>
      <c r="AA49" s="395" t="str">
        <f t="shared" si="4"/>
        <v>整備しない場合は入力不要です。</v>
      </c>
    </row>
    <row r="50" spans="1:27">
      <c r="A50" s="12">
        <v>21</v>
      </c>
      <c r="B50" s="6"/>
      <c r="C50" s="6"/>
      <c r="D50" s="6"/>
      <c r="E50" s="10"/>
      <c r="F50" s="7"/>
      <c r="G50" s="541"/>
      <c r="H50" s="15">
        <f t="shared" si="0"/>
        <v>0</v>
      </c>
      <c r="I50" s="4">
        <f t="shared" si="1"/>
        <v>0</v>
      </c>
      <c r="J50" s="9"/>
      <c r="K50" s="4">
        <f t="shared" si="2"/>
        <v>0</v>
      </c>
      <c r="L50" s="5" t="str">
        <f>IF(Z50="◎",COUNTIF($Z$30:Z50,"◎"),"")</f>
        <v/>
      </c>
      <c r="W50" s="395" t="str">
        <f>IF(B50="個別病床",はじめに入力してください!$K$50,IF(B50="共通使用",はじめに入力してください!$K$52,""))</f>
        <v/>
      </c>
      <c r="Y50" s="12">
        <v>21</v>
      </c>
      <c r="Z50" s="374" t="str">
        <f t="shared" si="3"/>
        <v>○</v>
      </c>
      <c r="AA50" s="395" t="str">
        <f t="shared" si="4"/>
        <v>整備しない場合は入力不要です。</v>
      </c>
    </row>
    <row r="51" spans="1:27">
      <c r="A51" s="12">
        <v>22</v>
      </c>
      <c r="B51" s="6"/>
      <c r="C51" s="6"/>
      <c r="D51" s="6"/>
      <c r="E51" s="10"/>
      <c r="F51" s="7"/>
      <c r="G51" s="541"/>
      <c r="H51" s="15">
        <f t="shared" si="0"/>
        <v>0</v>
      </c>
      <c r="I51" s="4">
        <f t="shared" si="1"/>
        <v>0</v>
      </c>
      <c r="J51" s="9"/>
      <c r="K51" s="4">
        <f t="shared" si="2"/>
        <v>0</v>
      </c>
      <c r="L51" s="5" t="str">
        <f>IF(Z51="◎",COUNTIF($Z$30:Z51,"◎"),"")</f>
        <v/>
      </c>
      <c r="W51" s="395" t="str">
        <f>IF(B51="個別病床",はじめに入力してください!$K$50,IF(B51="共通使用",はじめに入力してください!$K$52,""))</f>
        <v/>
      </c>
      <c r="Y51" s="12">
        <v>22</v>
      </c>
      <c r="Z51" s="374" t="str">
        <f t="shared" si="3"/>
        <v>○</v>
      </c>
      <c r="AA51" s="395" t="str">
        <f t="shared" si="4"/>
        <v>整備しない場合は入力不要です。</v>
      </c>
    </row>
    <row r="52" spans="1:27">
      <c r="A52" s="12">
        <v>23</v>
      </c>
      <c r="B52" s="6"/>
      <c r="C52" s="6"/>
      <c r="D52" s="6"/>
      <c r="E52" s="10"/>
      <c r="F52" s="7"/>
      <c r="G52" s="541"/>
      <c r="H52" s="15">
        <f t="shared" si="0"/>
        <v>0</v>
      </c>
      <c r="I52" s="4">
        <f t="shared" si="1"/>
        <v>0</v>
      </c>
      <c r="J52" s="9"/>
      <c r="K52" s="4">
        <f t="shared" si="2"/>
        <v>0</v>
      </c>
      <c r="L52" s="5" t="str">
        <f>IF(Z52="◎",COUNTIF($Z$30:Z52,"◎"),"")</f>
        <v/>
      </c>
      <c r="W52" s="395" t="str">
        <f>IF(B52="個別病床",はじめに入力してください!$K$50,IF(B52="共通使用",はじめに入力してください!$K$52,""))</f>
        <v/>
      </c>
      <c r="Y52" s="12">
        <v>23</v>
      </c>
      <c r="Z52" s="374" t="str">
        <f t="shared" si="3"/>
        <v>○</v>
      </c>
      <c r="AA52" s="395" t="str">
        <f t="shared" si="4"/>
        <v>整備しない場合は入力不要です。</v>
      </c>
    </row>
    <row r="53" spans="1:27">
      <c r="A53" s="12">
        <v>24</v>
      </c>
      <c r="B53" s="6"/>
      <c r="C53" s="6"/>
      <c r="D53" s="6"/>
      <c r="E53" s="10"/>
      <c r="F53" s="7"/>
      <c r="G53" s="541"/>
      <c r="H53" s="15">
        <f t="shared" si="0"/>
        <v>0</v>
      </c>
      <c r="I53" s="4">
        <f t="shared" si="1"/>
        <v>0</v>
      </c>
      <c r="J53" s="9"/>
      <c r="K53" s="4">
        <f t="shared" si="2"/>
        <v>0</v>
      </c>
      <c r="L53" s="5" t="str">
        <f>IF(Z53="◎",COUNTIF($Z$30:Z53,"◎"),"")</f>
        <v/>
      </c>
      <c r="W53" s="395" t="str">
        <f>IF(B53="個別病床",はじめに入力してください!$K$50,IF(B53="共通使用",はじめに入力してください!$K$52,""))</f>
        <v/>
      </c>
      <c r="Y53" s="12">
        <v>24</v>
      </c>
      <c r="Z53" s="374" t="str">
        <f t="shared" si="3"/>
        <v>○</v>
      </c>
      <c r="AA53" s="395" t="str">
        <f t="shared" si="4"/>
        <v>整備しない場合は入力不要です。</v>
      </c>
    </row>
    <row r="54" spans="1:27">
      <c r="A54" s="12">
        <v>25</v>
      </c>
      <c r="B54" s="6"/>
      <c r="C54" s="6"/>
      <c r="D54" s="6"/>
      <c r="E54" s="10"/>
      <c r="F54" s="7"/>
      <c r="G54" s="541"/>
      <c r="H54" s="15">
        <f t="shared" si="0"/>
        <v>0</v>
      </c>
      <c r="I54" s="4">
        <f t="shared" si="1"/>
        <v>0</v>
      </c>
      <c r="J54" s="9"/>
      <c r="K54" s="4">
        <f t="shared" si="2"/>
        <v>0</v>
      </c>
      <c r="L54" s="5" t="str">
        <f>IF(Z54="◎",COUNTIF($Z$30:Z54,"◎"),"")</f>
        <v/>
      </c>
      <c r="W54" s="395" t="str">
        <f>IF(B54="個別病床",はじめに入力してください!$K$50,IF(B54="共通使用",はじめに入力してください!$K$52,""))</f>
        <v/>
      </c>
      <c r="Y54" s="12">
        <v>25</v>
      </c>
      <c r="Z54" s="374" t="str">
        <f t="shared" si="3"/>
        <v>○</v>
      </c>
      <c r="AA54" s="395" t="str">
        <f t="shared" si="4"/>
        <v>整備しない場合は入力不要です。</v>
      </c>
    </row>
    <row r="55" spans="1:27">
      <c r="A55" s="12">
        <v>26</v>
      </c>
      <c r="B55" s="6"/>
      <c r="C55" s="6"/>
      <c r="D55" s="6"/>
      <c r="E55" s="10"/>
      <c r="F55" s="7"/>
      <c r="G55" s="541"/>
      <c r="H55" s="15">
        <f t="shared" si="0"/>
        <v>0</v>
      </c>
      <c r="I55" s="4">
        <f t="shared" si="1"/>
        <v>0</v>
      </c>
      <c r="J55" s="9"/>
      <c r="K55" s="4">
        <f t="shared" si="2"/>
        <v>0</v>
      </c>
      <c r="L55" s="5" t="str">
        <f>IF(Z55="◎",COUNTIF($Z$30:Z55,"◎"),"")</f>
        <v/>
      </c>
      <c r="W55" s="395" t="str">
        <f>IF(B55="個別病床",はじめに入力してください!$K$50,IF(B55="共通使用",はじめに入力してください!$K$52,""))</f>
        <v/>
      </c>
      <c r="Y55" s="12">
        <v>26</v>
      </c>
      <c r="Z55" s="374" t="str">
        <f t="shared" si="3"/>
        <v>○</v>
      </c>
      <c r="AA55" s="395" t="str">
        <f t="shared" si="4"/>
        <v>整備しない場合は入力不要です。</v>
      </c>
    </row>
    <row r="56" spans="1:27">
      <c r="A56" s="12">
        <v>27</v>
      </c>
      <c r="B56" s="6"/>
      <c r="C56" s="6"/>
      <c r="D56" s="6"/>
      <c r="E56" s="10"/>
      <c r="F56" s="7"/>
      <c r="G56" s="541"/>
      <c r="H56" s="15">
        <f t="shared" si="0"/>
        <v>0</v>
      </c>
      <c r="I56" s="4">
        <f t="shared" si="1"/>
        <v>0</v>
      </c>
      <c r="J56" s="9"/>
      <c r="K56" s="4">
        <f t="shared" si="2"/>
        <v>0</v>
      </c>
      <c r="L56" s="5" t="str">
        <f>IF(Z56="◎",COUNTIF($Z$30:Z56,"◎"),"")</f>
        <v/>
      </c>
      <c r="W56" s="395" t="str">
        <f>IF(B56="個別病床",はじめに入力してください!$K$50,IF(B56="共通使用",はじめに入力してください!$K$52,""))</f>
        <v/>
      </c>
      <c r="Y56" s="12">
        <v>27</v>
      </c>
      <c r="Z56" s="374" t="str">
        <f t="shared" si="3"/>
        <v>○</v>
      </c>
      <c r="AA56" s="395" t="str">
        <f t="shared" si="4"/>
        <v>整備しない場合は入力不要です。</v>
      </c>
    </row>
    <row r="57" spans="1:27">
      <c r="A57" s="12">
        <v>28</v>
      </c>
      <c r="B57" s="6"/>
      <c r="C57" s="6"/>
      <c r="D57" s="6"/>
      <c r="E57" s="10"/>
      <c r="F57" s="7"/>
      <c r="G57" s="541"/>
      <c r="H57" s="15">
        <f t="shared" si="0"/>
        <v>0</v>
      </c>
      <c r="I57" s="4">
        <f t="shared" si="1"/>
        <v>0</v>
      </c>
      <c r="J57" s="9"/>
      <c r="K57" s="4">
        <f t="shared" si="2"/>
        <v>0</v>
      </c>
      <c r="L57" s="5" t="str">
        <f>IF(Z57="◎",COUNTIF($Z$30:Z57,"◎"),"")</f>
        <v/>
      </c>
      <c r="W57" s="395" t="str">
        <f>IF(B57="個別病床",はじめに入力してください!$K$50,IF(B57="共通使用",はじめに入力してください!$K$52,""))</f>
        <v/>
      </c>
      <c r="Y57" s="12">
        <v>28</v>
      </c>
      <c r="Z57" s="374" t="str">
        <f t="shared" si="3"/>
        <v>○</v>
      </c>
      <c r="AA57" s="395" t="str">
        <f t="shared" si="4"/>
        <v>整備しない場合は入力不要です。</v>
      </c>
    </row>
    <row r="58" spans="1:27">
      <c r="A58" s="12">
        <v>29</v>
      </c>
      <c r="B58" s="6"/>
      <c r="C58" s="6"/>
      <c r="D58" s="6"/>
      <c r="E58" s="10"/>
      <c r="F58" s="7"/>
      <c r="G58" s="541"/>
      <c r="H58" s="15">
        <f t="shared" si="0"/>
        <v>0</v>
      </c>
      <c r="I58" s="4">
        <f t="shared" si="1"/>
        <v>0</v>
      </c>
      <c r="J58" s="9"/>
      <c r="K58" s="4">
        <f t="shared" si="2"/>
        <v>0</v>
      </c>
      <c r="L58" s="5" t="str">
        <f>IF(Z58="◎",COUNTIF($Z$30:Z58,"◎"),"")</f>
        <v/>
      </c>
      <c r="W58" s="395" t="str">
        <f>IF(B58="個別病床",はじめに入力してください!$K$50,IF(B58="共通使用",はじめに入力してください!$K$52,""))</f>
        <v/>
      </c>
      <c r="Y58" s="12">
        <v>29</v>
      </c>
      <c r="Z58" s="374" t="str">
        <f t="shared" si="3"/>
        <v>○</v>
      </c>
      <c r="AA58" s="395" t="str">
        <f t="shared" si="4"/>
        <v>整備しない場合は入力不要です。</v>
      </c>
    </row>
    <row r="59" spans="1:27">
      <c r="A59" s="12">
        <v>30</v>
      </c>
      <c r="B59" s="6"/>
      <c r="C59" s="6"/>
      <c r="D59" s="6"/>
      <c r="E59" s="10"/>
      <c r="F59" s="7"/>
      <c r="G59" s="541"/>
      <c r="H59" s="15">
        <f t="shared" si="0"/>
        <v>0</v>
      </c>
      <c r="I59" s="4">
        <f t="shared" si="1"/>
        <v>0</v>
      </c>
      <c r="J59" s="9"/>
      <c r="K59" s="4">
        <f t="shared" si="2"/>
        <v>0</v>
      </c>
      <c r="L59" s="5" t="str">
        <f>IF(Z59="◎",COUNTIF($Z$30:Z59,"◎"),"")</f>
        <v/>
      </c>
      <c r="W59" s="395" t="str">
        <f>IF(B59="個別病床",はじめに入力してください!$K$50,IF(B59="共通使用",はじめに入力してください!$K$52,""))</f>
        <v/>
      </c>
      <c r="Y59" s="12">
        <v>30</v>
      </c>
      <c r="Z59" s="374" t="str">
        <f t="shared" si="3"/>
        <v>○</v>
      </c>
      <c r="AA59" s="395" t="str">
        <f t="shared" si="4"/>
        <v>整備しない場合は入力不要です。</v>
      </c>
    </row>
    <row r="60" spans="1:27">
      <c r="A60" s="12">
        <v>31</v>
      </c>
      <c r="B60" s="6"/>
      <c r="C60" s="6"/>
      <c r="D60" s="6"/>
      <c r="E60" s="10"/>
      <c r="F60" s="7"/>
      <c r="G60" s="541"/>
      <c r="H60" s="15">
        <f t="shared" si="0"/>
        <v>0</v>
      </c>
      <c r="I60" s="4">
        <f t="shared" si="1"/>
        <v>0</v>
      </c>
      <c r="J60" s="9"/>
      <c r="K60" s="4">
        <f t="shared" si="2"/>
        <v>0</v>
      </c>
      <c r="L60" s="5" t="str">
        <f>IF(Z60="◎",COUNTIF($Z$30:Z60,"◎"),"")</f>
        <v/>
      </c>
      <c r="W60" s="395" t="str">
        <f>IF(B60="個別病床",はじめに入力してください!$K$50,IF(B60="共通使用",はじめに入力してください!$K$52,""))</f>
        <v/>
      </c>
      <c r="Y60" s="12">
        <v>31</v>
      </c>
      <c r="Z60" s="374" t="str">
        <f t="shared" si="3"/>
        <v>○</v>
      </c>
      <c r="AA60" s="395" t="str">
        <f t="shared" si="4"/>
        <v>整備しない場合は入力不要です。</v>
      </c>
    </row>
    <row r="61" spans="1:27">
      <c r="A61" s="12">
        <v>32</v>
      </c>
      <c r="B61" s="6"/>
      <c r="C61" s="6"/>
      <c r="D61" s="6"/>
      <c r="E61" s="10"/>
      <c r="F61" s="7"/>
      <c r="G61" s="541"/>
      <c r="H61" s="15">
        <f t="shared" si="0"/>
        <v>0</v>
      </c>
      <c r="I61" s="4">
        <f t="shared" si="1"/>
        <v>0</v>
      </c>
      <c r="J61" s="9"/>
      <c r="K61" s="4">
        <f t="shared" si="2"/>
        <v>0</v>
      </c>
      <c r="L61" s="5" t="str">
        <f>IF(Z61="◎",COUNTIF($Z$30:Z61,"◎"),"")</f>
        <v/>
      </c>
      <c r="W61" s="395" t="str">
        <f>IF(B61="個別病床",はじめに入力してください!$K$50,IF(B61="共通使用",はじめに入力してください!$K$52,""))</f>
        <v/>
      </c>
      <c r="Y61" s="12">
        <v>32</v>
      </c>
      <c r="Z61" s="374" t="str">
        <f t="shared" si="3"/>
        <v>○</v>
      </c>
      <c r="AA61" s="395" t="str">
        <f t="shared" si="4"/>
        <v>整備しない場合は入力不要です。</v>
      </c>
    </row>
    <row r="62" spans="1:27">
      <c r="A62" s="12">
        <v>33</v>
      </c>
      <c r="B62" s="6"/>
      <c r="C62" s="6"/>
      <c r="D62" s="6"/>
      <c r="E62" s="10"/>
      <c r="F62" s="7"/>
      <c r="G62" s="541"/>
      <c r="H62" s="15">
        <f t="shared" si="0"/>
        <v>0</v>
      </c>
      <c r="I62" s="4">
        <f t="shared" si="1"/>
        <v>0</v>
      </c>
      <c r="J62" s="9"/>
      <c r="K62" s="4">
        <f t="shared" si="2"/>
        <v>0</v>
      </c>
      <c r="L62" s="5" t="str">
        <f>IF(Z62="◎",COUNTIF($Z$30:Z62,"◎"),"")</f>
        <v/>
      </c>
      <c r="W62" s="395" t="str">
        <f>IF(B62="個別病床",はじめに入力してください!$K$50,IF(B62="共通使用",はじめに入力してください!$K$52,""))</f>
        <v/>
      </c>
      <c r="Y62" s="12">
        <v>33</v>
      </c>
      <c r="Z62" s="374" t="str">
        <f t="shared" si="3"/>
        <v>○</v>
      </c>
      <c r="AA62" s="395" t="str">
        <f t="shared" si="4"/>
        <v>整備しない場合は入力不要です。</v>
      </c>
    </row>
    <row r="63" spans="1:27">
      <c r="A63" s="12">
        <v>34</v>
      </c>
      <c r="B63" s="6"/>
      <c r="C63" s="6"/>
      <c r="D63" s="6"/>
      <c r="E63" s="10"/>
      <c r="F63" s="7"/>
      <c r="G63" s="541"/>
      <c r="H63" s="15">
        <f t="shared" si="0"/>
        <v>0</v>
      </c>
      <c r="I63" s="4">
        <f t="shared" si="1"/>
        <v>0</v>
      </c>
      <c r="J63" s="9"/>
      <c r="K63" s="4">
        <f t="shared" si="2"/>
        <v>0</v>
      </c>
      <c r="L63" s="5" t="str">
        <f>IF(Z63="◎",COUNTIF($Z$30:Z63,"◎"),"")</f>
        <v/>
      </c>
      <c r="W63" s="395" t="str">
        <f>IF(B63="個別病床",はじめに入力してください!$K$50,IF(B63="共通使用",はじめに入力してください!$K$52,""))</f>
        <v/>
      </c>
      <c r="Y63" s="12">
        <v>34</v>
      </c>
      <c r="Z63" s="374" t="str">
        <f t="shared" si="3"/>
        <v>○</v>
      </c>
      <c r="AA63" s="395" t="str">
        <f t="shared" si="4"/>
        <v>整備しない場合は入力不要です。</v>
      </c>
    </row>
    <row r="64" spans="1:27">
      <c r="A64" s="12">
        <v>35</v>
      </c>
      <c r="B64" s="6"/>
      <c r="C64" s="6"/>
      <c r="D64" s="6"/>
      <c r="E64" s="10"/>
      <c r="F64" s="7"/>
      <c r="G64" s="541"/>
      <c r="H64" s="15">
        <f t="shared" si="0"/>
        <v>0</v>
      </c>
      <c r="I64" s="4">
        <f t="shared" si="1"/>
        <v>0</v>
      </c>
      <c r="J64" s="9"/>
      <c r="K64" s="4">
        <f t="shared" si="2"/>
        <v>0</v>
      </c>
      <c r="L64" s="5" t="str">
        <f>IF(Z64="◎",COUNTIF($Z$30:Z64,"◎"),"")</f>
        <v/>
      </c>
      <c r="W64" s="395" t="str">
        <f>IF(B64="個別病床",はじめに入力してください!$K$50,IF(B64="共通使用",はじめに入力してください!$K$52,""))</f>
        <v/>
      </c>
      <c r="Y64" s="12">
        <v>35</v>
      </c>
      <c r="Z64" s="374" t="str">
        <f t="shared" si="3"/>
        <v>○</v>
      </c>
      <c r="AA64" s="395" t="str">
        <f t="shared" si="4"/>
        <v>整備しない場合は入力不要です。</v>
      </c>
    </row>
    <row r="65" spans="1:27">
      <c r="A65" s="12">
        <v>36</v>
      </c>
      <c r="B65" s="6"/>
      <c r="C65" s="6"/>
      <c r="D65" s="6"/>
      <c r="E65" s="10"/>
      <c r="F65" s="7"/>
      <c r="G65" s="541"/>
      <c r="H65" s="15">
        <f t="shared" si="0"/>
        <v>0</v>
      </c>
      <c r="I65" s="4">
        <f t="shared" si="1"/>
        <v>0</v>
      </c>
      <c r="J65" s="9"/>
      <c r="K65" s="4">
        <f t="shared" si="2"/>
        <v>0</v>
      </c>
      <c r="L65" s="5" t="str">
        <f>IF(Z65="◎",COUNTIF($Z$30:Z65,"◎"),"")</f>
        <v/>
      </c>
      <c r="W65" s="395" t="str">
        <f>IF(B65="個別病床",はじめに入力してください!$K$50,IF(B65="共通使用",はじめに入力してください!$K$52,""))</f>
        <v/>
      </c>
      <c r="Y65" s="12">
        <v>36</v>
      </c>
      <c r="Z65" s="374" t="str">
        <f t="shared" si="3"/>
        <v>○</v>
      </c>
      <c r="AA65" s="395" t="str">
        <f t="shared" si="4"/>
        <v>整備しない場合は入力不要です。</v>
      </c>
    </row>
    <row r="66" spans="1:27">
      <c r="A66" s="12">
        <v>37</v>
      </c>
      <c r="B66" s="6"/>
      <c r="C66" s="6"/>
      <c r="D66" s="6"/>
      <c r="E66" s="10"/>
      <c r="F66" s="7"/>
      <c r="G66" s="541"/>
      <c r="H66" s="15">
        <f t="shared" si="0"/>
        <v>0</v>
      </c>
      <c r="I66" s="4">
        <f t="shared" si="1"/>
        <v>0</v>
      </c>
      <c r="J66" s="9"/>
      <c r="K66" s="4">
        <f t="shared" si="2"/>
        <v>0</v>
      </c>
      <c r="L66" s="5" t="str">
        <f>IF(Z66="◎",COUNTIF($Z$30:Z66,"◎"),"")</f>
        <v/>
      </c>
      <c r="W66" s="395" t="str">
        <f>IF(B66="個別病床",はじめに入力してください!$K$50,IF(B66="共通使用",はじめに入力してください!$K$52,""))</f>
        <v/>
      </c>
      <c r="Y66" s="12">
        <v>37</v>
      </c>
      <c r="Z66" s="374" t="str">
        <f t="shared" si="3"/>
        <v>○</v>
      </c>
      <c r="AA66" s="395" t="str">
        <f t="shared" si="4"/>
        <v>整備しない場合は入力不要です。</v>
      </c>
    </row>
    <row r="67" spans="1:27">
      <c r="A67" s="12">
        <v>38</v>
      </c>
      <c r="B67" s="6"/>
      <c r="C67" s="6"/>
      <c r="D67" s="6"/>
      <c r="E67" s="10"/>
      <c r="F67" s="7"/>
      <c r="G67" s="541"/>
      <c r="H67" s="15">
        <f t="shared" si="0"/>
        <v>0</v>
      </c>
      <c r="I67" s="4">
        <f t="shared" si="1"/>
        <v>0</v>
      </c>
      <c r="J67" s="9"/>
      <c r="K67" s="4">
        <f t="shared" si="2"/>
        <v>0</v>
      </c>
      <c r="L67" s="5" t="str">
        <f>IF(Z67="◎",COUNTIF($Z$30:Z67,"◎"),"")</f>
        <v/>
      </c>
      <c r="W67" s="395" t="str">
        <f>IF(B67="個別病床",はじめに入力してください!$K$50,IF(B67="共通使用",はじめに入力してください!$K$52,""))</f>
        <v/>
      </c>
      <c r="Y67" s="12">
        <v>38</v>
      </c>
      <c r="Z67" s="374" t="str">
        <f t="shared" si="3"/>
        <v>○</v>
      </c>
      <c r="AA67" s="395" t="str">
        <f t="shared" si="4"/>
        <v>整備しない場合は入力不要です。</v>
      </c>
    </row>
    <row r="68" spans="1:27">
      <c r="A68" s="12">
        <v>39</v>
      </c>
      <c r="B68" s="6"/>
      <c r="C68" s="6"/>
      <c r="D68" s="6"/>
      <c r="E68" s="10"/>
      <c r="F68" s="7"/>
      <c r="G68" s="541"/>
      <c r="H68" s="15">
        <f t="shared" si="0"/>
        <v>0</v>
      </c>
      <c r="I68" s="4">
        <f t="shared" si="1"/>
        <v>0</v>
      </c>
      <c r="J68" s="9"/>
      <c r="K68" s="4">
        <f t="shared" si="2"/>
        <v>0</v>
      </c>
      <c r="L68" s="5" t="str">
        <f>IF(Z68="◎",COUNTIF($Z$30:Z68,"◎"),"")</f>
        <v/>
      </c>
      <c r="W68" s="395" t="str">
        <f>IF(B68="個別病床",はじめに入力してください!$K$50,IF(B68="共通使用",はじめに入力してください!$K$52,""))</f>
        <v/>
      </c>
      <c r="Y68" s="12">
        <v>39</v>
      </c>
      <c r="Z68" s="374" t="str">
        <f t="shared" si="3"/>
        <v>○</v>
      </c>
      <c r="AA68" s="395" t="str">
        <f t="shared" si="4"/>
        <v>整備しない場合は入力不要です。</v>
      </c>
    </row>
    <row r="69" spans="1:27">
      <c r="A69" s="12">
        <v>40</v>
      </c>
      <c r="B69" s="6"/>
      <c r="C69" s="6"/>
      <c r="D69" s="6"/>
      <c r="E69" s="10"/>
      <c r="F69" s="7"/>
      <c r="G69" s="541"/>
      <c r="H69" s="15">
        <f t="shared" si="0"/>
        <v>0</v>
      </c>
      <c r="I69" s="4">
        <f t="shared" si="1"/>
        <v>0</v>
      </c>
      <c r="J69" s="9"/>
      <c r="K69" s="4">
        <f t="shared" si="2"/>
        <v>0</v>
      </c>
      <c r="L69" s="5" t="str">
        <f>IF(Z69="◎",COUNTIF($Z$30:Z69,"◎"),"")</f>
        <v/>
      </c>
      <c r="W69" s="395" t="str">
        <f>IF(B69="個別病床",はじめに入力してください!$K$50,IF(B69="共通使用",はじめに入力してください!$K$52,""))</f>
        <v/>
      </c>
      <c r="Y69" s="12">
        <v>40</v>
      </c>
      <c r="Z69" s="374" t="str">
        <f t="shared" si="3"/>
        <v>○</v>
      </c>
      <c r="AA69" s="395" t="str">
        <f t="shared" si="4"/>
        <v>整備しない場合は入力不要です。</v>
      </c>
    </row>
    <row r="70" spans="1:27">
      <c r="A70" s="12">
        <v>41</v>
      </c>
      <c r="B70" s="6"/>
      <c r="C70" s="6"/>
      <c r="D70" s="6"/>
      <c r="E70" s="10"/>
      <c r="F70" s="7"/>
      <c r="G70" s="541"/>
      <c r="H70" s="15">
        <f t="shared" si="0"/>
        <v>0</v>
      </c>
      <c r="I70" s="4">
        <f t="shared" si="1"/>
        <v>0</v>
      </c>
      <c r="J70" s="9"/>
      <c r="K70" s="4">
        <f t="shared" si="2"/>
        <v>0</v>
      </c>
      <c r="L70" s="5" t="str">
        <f>IF(Z70="◎",COUNTIF($Z$30:Z70,"◎"),"")</f>
        <v/>
      </c>
      <c r="W70" s="395" t="str">
        <f>IF(B70="個別病床",はじめに入力してください!$K$50,IF(B70="共通使用",はじめに入力してください!$K$52,""))</f>
        <v/>
      </c>
      <c r="Y70" s="12">
        <v>41</v>
      </c>
      <c r="Z70" s="374" t="str">
        <f t="shared" si="3"/>
        <v>○</v>
      </c>
      <c r="AA70" s="395" t="str">
        <f t="shared" si="4"/>
        <v>整備しない場合は入力不要です。</v>
      </c>
    </row>
    <row r="71" spans="1:27">
      <c r="A71" s="12">
        <v>42</v>
      </c>
      <c r="B71" s="6"/>
      <c r="C71" s="6"/>
      <c r="D71" s="6"/>
      <c r="E71" s="10"/>
      <c r="F71" s="7"/>
      <c r="G71" s="541"/>
      <c r="H71" s="15">
        <f t="shared" si="0"/>
        <v>0</v>
      </c>
      <c r="I71" s="4">
        <f t="shared" si="1"/>
        <v>0</v>
      </c>
      <c r="J71" s="9"/>
      <c r="K71" s="4">
        <f t="shared" si="2"/>
        <v>0</v>
      </c>
      <c r="L71" s="5" t="str">
        <f>IF(Z71="◎",COUNTIF($Z$30:Z71,"◎"),"")</f>
        <v/>
      </c>
      <c r="W71" s="395" t="str">
        <f>IF(B71="個別病床",はじめに入力してください!$K$50,IF(B71="共通使用",はじめに入力してください!$K$52,""))</f>
        <v/>
      </c>
      <c r="Y71" s="12">
        <v>42</v>
      </c>
      <c r="Z71" s="374" t="str">
        <f t="shared" si="3"/>
        <v>○</v>
      </c>
      <c r="AA71" s="395" t="str">
        <f t="shared" si="4"/>
        <v>整備しない場合は入力不要です。</v>
      </c>
    </row>
    <row r="72" spans="1:27">
      <c r="A72" s="12">
        <v>43</v>
      </c>
      <c r="B72" s="6"/>
      <c r="C72" s="6"/>
      <c r="D72" s="6"/>
      <c r="E72" s="10"/>
      <c r="F72" s="7"/>
      <c r="G72" s="541"/>
      <c r="H72" s="15">
        <f t="shared" si="0"/>
        <v>0</v>
      </c>
      <c r="I72" s="4">
        <f t="shared" si="1"/>
        <v>0</v>
      </c>
      <c r="J72" s="9"/>
      <c r="K72" s="4">
        <f t="shared" si="2"/>
        <v>0</v>
      </c>
      <c r="L72" s="5" t="str">
        <f>IF(Z72="◎",COUNTIF($Z$30:Z72,"◎"),"")</f>
        <v/>
      </c>
      <c r="W72" s="395" t="str">
        <f>IF(B72="個別病床",はじめに入力してください!$K$50,IF(B72="共通使用",はじめに入力してください!$K$52,""))</f>
        <v/>
      </c>
      <c r="Y72" s="12">
        <v>43</v>
      </c>
      <c r="Z72" s="374" t="str">
        <f t="shared" si="3"/>
        <v>○</v>
      </c>
      <c r="AA72" s="395" t="str">
        <f t="shared" si="4"/>
        <v>整備しない場合は入力不要です。</v>
      </c>
    </row>
    <row r="73" spans="1:27">
      <c r="A73" s="12">
        <v>44</v>
      </c>
      <c r="B73" s="6"/>
      <c r="C73" s="6"/>
      <c r="D73" s="6"/>
      <c r="E73" s="10"/>
      <c r="F73" s="7"/>
      <c r="G73" s="541"/>
      <c r="H73" s="15">
        <f t="shared" si="0"/>
        <v>0</v>
      </c>
      <c r="I73" s="4">
        <f t="shared" si="1"/>
        <v>0</v>
      </c>
      <c r="J73" s="9"/>
      <c r="K73" s="4">
        <f t="shared" si="2"/>
        <v>0</v>
      </c>
      <c r="L73" s="5" t="str">
        <f>IF(Z73="◎",COUNTIF($Z$30:Z73,"◎"),"")</f>
        <v/>
      </c>
      <c r="W73" s="395" t="str">
        <f>IF(B73="個別病床",はじめに入力してください!$K$50,IF(B73="共通使用",はじめに入力してください!$K$52,""))</f>
        <v/>
      </c>
      <c r="Y73" s="12">
        <v>44</v>
      </c>
      <c r="Z73" s="374" t="str">
        <f t="shared" si="3"/>
        <v>○</v>
      </c>
      <c r="AA73" s="395" t="str">
        <f t="shared" si="4"/>
        <v>整備しない場合は入力不要です。</v>
      </c>
    </row>
    <row r="74" spans="1:27">
      <c r="A74" s="12">
        <v>45</v>
      </c>
      <c r="B74" s="6"/>
      <c r="C74" s="6"/>
      <c r="D74" s="6"/>
      <c r="E74" s="10"/>
      <c r="F74" s="7"/>
      <c r="G74" s="541"/>
      <c r="H74" s="15">
        <f t="shared" si="0"/>
        <v>0</v>
      </c>
      <c r="I74" s="4">
        <f t="shared" si="1"/>
        <v>0</v>
      </c>
      <c r="J74" s="9"/>
      <c r="K74" s="4">
        <f t="shared" si="2"/>
        <v>0</v>
      </c>
      <c r="L74" s="5" t="str">
        <f>IF(Z74="◎",COUNTIF($Z$30:Z74,"◎"),"")</f>
        <v/>
      </c>
      <c r="W74" s="395" t="str">
        <f>IF(B74="個別病床",はじめに入力してください!$K$50,IF(B74="共通使用",はじめに入力してください!$K$52,""))</f>
        <v/>
      </c>
      <c r="Y74" s="12">
        <v>45</v>
      </c>
      <c r="Z74" s="374" t="str">
        <f t="shared" si="3"/>
        <v>○</v>
      </c>
      <c r="AA74" s="395" t="str">
        <f t="shared" si="4"/>
        <v>整備しない場合は入力不要です。</v>
      </c>
    </row>
  </sheetData>
  <mergeCells count="23">
    <mergeCell ref="K1:M1"/>
    <mergeCell ref="B22:L22"/>
    <mergeCell ref="B2:D3"/>
    <mergeCell ref="Z3:Z5"/>
    <mergeCell ref="AA3:AA5"/>
    <mergeCell ref="Z7:Z8"/>
    <mergeCell ref="AA7:AA8"/>
    <mergeCell ref="B10:L10"/>
    <mergeCell ref="B13:L13"/>
    <mergeCell ref="B14:L14"/>
    <mergeCell ref="B15:L15"/>
    <mergeCell ref="B18:L21"/>
    <mergeCell ref="B7:L7"/>
    <mergeCell ref="B9:C9"/>
    <mergeCell ref="B12:L12"/>
    <mergeCell ref="B26:L26"/>
    <mergeCell ref="Z27:Z28"/>
    <mergeCell ref="AA27:AA28"/>
    <mergeCell ref="B28:D28"/>
    <mergeCell ref="E28:F28"/>
    <mergeCell ref="G28:J28"/>
    <mergeCell ref="K28:K29"/>
    <mergeCell ref="L28:L29"/>
  </mergeCells>
  <phoneticPr fontId="9"/>
  <conditionalFormatting sqref="Z29:Z1048576 Z1:Z2 Z11:Z21 Z6 Z23:Z27">
    <cfRule type="containsText" dxfId="29" priority="8" operator="containsText" text="×">
      <formula>NOT(ISERROR(SEARCH("×",Z1)))</formula>
    </cfRule>
  </conditionalFormatting>
  <conditionalFormatting sqref="AA1:AA2 AA11:AA21 AA29:AA1048576 AA6 AA23:AA27">
    <cfRule type="containsText" dxfId="28" priority="7" operator="containsText" text="要修正">
      <formula>NOT(ISERROR(SEARCH("要修正",AA1)))</formula>
    </cfRule>
  </conditionalFormatting>
  <conditionalFormatting sqref="Z22">
    <cfRule type="containsText" dxfId="27" priority="6" operator="containsText" text="×">
      <formula>NOT(ISERROR(SEARCH("×",Z22)))</formula>
    </cfRule>
  </conditionalFormatting>
  <conditionalFormatting sqref="AA22">
    <cfRule type="containsText" dxfId="26" priority="5" operator="containsText" text="要修正">
      <formula>NOT(ISERROR(SEARCH("要修正",AA22)))</formula>
    </cfRule>
  </conditionalFormatting>
  <conditionalFormatting sqref="Z9:Z10 Z7">
    <cfRule type="containsText" dxfId="25" priority="4" operator="containsText" text="×">
      <formula>NOT(ISERROR(SEARCH("×",Z7)))</formula>
    </cfRule>
  </conditionalFormatting>
  <conditionalFormatting sqref="AA9:AA10 AA7">
    <cfRule type="containsText" dxfId="24" priority="3" operator="containsText" text="要修正">
      <formula>NOT(ISERROR(SEARCH("要修正",AA7)))</formula>
    </cfRule>
  </conditionalFormatting>
  <conditionalFormatting sqref="Z3:Z4">
    <cfRule type="containsText" dxfId="23" priority="2" operator="containsText" text="×">
      <formula>NOT(ISERROR(SEARCH("×",Z3)))</formula>
    </cfRule>
  </conditionalFormatting>
  <conditionalFormatting sqref="AA3:AA4">
    <cfRule type="containsText" dxfId="22" priority="1" operator="containsText" text="要修正">
      <formula>NOT(ISERROR(SEARCH("要修正",AA3)))</formula>
    </cfRule>
  </conditionalFormatting>
  <dataValidations count="10">
    <dataValidation allowBlank="1" showInputMessage="1" showErrorMessage="1" promptTitle="割引額がある場合は入力" prompt="割引がない場合は「0円」のままとしてください。" sqref="I3" xr:uid="{00000000-0002-0000-1900-000000000000}"/>
    <dataValidation allowBlank="1" showInputMessage="1" showErrorMessage="1" promptTitle="補助対象金額" prompt="補助対象額×（見積書金額-割引額）/見積書金額_x000a_で算出されます。" sqref="J3" xr:uid="{00000000-0002-0000-1900-000001000000}"/>
    <dataValidation allowBlank="1" showInputMessage="1" showErrorMessage="1" promptTitle="規格及び数量の入力" prompt="補助対象経費を計上する際、いずれも入力してください。" sqref="E30:E74" xr:uid="{17200BE7-F984-4718-9ADD-299E0398D218}"/>
    <dataValidation allowBlank="1" showInputMessage="1" showErrorMessage="1" promptTitle="単価の入力" prompt="税抜額または税込額のいずれかを入力してください。_x000a_入力しない方は「0」は入力せず、空欄としてください。" sqref="H30:H74" xr:uid="{542C1831-076C-4B97-A108-D15F2899EE71}"/>
    <dataValidation allowBlank="1" showInputMessage="1" showErrorMessage="1" promptTitle="添付書類番号" prompt="種類、規格、数量、単価が全て適切に入力され、右の「判定」が「◎」と表示されると自動で番号が表示されます。" sqref="L30:L74" xr:uid="{7271ABEA-A2C5-4987-BD7A-E165B5C9AAF5}"/>
    <dataValidation allowBlank="1" showInputMessage="1" showErrorMessage="1" promptTitle="金額の表示" prompt="数式が入力されているため、自動計算されます。" sqref="K30:K74 I30:I74" xr:uid="{2517E8C7-4A23-48FB-981B-121165C5AB91}"/>
    <dataValidation type="list" allowBlank="1" showInputMessage="1" showErrorMessage="1" promptTitle="補助対象の該当非該当" prompt="コロナ対応病床の初度設備に係る経費が対象となります。_x000a_共用部分の設備、備品や医療用消耗品等は補助対象外なので「対象外」を選択してください。_x000a_審査において確認、対象外と認めたものについては対象外として補正をお願いする場合があります。" sqref="J30:J74" xr:uid="{DFBFFDE9-B78E-48DE-A891-FE36E5192719}">
      <formula1>"補助対象,補助対象外"</formula1>
    </dataValidation>
    <dataValidation type="list" allowBlank="1" showInputMessage="1" showErrorMessage="1" promptTitle="設備、備品、その他の別を選択" prompt="当該行に記載する品目が_x000a_・「設備」（設備本体）_x000a_・備品（本体設備と別の構成をなすもの）_x000a_・その他（上記の該当しないもの）_x000a_の別をプルダウンから選択してください。" sqref="D30:D74" xr:uid="{66F42293-FA7A-4816-AA95-10279862E9CD}">
      <formula1>"設備,備品,その他"</formula1>
    </dataValidation>
    <dataValidation type="decimal" operator="greaterThanOrEqual" allowBlank="1" showInputMessage="1" showErrorMessage="1" promptTitle="単価の入力" prompt="税抜額または税込額のいずれかを入力してください。_x000a_入力しない方は「0」は入力せず、空欄としてください。" sqref="G30:G74" xr:uid="{DBD92EB8-C9AD-4964-B55F-1E9761501557}">
      <formula1>0</formula1>
    </dataValidation>
    <dataValidation type="whole" operator="greaterThanOrEqual" allowBlank="1" showInputMessage="1" showErrorMessage="1" errorTitle="数値のみを入力してください。" error="「個」、「枚」等の単位入力は不要です。" promptTitle="規格及び数量の入力" prompt="補助対象経費を計上する際、いずれも入力してください。" sqref="F30:F74" xr:uid="{842D0DCB-F2A3-487A-B081-B2BB421A4459}">
      <formula1>0</formula1>
    </dataValidation>
  </dataValidations>
  <pageMargins left="0.7" right="0.7" top="0.75" bottom="0.75" header="0.3" footer="0.3"/>
  <pageSetup paperSize="9" scale="55" orientation="portrait"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promptTitle="「用途先」病床の選択（左の「病床」を選択しないと表示されません。" prompt="ベッドに必ずしも紐付けるものではありませんが、１病床１台で紐付けした場合、整備する病床に番号付けをした場合の番号を選択してください。" xr:uid="{F22E191A-A545-46D2-9F86-68F62FD82BC2}">
          <x14:formula1>
            <xm:f>OFFSET(テーブル!$X$48, 0, MATCH(B30,テーブル!$Y$47:$Z$47,0), COUNTA(OFFSET(テーブル!$X$48,0,MATCH(B30,テーブル!$Y$47:$Z$47,0),$W$30,1)),1)</xm:f>
          </x14:formula1>
          <xm:sqref>C30:C74</xm:sqref>
        </x14:dataValidation>
        <x14:dataValidation type="list" allowBlank="1" showInputMessage="1" showErrorMessage="1" promptTitle="配備先の別を選択" prompt="確保病床の共通使用のものか、個別のベッドに配備するものか選択してください。" xr:uid="{D5639DDA-A6F4-4EC9-890E-B93AE1FF779F}">
          <x14:formula1>
            <xm:f>テーブル!$X$48:$X$49</xm:f>
          </x14:formula1>
          <xm:sqref>B30:B74</xm:sqref>
        </x14:dataValidation>
        <x14:dataValidation type="list" allowBlank="1" showInputMessage="1" showErrorMessage="1" xr:uid="{00000000-0002-0000-1900-000008000000}">
          <x14:formula1>
            <xm:f>テーブル!$M$37:$M$51</xm:f>
          </x14:formula1>
          <xm:sqref>B2:D2</xm:sqref>
        </x14:dataValidation>
      </x14:dataValidations>
    </ext>
  </extLst>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6">
    <tabColor theme="4" tint="0.79998168889431442"/>
    <pageSetUpPr fitToPage="1"/>
  </sheetPr>
  <dimension ref="A1:AF74"/>
  <sheetViews>
    <sheetView showGridLines="0" view="pageBreakPreview" topLeftCell="A21" zoomScale="60" zoomScaleNormal="100" workbookViewId="0">
      <selection activeCell="B26" sqref="B26:L26"/>
    </sheetView>
  </sheetViews>
  <sheetFormatPr defaultColWidth="8.625" defaultRowHeight="18"/>
  <cols>
    <col min="1" max="1" width="3.625" style="12" customWidth="1"/>
    <col min="2" max="4" width="8.625" style="19"/>
    <col min="5" max="5" width="30.625" style="19" customWidth="1"/>
    <col min="6" max="6" width="8.625" style="19"/>
    <col min="7" max="11" width="12.625" style="19" customWidth="1"/>
    <col min="12" max="12" width="8.625" style="19"/>
    <col min="13" max="13" width="3.625" style="19" customWidth="1"/>
    <col min="14" max="23" width="8.625" style="19"/>
    <col min="24" max="24" width="8.625" style="19" customWidth="1"/>
    <col min="25" max="25" width="3.625" style="12" customWidth="1"/>
    <col min="26" max="26" width="8.625" style="19"/>
    <col min="27" max="27" width="40.625" style="19" customWidth="1"/>
    <col min="28" max="28" width="3.625" style="19" customWidth="1"/>
    <col min="29" max="32" width="8.625" style="19"/>
    <col min="33" max="33" width="30.625" style="19" customWidth="1"/>
    <col min="34" max="16384" width="8.625" style="19"/>
  </cols>
  <sheetData>
    <row r="1" spans="1:32" ht="20.100000000000001" customHeight="1">
      <c r="K1" s="1829" t="str">
        <f xml:space="preserve">
IF(表紙!X2="交付申請兼実績報告","（４月１日～５月７日分）",
IF(OR(表紙!X2="事前協議",表紙!X2="交付申請",表紙!X2="変更申請",表紙!X2="実績報告"),"（５月８日～９月30日分）",
))</f>
        <v>（５月８日～９月30日分）</v>
      </c>
      <c r="L1" s="1364"/>
      <c r="M1" s="1364"/>
    </row>
    <row r="2" spans="1:32" ht="20.100000000000001" customHeight="1">
      <c r="B2" s="1817" t="s">
        <v>434</v>
      </c>
      <c r="C2" s="1818"/>
      <c r="D2" s="1819"/>
      <c r="H2" s="5" t="s">
        <v>538</v>
      </c>
      <c r="I2" s="374" t="s">
        <v>539</v>
      </c>
      <c r="J2" s="5" t="s">
        <v>44</v>
      </c>
      <c r="Z2" s="374" t="s">
        <v>419</v>
      </c>
      <c r="AA2" s="374" t="s">
        <v>417</v>
      </c>
      <c r="AC2" s="374" t="str">
        <f>Z9</f>
        <v>×</v>
      </c>
      <c r="AD2" s="374" t="str">
        <f>Z15</f>
        <v>◎</v>
      </c>
      <c r="AE2" s="374" t="str">
        <f>Z22</f>
        <v>◎</v>
      </c>
      <c r="AF2" s="374" t="str">
        <f>Z26</f>
        <v>◎</v>
      </c>
    </row>
    <row r="3" spans="1:32" ht="20.100000000000001" customHeight="1">
      <c r="B3" s="1820"/>
      <c r="C3" s="1821"/>
      <c r="D3" s="1822"/>
      <c r="H3" s="358">
        <f>SUM(I30:I74)</f>
        <v>52800000</v>
      </c>
      <c r="I3" s="8"/>
      <c r="J3" s="358">
        <f>IFERROR(ROUNDUP(SUM(K30:K74)*((H3-I3)/H3),0),0)</f>
        <v>39600000</v>
      </c>
      <c r="Z3" s="863" t="str">
        <f xml:space="preserve">
IF(COUNTIF(AD2:AF2,"○")=3,"○",
IF(COUNTIF(AD2:AF2,"◎")=3,"◎","×"
))</f>
        <v>◎</v>
      </c>
      <c r="AA3" s="1812" t="str">
        <f xml:space="preserve">
IF(Z3="○","整備しない場合は入力不要です。",
IF(Z3="×","【要修正】入力が不十分な箇所があります。",
IF(Z3="◎","適切に入力がされました。")))</f>
        <v>適切に入力がされました。</v>
      </c>
    </row>
    <row r="4" spans="1:32" ht="9.9499999999999993" customHeight="1">
      <c r="Z4" s="863"/>
      <c r="AA4" s="1812"/>
    </row>
    <row r="5" spans="1:32" ht="20.100000000000001" customHeight="1">
      <c r="B5" s="393" t="s">
        <v>55</v>
      </c>
      <c r="C5" s="393"/>
      <c r="D5" s="393"/>
      <c r="E5" s="393"/>
      <c r="F5" s="393"/>
      <c r="G5" s="393"/>
      <c r="H5" s="393"/>
      <c r="I5" s="393"/>
      <c r="J5" s="393"/>
      <c r="K5" s="393"/>
      <c r="L5" s="393"/>
      <c r="Z5" s="908"/>
      <c r="AA5" s="843"/>
    </row>
    <row r="6" spans="1:32" ht="9.9499999999999993" customHeight="1"/>
    <row r="7" spans="1:32" ht="20.100000000000001" customHeight="1">
      <c r="B7" s="1833" t="str">
        <f xml:space="preserve">
IF(OR(表紙!X2="事前協議",表紙!X2="交付申請"),"（１）整備を行う対象の新規で指定を受けた確保病床数あるいは、確保病床を有しない場合は整備を行う病床の数",
IF(表紙!X2="交付申請兼実績報告","（１）整備を行う対象の新規で指定を受けた確保病床数"))</f>
        <v>（１）整備を行う対象の新規で指定を受けた確保病床数あるいは、確保病床を有しない場合は整備を行う病床の数</v>
      </c>
      <c r="C7" s="932"/>
      <c r="D7" s="932"/>
      <c r="E7" s="932"/>
      <c r="F7" s="932"/>
      <c r="G7" s="932"/>
      <c r="H7" s="932"/>
      <c r="I7" s="932"/>
      <c r="J7" s="932"/>
      <c r="K7" s="932"/>
      <c r="L7" s="932"/>
      <c r="Z7" s="1808" t="s">
        <v>415</v>
      </c>
      <c r="AA7" s="1808" t="s">
        <v>417</v>
      </c>
    </row>
    <row r="8" spans="1:32" ht="9.9499999999999993" customHeight="1">
      <c r="Z8" s="1809"/>
      <c r="AA8" s="1809"/>
    </row>
    <row r="9" spans="1:32" ht="35.1" customHeight="1">
      <c r="B9" s="1834" t="s">
        <v>56</v>
      </c>
      <c r="C9" s="1835"/>
      <c r="D9" s="205" t="str">
        <f>IF(はじめに入力してください!K50="","",はじめに入力してください!K50)</f>
        <v/>
      </c>
      <c r="E9" s="359"/>
      <c r="F9" s="360"/>
      <c r="G9" s="360"/>
      <c r="H9" s="360"/>
      <c r="I9" s="360"/>
      <c r="J9" s="361"/>
      <c r="K9" s="361"/>
      <c r="L9" s="361"/>
      <c r="Z9" s="374" t="str">
        <f xml:space="preserve">
IF(D9="","×",
IF(D9=0,"○",
IF(D9&gt;=1,"◎",
)))</f>
        <v>×</v>
      </c>
      <c r="AA9" s="395" t="str">
        <f xml:space="preserve">
IF(D9="","【要修正】「はじめに入力してください」シートに整備を行う病床の数を入力してください。",
IF(D9=0,"申請しない場合は以下入力不要です。",
IF(D9&gt;=1,"適切に入力されました。",
)))</f>
        <v>【要修正】「はじめに入力してください」シートに整備を行う病床の数を入力してください。</v>
      </c>
    </row>
    <row r="10" spans="1:32" ht="20.100000000000001" customHeight="1">
      <c r="B10" s="1830"/>
      <c r="C10" s="1831"/>
      <c r="D10" s="1832"/>
      <c r="E10" s="1832"/>
      <c r="F10" s="1832"/>
      <c r="G10" s="1832"/>
      <c r="H10" s="1832"/>
      <c r="I10" s="1832"/>
      <c r="J10" s="1832"/>
      <c r="K10" s="1832"/>
      <c r="L10" s="1832"/>
    </row>
    <row r="11" spans="1:32" ht="20.100000000000001" hidden="1" customHeight="1"/>
    <row r="12" spans="1:32" ht="20.100000000000001" customHeight="1">
      <c r="B12" s="1833" t="s">
        <v>57</v>
      </c>
      <c r="C12" s="932"/>
      <c r="D12" s="932"/>
      <c r="E12" s="932"/>
      <c r="F12" s="932"/>
      <c r="G12" s="932"/>
      <c r="H12" s="932"/>
      <c r="I12" s="932"/>
      <c r="J12" s="932"/>
      <c r="K12" s="932"/>
      <c r="L12" s="932"/>
    </row>
    <row r="13" spans="1:32" ht="39.950000000000003" customHeight="1">
      <c r="B13" s="1813" t="s">
        <v>540</v>
      </c>
      <c r="C13" s="931"/>
      <c r="D13" s="931"/>
      <c r="E13" s="931"/>
      <c r="F13" s="931"/>
      <c r="G13" s="931"/>
      <c r="H13" s="931"/>
      <c r="I13" s="931"/>
      <c r="J13" s="931"/>
      <c r="K13" s="931"/>
      <c r="L13" s="931"/>
    </row>
    <row r="14" spans="1:32" s="392" customFormat="1" ht="80.099999999999994" customHeight="1">
      <c r="A14" s="13"/>
      <c r="B14" s="1813" t="str">
        <f>VLOOKUP(B2,テーブル!M37:N51,2,FALSE)</f>
        <v>（例）これまで確保病床○床に対し、生体情報モニタ○台で対応してきた。
　　　当院が所在する医療圏は確保病床自体が少なく、高齢者人口が多く一度罹患すると重症化するケースが少なくなく、今年度においてもこれまで受入対応
　　　ができず遠隔の医療機関への搬送を余儀なくされたケースがあった。（詳細別紙）
　　　ついては、今後継続的に不足することが見込まれる○台を本事業を活用し整備することとしたい。</v>
      </c>
      <c r="C14" s="1645"/>
      <c r="D14" s="1645"/>
      <c r="E14" s="1645"/>
      <c r="F14" s="1645"/>
      <c r="G14" s="1645"/>
      <c r="H14" s="1645"/>
      <c r="I14" s="1645"/>
      <c r="J14" s="1645"/>
      <c r="K14" s="1645"/>
      <c r="L14" s="1645"/>
      <c r="Y14" s="13"/>
      <c r="Z14" s="373" t="s">
        <v>415</v>
      </c>
      <c r="AA14" s="373" t="s">
        <v>416</v>
      </c>
    </row>
    <row r="15" spans="1:32" ht="120" customHeight="1">
      <c r="B15" s="1814" t="s">
        <v>1321</v>
      </c>
      <c r="C15" s="1815"/>
      <c r="D15" s="1815"/>
      <c r="E15" s="1815"/>
      <c r="F15" s="1815"/>
      <c r="G15" s="1815"/>
      <c r="H15" s="1815"/>
      <c r="I15" s="1815"/>
      <c r="J15" s="1815"/>
      <c r="K15" s="1815"/>
      <c r="L15" s="1816"/>
      <c r="Z15" s="374" t="str">
        <f xml:space="preserve">
IF(COUNTA(B15)=0,"○",
IF(COUNTA(B15)=1,"◎"))</f>
        <v>◎</v>
      </c>
      <c r="AA15" s="395" t="str">
        <f xml:space="preserve">
IF(COUNTA(B15)=0,"整備しない場合は入力不要です。",
IF(COUNTA(B15)=1,"入力された状態になりました。"))</f>
        <v>入力された状態になりました。</v>
      </c>
    </row>
    <row r="16" spans="1:32" ht="20.100000000000001" customHeight="1"/>
    <row r="17" spans="1:27" ht="20.100000000000001" customHeight="1">
      <c r="B17" s="393" t="s">
        <v>454</v>
      </c>
      <c r="C17" s="393"/>
      <c r="D17" s="393"/>
      <c r="E17" s="393"/>
      <c r="F17" s="393"/>
      <c r="G17" s="393"/>
      <c r="H17" s="393"/>
      <c r="I17" s="393"/>
      <c r="J17" s="393"/>
      <c r="K17" s="393"/>
      <c r="L17" s="393"/>
    </row>
    <row r="18" spans="1:27" ht="20.100000000000001" customHeight="1">
      <c r="B18" s="1813" t="s">
        <v>482</v>
      </c>
      <c r="C18" s="931"/>
      <c r="D18" s="931"/>
      <c r="E18" s="931"/>
      <c r="F18" s="931"/>
      <c r="G18" s="931"/>
      <c r="H18" s="931"/>
      <c r="I18" s="931"/>
      <c r="J18" s="931"/>
      <c r="K18" s="931"/>
      <c r="L18" s="931"/>
    </row>
    <row r="19" spans="1:27" ht="20.100000000000001" customHeight="1">
      <c r="B19" s="1813"/>
      <c r="C19" s="931"/>
      <c r="D19" s="931"/>
      <c r="E19" s="931"/>
      <c r="F19" s="931"/>
      <c r="G19" s="931"/>
      <c r="H19" s="931"/>
      <c r="I19" s="931"/>
      <c r="J19" s="931"/>
      <c r="K19" s="931"/>
      <c r="L19" s="931"/>
    </row>
    <row r="20" spans="1:27" ht="20.100000000000001" customHeight="1">
      <c r="B20" s="1813"/>
      <c r="C20" s="931"/>
      <c r="D20" s="931"/>
      <c r="E20" s="931"/>
      <c r="F20" s="931"/>
      <c r="G20" s="931"/>
      <c r="H20" s="931"/>
      <c r="I20" s="931"/>
      <c r="J20" s="931"/>
      <c r="K20" s="931"/>
      <c r="L20" s="931"/>
    </row>
    <row r="21" spans="1:27" ht="20.100000000000001" customHeight="1">
      <c r="B21" s="931"/>
      <c r="C21" s="931"/>
      <c r="D21" s="931"/>
      <c r="E21" s="931"/>
      <c r="F21" s="931"/>
      <c r="G21" s="931"/>
      <c r="H21" s="931"/>
      <c r="I21" s="931"/>
      <c r="J21" s="931"/>
      <c r="K21" s="931"/>
      <c r="L21" s="931"/>
    </row>
    <row r="22" spans="1:27" ht="120" customHeight="1">
      <c r="B22" s="1814" t="s">
        <v>1321</v>
      </c>
      <c r="C22" s="1815"/>
      <c r="D22" s="1815"/>
      <c r="E22" s="1815"/>
      <c r="F22" s="1815"/>
      <c r="G22" s="1815"/>
      <c r="H22" s="1815"/>
      <c r="I22" s="1815"/>
      <c r="J22" s="1815"/>
      <c r="K22" s="1815"/>
      <c r="L22" s="1816"/>
      <c r="Z22" s="374" t="str">
        <f xml:space="preserve">
IF(COUNTA(B22)=0,"○",
IF(COUNTA(B22)=1,"◎"))</f>
        <v>◎</v>
      </c>
      <c r="AA22" s="395" t="str">
        <f xml:space="preserve">
IF(COUNTA(B22)=0,"整備しない場合は入力不要です。",
IF(COUNTA(B22)=1,"入力された状態になりました。"))</f>
        <v>入力された状態になりました。</v>
      </c>
    </row>
    <row r="23" spans="1:27" ht="20.100000000000001" customHeight="1"/>
    <row r="24" spans="1:27" ht="20.100000000000001" customHeight="1">
      <c r="B24" s="393" t="s">
        <v>453</v>
      </c>
      <c r="C24" s="393"/>
      <c r="D24" s="393"/>
      <c r="E24" s="393"/>
      <c r="F24" s="393"/>
      <c r="G24" s="393"/>
      <c r="H24" s="393"/>
      <c r="I24" s="393"/>
      <c r="J24" s="393"/>
      <c r="K24" s="393"/>
      <c r="L24" s="393"/>
      <c r="Z24" s="14"/>
    </row>
    <row r="25" spans="1:27" ht="9.9499999999999993" customHeight="1"/>
    <row r="26" spans="1:27" ht="60" customHeight="1">
      <c r="B26" s="1813" t="s">
        <v>561</v>
      </c>
      <c r="C26" s="932"/>
      <c r="D26" s="932"/>
      <c r="E26" s="932"/>
      <c r="F26" s="932"/>
      <c r="G26" s="932"/>
      <c r="H26" s="932"/>
      <c r="I26" s="932"/>
      <c r="J26" s="932"/>
      <c r="K26" s="932"/>
      <c r="L26" s="932"/>
      <c r="Z26" s="374" t="str">
        <f xml:space="preserve">
IF(COUNTIF(Z30:Z74,"○")=45,"○",
IF(COUNTIF(Z30:Z74,"×")&gt;=1,"×",
IF(AND(COUNTIF(Z30:Z74,"◎")&gt;=1,COUNTIF(Z30:Z74,"×")=0),"◎")))</f>
        <v>◎</v>
      </c>
      <c r="AA26" s="395" t="str">
        <f xml:space="preserve">
IF(COUNTIF(Z30:Z74,"○")=45,"整備しない場合は入力不要です。",
IF(COUNTIF(Z30:Z74,"×")&gt;=1,"【要修正】入力が不十分な箇所があります。",
IF(AND(COUNTIF(Z30:Z74,"◎")&gt;=1,COUNTIF(Z30:Z74,"×")=0),"適切に入力がされました。")))</f>
        <v>適切に入力がされました。</v>
      </c>
    </row>
    <row r="27" spans="1:27" ht="9.9499999999999993" customHeight="1">
      <c r="Z27" s="1807" t="s">
        <v>418</v>
      </c>
      <c r="AA27" s="1810" t="s">
        <v>420</v>
      </c>
    </row>
    <row r="28" spans="1:27">
      <c r="B28" s="1823" t="s">
        <v>41</v>
      </c>
      <c r="C28" s="1824"/>
      <c r="D28" s="1825"/>
      <c r="E28" s="1823" t="s">
        <v>42</v>
      </c>
      <c r="F28" s="1825"/>
      <c r="G28" s="1823" t="s">
        <v>43</v>
      </c>
      <c r="H28" s="1824"/>
      <c r="I28" s="1824"/>
      <c r="J28" s="1825"/>
      <c r="K28" s="1826" t="s">
        <v>44</v>
      </c>
      <c r="L28" s="1826" t="s">
        <v>45</v>
      </c>
      <c r="Z28" s="1084"/>
      <c r="AA28" s="1811"/>
    </row>
    <row r="29" spans="1:27">
      <c r="B29" s="3" t="s">
        <v>46</v>
      </c>
      <c r="C29" s="3" t="s">
        <v>47</v>
      </c>
      <c r="D29" s="3" t="s">
        <v>48</v>
      </c>
      <c r="E29" s="3" t="s">
        <v>54</v>
      </c>
      <c r="F29" s="3" t="s">
        <v>49</v>
      </c>
      <c r="G29" s="3" t="s">
        <v>50</v>
      </c>
      <c r="H29" s="3" t="s">
        <v>51</v>
      </c>
      <c r="I29" s="3" t="s">
        <v>52</v>
      </c>
      <c r="J29" s="3" t="s">
        <v>53</v>
      </c>
      <c r="K29" s="1827"/>
      <c r="L29" s="1827"/>
      <c r="Z29" s="374" t="s">
        <v>415</v>
      </c>
      <c r="AA29" s="374" t="s">
        <v>417</v>
      </c>
    </row>
    <row r="30" spans="1:27">
      <c r="A30" s="12">
        <v>1</v>
      </c>
      <c r="B30" s="6"/>
      <c r="C30" s="6"/>
      <c r="D30" s="6"/>
      <c r="E30" s="10"/>
      <c r="F30" s="7"/>
      <c r="G30" s="541"/>
      <c r="H30" s="15">
        <f>ROUNDDOWN(G30*1.1,0)</f>
        <v>0</v>
      </c>
      <c r="I30" s="4">
        <f>F30*H30</f>
        <v>0</v>
      </c>
      <c r="J30" s="9"/>
      <c r="K30" s="4">
        <f>IF(J30="補助対象",I30,IF(J30="補助対象外",0,0))</f>
        <v>0</v>
      </c>
      <c r="L30" s="5" t="str">
        <f>IF(Z30="◎",COUNTIF($Z$30:Z30,"◎"),"")</f>
        <v/>
      </c>
      <c r="W30" s="395" t="str">
        <f>IF(B30="個別病床",はじめに入力してください!$K$50,IF(B30="共通使用",はじめに入力してください!$K$52,""))</f>
        <v/>
      </c>
      <c r="Y30" s="12">
        <v>1</v>
      </c>
      <c r="Z30" s="374" t="str">
        <f xml:space="preserve">
IF(SUM(COUNTA(B30:G30),COUNTA(J30))=0,"○",
IF(AND(SUM(COUNTA(B30:G30),COUNTA(J30))&gt;0,SUM(COUNTA(B30:G30),COUNTA(J30))&lt;7),"×",
IF(SUM(COUNTA(B30:G30),COUNTA(J30))=7,"◎")))</f>
        <v>○</v>
      </c>
      <c r="AA30" s="395" t="str">
        <f xml:space="preserve">
IF(SUM(COUNTA(B30:G30),COUNTA(J30))=0,"整備しない場合は入力不要です。",
IF(AND(SUM(COUNTA(B30:G30),COUNTA(J30))&gt;0,SUM(COUNTA(B30:G30),COUNTA(J30))&lt;7),"【要修正】未入力の箇所があります。",
IF(SUM(COUNTA(B30:G30),COUNTA(J30))=7,"適切に入力がされました。")))</f>
        <v>整備しない場合は入力不要です。</v>
      </c>
    </row>
    <row r="31" spans="1:27">
      <c r="A31" s="12">
        <v>2</v>
      </c>
      <c r="B31" s="6"/>
      <c r="C31" s="6"/>
      <c r="D31" s="6"/>
      <c r="E31" s="10"/>
      <c r="F31" s="7"/>
      <c r="G31" s="541"/>
      <c r="H31" s="15">
        <f t="shared" ref="H31:H74" si="0">ROUNDDOWN(G31*1.1,0)</f>
        <v>0</v>
      </c>
      <c r="I31" s="4">
        <f t="shared" ref="I31:I74" si="1">F31*H31</f>
        <v>0</v>
      </c>
      <c r="J31" s="9"/>
      <c r="K31" s="4">
        <f t="shared" ref="K31:K74" si="2">IF(J31="補助対象",I31,IF(J31="補助対象外",0,0))</f>
        <v>0</v>
      </c>
      <c r="L31" s="5" t="str">
        <f>IF(Z31="◎",COUNTIF($Z$30:Z31,"◎"),"")</f>
        <v/>
      </c>
      <c r="W31" s="395" t="str">
        <f>IF(B31="個別病床",はじめに入力してください!$K$50,IF(B31="共通使用",はじめに入力してください!$K$52,""))</f>
        <v/>
      </c>
      <c r="Y31" s="12">
        <v>2</v>
      </c>
      <c r="Z31" s="374" t="str">
        <f t="shared" ref="Z31:Z74" si="3" xml:space="preserve">
IF(SUM(COUNTA(B31:G31),COUNTA(J31))=0,"○",
IF(AND(SUM(COUNTA(B31:G31),COUNTA(J31))&gt;0,SUM(COUNTA(B31:G31),COUNTA(J31))&lt;7),"×",
IF(SUM(COUNTA(B31:G31),COUNTA(J31))=7,"◎")))</f>
        <v>○</v>
      </c>
      <c r="AA31" s="395" t="str">
        <f t="shared" ref="AA31:AA74" si="4" xml:space="preserve">
IF(SUM(COUNTA(B31:G31),COUNTA(J31))=0,"整備しない場合は入力不要です。",
IF(AND(SUM(COUNTA(B31:G31),COUNTA(J31))&gt;0,SUM(COUNTA(B31:G31),COUNTA(J31))&lt;7),"【要修正】未入力の箇所があります。",
IF(SUM(COUNTA(B31:G31),COUNTA(J31))=7,"適切に入力がされました。")))</f>
        <v>整備しない場合は入力不要です。</v>
      </c>
    </row>
    <row r="32" spans="1:27">
      <c r="A32" s="12">
        <v>3</v>
      </c>
      <c r="B32" s="6"/>
      <c r="C32" s="6"/>
      <c r="D32" s="6"/>
      <c r="E32" s="10"/>
      <c r="F32" s="7"/>
      <c r="G32" s="541"/>
      <c r="H32" s="15">
        <f t="shared" si="0"/>
        <v>0</v>
      </c>
      <c r="I32" s="4">
        <f t="shared" si="1"/>
        <v>0</v>
      </c>
      <c r="J32" s="9"/>
      <c r="K32" s="4">
        <f t="shared" si="2"/>
        <v>0</v>
      </c>
      <c r="L32" s="5" t="str">
        <f>IF(Z32="◎",COUNTIF($Z$30:Z32,"◎"),"")</f>
        <v/>
      </c>
      <c r="W32" s="395" t="str">
        <f>IF(B32="個別病床",はじめに入力してください!$K$50,IF(B32="共通使用",はじめに入力してください!$K$52,""))</f>
        <v/>
      </c>
      <c r="Y32" s="12">
        <v>3</v>
      </c>
      <c r="Z32" s="374" t="str">
        <f t="shared" si="3"/>
        <v>○</v>
      </c>
      <c r="AA32" s="395" t="str">
        <f t="shared" si="4"/>
        <v>整備しない場合は入力不要です。</v>
      </c>
    </row>
    <row r="33" spans="1:27">
      <c r="A33" s="12">
        <v>4</v>
      </c>
      <c r="B33" s="6"/>
      <c r="C33" s="6"/>
      <c r="D33" s="6"/>
      <c r="E33" s="10"/>
      <c r="F33" s="7"/>
      <c r="G33" s="541"/>
      <c r="H33" s="15">
        <f t="shared" si="0"/>
        <v>0</v>
      </c>
      <c r="I33" s="4">
        <f t="shared" si="1"/>
        <v>0</v>
      </c>
      <c r="J33" s="9"/>
      <c r="K33" s="4">
        <f t="shared" si="2"/>
        <v>0</v>
      </c>
      <c r="L33" s="5" t="str">
        <f>IF(Z33="◎",COUNTIF($Z$30:Z33,"◎"),"")</f>
        <v/>
      </c>
      <c r="W33" s="395" t="str">
        <f>IF(B33="個別病床",はじめに入力してください!$K$50,IF(B33="共通使用",はじめに入力してください!$K$52,""))</f>
        <v/>
      </c>
      <c r="Y33" s="12">
        <v>4</v>
      </c>
      <c r="Z33" s="374" t="str">
        <f t="shared" si="3"/>
        <v>○</v>
      </c>
      <c r="AA33" s="395" t="str">
        <f t="shared" si="4"/>
        <v>整備しない場合は入力不要です。</v>
      </c>
    </row>
    <row r="34" spans="1:27">
      <c r="A34" s="12">
        <v>5</v>
      </c>
      <c r="B34" s="6" t="s">
        <v>691</v>
      </c>
      <c r="C34" s="6" t="s">
        <v>692</v>
      </c>
      <c r="D34" s="6" t="s">
        <v>1315</v>
      </c>
      <c r="E34" s="10" t="s">
        <v>1314</v>
      </c>
      <c r="F34" s="7">
        <v>12</v>
      </c>
      <c r="G34" s="541">
        <v>1000000</v>
      </c>
      <c r="H34" s="15">
        <f t="shared" si="0"/>
        <v>1100000</v>
      </c>
      <c r="I34" s="4">
        <f t="shared" si="1"/>
        <v>13200000</v>
      </c>
      <c r="J34" s="9" t="s">
        <v>1319</v>
      </c>
      <c r="K34" s="4">
        <f t="shared" si="2"/>
        <v>13200000</v>
      </c>
      <c r="L34" s="5">
        <f>IF(Z34="◎",COUNTIF($Z$30:Z34,"◎"),"")</f>
        <v>1</v>
      </c>
      <c r="W34" s="395">
        <f>IF(B34="個別病床",はじめに入力してください!$K$50,IF(B34="共通使用",はじめに入力してください!$K$52,""))</f>
        <v>0</v>
      </c>
      <c r="Y34" s="12">
        <v>5</v>
      </c>
      <c r="Z34" s="374" t="str">
        <f t="shared" si="3"/>
        <v>◎</v>
      </c>
      <c r="AA34" s="395" t="str">
        <f t="shared" si="4"/>
        <v>適切に入力がされました。</v>
      </c>
    </row>
    <row r="35" spans="1:27">
      <c r="A35" s="12">
        <v>6</v>
      </c>
      <c r="B35" s="6" t="s">
        <v>691</v>
      </c>
      <c r="C35" s="6" t="s">
        <v>692</v>
      </c>
      <c r="D35" s="6" t="s">
        <v>1316</v>
      </c>
      <c r="E35" s="10" t="s">
        <v>1317</v>
      </c>
      <c r="F35" s="7">
        <v>12</v>
      </c>
      <c r="G35" s="541">
        <v>1000000</v>
      </c>
      <c r="H35" s="15">
        <f t="shared" si="0"/>
        <v>1100000</v>
      </c>
      <c r="I35" s="4">
        <f t="shared" si="1"/>
        <v>13200000</v>
      </c>
      <c r="J35" s="9" t="s">
        <v>1320</v>
      </c>
      <c r="K35" s="4">
        <f t="shared" si="2"/>
        <v>0</v>
      </c>
      <c r="L35" s="5">
        <f>IF(Z35="◎",COUNTIF($Z$30:Z35,"◎"),"")</f>
        <v>2</v>
      </c>
      <c r="W35" s="395">
        <f>IF(B35="個別病床",はじめに入力してください!$K$50,IF(B35="共通使用",はじめに入力してください!$K$52,""))</f>
        <v>0</v>
      </c>
      <c r="Y35" s="12">
        <v>6</v>
      </c>
      <c r="Z35" s="374" t="str">
        <f t="shared" si="3"/>
        <v>◎</v>
      </c>
      <c r="AA35" s="395" t="str">
        <f t="shared" si="4"/>
        <v>適切に入力がされました。</v>
      </c>
    </row>
    <row r="36" spans="1:27">
      <c r="A36" s="12">
        <v>7</v>
      </c>
      <c r="B36" s="6" t="s">
        <v>102</v>
      </c>
      <c r="C36" s="6" t="s">
        <v>842</v>
      </c>
      <c r="D36" s="6" t="s">
        <v>1315</v>
      </c>
      <c r="E36" s="10" t="s">
        <v>1318</v>
      </c>
      <c r="F36" s="7">
        <v>12</v>
      </c>
      <c r="G36" s="541">
        <v>2000000</v>
      </c>
      <c r="H36" s="15">
        <f t="shared" si="0"/>
        <v>2200000</v>
      </c>
      <c r="I36" s="4">
        <f t="shared" si="1"/>
        <v>26400000</v>
      </c>
      <c r="J36" s="9" t="s">
        <v>1319</v>
      </c>
      <c r="K36" s="4">
        <f t="shared" si="2"/>
        <v>26400000</v>
      </c>
      <c r="L36" s="5">
        <f>IF(Z36="◎",COUNTIF($Z$30:Z36,"◎"),"")</f>
        <v>3</v>
      </c>
      <c r="W36" s="395">
        <f>IF(B36="個別病床",はじめに入力してください!$K$50,IF(B36="共通使用",はじめに入力してください!$K$52,""))</f>
        <v>0</v>
      </c>
      <c r="Y36" s="12">
        <v>7</v>
      </c>
      <c r="Z36" s="374" t="str">
        <f t="shared" si="3"/>
        <v>◎</v>
      </c>
      <c r="AA36" s="395" t="str">
        <f t="shared" si="4"/>
        <v>適切に入力がされました。</v>
      </c>
    </row>
    <row r="37" spans="1:27">
      <c r="A37" s="12">
        <v>8</v>
      </c>
      <c r="B37" s="6"/>
      <c r="C37" s="6"/>
      <c r="D37" s="6"/>
      <c r="E37" s="10"/>
      <c r="F37" s="7"/>
      <c r="G37" s="541"/>
      <c r="H37" s="15">
        <f t="shared" si="0"/>
        <v>0</v>
      </c>
      <c r="I37" s="4">
        <f t="shared" si="1"/>
        <v>0</v>
      </c>
      <c r="J37" s="9"/>
      <c r="K37" s="4">
        <f t="shared" si="2"/>
        <v>0</v>
      </c>
      <c r="L37" s="5" t="str">
        <f>IF(Z37="◎",COUNTIF($Z$30:Z37,"◎"),"")</f>
        <v/>
      </c>
      <c r="W37" s="395" t="str">
        <f>IF(B37="個別病床",はじめに入力してください!$K$50,IF(B37="共通使用",はじめに入力してください!$K$52,""))</f>
        <v/>
      </c>
      <c r="Y37" s="12">
        <v>8</v>
      </c>
      <c r="Z37" s="374" t="str">
        <f t="shared" si="3"/>
        <v>○</v>
      </c>
      <c r="AA37" s="395" t="str">
        <f t="shared" si="4"/>
        <v>整備しない場合は入力不要です。</v>
      </c>
    </row>
    <row r="38" spans="1:27">
      <c r="A38" s="12">
        <v>9</v>
      </c>
      <c r="B38" s="6"/>
      <c r="C38" s="6"/>
      <c r="D38" s="6"/>
      <c r="E38" s="10"/>
      <c r="F38" s="7"/>
      <c r="G38" s="541"/>
      <c r="H38" s="15">
        <f t="shared" si="0"/>
        <v>0</v>
      </c>
      <c r="I38" s="4">
        <f t="shared" si="1"/>
        <v>0</v>
      </c>
      <c r="J38" s="9"/>
      <c r="K38" s="4">
        <f t="shared" si="2"/>
        <v>0</v>
      </c>
      <c r="L38" s="5" t="str">
        <f>IF(Z38="◎",COUNTIF($Z$30:Z38,"◎"),"")</f>
        <v/>
      </c>
      <c r="W38" s="395" t="str">
        <f>IF(B38="個別病床",はじめに入力してください!$K$50,IF(B38="共通使用",はじめに入力してください!$K$52,""))</f>
        <v/>
      </c>
      <c r="Y38" s="12">
        <v>9</v>
      </c>
      <c r="Z38" s="374" t="str">
        <f t="shared" si="3"/>
        <v>○</v>
      </c>
      <c r="AA38" s="395" t="str">
        <f t="shared" si="4"/>
        <v>整備しない場合は入力不要です。</v>
      </c>
    </row>
    <row r="39" spans="1:27">
      <c r="A39" s="12">
        <v>10</v>
      </c>
      <c r="B39" s="6"/>
      <c r="C39" s="6"/>
      <c r="D39" s="6"/>
      <c r="E39" s="10"/>
      <c r="F39" s="7"/>
      <c r="G39" s="541"/>
      <c r="H39" s="15">
        <f t="shared" si="0"/>
        <v>0</v>
      </c>
      <c r="I39" s="4">
        <f t="shared" si="1"/>
        <v>0</v>
      </c>
      <c r="J39" s="9"/>
      <c r="K39" s="4">
        <f t="shared" si="2"/>
        <v>0</v>
      </c>
      <c r="L39" s="5" t="str">
        <f>IF(Z39="◎",COUNTIF($Z$30:Z39,"◎"),"")</f>
        <v/>
      </c>
      <c r="W39" s="395" t="str">
        <f>IF(B39="個別病床",はじめに入力してください!$K$50,IF(B39="共通使用",はじめに入力してください!$K$52,""))</f>
        <v/>
      </c>
      <c r="Y39" s="12">
        <v>10</v>
      </c>
      <c r="Z39" s="374" t="str">
        <f t="shared" si="3"/>
        <v>○</v>
      </c>
      <c r="AA39" s="395" t="str">
        <f t="shared" si="4"/>
        <v>整備しない場合は入力不要です。</v>
      </c>
    </row>
    <row r="40" spans="1:27">
      <c r="A40" s="12">
        <v>11</v>
      </c>
      <c r="B40" s="6"/>
      <c r="C40" s="6"/>
      <c r="D40" s="6"/>
      <c r="E40" s="10"/>
      <c r="F40" s="7"/>
      <c r="G40" s="541"/>
      <c r="H40" s="15">
        <f t="shared" si="0"/>
        <v>0</v>
      </c>
      <c r="I40" s="4">
        <f t="shared" si="1"/>
        <v>0</v>
      </c>
      <c r="J40" s="9"/>
      <c r="K40" s="4">
        <f t="shared" si="2"/>
        <v>0</v>
      </c>
      <c r="L40" s="5" t="str">
        <f>IF(Z40="◎",COUNTIF($Z$30:Z40,"◎"),"")</f>
        <v/>
      </c>
      <c r="W40" s="395" t="str">
        <f>IF(B40="個別病床",はじめに入力してください!$K$50,IF(B40="共通使用",はじめに入力してください!$K$52,""))</f>
        <v/>
      </c>
      <c r="Y40" s="12">
        <v>11</v>
      </c>
      <c r="Z40" s="374" t="str">
        <f t="shared" si="3"/>
        <v>○</v>
      </c>
      <c r="AA40" s="395" t="str">
        <f t="shared" si="4"/>
        <v>整備しない場合は入力不要です。</v>
      </c>
    </row>
    <row r="41" spans="1:27">
      <c r="A41" s="12">
        <v>12</v>
      </c>
      <c r="B41" s="6"/>
      <c r="C41" s="6"/>
      <c r="D41" s="6"/>
      <c r="E41" s="10"/>
      <c r="F41" s="7"/>
      <c r="G41" s="541"/>
      <c r="H41" s="15">
        <f t="shared" si="0"/>
        <v>0</v>
      </c>
      <c r="I41" s="4">
        <f t="shared" si="1"/>
        <v>0</v>
      </c>
      <c r="J41" s="9"/>
      <c r="K41" s="4">
        <f t="shared" si="2"/>
        <v>0</v>
      </c>
      <c r="L41" s="5" t="str">
        <f>IF(Z41="◎",COUNTIF($Z$30:Z41,"◎"),"")</f>
        <v/>
      </c>
      <c r="W41" s="395" t="str">
        <f>IF(B41="個別病床",はじめに入力してください!$K$50,IF(B41="共通使用",はじめに入力してください!$K$52,""))</f>
        <v/>
      </c>
      <c r="Y41" s="12">
        <v>12</v>
      </c>
      <c r="Z41" s="374" t="str">
        <f t="shared" si="3"/>
        <v>○</v>
      </c>
      <c r="AA41" s="395" t="str">
        <f t="shared" si="4"/>
        <v>整備しない場合は入力不要です。</v>
      </c>
    </row>
    <row r="42" spans="1:27">
      <c r="A42" s="12">
        <v>13</v>
      </c>
      <c r="B42" s="6"/>
      <c r="C42" s="6"/>
      <c r="D42" s="6"/>
      <c r="E42" s="10"/>
      <c r="F42" s="7"/>
      <c r="G42" s="541"/>
      <c r="H42" s="15">
        <f t="shared" si="0"/>
        <v>0</v>
      </c>
      <c r="I42" s="4">
        <f t="shared" si="1"/>
        <v>0</v>
      </c>
      <c r="J42" s="9"/>
      <c r="K42" s="4">
        <f t="shared" si="2"/>
        <v>0</v>
      </c>
      <c r="L42" s="5" t="str">
        <f>IF(Z42="◎",COUNTIF($Z$30:Z42,"◎"),"")</f>
        <v/>
      </c>
      <c r="W42" s="395" t="str">
        <f>IF(B42="個別病床",はじめに入力してください!$K$50,IF(B42="共通使用",はじめに入力してください!$K$52,""))</f>
        <v/>
      </c>
      <c r="Y42" s="12">
        <v>13</v>
      </c>
      <c r="Z42" s="374" t="str">
        <f t="shared" si="3"/>
        <v>○</v>
      </c>
      <c r="AA42" s="395" t="str">
        <f t="shared" si="4"/>
        <v>整備しない場合は入力不要です。</v>
      </c>
    </row>
    <row r="43" spans="1:27">
      <c r="A43" s="12">
        <v>14</v>
      </c>
      <c r="B43" s="6"/>
      <c r="C43" s="6"/>
      <c r="D43" s="6"/>
      <c r="E43" s="10"/>
      <c r="F43" s="7"/>
      <c r="G43" s="541"/>
      <c r="H43" s="15">
        <f t="shared" si="0"/>
        <v>0</v>
      </c>
      <c r="I43" s="4">
        <f t="shared" si="1"/>
        <v>0</v>
      </c>
      <c r="J43" s="9"/>
      <c r="K43" s="4">
        <f t="shared" si="2"/>
        <v>0</v>
      </c>
      <c r="L43" s="5" t="str">
        <f>IF(Z43="◎",COUNTIF($Z$30:Z43,"◎"),"")</f>
        <v/>
      </c>
      <c r="W43" s="395" t="str">
        <f>IF(B43="個別病床",はじめに入力してください!$K$50,IF(B43="共通使用",はじめに入力してください!$K$52,""))</f>
        <v/>
      </c>
      <c r="Y43" s="12">
        <v>14</v>
      </c>
      <c r="Z43" s="374" t="str">
        <f t="shared" si="3"/>
        <v>○</v>
      </c>
      <c r="AA43" s="395" t="str">
        <f t="shared" si="4"/>
        <v>整備しない場合は入力不要です。</v>
      </c>
    </row>
    <row r="44" spans="1:27">
      <c r="A44" s="12">
        <v>15</v>
      </c>
      <c r="B44" s="6"/>
      <c r="C44" s="6"/>
      <c r="D44" s="6"/>
      <c r="E44" s="10"/>
      <c r="F44" s="7"/>
      <c r="G44" s="541"/>
      <c r="H44" s="15">
        <f t="shared" si="0"/>
        <v>0</v>
      </c>
      <c r="I44" s="4">
        <f t="shared" si="1"/>
        <v>0</v>
      </c>
      <c r="J44" s="9"/>
      <c r="K44" s="4">
        <f t="shared" si="2"/>
        <v>0</v>
      </c>
      <c r="L44" s="5" t="str">
        <f>IF(Z44="◎",COUNTIF($Z$30:Z44,"◎"),"")</f>
        <v/>
      </c>
      <c r="W44" s="395" t="str">
        <f>IF(B44="個別病床",はじめに入力してください!$K$50,IF(B44="共通使用",はじめに入力してください!$K$52,""))</f>
        <v/>
      </c>
      <c r="Y44" s="12">
        <v>15</v>
      </c>
      <c r="Z44" s="374" t="str">
        <f t="shared" si="3"/>
        <v>○</v>
      </c>
      <c r="AA44" s="395" t="str">
        <f t="shared" si="4"/>
        <v>整備しない場合は入力不要です。</v>
      </c>
    </row>
    <row r="45" spans="1:27">
      <c r="A45" s="12">
        <v>16</v>
      </c>
      <c r="B45" s="6"/>
      <c r="C45" s="6"/>
      <c r="D45" s="6"/>
      <c r="E45" s="10"/>
      <c r="F45" s="7"/>
      <c r="G45" s="541"/>
      <c r="H45" s="15">
        <f t="shared" si="0"/>
        <v>0</v>
      </c>
      <c r="I45" s="4">
        <f t="shared" si="1"/>
        <v>0</v>
      </c>
      <c r="J45" s="9"/>
      <c r="K45" s="4">
        <f t="shared" si="2"/>
        <v>0</v>
      </c>
      <c r="L45" s="5" t="str">
        <f>IF(Z45="◎",COUNTIF($Z$30:Z45,"◎"),"")</f>
        <v/>
      </c>
      <c r="W45" s="395" t="str">
        <f>IF(B45="個別病床",はじめに入力してください!$K$50,IF(B45="共通使用",はじめに入力してください!$K$52,""))</f>
        <v/>
      </c>
      <c r="Y45" s="12">
        <v>16</v>
      </c>
      <c r="Z45" s="374" t="str">
        <f t="shared" si="3"/>
        <v>○</v>
      </c>
      <c r="AA45" s="395" t="str">
        <f t="shared" si="4"/>
        <v>整備しない場合は入力不要です。</v>
      </c>
    </row>
    <row r="46" spans="1:27">
      <c r="A46" s="12">
        <v>17</v>
      </c>
      <c r="B46" s="6"/>
      <c r="C46" s="6"/>
      <c r="D46" s="6"/>
      <c r="E46" s="10"/>
      <c r="F46" s="7"/>
      <c r="G46" s="541"/>
      <c r="H46" s="15">
        <f t="shared" si="0"/>
        <v>0</v>
      </c>
      <c r="I46" s="4">
        <f t="shared" si="1"/>
        <v>0</v>
      </c>
      <c r="J46" s="9"/>
      <c r="K46" s="4">
        <f t="shared" si="2"/>
        <v>0</v>
      </c>
      <c r="L46" s="5" t="str">
        <f>IF(Z46="◎",COUNTIF($Z$30:Z46,"◎"),"")</f>
        <v/>
      </c>
      <c r="W46" s="395" t="str">
        <f>IF(B46="個別病床",はじめに入力してください!$K$50,IF(B46="共通使用",はじめに入力してください!$K$52,""))</f>
        <v/>
      </c>
      <c r="Y46" s="12">
        <v>17</v>
      </c>
      <c r="Z46" s="374" t="str">
        <f t="shared" si="3"/>
        <v>○</v>
      </c>
      <c r="AA46" s="395" t="str">
        <f t="shared" si="4"/>
        <v>整備しない場合は入力不要です。</v>
      </c>
    </row>
    <row r="47" spans="1:27">
      <c r="A47" s="12">
        <v>18</v>
      </c>
      <c r="B47" s="6"/>
      <c r="C47" s="6"/>
      <c r="D47" s="6"/>
      <c r="E47" s="10"/>
      <c r="F47" s="7"/>
      <c r="G47" s="541"/>
      <c r="H47" s="15">
        <f t="shared" si="0"/>
        <v>0</v>
      </c>
      <c r="I47" s="4">
        <f t="shared" si="1"/>
        <v>0</v>
      </c>
      <c r="J47" s="9"/>
      <c r="K47" s="4">
        <f t="shared" si="2"/>
        <v>0</v>
      </c>
      <c r="L47" s="5" t="str">
        <f>IF(Z47="◎",COUNTIF($Z$30:Z47,"◎"),"")</f>
        <v/>
      </c>
      <c r="W47" s="395" t="str">
        <f>IF(B47="個別病床",はじめに入力してください!$K$50,IF(B47="共通使用",はじめに入力してください!$K$52,""))</f>
        <v/>
      </c>
      <c r="Y47" s="12">
        <v>18</v>
      </c>
      <c r="Z47" s="374" t="str">
        <f t="shared" si="3"/>
        <v>○</v>
      </c>
      <c r="AA47" s="395" t="str">
        <f t="shared" si="4"/>
        <v>整備しない場合は入力不要です。</v>
      </c>
    </row>
    <row r="48" spans="1:27">
      <c r="A48" s="12">
        <v>19</v>
      </c>
      <c r="B48" s="6"/>
      <c r="C48" s="6"/>
      <c r="D48" s="6"/>
      <c r="E48" s="10"/>
      <c r="F48" s="7"/>
      <c r="G48" s="541"/>
      <c r="H48" s="15">
        <f t="shared" si="0"/>
        <v>0</v>
      </c>
      <c r="I48" s="4">
        <f t="shared" si="1"/>
        <v>0</v>
      </c>
      <c r="J48" s="9"/>
      <c r="K48" s="4">
        <f t="shared" si="2"/>
        <v>0</v>
      </c>
      <c r="L48" s="5" t="str">
        <f>IF(Z48="◎",COUNTIF($Z$30:Z48,"◎"),"")</f>
        <v/>
      </c>
      <c r="W48" s="395" t="str">
        <f>IF(B48="個別病床",はじめに入力してください!$K$50,IF(B48="共通使用",はじめに入力してください!$K$52,""))</f>
        <v/>
      </c>
      <c r="Y48" s="12">
        <v>19</v>
      </c>
      <c r="Z48" s="374" t="str">
        <f t="shared" si="3"/>
        <v>○</v>
      </c>
      <c r="AA48" s="395" t="str">
        <f t="shared" si="4"/>
        <v>整備しない場合は入力不要です。</v>
      </c>
    </row>
    <row r="49" spans="1:27">
      <c r="A49" s="12">
        <v>20</v>
      </c>
      <c r="B49" s="6"/>
      <c r="C49" s="6"/>
      <c r="D49" s="6"/>
      <c r="E49" s="10"/>
      <c r="F49" s="7"/>
      <c r="G49" s="541"/>
      <c r="H49" s="15">
        <f t="shared" si="0"/>
        <v>0</v>
      </c>
      <c r="I49" s="4">
        <f t="shared" si="1"/>
        <v>0</v>
      </c>
      <c r="J49" s="9"/>
      <c r="K49" s="4">
        <f t="shared" si="2"/>
        <v>0</v>
      </c>
      <c r="L49" s="5" t="str">
        <f>IF(Z49="◎",COUNTIF($Z$30:Z49,"◎"),"")</f>
        <v/>
      </c>
      <c r="W49" s="395" t="str">
        <f>IF(B49="個別病床",はじめに入力してください!$K$50,IF(B49="共通使用",はじめに入力してください!$K$52,""))</f>
        <v/>
      </c>
      <c r="Y49" s="12">
        <v>20</v>
      </c>
      <c r="Z49" s="374" t="str">
        <f t="shared" si="3"/>
        <v>○</v>
      </c>
      <c r="AA49" s="395" t="str">
        <f t="shared" si="4"/>
        <v>整備しない場合は入力不要です。</v>
      </c>
    </row>
    <row r="50" spans="1:27">
      <c r="A50" s="12">
        <v>21</v>
      </c>
      <c r="B50" s="6"/>
      <c r="C50" s="6"/>
      <c r="D50" s="6"/>
      <c r="E50" s="10"/>
      <c r="F50" s="7"/>
      <c r="G50" s="541"/>
      <c r="H50" s="15">
        <f t="shared" si="0"/>
        <v>0</v>
      </c>
      <c r="I50" s="4">
        <f t="shared" si="1"/>
        <v>0</v>
      </c>
      <c r="J50" s="9"/>
      <c r="K50" s="4">
        <f t="shared" si="2"/>
        <v>0</v>
      </c>
      <c r="L50" s="5" t="str">
        <f>IF(Z50="◎",COUNTIF($Z$30:Z50,"◎"),"")</f>
        <v/>
      </c>
      <c r="W50" s="395" t="str">
        <f>IF(B50="個別病床",はじめに入力してください!$K$50,IF(B50="共通使用",はじめに入力してください!$K$52,""))</f>
        <v/>
      </c>
      <c r="Y50" s="12">
        <v>21</v>
      </c>
      <c r="Z50" s="374" t="str">
        <f t="shared" si="3"/>
        <v>○</v>
      </c>
      <c r="AA50" s="395" t="str">
        <f t="shared" si="4"/>
        <v>整備しない場合は入力不要です。</v>
      </c>
    </row>
    <row r="51" spans="1:27">
      <c r="A51" s="12">
        <v>22</v>
      </c>
      <c r="B51" s="6"/>
      <c r="C51" s="6"/>
      <c r="D51" s="6"/>
      <c r="E51" s="10"/>
      <c r="F51" s="7"/>
      <c r="G51" s="541"/>
      <c r="H51" s="15">
        <f t="shared" si="0"/>
        <v>0</v>
      </c>
      <c r="I51" s="4">
        <f t="shared" si="1"/>
        <v>0</v>
      </c>
      <c r="J51" s="9"/>
      <c r="K51" s="4">
        <f t="shared" si="2"/>
        <v>0</v>
      </c>
      <c r="L51" s="5" t="str">
        <f>IF(Z51="◎",COUNTIF($Z$30:Z51,"◎"),"")</f>
        <v/>
      </c>
      <c r="W51" s="395" t="str">
        <f>IF(B51="個別病床",はじめに入力してください!$K$50,IF(B51="共通使用",はじめに入力してください!$K$52,""))</f>
        <v/>
      </c>
      <c r="Y51" s="12">
        <v>22</v>
      </c>
      <c r="Z51" s="374" t="str">
        <f t="shared" si="3"/>
        <v>○</v>
      </c>
      <c r="AA51" s="395" t="str">
        <f t="shared" si="4"/>
        <v>整備しない場合は入力不要です。</v>
      </c>
    </row>
    <row r="52" spans="1:27">
      <c r="A52" s="12">
        <v>23</v>
      </c>
      <c r="B52" s="6"/>
      <c r="C52" s="6"/>
      <c r="D52" s="6"/>
      <c r="E52" s="10"/>
      <c r="F52" s="7"/>
      <c r="G52" s="541"/>
      <c r="H52" s="15">
        <f t="shared" si="0"/>
        <v>0</v>
      </c>
      <c r="I52" s="4">
        <f t="shared" si="1"/>
        <v>0</v>
      </c>
      <c r="J52" s="9"/>
      <c r="K52" s="4">
        <f t="shared" si="2"/>
        <v>0</v>
      </c>
      <c r="L52" s="5" t="str">
        <f>IF(Z52="◎",COUNTIF($Z$30:Z52,"◎"),"")</f>
        <v/>
      </c>
      <c r="W52" s="395" t="str">
        <f>IF(B52="個別病床",はじめに入力してください!$K$50,IF(B52="共通使用",はじめに入力してください!$K$52,""))</f>
        <v/>
      </c>
      <c r="Y52" s="12">
        <v>23</v>
      </c>
      <c r="Z52" s="374" t="str">
        <f t="shared" si="3"/>
        <v>○</v>
      </c>
      <c r="AA52" s="395" t="str">
        <f t="shared" si="4"/>
        <v>整備しない場合は入力不要です。</v>
      </c>
    </row>
    <row r="53" spans="1:27">
      <c r="A53" s="12">
        <v>24</v>
      </c>
      <c r="B53" s="6"/>
      <c r="C53" s="6"/>
      <c r="D53" s="6"/>
      <c r="E53" s="10"/>
      <c r="F53" s="7"/>
      <c r="G53" s="541"/>
      <c r="H53" s="15">
        <f t="shared" si="0"/>
        <v>0</v>
      </c>
      <c r="I53" s="4">
        <f t="shared" si="1"/>
        <v>0</v>
      </c>
      <c r="J53" s="9"/>
      <c r="K53" s="4">
        <f t="shared" si="2"/>
        <v>0</v>
      </c>
      <c r="L53" s="5" t="str">
        <f>IF(Z53="◎",COUNTIF($Z$30:Z53,"◎"),"")</f>
        <v/>
      </c>
      <c r="W53" s="395" t="str">
        <f>IF(B53="個別病床",はじめに入力してください!$K$50,IF(B53="共通使用",はじめに入力してください!$K$52,""))</f>
        <v/>
      </c>
      <c r="Y53" s="12">
        <v>24</v>
      </c>
      <c r="Z53" s="374" t="str">
        <f t="shared" si="3"/>
        <v>○</v>
      </c>
      <c r="AA53" s="395" t="str">
        <f t="shared" si="4"/>
        <v>整備しない場合は入力不要です。</v>
      </c>
    </row>
    <row r="54" spans="1:27">
      <c r="A54" s="12">
        <v>25</v>
      </c>
      <c r="B54" s="6"/>
      <c r="C54" s="6"/>
      <c r="D54" s="6"/>
      <c r="E54" s="10"/>
      <c r="F54" s="7"/>
      <c r="G54" s="541"/>
      <c r="H54" s="15">
        <f t="shared" si="0"/>
        <v>0</v>
      </c>
      <c r="I54" s="4">
        <f t="shared" si="1"/>
        <v>0</v>
      </c>
      <c r="J54" s="9"/>
      <c r="K54" s="4">
        <f t="shared" si="2"/>
        <v>0</v>
      </c>
      <c r="L54" s="5" t="str">
        <f>IF(Z54="◎",COUNTIF($Z$30:Z54,"◎"),"")</f>
        <v/>
      </c>
      <c r="W54" s="395" t="str">
        <f>IF(B54="個別病床",はじめに入力してください!$K$50,IF(B54="共通使用",はじめに入力してください!$K$52,""))</f>
        <v/>
      </c>
      <c r="Y54" s="12">
        <v>25</v>
      </c>
      <c r="Z54" s="374" t="str">
        <f t="shared" si="3"/>
        <v>○</v>
      </c>
      <c r="AA54" s="395" t="str">
        <f t="shared" si="4"/>
        <v>整備しない場合は入力不要です。</v>
      </c>
    </row>
    <row r="55" spans="1:27">
      <c r="A55" s="12">
        <v>26</v>
      </c>
      <c r="B55" s="6"/>
      <c r="C55" s="6"/>
      <c r="D55" s="6"/>
      <c r="E55" s="10"/>
      <c r="F55" s="7"/>
      <c r="G55" s="541"/>
      <c r="H55" s="15">
        <f t="shared" si="0"/>
        <v>0</v>
      </c>
      <c r="I55" s="4">
        <f t="shared" si="1"/>
        <v>0</v>
      </c>
      <c r="J55" s="9"/>
      <c r="K55" s="4">
        <f t="shared" si="2"/>
        <v>0</v>
      </c>
      <c r="L55" s="5" t="str">
        <f>IF(Z55="◎",COUNTIF($Z$30:Z55,"◎"),"")</f>
        <v/>
      </c>
      <c r="W55" s="395" t="str">
        <f>IF(B55="個別病床",はじめに入力してください!$K$50,IF(B55="共通使用",はじめに入力してください!$K$52,""))</f>
        <v/>
      </c>
      <c r="Y55" s="12">
        <v>26</v>
      </c>
      <c r="Z55" s="374" t="str">
        <f t="shared" si="3"/>
        <v>○</v>
      </c>
      <c r="AA55" s="395" t="str">
        <f t="shared" si="4"/>
        <v>整備しない場合は入力不要です。</v>
      </c>
    </row>
    <row r="56" spans="1:27">
      <c r="A56" s="12">
        <v>27</v>
      </c>
      <c r="B56" s="6"/>
      <c r="C56" s="6"/>
      <c r="D56" s="6"/>
      <c r="E56" s="10"/>
      <c r="F56" s="7"/>
      <c r="G56" s="541"/>
      <c r="H56" s="15">
        <f t="shared" si="0"/>
        <v>0</v>
      </c>
      <c r="I56" s="4">
        <f t="shared" si="1"/>
        <v>0</v>
      </c>
      <c r="J56" s="9"/>
      <c r="K56" s="4">
        <f t="shared" si="2"/>
        <v>0</v>
      </c>
      <c r="L56" s="5" t="str">
        <f>IF(Z56="◎",COUNTIF($Z$30:Z56,"◎"),"")</f>
        <v/>
      </c>
      <c r="W56" s="395" t="str">
        <f>IF(B56="個別病床",はじめに入力してください!$K$50,IF(B56="共通使用",はじめに入力してください!$K$52,""))</f>
        <v/>
      </c>
      <c r="Y56" s="12">
        <v>27</v>
      </c>
      <c r="Z56" s="374" t="str">
        <f t="shared" si="3"/>
        <v>○</v>
      </c>
      <c r="AA56" s="395" t="str">
        <f t="shared" si="4"/>
        <v>整備しない場合は入力不要です。</v>
      </c>
    </row>
    <row r="57" spans="1:27">
      <c r="A57" s="12">
        <v>28</v>
      </c>
      <c r="B57" s="6"/>
      <c r="C57" s="6"/>
      <c r="D57" s="6"/>
      <c r="E57" s="10"/>
      <c r="F57" s="7"/>
      <c r="G57" s="541"/>
      <c r="H57" s="15">
        <f t="shared" si="0"/>
        <v>0</v>
      </c>
      <c r="I57" s="4">
        <f t="shared" si="1"/>
        <v>0</v>
      </c>
      <c r="J57" s="9"/>
      <c r="K57" s="4">
        <f t="shared" si="2"/>
        <v>0</v>
      </c>
      <c r="L57" s="5" t="str">
        <f>IF(Z57="◎",COUNTIF($Z$30:Z57,"◎"),"")</f>
        <v/>
      </c>
      <c r="W57" s="395" t="str">
        <f>IF(B57="個別病床",はじめに入力してください!$K$50,IF(B57="共通使用",はじめに入力してください!$K$52,""))</f>
        <v/>
      </c>
      <c r="Y57" s="12">
        <v>28</v>
      </c>
      <c r="Z57" s="374" t="str">
        <f t="shared" si="3"/>
        <v>○</v>
      </c>
      <c r="AA57" s="395" t="str">
        <f t="shared" si="4"/>
        <v>整備しない場合は入力不要です。</v>
      </c>
    </row>
    <row r="58" spans="1:27">
      <c r="A58" s="12">
        <v>29</v>
      </c>
      <c r="B58" s="6"/>
      <c r="C58" s="6"/>
      <c r="D58" s="6"/>
      <c r="E58" s="10"/>
      <c r="F58" s="7"/>
      <c r="G58" s="541"/>
      <c r="H58" s="15">
        <f t="shared" si="0"/>
        <v>0</v>
      </c>
      <c r="I58" s="4">
        <f t="shared" si="1"/>
        <v>0</v>
      </c>
      <c r="J58" s="9"/>
      <c r="K58" s="4">
        <f t="shared" si="2"/>
        <v>0</v>
      </c>
      <c r="L58" s="5" t="str">
        <f>IF(Z58="◎",COUNTIF($Z$30:Z58,"◎"),"")</f>
        <v/>
      </c>
      <c r="W58" s="395" t="str">
        <f>IF(B58="個別病床",はじめに入力してください!$K$50,IF(B58="共通使用",はじめに入力してください!$K$52,""))</f>
        <v/>
      </c>
      <c r="Y58" s="12">
        <v>29</v>
      </c>
      <c r="Z58" s="374" t="str">
        <f t="shared" si="3"/>
        <v>○</v>
      </c>
      <c r="AA58" s="395" t="str">
        <f t="shared" si="4"/>
        <v>整備しない場合は入力不要です。</v>
      </c>
    </row>
    <row r="59" spans="1:27">
      <c r="A59" s="12">
        <v>30</v>
      </c>
      <c r="B59" s="6"/>
      <c r="C59" s="6"/>
      <c r="D59" s="6"/>
      <c r="E59" s="10"/>
      <c r="F59" s="7"/>
      <c r="G59" s="541"/>
      <c r="H59" s="15">
        <f t="shared" si="0"/>
        <v>0</v>
      </c>
      <c r="I59" s="4">
        <f t="shared" si="1"/>
        <v>0</v>
      </c>
      <c r="J59" s="9"/>
      <c r="K59" s="4">
        <f t="shared" si="2"/>
        <v>0</v>
      </c>
      <c r="L59" s="5" t="str">
        <f>IF(Z59="◎",COUNTIF($Z$30:Z59,"◎"),"")</f>
        <v/>
      </c>
      <c r="W59" s="395" t="str">
        <f>IF(B59="個別病床",はじめに入力してください!$K$50,IF(B59="共通使用",はじめに入力してください!$K$52,""))</f>
        <v/>
      </c>
      <c r="Y59" s="12">
        <v>30</v>
      </c>
      <c r="Z59" s="374" t="str">
        <f t="shared" si="3"/>
        <v>○</v>
      </c>
      <c r="AA59" s="395" t="str">
        <f t="shared" si="4"/>
        <v>整備しない場合は入力不要です。</v>
      </c>
    </row>
    <row r="60" spans="1:27">
      <c r="A60" s="12">
        <v>31</v>
      </c>
      <c r="B60" s="6"/>
      <c r="C60" s="6"/>
      <c r="D60" s="6"/>
      <c r="E60" s="10"/>
      <c r="F60" s="7"/>
      <c r="G60" s="541"/>
      <c r="H60" s="15">
        <f t="shared" si="0"/>
        <v>0</v>
      </c>
      <c r="I60" s="4">
        <f t="shared" si="1"/>
        <v>0</v>
      </c>
      <c r="J60" s="9"/>
      <c r="K60" s="4">
        <f t="shared" si="2"/>
        <v>0</v>
      </c>
      <c r="L60" s="5" t="str">
        <f>IF(Z60="◎",COUNTIF($Z$30:Z60,"◎"),"")</f>
        <v/>
      </c>
      <c r="W60" s="395" t="str">
        <f>IF(B60="個別病床",はじめに入力してください!$K$50,IF(B60="共通使用",はじめに入力してください!$K$52,""))</f>
        <v/>
      </c>
      <c r="Y60" s="12">
        <v>31</v>
      </c>
      <c r="Z60" s="374" t="str">
        <f t="shared" si="3"/>
        <v>○</v>
      </c>
      <c r="AA60" s="395" t="str">
        <f t="shared" si="4"/>
        <v>整備しない場合は入力不要です。</v>
      </c>
    </row>
    <row r="61" spans="1:27">
      <c r="A61" s="12">
        <v>32</v>
      </c>
      <c r="B61" s="6"/>
      <c r="C61" s="6"/>
      <c r="D61" s="6"/>
      <c r="E61" s="10"/>
      <c r="F61" s="7"/>
      <c r="G61" s="541"/>
      <c r="H61" s="15">
        <f t="shared" si="0"/>
        <v>0</v>
      </c>
      <c r="I61" s="4">
        <f t="shared" si="1"/>
        <v>0</v>
      </c>
      <c r="J61" s="9"/>
      <c r="K61" s="4">
        <f t="shared" si="2"/>
        <v>0</v>
      </c>
      <c r="L61" s="5" t="str">
        <f>IF(Z61="◎",COUNTIF($Z$30:Z61,"◎"),"")</f>
        <v/>
      </c>
      <c r="W61" s="395" t="str">
        <f>IF(B61="個別病床",はじめに入力してください!$K$50,IF(B61="共通使用",はじめに入力してください!$K$52,""))</f>
        <v/>
      </c>
      <c r="Y61" s="12">
        <v>32</v>
      </c>
      <c r="Z61" s="374" t="str">
        <f t="shared" si="3"/>
        <v>○</v>
      </c>
      <c r="AA61" s="395" t="str">
        <f t="shared" si="4"/>
        <v>整備しない場合は入力不要です。</v>
      </c>
    </row>
    <row r="62" spans="1:27">
      <c r="A62" s="12">
        <v>33</v>
      </c>
      <c r="B62" s="6"/>
      <c r="C62" s="6"/>
      <c r="D62" s="6"/>
      <c r="E62" s="10"/>
      <c r="F62" s="7"/>
      <c r="G62" s="541"/>
      <c r="H62" s="15">
        <f t="shared" si="0"/>
        <v>0</v>
      </c>
      <c r="I62" s="4">
        <f t="shared" si="1"/>
        <v>0</v>
      </c>
      <c r="J62" s="9"/>
      <c r="K62" s="4">
        <f t="shared" si="2"/>
        <v>0</v>
      </c>
      <c r="L62" s="5" t="str">
        <f>IF(Z62="◎",COUNTIF($Z$30:Z62,"◎"),"")</f>
        <v/>
      </c>
      <c r="W62" s="395" t="str">
        <f>IF(B62="個別病床",はじめに入力してください!$K$50,IF(B62="共通使用",はじめに入力してください!$K$52,""))</f>
        <v/>
      </c>
      <c r="Y62" s="12">
        <v>33</v>
      </c>
      <c r="Z62" s="374" t="str">
        <f t="shared" si="3"/>
        <v>○</v>
      </c>
      <c r="AA62" s="395" t="str">
        <f t="shared" si="4"/>
        <v>整備しない場合は入力不要です。</v>
      </c>
    </row>
    <row r="63" spans="1:27">
      <c r="A63" s="12">
        <v>34</v>
      </c>
      <c r="B63" s="6"/>
      <c r="C63" s="6"/>
      <c r="D63" s="6"/>
      <c r="E63" s="10"/>
      <c r="F63" s="7"/>
      <c r="G63" s="541"/>
      <c r="H63" s="15">
        <f t="shared" si="0"/>
        <v>0</v>
      </c>
      <c r="I63" s="4">
        <f t="shared" si="1"/>
        <v>0</v>
      </c>
      <c r="J63" s="9"/>
      <c r="K63" s="4">
        <f t="shared" si="2"/>
        <v>0</v>
      </c>
      <c r="L63" s="5" t="str">
        <f>IF(Z63="◎",COUNTIF($Z$30:Z63,"◎"),"")</f>
        <v/>
      </c>
      <c r="W63" s="395" t="str">
        <f>IF(B63="個別病床",はじめに入力してください!$K$50,IF(B63="共通使用",はじめに入力してください!$K$52,""))</f>
        <v/>
      </c>
      <c r="Y63" s="12">
        <v>34</v>
      </c>
      <c r="Z63" s="374" t="str">
        <f t="shared" si="3"/>
        <v>○</v>
      </c>
      <c r="AA63" s="395" t="str">
        <f t="shared" si="4"/>
        <v>整備しない場合は入力不要です。</v>
      </c>
    </row>
    <row r="64" spans="1:27">
      <c r="A64" s="12">
        <v>35</v>
      </c>
      <c r="B64" s="6"/>
      <c r="C64" s="6"/>
      <c r="D64" s="6"/>
      <c r="E64" s="10"/>
      <c r="F64" s="7"/>
      <c r="G64" s="541"/>
      <c r="H64" s="15">
        <f t="shared" si="0"/>
        <v>0</v>
      </c>
      <c r="I64" s="4">
        <f t="shared" si="1"/>
        <v>0</v>
      </c>
      <c r="J64" s="9"/>
      <c r="K64" s="4">
        <f t="shared" si="2"/>
        <v>0</v>
      </c>
      <c r="L64" s="5" t="str">
        <f>IF(Z64="◎",COUNTIF($Z$30:Z64,"◎"),"")</f>
        <v/>
      </c>
      <c r="W64" s="395" t="str">
        <f>IF(B64="個別病床",はじめに入力してください!$K$50,IF(B64="共通使用",はじめに入力してください!$K$52,""))</f>
        <v/>
      </c>
      <c r="Y64" s="12">
        <v>35</v>
      </c>
      <c r="Z64" s="374" t="str">
        <f t="shared" si="3"/>
        <v>○</v>
      </c>
      <c r="AA64" s="395" t="str">
        <f t="shared" si="4"/>
        <v>整備しない場合は入力不要です。</v>
      </c>
    </row>
    <row r="65" spans="1:27">
      <c r="A65" s="12">
        <v>36</v>
      </c>
      <c r="B65" s="6"/>
      <c r="C65" s="6"/>
      <c r="D65" s="6"/>
      <c r="E65" s="10"/>
      <c r="F65" s="7"/>
      <c r="G65" s="541"/>
      <c r="H65" s="15">
        <f t="shared" si="0"/>
        <v>0</v>
      </c>
      <c r="I65" s="4">
        <f t="shared" si="1"/>
        <v>0</v>
      </c>
      <c r="J65" s="9"/>
      <c r="K65" s="4">
        <f t="shared" si="2"/>
        <v>0</v>
      </c>
      <c r="L65" s="5" t="str">
        <f>IF(Z65="◎",COUNTIF($Z$30:Z65,"◎"),"")</f>
        <v/>
      </c>
      <c r="W65" s="395" t="str">
        <f>IF(B65="個別病床",はじめに入力してください!$K$50,IF(B65="共通使用",はじめに入力してください!$K$52,""))</f>
        <v/>
      </c>
      <c r="Y65" s="12">
        <v>36</v>
      </c>
      <c r="Z65" s="374" t="str">
        <f t="shared" si="3"/>
        <v>○</v>
      </c>
      <c r="AA65" s="395" t="str">
        <f t="shared" si="4"/>
        <v>整備しない場合は入力不要です。</v>
      </c>
    </row>
    <row r="66" spans="1:27">
      <c r="A66" s="12">
        <v>37</v>
      </c>
      <c r="B66" s="6"/>
      <c r="C66" s="6"/>
      <c r="D66" s="6"/>
      <c r="E66" s="10"/>
      <c r="F66" s="7"/>
      <c r="G66" s="541"/>
      <c r="H66" s="15">
        <f t="shared" si="0"/>
        <v>0</v>
      </c>
      <c r="I66" s="4">
        <f t="shared" si="1"/>
        <v>0</v>
      </c>
      <c r="J66" s="9"/>
      <c r="K66" s="4">
        <f t="shared" si="2"/>
        <v>0</v>
      </c>
      <c r="L66" s="5" t="str">
        <f>IF(Z66="◎",COUNTIF($Z$30:Z66,"◎"),"")</f>
        <v/>
      </c>
      <c r="W66" s="395" t="str">
        <f>IF(B66="個別病床",はじめに入力してください!$K$50,IF(B66="共通使用",はじめに入力してください!$K$52,""))</f>
        <v/>
      </c>
      <c r="Y66" s="12">
        <v>37</v>
      </c>
      <c r="Z66" s="374" t="str">
        <f t="shared" si="3"/>
        <v>○</v>
      </c>
      <c r="AA66" s="395" t="str">
        <f t="shared" si="4"/>
        <v>整備しない場合は入力不要です。</v>
      </c>
    </row>
    <row r="67" spans="1:27">
      <c r="A67" s="12">
        <v>38</v>
      </c>
      <c r="B67" s="6"/>
      <c r="C67" s="6"/>
      <c r="D67" s="6"/>
      <c r="E67" s="10"/>
      <c r="F67" s="7"/>
      <c r="G67" s="541"/>
      <c r="H67" s="15">
        <f t="shared" si="0"/>
        <v>0</v>
      </c>
      <c r="I67" s="4">
        <f t="shared" si="1"/>
        <v>0</v>
      </c>
      <c r="J67" s="9"/>
      <c r="K67" s="4">
        <f t="shared" si="2"/>
        <v>0</v>
      </c>
      <c r="L67" s="5" t="str">
        <f>IF(Z67="◎",COUNTIF($Z$30:Z67,"◎"),"")</f>
        <v/>
      </c>
      <c r="W67" s="395" t="str">
        <f>IF(B67="個別病床",はじめに入力してください!$K$50,IF(B67="共通使用",はじめに入力してください!$K$52,""))</f>
        <v/>
      </c>
      <c r="Y67" s="12">
        <v>38</v>
      </c>
      <c r="Z67" s="374" t="str">
        <f t="shared" si="3"/>
        <v>○</v>
      </c>
      <c r="AA67" s="395" t="str">
        <f t="shared" si="4"/>
        <v>整備しない場合は入力不要です。</v>
      </c>
    </row>
    <row r="68" spans="1:27">
      <c r="A68" s="12">
        <v>39</v>
      </c>
      <c r="B68" s="6"/>
      <c r="C68" s="6"/>
      <c r="D68" s="6"/>
      <c r="E68" s="10"/>
      <c r="F68" s="7"/>
      <c r="G68" s="541"/>
      <c r="H68" s="15">
        <f t="shared" si="0"/>
        <v>0</v>
      </c>
      <c r="I68" s="4">
        <f t="shared" si="1"/>
        <v>0</v>
      </c>
      <c r="J68" s="9"/>
      <c r="K68" s="4">
        <f t="shared" si="2"/>
        <v>0</v>
      </c>
      <c r="L68" s="5" t="str">
        <f>IF(Z68="◎",COUNTIF($Z$30:Z68,"◎"),"")</f>
        <v/>
      </c>
      <c r="W68" s="395" t="str">
        <f>IF(B68="個別病床",はじめに入力してください!$K$50,IF(B68="共通使用",はじめに入力してください!$K$52,""))</f>
        <v/>
      </c>
      <c r="Y68" s="12">
        <v>39</v>
      </c>
      <c r="Z68" s="374" t="str">
        <f t="shared" si="3"/>
        <v>○</v>
      </c>
      <c r="AA68" s="395" t="str">
        <f t="shared" si="4"/>
        <v>整備しない場合は入力不要です。</v>
      </c>
    </row>
    <row r="69" spans="1:27">
      <c r="A69" s="12">
        <v>40</v>
      </c>
      <c r="B69" s="6"/>
      <c r="C69" s="6"/>
      <c r="D69" s="6"/>
      <c r="E69" s="10"/>
      <c r="F69" s="7"/>
      <c r="G69" s="541"/>
      <c r="H69" s="15">
        <f t="shared" si="0"/>
        <v>0</v>
      </c>
      <c r="I69" s="4">
        <f t="shared" si="1"/>
        <v>0</v>
      </c>
      <c r="J69" s="9"/>
      <c r="K69" s="4">
        <f t="shared" si="2"/>
        <v>0</v>
      </c>
      <c r="L69" s="5" t="str">
        <f>IF(Z69="◎",COUNTIF($Z$30:Z69,"◎"),"")</f>
        <v/>
      </c>
      <c r="W69" s="395" t="str">
        <f>IF(B69="個別病床",はじめに入力してください!$K$50,IF(B69="共通使用",はじめに入力してください!$K$52,""))</f>
        <v/>
      </c>
      <c r="Y69" s="12">
        <v>40</v>
      </c>
      <c r="Z69" s="374" t="str">
        <f t="shared" si="3"/>
        <v>○</v>
      </c>
      <c r="AA69" s="395" t="str">
        <f t="shared" si="4"/>
        <v>整備しない場合は入力不要です。</v>
      </c>
    </row>
    <row r="70" spans="1:27">
      <c r="A70" s="12">
        <v>41</v>
      </c>
      <c r="B70" s="6"/>
      <c r="C70" s="6"/>
      <c r="D70" s="6"/>
      <c r="E70" s="10"/>
      <c r="F70" s="7"/>
      <c r="G70" s="541"/>
      <c r="H70" s="15">
        <f t="shared" si="0"/>
        <v>0</v>
      </c>
      <c r="I70" s="4">
        <f t="shared" si="1"/>
        <v>0</v>
      </c>
      <c r="J70" s="9"/>
      <c r="K70" s="4">
        <f t="shared" si="2"/>
        <v>0</v>
      </c>
      <c r="L70" s="5" t="str">
        <f>IF(Z70="◎",COUNTIF($Z$30:Z70,"◎"),"")</f>
        <v/>
      </c>
      <c r="W70" s="395" t="str">
        <f>IF(B70="個別病床",はじめに入力してください!$K$50,IF(B70="共通使用",はじめに入力してください!$K$52,""))</f>
        <v/>
      </c>
      <c r="Y70" s="12">
        <v>41</v>
      </c>
      <c r="Z70" s="374" t="str">
        <f t="shared" si="3"/>
        <v>○</v>
      </c>
      <c r="AA70" s="395" t="str">
        <f t="shared" si="4"/>
        <v>整備しない場合は入力不要です。</v>
      </c>
    </row>
    <row r="71" spans="1:27">
      <c r="A71" s="12">
        <v>42</v>
      </c>
      <c r="B71" s="6"/>
      <c r="C71" s="6"/>
      <c r="D71" s="6"/>
      <c r="E71" s="10"/>
      <c r="F71" s="7"/>
      <c r="G71" s="541"/>
      <c r="H71" s="15">
        <f t="shared" si="0"/>
        <v>0</v>
      </c>
      <c r="I71" s="4">
        <f t="shared" si="1"/>
        <v>0</v>
      </c>
      <c r="J71" s="9"/>
      <c r="K71" s="4">
        <f t="shared" si="2"/>
        <v>0</v>
      </c>
      <c r="L71" s="5" t="str">
        <f>IF(Z71="◎",COUNTIF($Z$30:Z71,"◎"),"")</f>
        <v/>
      </c>
      <c r="W71" s="395" t="str">
        <f>IF(B71="個別病床",はじめに入力してください!$K$50,IF(B71="共通使用",はじめに入力してください!$K$52,""))</f>
        <v/>
      </c>
      <c r="Y71" s="12">
        <v>42</v>
      </c>
      <c r="Z71" s="374" t="str">
        <f t="shared" si="3"/>
        <v>○</v>
      </c>
      <c r="AA71" s="395" t="str">
        <f t="shared" si="4"/>
        <v>整備しない場合は入力不要です。</v>
      </c>
    </row>
    <row r="72" spans="1:27">
      <c r="A72" s="12">
        <v>43</v>
      </c>
      <c r="B72" s="6"/>
      <c r="C72" s="6"/>
      <c r="D72" s="6"/>
      <c r="E72" s="10"/>
      <c r="F72" s="7"/>
      <c r="G72" s="541"/>
      <c r="H72" s="15">
        <f t="shared" si="0"/>
        <v>0</v>
      </c>
      <c r="I72" s="4">
        <f t="shared" si="1"/>
        <v>0</v>
      </c>
      <c r="J72" s="9"/>
      <c r="K72" s="4">
        <f t="shared" si="2"/>
        <v>0</v>
      </c>
      <c r="L72" s="5" t="str">
        <f>IF(Z72="◎",COUNTIF($Z$30:Z72,"◎"),"")</f>
        <v/>
      </c>
      <c r="W72" s="395" t="str">
        <f>IF(B72="個別病床",はじめに入力してください!$K$50,IF(B72="共通使用",はじめに入力してください!$K$52,""))</f>
        <v/>
      </c>
      <c r="Y72" s="12">
        <v>43</v>
      </c>
      <c r="Z72" s="374" t="str">
        <f t="shared" si="3"/>
        <v>○</v>
      </c>
      <c r="AA72" s="395" t="str">
        <f t="shared" si="4"/>
        <v>整備しない場合は入力不要です。</v>
      </c>
    </row>
    <row r="73" spans="1:27">
      <c r="A73" s="12">
        <v>44</v>
      </c>
      <c r="B73" s="6"/>
      <c r="C73" s="6"/>
      <c r="D73" s="6"/>
      <c r="E73" s="10"/>
      <c r="F73" s="7"/>
      <c r="G73" s="541"/>
      <c r="H73" s="15">
        <f t="shared" si="0"/>
        <v>0</v>
      </c>
      <c r="I73" s="4">
        <f t="shared" si="1"/>
        <v>0</v>
      </c>
      <c r="J73" s="9"/>
      <c r="K73" s="4">
        <f t="shared" si="2"/>
        <v>0</v>
      </c>
      <c r="L73" s="5" t="str">
        <f>IF(Z73="◎",COUNTIF($Z$30:Z73,"◎"),"")</f>
        <v/>
      </c>
      <c r="W73" s="395" t="str">
        <f>IF(B73="個別病床",はじめに入力してください!$K$50,IF(B73="共通使用",はじめに入力してください!$K$52,""))</f>
        <v/>
      </c>
      <c r="Y73" s="12">
        <v>44</v>
      </c>
      <c r="Z73" s="374" t="str">
        <f t="shared" si="3"/>
        <v>○</v>
      </c>
      <c r="AA73" s="395" t="str">
        <f t="shared" si="4"/>
        <v>整備しない場合は入力不要です。</v>
      </c>
    </row>
    <row r="74" spans="1:27">
      <c r="A74" s="12">
        <v>45</v>
      </c>
      <c r="B74" s="6"/>
      <c r="C74" s="6"/>
      <c r="D74" s="6"/>
      <c r="E74" s="10"/>
      <c r="F74" s="7"/>
      <c r="G74" s="541"/>
      <c r="H74" s="15">
        <f t="shared" si="0"/>
        <v>0</v>
      </c>
      <c r="I74" s="4">
        <f t="shared" si="1"/>
        <v>0</v>
      </c>
      <c r="J74" s="9"/>
      <c r="K74" s="4">
        <f t="shared" si="2"/>
        <v>0</v>
      </c>
      <c r="L74" s="5" t="str">
        <f>IF(Z74="◎",COUNTIF($Z$30:Z74,"◎"),"")</f>
        <v/>
      </c>
      <c r="W74" s="395" t="str">
        <f>IF(B74="個別病床",はじめに入力してください!$K$50,IF(B74="共通使用",はじめに入力してください!$K$52,""))</f>
        <v/>
      </c>
      <c r="Y74" s="12">
        <v>45</v>
      </c>
      <c r="Z74" s="374" t="str">
        <f t="shared" si="3"/>
        <v>○</v>
      </c>
      <c r="AA74" s="395" t="str">
        <f t="shared" si="4"/>
        <v>整備しない場合は入力不要です。</v>
      </c>
    </row>
  </sheetData>
  <mergeCells count="23">
    <mergeCell ref="K1:M1"/>
    <mergeCell ref="B22:L22"/>
    <mergeCell ref="B2:D3"/>
    <mergeCell ref="Z3:Z5"/>
    <mergeCell ref="AA3:AA5"/>
    <mergeCell ref="Z7:Z8"/>
    <mergeCell ref="AA7:AA8"/>
    <mergeCell ref="B10:L10"/>
    <mergeCell ref="B13:L13"/>
    <mergeCell ref="B14:L14"/>
    <mergeCell ref="B15:L15"/>
    <mergeCell ref="B18:L21"/>
    <mergeCell ref="B12:L12"/>
    <mergeCell ref="B7:L7"/>
    <mergeCell ref="B9:C9"/>
    <mergeCell ref="B26:L26"/>
    <mergeCell ref="Z27:Z28"/>
    <mergeCell ref="AA27:AA28"/>
    <mergeCell ref="B28:D28"/>
    <mergeCell ref="E28:F28"/>
    <mergeCell ref="G28:J28"/>
    <mergeCell ref="K28:K29"/>
    <mergeCell ref="L28:L29"/>
  </mergeCells>
  <phoneticPr fontId="9"/>
  <conditionalFormatting sqref="Z29:Z1048576 Z1:Z2 Z11:Z21 Z6 Z23:Z27">
    <cfRule type="containsText" dxfId="21" priority="8" operator="containsText" text="×">
      <formula>NOT(ISERROR(SEARCH("×",Z1)))</formula>
    </cfRule>
  </conditionalFormatting>
  <conditionalFormatting sqref="AA1:AA2 AA11:AA21 AA29:AA1048576 AA6 AA23:AA27">
    <cfRule type="containsText" dxfId="20" priority="7" operator="containsText" text="要修正">
      <formula>NOT(ISERROR(SEARCH("要修正",AA1)))</formula>
    </cfRule>
  </conditionalFormatting>
  <conditionalFormatting sqref="Z22">
    <cfRule type="containsText" dxfId="19" priority="6" operator="containsText" text="×">
      <formula>NOT(ISERROR(SEARCH("×",Z22)))</formula>
    </cfRule>
  </conditionalFormatting>
  <conditionalFormatting sqref="AA22">
    <cfRule type="containsText" dxfId="18" priority="5" operator="containsText" text="要修正">
      <formula>NOT(ISERROR(SEARCH("要修正",AA22)))</formula>
    </cfRule>
  </conditionalFormatting>
  <conditionalFormatting sqref="Z9:Z10 Z7">
    <cfRule type="containsText" dxfId="17" priority="4" operator="containsText" text="×">
      <formula>NOT(ISERROR(SEARCH("×",Z7)))</formula>
    </cfRule>
  </conditionalFormatting>
  <conditionalFormatting sqref="AA9:AA10 AA7">
    <cfRule type="containsText" dxfId="16" priority="3" operator="containsText" text="要修正">
      <formula>NOT(ISERROR(SEARCH("要修正",AA7)))</formula>
    </cfRule>
  </conditionalFormatting>
  <conditionalFormatting sqref="Z3:Z4">
    <cfRule type="containsText" dxfId="15" priority="2" operator="containsText" text="×">
      <formula>NOT(ISERROR(SEARCH("×",Z3)))</formula>
    </cfRule>
  </conditionalFormatting>
  <conditionalFormatting sqref="AA3:AA4">
    <cfRule type="containsText" dxfId="14" priority="1" operator="containsText" text="要修正">
      <formula>NOT(ISERROR(SEARCH("要修正",AA3)))</formula>
    </cfRule>
  </conditionalFormatting>
  <dataValidations count="10">
    <dataValidation type="list" allowBlank="1" showInputMessage="1" showErrorMessage="1" promptTitle="補助対象の該当非該当" prompt="コロナ対応病床の初度設備に係る経費が対象となります。_x000a_共用部分の設備、備品や医療用消耗品等は補助対象外なので「対象外」を選択してください。_x000a_審査において確認、対象外と認めたものについては対象外として補正をお願いする場合があります。" sqref="J30:J74" xr:uid="{475FB5DE-4381-417F-A9FB-04F8C921F79A}">
      <formula1>"補助対象,補助対象外"</formula1>
    </dataValidation>
    <dataValidation allowBlank="1" showInputMessage="1" showErrorMessage="1" promptTitle="金額の表示" prompt="数式が入力されているため、自動計算されます。" sqref="K30:K74 I30:I74" xr:uid="{A9AC95D9-2E2C-4F90-BACD-0FDF50147A34}"/>
    <dataValidation allowBlank="1" showInputMessage="1" showErrorMessage="1" promptTitle="添付書類番号" prompt="種類、規格、数量、単価が全て適切に入力され、右の「判定」が「◎」と表示されると自動で番号が表示されます。" sqref="L30:L74" xr:uid="{9617D5E6-AEC8-4D64-B377-AD4DF490DE68}"/>
    <dataValidation allowBlank="1" showInputMessage="1" showErrorMessage="1" promptTitle="単価の入力" prompt="税抜額または税込額のいずれかを入力してください。_x000a_入力しない方は「0」は入力せず、空欄としてください。" sqref="H30:H74" xr:uid="{1479E5E3-BC2F-46A6-9001-69B4A07AF9C0}"/>
    <dataValidation allowBlank="1" showInputMessage="1" showErrorMessage="1" promptTitle="規格及び数量の入力" prompt="補助対象経費を計上する際、いずれも入力してください。" sqref="E30:E74" xr:uid="{EE439D29-DBED-407A-86AD-3A66A97C3D72}"/>
    <dataValidation allowBlank="1" showInputMessage="1" showErrorMessage="1" promptTitle="補助対象金額" prompt="補助対象額×（見積書金額-割引額）/見積書金額_x000a_で算出されます。" sqref="J3" xr:uid="{00000000-0002-0000-1A00-000005000000}"/>
    <dataValidation allowBlank="1" showInputMessage="1" showErrorMessage="1" promptTitle="割引額がある場合は入力" prompt="割引がない場合は「0円」のままとしてください。" sqref="I3" xr:uid="{00000000-0002-0000-1A00-000006000000}"/>
    <dataValidation type="list" allowBlank="1" showInputMessage="1" showErrorMessage="1" promptTitle="設備、備品、その他の別を選択" prompt="当該行に記載する品目が_x000a_・「設備」（設備本体）_x000a_・備品（本体設備と別の構成をなすもの）_x000a_・その他（上記の該当しないもの）_x000a_の別をプルダウンから選択してください。" sqref="D30:D74" xr:uid="{7DD2B8C3-FE7C-46B6-BBBB-E7980E4ECCBF}">
      <formula1>"設備,備品,その他"</formula1>
    </dataValidation>
    <dataValidation type="decimal" operator="greaterThanOrEqual" allowBlank="1" showInputMessage="1" showErrorMessage="1" promptTitle="単価の入力" prompt="税抜額または税込額のいずれかを入力してください。_x000a_入力しない方は「0」は入力せず、空欄としてください。" sqref="G30:G74" xr:uid="{A4D3CFFD-DBEC-4C97-B516-F8EF052D691A}">
      <formula1>0</formula1>
    </dataValidation>
    <dataValidation type="whole" operator="greaterThanOrEqual" allowBlank="1" showInputMessage="1" showErrorMessage="1" errorTitle="数値のみを入力してください。" error="「個」、「枚」等の単位入力は不要です。" promptTitle="規格及び数量の入力" prompt="補助対象経費を計上する際、いずれも入力してください。" sqref="F30:F74" xr:uid="{F699C8E5-F544-4B34-853B-7EAF5FFA0194}">
      <formula1>0</formula1>
    </dataValidation>
  </dataValidations>
  <pageMargins left="0.7" right="0.7" top="0.75" bottom="0.75" header="0.3" footer="0.3"/>
  <pageSetup paperSize="9" scale="55" orientation="portrait"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promptTitle="配備先の別を選択" prompt="確保病床の共通使用のものか、個別のベッドに配備するものか選択してください。" xr:uid="{CA3B234A-1F26-42C4-82FC-6C026541D8ED}">
          <x14:formula1>
            <xm:f>テーブル!$X$48:$X$49</xm:f>
          </x14:formula1>
          <xm:sqref>B30:B74</xm:sqref>
        </x14:dataValidation>
        <x14:dataValidation type="list" allowBlank="1" showInputMessage="1" showErrorMessage="1" promptTitle="「用途先」病床の選択（左の「病床」を選択しないと表示されません。" prompt="ベッドに必ずしも紐付けるものではありませんが、１病床１台で紐付けした場合、整備する病床に番号付けをした場合の番号を選択してください。" xr:uid="{B6C3C964-7850-4C00-9ABE-71E31D7473E0}">
          <x14:formula1>
            <xm:f>OFFSET(テーブル!$X$48, 0, MATCH(B30,テーブル!$Y$47:$Z$47,0), COUNTA(OFFSET(テーブル!$X$48,0,MATCH(B30,テーブル!$Y$47:$Z$47,0),$W$30,1)),1)</xm:f>
          </x14:formula1>
          <xm:sqref>C30:C74</xm:sqref>
        </x14:dataValidation>
        <x14:dataValidation type="list" allowBlank="1" showInputMessage="1" showErrorMessage="1" xr:uid="{00000000-0002-0000-1A00-000008000000}">
          <x14:formula1>
            <xm:f>テーブル!$M$37:$M$51</xm:f>
          </x14:formula1>
          <xm:sqref>B2:D2</xm:sqref>
        </x14:dataValidation>
      </x14:dataValidations>
    </ext>
  </extLst>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7">
    <tabColor theme="4" tint="0.79998168889431442"/>
    <pageSetUpPr fitToPage="1"/>
  </sheetPr>
  <dimension ref="A1:AF74"/>
  <sheetViews>
    <sheetView showGridLines="0" view="pageBreakPreview" topLeftCell="A16" zoomScale="60" zoomScaleNormal="100" workbookViewId="0">
      <selection activeCell="B26" sqref="B26:L26"/>
    </sheetView>
  </sheetViews>
  <sheetFormatPr defaultColWidth="8.625" defaultRowHeight="18"/>
  <cols>
    <col min="1" max="1" width="3.625" style="12" customWidth="1"/>
    <col min="2" max="4" width="8.625" style="19"/>
    <col min="5" max="5" width="30.625" style="19" customWidth="1"/>
    <col min="6" max="6" width="8.625" style="19"/>
    <col min="7" max="11" width="12.625" style="19" customWidth="1"/>
    <col min="12" max="12" width="8.625" style="19"/>
    <col min="13" max="13" width="3.625" style="19" customWidth="1"/>
    <col min="14" max="23" width="8.625" style="19"/>
    <col min="24" max="24" width="8.625" style="19" customWidth="1"/>
    <col min="25" max="25" width="3.625" style="12" customWidth="1"/>
    <col min="26" max="26" width="8.625" style="19"/>
    <col min="27" max="27" width="40.625" style="19" customWidth="1"/>
    <col min="28" max="28" width="3.625" style="19" customWidth="1"/>
    <col min="29" max="32" width="8.625" style="19"/>
    <col min="33" max="33" width="30.625" style="19" customWidth="1"/>
    <col min="34" max="16384" width="8.625" style="19"/>
  </cols>
  <sheetData>
    <row r="1" spans="1:32" ht="20.100000000000001" customHeight="1">
      <c r="K1" s="1829" t="str">
        <f xml:space="preserve">
IF(表紙!X2="交付申請兼実績報告","（４月１日～５月７日分）",
IF(OR(表紙!X2="事前協議",表紙!X2="交付申請",表紙!X2="変更申請",表紙!X2="実績報告"),"（５月８日～９月30日分）",
))</f>
        <v>（５月８日～９月30日分）</v>
      </c>
      <c r="L1" s="1364"/>
      <c r="M1" s="1364"/>
    </row>
    <row r="2" spans="1:32" ht="20.100000000000001" customHeight="1">
      <c r="B2" s="1817" t="s">
        <v>435</v>
      </c>
      <c r="C2" s="1818"/>
      <c r="D2" s="1819"/>
      <c r="H2" s="5" t="s">
        <v>538</v>
      </c>
      <c r="I2" s="374" t="s">
        <v>539</v>
      </c>
      <c r="J2" s="5" t="s">
        <v>44</v>
      </c>
      <c r="Z2" s="374" t="s">
        <v>419</v>
      </c>
      <c r="AA2" s="374" t="s">
        <v>417</v>
      </c>
      <c r="AC2" s="374" t="str">
        <f>Z9</f>
        <v>×</v>
      </c>
      <c r="AD2" s="374" t="str">
        <f>Z15</f>
        <v>◎</v>
      </c>
      <c r="AE2" s="374" t="str">
        <f>Z22</f>
        <v>◎</v>
      </c>
      <c r="AF2" s="374" t="str">
        <f>Z26</f>
        <v>◎</v>
      </c>
    </row>
    <row r="3" spans="1:32" ht="20.100000000000001" customHeight="1">
      <c r="B3" s="1820"/>
      <c r="C3" s="1821"/>
      <c r="D3" s="1822"/>
      <c r="H3" s="358">
        <f>SUM(I30:I74)</f>
        <v>57200000</v>
      </c>
      <c r="I3" s="8"/>
      <c r="J3" s="358">
        <f>IFERROR(ROUNDUP(SUM(K30:K74)*((H3-I3)/H3),0),0)</f>
        <v>42900000</v>
      </c>
      <c r="Z3" s="863" t="str">
        <f xml:space="preserve">
IF(COUNTIF(AD2:AF2,"○")=3,"○",
IF(COUNTIF(AD2:AF2,"◎")=3,"◎","×"
))</f>
        <v>◎</v>
      </c>
      <c r="AA3" s="1812" t="str">
        <f xml:space="preserve">
IF(Z3="○","整備しない場合は入力不要です。",
IF(Z3="×","【要修正】入力が不十分な箇所があります。",
IF(Z3="◎","適切に入力がされました。")))</f>
        <v>適切に入力がされました。</v>
      </c>
    </row>
    <row r="4" spans="1:32" ht="9.9499999999999993" customHeight="1">
      <c r="Z4" s="863"/>
      <c r="AA4" s="1812"/>
    </row>
    <row r="5" spans="1:32" ht="20.100000000000001" customHeight="1">
      <c r="B5" s="393" t="s">
        <v>55</v>
      </c>
      <c r="C5" s="393"/>
      <c r="D5" s="393"/>
      <c r="E5" s="393"/>
      <c r="F5" s="393"/>
      <c r="G5" s="393"/>
      <c r="H5" s="393"/>
      <c r="I5" s="393"/>
      <c r="J5" s="393"/>
      <c r="K5" s="393"/>
      <c r="L5" s="393"/>
      <c r="Z5" s="908"/>
      <c r="AA5" s="843"/>
    </row>
    <row r="6" spans="1:32" ht="9.9499999999999993" customHeight="1"/>
    <row r="7" spans="1:32" ht="20.100000000000001" customHeight="1">
      <c r="B7" s="1833" t="str">
        <f xml:space="preserve">
IF(OR(表紙!X2="事前協議",表紙!X2="交付申請"),"（１）整備を行う対象の新規で指定を受けた確保病床数あるいは、確保病床を有しない場合は整備を行う病床の数",
IF(表紙!X2="交付申請兼実績報告","（１）整備を行う対象の新規で指定を受けた確保病床数"))</f>
        <v>（１）整備を行う対象の新規で指定を受けた確保病床数あるいは、確保病床を有しない場合は整備を行う病床の数</v>
      </c>
      <c r="C7" s="932"/>
      <c r="D7" s="932"/>
      <c r="E7" s="932"/>
      <c r="F7" s="932"/>
      <c r="G7" s="932"/>
      <c r="H7" s="932"/>
      <c r="I7" s="932"/>
      <c r="J7" s="932"/>
      <c r="K7" s="932"/>
      <c r="L7" s="932"/>
      <c r="Z7" s="1808" t="s">
        <v>415</v>
      </c>
      <c r="AA7" s="1808" t="s">
        <v>417</v>
      </c>
    </row>
    <row r="8" spans="1:32" ht="9.9499999999999993" customHeight="1">
      <c r="Z8" s="1809"/>
      <c r="AA8" s="1809"/>
    </row>
    <row r="9" spans="1:32" ht="35.1" customHeight="1">
      <c r="B9" s="1834" t="s">
        <v>56</v>
      </c>
      <c r="C9" s="1835"/>
      <c r="D9" s="205" t="str">
        <f>IF(はじめに入力してください!K50="","",はじめに入力してください!K50)</f>
        <v/>
      </c>
      <c r="E9" s="359"/>
      <c r="F9" s="360"/>
      <c r="G9" s="360"/>
      <c r="H9" s="360"/>
      <c r="I9" s="360"/>
      <c r="J9" s="361"/>
      <c r="K9" s="361"/>
      <c r="L9" s="361"/>
      <c r="Z9" s="374" t="str">
        <f xml:space="preserve">
IF(D9="","×",
IF(D9=0,"○",
IF(D9&gt;=1,"◎",
)))</f>
        <v>×</v>
      </c>
      <c r="AA9" s="395" t="str">
        <f xml:space="preserve">
IF(D9="","【要修正】「はじめに入力してください」シートに整備を行う病床の数を入力してください。",
IF(D9=0,"申請しない場合は以下入力不要です。",
IF(D9&gt;=1,"適切に入力されました。",
)))</f>
        <v>【要修正】「はじめに入力してください」シートに整備を行う病床の数を入力してください。</v>
      </c>
    </row>
    <row r="10" spans="1:32" ht="20.100000000000001" customHeight="1">
      <c r="B10" s="1830"/>
      <c r="C10" s="1831"/>
      <c r="D10" s="1832"/>
      <c r="E10" s="1832"/>
      <c r="F10" s="1832"/>
      <c r="G10" s="1832"/>
      <c r="H10" s="1832"/>
      <c r="I10" s="1832"/>
      <c r="J10" s="1832"/>
      <c r="K10" s="1832"/>
      <c r="L10" s="1832"/>
    </row>
    <row r="11" spans="1:32" ht="20.100000000000001" hidden="1" customHeight="1"/>
    <row r="12" spans="1:32" ht="20.100000000000001" customHeight="1">
      <c r="B12" s="1833" t="s">
        <v>57</v>
      </c>
      <c r="C12" s="932"/>
      <c r="D12" s="932"/>
      <c r="E12" s="932"/>
      <c r="F12" s="932"/>
      <c r="G12" s="932"/>
      <c r="H12" s="932"/>
      <c r="I12" s="932"/>
      <c r="J12" s="932"/>
      <c r="K12" s="932"/>
      <c r="L12" s="932"/>
    </row>
    <row r="13" spans="1:32" ht="39.950000000000003" customHeight="1">
      <c r="B13" s="1813" t="s">
        <v>540</v>
      </c>
      <c r="C13" s="931"/>
      <c r="D13" s="931"/>
      <c r="E13" s="931"/>
      <c r="F13" s="931"/>
      <c r="G13" s="931"/>
      <c r="H13" s="931"/>
      <c r="I13" s="931"/>
      <c r="J13" s="931"/>
      <c r="K13" s="931"/>
      <c r="L13" s="931"/>
    </row>
    <row r="14" spans="1:32" s="392" customFormat="1" ht="120" customHeight="1">
      <c r="A14" s="13"/>
      <c r="B14" s="1813" t="str">
        <f>VLOOKUP(B2,テーブル!M37:N51,2,FALSE)</f>
        <v>（例）当院は重点医療機関として周産期妊婦の入院受け入れを行ってきたが、直近の感染再拡大により、当院が陽性妊婦の受け入れのため確保している
　　　病床数を超える入院受け入れ要請が生じ、近隣の医療機関に受け入れ協力をせざるを得ない状況が生じた。圏域内の一般病床を有する病院及び有床診療所
　　　に陽性妊婦の受入協力を打診したが、そもそも医療機関が少ないことも相まり、調整は不調に終わったケースが生じている。
　　　目下の感染拡大を前に、遠隔の医療機関への搬送及び容態悪化を避けるためにも自院での受け入れ体制の強化が喫緊の課題となっており、新たに○台の
　　　追加整備を行うこととしたい。
　　　（整備台数の検討にあたってのピーク時の陽性患者数の推移及び受け入れ要請を断らざるを得なかったケースの詳細については別紙のとおり。）</v>
      </c>
      <c r="C14" s="1645"/>
      <c r="D14" s="1645"/>
      <c r="E14" s="1645"/>
      <c r="F14" s="1645"/>
      <c r="G14" s="1645"/>
      <c r="H14" s="1645"/>
      <c r="I14" s="1645"/>
      <c r="J14" s="1645"/>
      <c r="K14" s="1645"/>
      <c r="L14" s="1645"/>
      <c r="Y14" s="13"/>
      <c r="Z14" s="373" t="s">
        <v>415</v>
      </c>
      <c r="AA14" s="373" t="s">
        <v>416</v>
      </c>
    </row>
    <row r="15" spans="1:32" ht="120" customHeight="1">
      <c r="B15" s="1814" t="s">
        <v>1322</v>
      </c>
      <c r="C15" s="1815"/>
      <c r="D15" s="1815"/>
      <c r="E15" s="1815"/>
      <c r="F15" s="1815"/>
      <c r="G15" s="1815"/>
      <c r="H15" s="1815"/>
      <c r="I15" s="1815"/>
      <c r="J15" s="1815"/>
      <c r="K15" s="1815"/>
      <c r="L15" s="1816"/>
      <c r="Z15" s="374" t="str">
        <f xml:space="preserve">
IF(COUNTA(B15)=0,"○",
IF(COUNTA(B15)=1,"◎"))</f>
        <v>◎</v>
      </c>
      <c r="AA15" s="395" t="str">
        <f xml:space="preserve">
IF(COUNTA(B15)=0,"整備しない場合は入力不要です。",
IF(COUNTA(B15)=1,"入力された状態になりました。"))</f>
        <v>入力された状態になりました。</v>
      </c>
    </row>
    <row r="16" spans="1:32" ht="20.100000000000001" customHeight="1"/>
    <row r="17" spans="1:27" ht="20.100000000000001" customHeight="1">
      <c r="B17" s="393" t="s">
        <v>454</v>
      </c>
      <c r="C17" s="393"/>
      <c r="D17" s="393"/>
      <c r="E17" s="393"/>
      <c r="F17" s="393"/>
      <c r="G17" s="393"/>
      <c r="H17" s="393"/>
      <c r="I17" s="393"/>
      <c r="J17" s="393"/>
      <c r="K17" s="393"/>
      <c r="L17" s="393"/>
    </row>
    <row r="18" spans="1:27" ht="20.100000000000001" customHeight="1">
      <c r="B18" s="1813" t="s">
        <v>482</v>
      </c>
      <c r="C18" s="931"/>
      <c r="D18" s="931"/>
      <c r="E18" s="931"/>
      <c r="F18" s="931"/>
      <c r="G18" s="931"/>
      <c r="H18" s="931"/>
      <c r="I18" s="931"/>
      <c r="J18" s="931"/>
      <c r="K18" s="931"/>
      <c r="L18" s="931"/>
    </row>
    <row r="19" spans="1:27" ht="20.100000000000001" customHeight="1">
      <c r="B19" s="1813"/>
      <c r="C19" s="931"/>
      <c r="D19" s="931"/>
      <c r="E19" s="931"/>
      <c r="F19" s="931"/>
      <c r="G19" s="931"/>
      <c r="H19" s="931"/>
      <c r="I19" s="931"/>
      <c r="J19" s="931"/>
      <c r="K19" s="931"/>
      <c r="L19" s="931"/>
    </row>
    <row r="20" spans="1:27" ht="20.100000000000001" customHeight="1">
      <c r="B20" s="1813"/>
      <c r="C20" s="931"/>
      <c r="D20" s="931"/>
      <c r="E20" s="931"/>
      <c r="F20" s="931"/>
      <c r="G20" s="931"/>
      <c r="H20" s="931"/>
      <c r="I20" s="931"/>
      <c r="J20" s="931"/>
      <c r="K20" s="931"/>
      <c r="L20" s="931"/>
    </row>
    <row r="21" spans="1:27" ht="20.100000000000001" customHeight="1">
      <c r="B21" s="931"/>
      <c r="C21" s="931"/>
      <c r="D21" s="931"/>
      <c r="E21" s="931"/>
      <c r="F21" s="931"/>
      <c r="G21" s="931"/>
      <c r="H21" s="931"/>
      <c r="I21" s="931"/>
      <c r="J21" s="931"/>
      <c r="K21" s="931"/>
      <c r="L21" s="931"/>
    </row>
    <row r="22" spans="1:27" ht="120" customHeight="1">
      <c r="B22" s="1814" t="s">
        <v>1322</v>
      </c>
      <c r="C22" s="1815"/>
      <c r="D22" s="1815"/>
      <c r="E22" s="1815"/>
      <c r="F22" s="1815"/>
      <c r="G22" s="1815"/>
      <c r="H22" s="1815"/>
      <c r="I22" s="1815"/>
      <c r="J22" s="1815"/>
      <c r="K22" s="1815"/>
      <c r="L22" s="1816"/>
      <c r="Z22" s="374" t="str">
        <f xml:space="preserve">
IF(COUNTA(B22)=0,"○",
IF(COUNTA(B22)=1,"◎"))</f>
        <v>◎</v>
      </c>
      <c r="AA22" s="395" t="str">
        <f xml:space="preserve">
IF(COUNTA(B22)=0,"整備しない場合は入力不要です。",
IF(COUNTA(B22)=1,"入力された状態になりました。"))</f>
        <v>入力された状態になりました。</v>
      </c>
    </row>
    <row r="23" spans="1:27" ht="20.100000000000001" customHeight="1"/>
    <row r="24" spans="1:27" ht="20.100000000000001" customHeight="1">
      <c r="B24" s="393" t="s">
        <v>453</v>
      </c>
      <c r="C24" s="393"/>
      <c r="D24" s="393"/>
      <c r="E24" s="393"/>
      <c r="F24" s="393"/>
      <c r="G24" s="393"/>
      <c r="H24" s="393"/>
      <c r="I24" s="393"/>
      <c r="J24" s="393"/>
      <c r="K24" s="393"/>
      <c r="L24" s="393"/>
      <c r="Z24" s="14"/>
    </row>
    <row r="25" spans="1:27" ht="9.9499999999999993" customHeight="1"/>
    <row r="26" spans="1:27" ht="60" customHeight="1">
      <c r="B26" s="1813" t="s">
        <v>561</v>
      </c>
      <c r="C26" s="932"/>
      <c r="D26" s="932"/>
      <c r="E26" s="932"/>
      <c r="F26" s="932"/>
      <c r="G26" s="932"/>
      <c r="H26" s="932"/>
      <c r="I26" s="932"/>
      <c r="J26" s="932"/>
      <c r="K26" s="932"/>
      <c r="L26" s="932"/>
      <c r="Z26" s="374" t="str">
        <f xml:space="preserve">
IF(COUNTIF(Z30:Z74,"○")=45,"○",
IF(COUNTIF(Z30:Z74,"×")&gt;=1,"×",
IF(AND(COUNTIF(Z30:Z74,"◎")&gt;=1,COUNTIF(Z30:Z74,"×")=0),"◎")))</f>
        <v>◎</v>
      </c>
      <c r="AA26" s="395" t="str">
        <f xml:space="preserve">
IF(COUNTIF(Z30:Z74,"○")=45,"整備しない場合は入力不要です。",
IF(COUNTIF(Z30:Z74,"×")&gt;=1,"【要修正】入力が不十分な箇所があります。",
IF(AND(COUNTIF(Z30:Z74,"◎")&gt;=1,COUNTIF(Z30:Z74,"×")=0),"適切に入力がされました。")))</f>
        <v>適切に入力がされました。</v>
      </c>
    </row>
    <row r="27" spans="1:27" ht="9.9499999999999993" customHeight="1">
      <c r="Z27" s="1807" t="s">
        <v>418</v>
      </c>
      <c r="AA27" s="1810" t="s">
        <v>420</v>
      </c>
    </row>
    <row r="28" spans="1:27">
      <c r="B28" s="1823" t="s">
        <v>41</v>
      </c>
      <c r="C28" s="1824"/>
      <c r="D28" s="1825"/>
      <c r="E28" s="1823" t="s">
        <v>42</v>
      </c>
      <c r="F28" s="1825"/>
      <c r="G28" s="1823" t="s">
        <v>43</v>
      </c>
      <c r="H28" s="1824"/>
      <c r="I28" s="1824"/>
      <c r="J28" s="1825"/>
      <c r="K28" s="1826" t="s">
        <v>44</v>
      </c>
      <c r="L28" s="1826" t="s">
        <v>45</v>
      </c>
      <c r="Z28" s="1084"/>
      <c r="AA28" s="1811"/>
    </row>
    <row r="29" spans="1:27">
      <c r="B29" s="3" t="s">
        <v>46</v>
      </c>
      <c r="C29" s="3" t="s">
        <v>47</v>
      </c>
      <c r="D29" s="3" t="s">
        <v>48</v>
      </c>
      <c r="E29" s="3" t="s">
        <v>54</v>
      </c>
      <c r="F29" s="3" t="s">
        <v>49</v>
      </c>
      <c r="G29" s="3" t="s">
        <v>50</v>
      </c>
      <c r="H29" s="3" t="s">
        <v>51</v>
      </c>
      <c r="I29" s="3" t="s">
        <v>52</v>
      </c>
      <c r="J29" s="3" t="s">
        <v>53</v>
      </c>
      <c r="K29" s="1827"/>
      <c r="L29" s="1827"/>
      <c r="Z29" s="374" t="s">
        <v>415</v>
      </c>
      <c r="AA29" s="374" t="s">
        <v>417</v>
      </c>
    </row>
    <row r="30" spans="1:27">
      <c r="A30" s="12">
        <v>1</v>
      </c>
      <c r="B30" s="6"/>
      <c r="C30" s="6"/>
      <c r="D30" s="6"/>
      <c r="E30" s="10"/>
      <c r="F30" s="7"/>
      <c r="G30" s="541"/>
      <c r="H30" s="15">
        <f>ROUNDDOWN(G30*1.1,0)</f>
        <v>0</v>
      </c>
      <c r="I30" s="4">
        <f>F30*H30</f>
        <v>0</v>
      </c>
      <c r="J30" s="9"/>
      <c r="K30" s="4">
        <f>IF(J30="補助対象",I30,IF(J30="補助対象外",0,0))</f>
        <v>0</v>
      </c>
      <c r="L30" s="5" t="str">
        <f>IF(Z30="◎",COUNTIF($Z$30:Z30,"◎"),"")</f>
        <v/>
      </c>
      <c r="W30" s="395" t="str">
        <f>IF(B30="個別病床",はじめに入力してください!$K$50,IF(B30="共通使用",はじめに入力してください!$K$52,""))</f>
        <v/>
      </c>
      <c r="Y30" s="12">
        <v>1</v>
      </c>
      <c r="Z30" s="374" t="str">
        <f xml:space="preserve">
IF(SUM(COUNTA(B30:G30),COUNTA(J30))=0,"○",
IF(AND(SUM(COUNTA(B30:G30),COUNTA(J30))&gt;0,SUM(COUNTA(B30:G30),COUNTA(J30))&lt;7),"×",
IF(SUM(COUNTA(B30:G30),COUNTA(J30))=7,"◎")))</f>
        <v>○</v>
      </c>
      <c r="AA30" s="395" t="str">
        <f xml:space="preserve">
IF(SUM(COUNTA(B30:G30),COUNTA(J30))=0,"整備しない場合は入力不要です。",
IF(AND(SUM(COUNTA(B30:G30),COUNTA(J30))&gt;0,SUM(COUNTA(B30:G30),COUNTA(J30))&lt;7),"【要修正】未入力の箇所があります。",
IF(SUM(COUNTA(B30:G30),COUNTA(J30))=7,"適切に入力がされました。")))</f>
        <v>整備しない場合は入力不要です。</v>
      </c>
    </row>
    <row r="31" spans="1:27">
      <c r="A31" s="12">
        <v>2</v>
      </c>
      <c r="B31" s="6"/>
      <c r="C31" s="6"/>
      <c r="D31" s="6"/>
      <c r="E31" s="10"/>
      <c r="F31" s="7"/>
      <c r="G31" s="541"/>
      <c r="H31" s="15">
        <f t="shared" ref="H31:H74" si="0">ROUNDDOWN(G31*1.1,0)</f>
        <v>0</v>
      </c>
      <c r="I31" s="4">
        <f t="shared" ref="I31:I74" si="1">F31*H31</f>
        <v>0</v>
      </c>
      <c r="J31" s="9"/>
      <c r="K31" s="4">
        <f t="shared" ref="K31:K74" si="2">IF(J31="補助対象",I31,IF(J31="補助対象外",0,0))</f>
        <v>0</v>
      </c>
      <c r="L31" s="5" t="str">
        <f>IF(Z31="◎",COUNTIF($Z$30:Z31,"◎"),"")</f>
        <v/>
      </c>
      <c r="W31" s="395" t="str">
        <f>IF(B31="個別病床",はじめに入力してください!$K$50,IF(B31="共通使用",はじめに入力してください!$K$52,""))</f>
        <v/>
      </c>
      <c r="Y31" s="12">
        <v>2</v>
      </c>
      <c r="Z31" s="374" t="str">
        <f t="shared" ref="Z31:Z74" si="3" xml:space="preserve">
IF(SUM(COUNTA(B31:G31),COUNTA(J31))=0,"○",
IF(AND(SUM(COUNTA(B31:G31),COUNTA(J31))&gt;0,SUM(COUNTA(B31:G31),COUNTA(J31))&lt;7),"×",
IF(SUM(COUNTA(B31:G31),COUNTA(J31))=7,"◎")))</f>
        <v>○</v>
      </c>
      <c r="AA31" s="395" t="str">
        <f t="shared" ref="AA31:AA74" si="4" xml:space="preserve">
IF(SUM(COUNTA(B31:G31),COUNTA(J31))=0,"整備しない場合は入力不要です。",
IF(AND(SUM(COUNTA(B31:G31),COUNTA(J31))&gt;0,SUM(COUNTA(B31:G31),COUNTA(J31))&lt;7),"【要修正】未入力の箇所があります。",
IF(SUM(COUNTA(B31:G31),COUNTA(J31))=7,"適切に入力がされました。")))</f>
        <v>整備しない場合は入力不要です。</v>
      </c>
    </row>
    <row r="32" spans="1:27">
      <c r="A32" s="12">
        <v>3</v>
      </c>
      <c r="B32" s="6"/>
      <c r="C32" s="6"/>
      <c r="D32" s="6"/>
      <c r="E32" s="10"/>
      <c r="F32" s="7"/>
      <c r="G32" s="541"/>
      <c r="H32" s="15">
        <f t="shared" si="0"/>
        <v>0</v>
      </c>
      <c r="I32" s="4">
        <f t="shared" si="1"/>
        <v>0</v>
      </c>
      <c r="J32" s="9"/>
      <c r="K32" s="4">
        <f t="shared" si="2"/>
        <v>0</v>
      </c>
      <c r="L32" s="5" t="str">
        <f>IF(Z32="◎",COUNTIF($Z$30:Z32,"◎"),"")</f>
        <v/>
      </c>
      <c r="W32" s="395" t="str">
        <f>IF(B32="個別病床",はじめに入力してください!$K$50,IF(B32="共通使用",はじめに入力してください!$K$52,""))</f>
        <v/>
      </c>
      <c r="Y32" s="12">
        <v>3</v>
      </c>
      <c r="Z32" s="374" t="str">
        <f t="shared" si="3"/>
        <v>○</v>
      </c>
      <c r="AA32" s="395" t="str">
        <f t="shared" si="4"/>
        <v>整備しない場合は入力不要です。</v>
      </c>
    </row>
    <row r="33" spans="1:27">
      <c r="A33" s="12">
        <v>4</v>
      </c>
      <c r="B33" s="6"/>
      <c r="C33" s="6"/>
      <c r="D33" s="6"/>
      <c r="E33" s="10"/>
      <c r="F33" s="7"/>
      <c r="G33" s="541"/>
      <c r="H33" s="15">
        <f t="shared" si="0"/>
        <v>0</v>
      </c>
      <c r="I33" s="4">
        <f t="shared" si="1"/>
        <v>0</v>
      </c>
      <c r="J33" s="9"/>
      <c r="K33" s="4">
        <f t="shared" si="2"/>
        <v>0</v>
      </c>
      <c r="L33" s="5" t="str">
        <f>IF(Z33="◎",COUNTIF($Z$30:Z33,"◎"),"")</f>
        <v/>
      </c>
      <c r="W33" s="395" t="str">
        <f>IF(B33="個別病床",はじめに入力してください!$K$50,IF(B33="共通使用",はじめに入力してください!$K$52,""))</f>
        <v/>
      </c>
      <c r="Y33" s="12">
        <v>4</v>
      </c>
      <c r="Z33" s="374" t="str">
        <f t="shared" si="3"/>
        <v>○</v>
      </c>
      <c r="AA33" s="395" t="str">
        <f t="shared" si="4"/>
        <v>整備しない場合は入力不要です。</v>
      </c>
    </row>
    <row r="34" spans="1:27">
      <c r="A34" s="12">
        <v>5</v>
      </c>
      <c r="B34" s="6" t="s">
        <v>691</v>
      </c>
      <c r="C34" s="6" t="s">
        <v>692</v>
      </c>
      <c r="D34" s="6" t="s">
        <v>1315</v>
      </c>
      <c r="E34" s="10" t="s">
        <v>1314</v>
      </c>
      <c r="F34" s="7">
        <v>13</v>
      </c>
      <c r="G34" s="541">
        <v>1000000</v>
      </c>
      <c r="H34" s="15">
        <f t="shared" si="0"/>
        <v>1100000</v>
      </c>
      <c r="I34" s="4">
        <f t="shared" si="1"/>
        <v>14300000</v>
      </c>
      <c r="J34" s="9" t="s">
        <v>1319</v>
      </c>
      <c r="K34" s="4">
        <f t="shared" si="2"/>
        <v>14300000</v>
      </c>
      <c r="L34" s="5">
        <f>IF(Z34="◎",COUNTIF($Z$30:Z34,"◎"),"")</f>
        <v>1</v>
      </c>
      <c r="W34" s="395">
        <f>IF(B34="個別病床",はじめに入力してください!$K$50,IF(B34="共通使用",はじめに入力してください!$K$52,""))</f>
        <v>0</v>
      </c>
      <c r="Y34" s="12">
        <v>5</v>
      </c>
      <c r="Z34" s="374" t="str">
        <f t="shared" si="3"/>
        <v>◎</v>
      </c>
      <c r="AA34" s="395" t="str">
        <f t="shared" si="4"/>
        <v>適切に入力がされました。</v>
      </c>
    </row>
    <row r="35" spans="1:27">
      <c r="A35" s="12">
        <v>6</v>
      </c>
      <c r="B35" s="6" t="s">
        <v>691</v>
      </c>
      <c r="C35" s="6" t="s">
        <v>692</v>
      </c>
      <c r="D35" s="6" t="s">
        <v>1316</v>
      </c>
      <c r="E35" s="10" t="s">
        <v>1317</v>
      </c>
      <c r="F35" s="7">
        <v>13</v>
      </c>
      <c r="G35" s="541">
        <v>1000000</v>
      </c>
      <c r="H35" s="15">
        <f t="shared" si="0"/>
        <v>1100000</v>
      </c>
      <c r="I35" s="4">
        <f t="shared" si="1"/>
        <v>14300000</v>
      </c>
      <c r="J35" s="9" t="s">
        <v>1320</v>
      </c>
      <c r="K35" s="4">
        <f t="shared" si="2"/>
        <v>0</v>
      </c>
      <c r="L35" s="5">
        <f>IF(Z35="◎",COUNTIF($Z$30:Z35,"◎"),"")</f>
        <v>2</v>
      </c>
      <c r="W35" s="395">
        <f>IF(B35="個別病床",はじめに入力してください!$K$50,IF(B35="共通使用",はじめに入力してください!$K$52,""))</f>
        <v>0</v>
      </c>
      <c r="Y35" s="12">
        <v>6</v>
      </c>
      <c r="Z35" s="374" t="str">
        <f t="shared" si="3"/>
        <v>◎</v>
      </c>
      <c r="AA35" s="395" t="str">
        <f t="shared" si="4"/>
        <v>適切に入力がされました。</v>
      </c>
    </row>
    <row r="36" spans="1:27">
      <c r="A36" s="12">
        <v>7</v>
      </c>
      <c r="B36" s="6" t="s">
        <v>102</v>
      </c>
      <c r="C36" s="6" t="s">
        <v>842</v>
      </c>
      <c r="D36" s="6" t="s">
        <v>1315</v>
      </c>
      <c r="E36" s="10" t="s">
        <v>1318</v>
      </c>
      <c r="F36" s="7">
        <v>13</v>
      </c>
      <c r="G36" s="541">
        <v>2000000</v>
      </c>
      <c r="H36" s="15">
        <f t="shared" si="0"/>
        <v>2200000</v>
      </c>
      <c r="I36" s="4">
        <f t="shared" si="1"/>
        <v>28600000</v>
      </c>
      <c r="J36" s="9" t="s">
        <v>1319</v>
      </c>
      <c r="K36" s="4">
        <f t="shared" si="2"/>
        <v>28600000</v>
      </c>
      <c r="L36" s="5">
        <f>IF(Z36="◎",COUNTIF($Z$30:Z36,"◎"),"")</f>
        <v>3</v>
      </c>
      <c r="W36" s="395">
        <f>IF(B36="個別病床",はじめに入力してください!$K$50,IF(B36="共通使用",はじめに入力してください!$K$52,""))</f>
        <v>0</v>
      </c>
      <c r="Y36" s="12">
        <v>7</v>
      </c>
      <c r="Z36" s="374" t="str">
        <f t="shared" si="3"/>
        <v>◎</v>
      </c>
      <c r="AA36" s="395" t="str">
        <f t="shared" si="4"/>
        <v>適切に入力がされました。</v>
      </c>
    </row>
    <row r="37" spans="1:27">
      <c r="A37" s="12">
        <v>8</v>
      </c>
      <c r="B37" s="6"/>
      <c r="C37" s="6"/>
      <c r="D37" s="6"/>
      <c r="E37" s="10"/>
      <c r="F37" s="7"/>
      <c r="G37" s="541"/>
      <c r="H37" s="15">
        <f t="shared" si="0"/>
        <v>0</v>
      </c>
      <c r="I37" s="4">
        <f t="shared" si="1"/>
        <v>0</v>
      </c>
      <c r="J37" s="9"/>
      <c r="K37" s="4">
        <f t="shared" si="2"/>
        <v>0</v>
      </c>
      <c r="L37" s="5" t="str">
        <f>IF(Z37="◎",COUNTIF($Z$30:Z37,"◎"),"")</f>
        <v/>
      </c>
      <c r="W37" s="395" t="str">
        <f>IF(B37="個別病床",はじめに入力してください!$K$50,IF(B37="共通使用",はじめに入力してください!$K$52,""))</f>
        <v/>
      </c>
      <c r="Y37" s="12">
        <v>8</v>
      </c>
      <c r="Z37" s="374" t="str">
        <f t="shared" si="3"/>
        <v>○</v>
      </c>
      <c r="AA37" s="395" t="str">
        <f t="shared" si="4"/>
        <v>整備しない場合は入力不要です。</v>
      </c>
    </row>
    <row r="38" spans="1:27">
      <c r="A38" s="12">
        <v>9</v>
      </c>
      <c r="B38" s="6"/>
      <c r="C38" s="6"/>
      <c r="D38" s="6"/>
      <c r="E38" s="10"/>
      <c r="F38" s="7"/>
      <c r="G38" s="541"/>
      <c r="H38" s="15">
        <f t="shared" si="0"/>
        <v>0</v>
      </c>
      <c r="I38" s="4">
        <f t="shared" si="1"/>
        <v>0</v>
      </c>
      <c r="J38" s="9"/>
      <c r="K38" s="4">
        <f t="shared" si="2"/>
        <v>0</v>
      </c>
      <c r="L38" s="5" t="str">
        <f>IF(Z38="◎",COUNTIF($Z$30:Z38,"◎"),"")</f>
        <v/>
      </c>
      <c r="W38" s="395" t="str">
        <f>IF(B38="個別病床",はじめに入力してください!$K$50,IF(B38="共通使用",はじめに入力してください!$K$52,""))</f>
        <v/>
      </c>
      <c r="Y38" s="12">
        <v>9</v>
      </c>
      <c r="Z38" s="374" t="str">
        <f t="shared" si="3"/>
        <v>○</v>
      </c>
      <c r="AA38" s="395" t="str">
        <f t="shared" si="4"/>
        <v>整備しない場合は入力不要です。</v>
      </c>
    </row>
    <row r="39" spans="1:27">
      <c r="A39" s="12">
        <v>10</v>
      </c>
      <c r="B39" s="6"/>
      <c r="C39" s="6"/>
      <c r="D39" s="6"/>
      <c r="E39" s="10"/>
      <c r="F39" s="7"/>
      <c r="G39" s="541"/>
      <c r="H39" s="15">
        <f t="shared" si="0"/>
        <v>0</v>
      </c>
      <c r="I39" s="4">
        <f t="shared" si="1"/>
        <v>0</v>
      </c>
      <c r="J39" s="9"/>
      <c r="K39" s="4">
        <f t="shared" si="2"/>
        <v>0</v>
      </c>
      <c r="L39" s="5" t="str">
        <f>IF(Z39="◎",COUNTIF($Z$30:Z39,"◎"),"")</f>
        <v/>
      </c>
      <c r="W39" s="395" t="str">
        <f>IF(B39="個別病床",はじめに入力してください!$K$50,IF(B39="共通使用",はじめに入力してください!$K$52,""))</f>
        <v/>
      </c>
      <c r="Y39" s="12">
        <v>10</v>
      </c>
      <c r="Z39" s="374" t="str">
        <f t="shared" si="3"/>
        <v>○</v>
      </c>
      <c r="AA39" s="395" t="str">
        <f t="shared" si="4"/>
        <v>整備しない場合は入力不要です。</v>
      </c>
    </row>
    <row r="40" spans="1:27">
      <c r="A40" s="12">
        <v>11</v>
      </c>
      <c r="B40" s="6"/>
      <c r="C40" s="6"/>
      <c r="D40" s="6"/>
      <c r="E40" s="10"/>
      <c r="F40" s="7"/>
      <c r="G40" s="541"/>
      <c r="H40" s="15">
        <f t="shared" si="0"/>
        <v>0</v>
      </c>
      <c r="I40" s="4">
        <f t="shared" si="1"/>
        <v>0</v>
      </c>
      <c r="J40" s="9"/>
      <c r="K40" s="4">
        <f t="shared" si="2"/>
        <v>0</v>
      </c>
      <c r="L40" s="5" t="str">
        <f>IF(Z40="◎",COUNTIF($Z$30:Z40,"◎"),"")</f>
        <v/>
      </c>
      <c r="W40" s="395" t="str">
        <f>IF(B40="個別病床",はじめに入力してください!$K$50,IF(B40="共通使用",はじめに入力してください!$K$52,""))</f>
        <v/>
      </c>
      <c r="Y40" s="12">
        <v>11</v>
      </c>
      <c r="Z40" s="374" t="str">
        <f t="shared" si="3"/>
        <v>○</v>
      </c>
      <c r="AA40" s="395" t="str">
        <f t="shared" si="4"/>
        <v>整備しない場合は入力不要です。</v>
      </c>
    </row>
    <row r="41" spans="1:27">
      <c r="A41" s="12">
        <v>12</v>
      </c>
      <c r="B41" s="6"/>
      <c r="C41" s="6"/>
      <c r="D41" s="6"/>
      <c r="E41" s="10"/>
      <c r="F41" s="7"/>
      <c r="G41" s="541"/>
      <c r="H41" s="15">
        <f t="shared" si="0"/>
        <v>0</v>
      </c>
      <c r="I41" s="4">
        <f t="shared" si="1"/>
        <v>0</v>
      </c>
      <c r="J41" s="9"/>
      <c r="K41" s="4">
        <f t="shared" si="2"/>
        <v>0</v>
      </c>
      <c r="L41" s="5" t="str">
        <f>IF(Z41="◎",COUNTIF($Z$30:Z41,"◎"),"")</f>
        <v/>
      </c>
      <c r="W41" s="395" t="str">
        <f>IF(B41="個別病床",はじめに入力してください!$K$50,IF(B41="共通使用",はじめに入力してください!$K$52,""))</f>
        <v/>
      </c>
      <c r="Y41" s="12">
        <v>12</v>
      </c>
      <c r="Z41" s="374" t="str">
        <f t="shared" si="3"/>
        <v>○</v>
      </c>
      <c r="AA41" s="395" t="str">
        <f t="shared" si="4"/>
        <v>整備しない場合は入力不要です。</v>
      </c>
    </row>
    <row r="42" spans="1:27">
      <c r="A42" s="12">
        <v>13</v>
      </c>
      <c r="B42" s="6"/>
      <c r="C42" s="6"/>
      <c r="D42" s="6"/>
      <c r="E42" s="10"/>
      <c r="F42" s="7"/>
      <c r="G42" s="541"/>
      <c r="H42" s="15">
        <f t="shared" si="0"/>
        <v>0</v>
      </c>
      <c r="I42" s="4">
        <f t="shared" si="1"/>
        <v>0</v>
      </c>
      <c r="J42" s="9"/>
      <c r="K42" s="4">
        <f t="shared" si="2"/>
        <v>0</v>
      </c>
      <c r="L42" s="5" t="str">
        <f>IF(Z42="◎",COUNTIF($Z$30:Z42,"◎"),"")</f>
        <v/>
      </c>
      <c r="W42" s="395" t="str">
        <f>IF(B42="個別病床",はじめに入力してください!$K$50,IF(B42="共通使用",はじめに入力してください!$K$52,""))</f>
        <v/>
      </c>
      <c r="Y42" s="12">
        <v>13</v>
      </c>
      <c r="Z42" s="374" t="str">
        <f t="shared" si="3"/>
        <v>○</v>
      </c>
      <c r="AA42" s="395" t="str">
        <f t="shared" si="4"/>
        <v>整備しない場合は入力不要です。</v>
      </c>
    </row>
    <row r="43" spans="1:27">
      <c r="A43" s="12">
        <v>14</v>
      </c>
      <c r="B43" s="6"/>
      <c r="C43" s="6"/>
      <c r="D43" s="6"/>
      <c r="E43" s="10"/>
      <c r="F43" s="7"/>
      <c r="G43" s="541"/>
      <c r="H43" s="15">
        <f t="shared" si="0"/>
        <v>0</v>
      </c>
      <c r="I43" s="4">
        <f t="shared" si="1"/>
        <v>0</v>
      </c>
      <c r="J43" s="9"/>
      <c r="K43" s="4">
        <f t="shared" si="2"/>
        <v>0</v>
      </c>
      <c r="L43" s="5" t="str">
        <f>IF(Z43="◎",COUNTIF($Z$30:Z43,"◎"),"")</f>
        <v/>
      </c>
      <c r="W43" s="395" t="str">
        <f>IF(B43="個別病床",はじめに入力してください!$K$50,IF(B43="共通使用",はじめに入力してください!$K$52,""))</f>
        <v/>
      </c>
      <c r="Y43" s="12">
        <v>14</v>
      </c>
      <c r="Z43" s="374" t="str">
        <f t="shared" si="3"/>
        <v>○</v>
      </c>
      <c r="AA43" s="395" t="str">
        <f t="shared" si="4"/>
        <v>整備しない場合は入力不要です。</v>
      </c>
    </row>
    <row r="44" spans="1:27">
      <c r="A44" s="12">
        <v>15</v>
      </c>
      <c r="B44" s="6"/>
      <c r="C44" s="6"/>
      <c r="D44" s="6"/>
      <c r="E44" s="10"/>
      <c r="F44" s="7"/>
      <c r="G44" s="541"/>
      <c r="H44" s="15">
        <f t="shared" si="0"/>
        <v>0</v>
      </c>
      <c r="I44" s="4">
        <f t="shared" si="1"/>
        <v>0</v>
      </c>
      <c r="J44" s="9"/>
      <c r="K44" s="4">
        <f t="shared" si="2"/>
        <v>0</v>
      </c>
      <c r="L44" s="5" t="str">
        <f>IF(Z44="◎",COUNTIF($Z$30:Z44,"◎"),"")</f>
        <v/>
      </c>
      <c r="W44" s="395" t="str">
        <f>IF(B44="個別病床",はじめに入力してください!$K$50,IF(B44="共通使用",はじめに入力してください!$K$52,""))</f>
        <v/>
      </c>
      <c r="Y44" s="12">
        <v>15</v>
      </c>
      <c r="Z44" s="374" t="str">
        <f t="shared" si="3"/>
        <v>○</v>
      </c>
      <c r="AA44" s="395" t="str">
        <f t="shared" si="4"/>
        <v>整備しない場合は入力不要です。</v>
      </c>
    </row>
    <row r="45" spans="1:27">
      <c r="A45" s="12">
        <v>16</v>
      </c>
      <c r="B45" s="6"/>
      <c r="C45" s="6"/>
      <c r="D45" s="6"/>
      <c r="E45" s="10"/>
      <c r="F45" s="7"/>
      <c r="G45" s="541"/>
      <c r="H45" s="15">
        <f t="shared" si="0"/>
        <v>0</v>
      </c>
      <c r="I45" s="4">
        <f t="shared" si="1"/>
        <v>0</v>
      </c>
      <c r="J45" s="9"/>
      <c r="K45" s="4">
        <f t="shared" si="2"/>
        <v>0</v>
      </c>
      <c r="L45" s="5" t="str">
        <f>IF(Z45="◎",COUNTIF($Z$30:Z45,"◎"),"")</f>
        <v/>
      </c>
      <c r="W45" s="395" t="str">
        <f>IF(B45="個別病床",はじめに入力してください!$K$50,IF(B45="共通使用",はじめに入力してください!$K$52,""))</f>
        <v/>
      </c>
      <c r="Y45" s="12">
        <v>16</v>
      </c>
      <c r="Z45" s="374" t="str">
        <f t="shared" si="3"/>
        <v>○</v>
      </c>
      <c r="AA45" s="395" t="str">
        <f t="shared" si="4"/>
        <v>整備しない場合は入力不要です。</v>
      </c>
    </row>
    <row r="46" spans="1:27">
      <c r="A46" s="12">
        <v>17</v>
      </c>
      <c r="B46" s="6"/>
      <c r="C46" s="6"/>
      <c r="D46" s="6"/>
      <c r="E46" s="10"/>
      <c r="F46" s="7"/>
      <c r="G46" s="541"/>
      <c r="H46" s="15">
        <f t="shared" si="0"/>
        <v>0</v>
      </c>
      <c r="I46" s="4">
        <f t="shared" si="1"/>
        <v>0</v>
      </c>
      <c r="J46" s="9"/>
      <c r="K46" s="4">
        <f t="shared" si="2"/>
        <v>0</v>
      </c>
      <c r="L46" s="5" t="str">
        <f>IF(Z46="◎",COUNTIF($Z$30:Z46,"◎"),"")</f>
        <v/>
      </c>
      <c r="W46" s="395" t="str">
        <f>IF(B46="個別病床",はじめに入力してください!$K$50,IF(B46="共通使用",はじめに入力してください!$K$52,""))</f>
        <v/>
      </c>
      <c r="Y46" s="12">
        <v>17</v>
      </c>
      <c r="Z46" s="374" t="str">
        <f t="shared" si="3"/>
        <v>○</v>
      </c>
      <c r="AA46" s="395" t="str">
        <f t="shared" si="4"/>
        <v>整備しない場合は入力不要です。</v>
      </c>
    </row>
    <row r="47" spans="1:27">
      <c r="A47" s="12">
        <v>18</v>
      </c>
      <c r="B47" s="6"/>
      <c r="C47" s="6"/>
      <c r="D47" s="6"/>
      <c r="E47" s="10"/>
      <c r="F47" s="7"/>
      <c r="G47" s="541"/>
      <c r="H47" s="15">
        <f t="shared" si="0"/>
        <v>0</v>
      </c>
      <c r="I47" s="4">
        <f t="shared" si="1"/>
        <v>0</v>
      </c>
      <c r="J47" s="9"/>
      <c r="K47" s="4">
        <f t="shared" si="2"/>
        <v>0</v>
      </c>
      <c r="L47" s="5" t="str">
        <f>IF(Z47="◎",COUNTIF($Z$30:Z47,"◎"),"")</f>
        <v/>
      </c>
      <c r="W47" s="395" t="str">
        <f>IF(B47="個別病床",はじめに入力してください!$K$50,IF(B47="共通使用",はじめに入力してください!$K$52,""))</f>
        <v/>
      </c>
      <c r="Y47" s="12">
        <v>18</v>
      </c>
      <c r="Z47" s="374" t="str">
        <f t="shared" si="3"/>
        <v>○</v>
      </c>
      <c r="AA47" s="395" t="str">
        <f t="shared" si="4"/>
        <v>整備しない場合は入力不要です。</v>
      </c>
    </row>
    <row r="48" spans="1:27">
      <c r="A48" s="12">
        <v>19</v>
      </c>
      <c r="B48" s="6"/>
      <c r="C48" s="6"/>
      <c r="D48" s="6"/>
      <c r="E48" s="10"/>
      <c r="F48" s="7"/>
      <c r="G48" s="541"/>
      <c r="H48" s="15">
        <f t="shared" si="0"/>
        <v>0</v>
      </c>
      <c r="I48" s="4">
        <f t="shared" si="1"/>
        <v>0</v>
      </c>
      <c r="J48" s="9"/>
      <c r="K48" s="4">
        <f t="shared" si="2"/>
        <v>0</v>
      </c>
      <c r="L48" s="5" t="str">
        <f>IF(Z48="◎",COUNTIF($Z$30:Z48,"◎"),"")</f>
        <v/>
      </c>
      <c r="W48" s="395" t="str">
        <f>IF(B48="個別病床",はじめに入力してください!$K$50,IF(B48="共通使用",はじめに入力してください!$K$52,""))</f>
        <v/>
      </c>
      <c r="Y48" s="12">
        <v>19</v>
      </c>
      <c r="Z48" s="374" t="str">
        <f t="shared" si="3"/>
        <v>○</v>
      </c>
      <c r="AA48" s="395" t="str">
        <f t="shared" si="4"/>
        <v>整備しない場合は入力不要です。</v>
      </c>
    </row>
    <row r="49" spans="1:27">
      <c r="A49" s="12">
        <v>20</v>
      </c>
      <c r="B49" s="6"/>
      <c r="C49" s="6"/>
      <c r="D49" s="6"/>
      <c r="E49" s="10"/>
      <c r="F49" s="7"/>
      <c r="G49" s="541"/>
      <c r="H49" s="15">
        <f t="shared" si="0"/>
        <v>0</v>
      </c>
      <c r="I49" s="4">
        <f t="shared" si="1"/>
        <v>0</v>
      </c>
      <c r="J49" s="9"/>
      <c r="K49" s="4">
        <f t="shared" si="2"/>
        <v>0</v>
      </c>
      <c r="L49" s="5" t="str">
        <f>IF(Z49="◎",COUNTIF($Z$30:Z49,"◎"),"")</f>
        <v/>
      </c>
      <c r="W49" s="395" t="str">
        <f>IF(B49="個別病床",はじめに入力してください!$K$50,IF(B49="共通使用",はじめに入力してください!$K$52,""))</f>
        <v/>
      </c>
      <c r="Y49" s="12">
        <v>20</v>
      </c>
      <c r="Z49" s="374" t="str">
        <f t="shared" si="3"/>
        <v>○</v>
      </c>
      <c r="AA49" s="395" t="str">
        <f t="shared" si="4"/>
        <v>整備しない場合は入力不要です。</v>
      </c>
    </row>
    <row r="50" spans="1:27">
      <c r="A50" s="12">
        <v>21</v>
      </c>
      <c r="B50" s="6"/>
      <c r="C50" s="6"/>
      <c r="D50" s="6"/>
      <c r="E50" s="10"/>
      <c r="F50" s="7"/>
      <c r="G50" s="541"/>
      <c r="H50" s="15">
        <f t="shared" si="0"/>
        <v>0</v>
      </c>
      <c r="I50" s="4">
        <f t="shared" si="1"/>
        <v>0</v>
      </c>
      <c r="J50" s="9"/>
      <c r="K50" s="4">
        <f t="shared" si="2"/>
        <v>0</v>
      </c>
      <c r="L50" s="5" t="str">
        <f>IF(Z50="◎",COUNTIF($Z$30:Z50,"◎"),"")</f>
        <v/>
      </c>
      <c r="W50" s="395" t="str">
        <f>IF(B50="個別病床",はじめに入力してください!$K$50,IF(B50="共通使用",はじめに入力してください!$K$52,""))</f>
        <v/>
      </c>
      <c r="Y50" s="12">
        <v>21</v>
      </c>
      <c r="Z50" s="374" t="str">
        <f t="shared" si="3"/>
        <v>○</v>
      </c>
      <c r="AA50" s="395" t="str">
        <f t="shared" si="4"/>
        <v>整備しない場合は入力不要です。</v>
      </c>
    </row>
    <row r="51" spans="1:27">
      <c r="A51" s="12">
        <v>22</v>
      </c>
      <c r="B51" s="6"/>
      <c r="C51" s="6"/>
      <c r="D51" s="6"/>
      <c r="E51" s="10"/>
      <c r="F51" s="7"/>
      <c r="G51" s="541"/>
      <c r="H51" s="15">
        <f t="shared" si="0"/>
        <v>0</v>
      </c>
      <c r="I51" s="4">
        <f t="shared" si="1"/>
        <v>0</v>
      </c>
      <c r="J51" s="9"/>
      <c r="K51" s="4">
        <f t="shared" si="2"/>
        <v>0</v>
      </c>
      <c r="L51" s="5" t="str">
        <f>IF(Z51="◎",COUNTIF($Z$30:Z51,"◎"),"")</f>
        <v/>
      </c>
      <c r="W51" s="395" t="str">
        <f>IF(B51="個別病床",はじめに入力してください!$K$50,IF(B51="共通使用",はじめに入力してください!$K$52,""))</f>
        <v/>
      </c>
      <c r="Y51" s="12">
        <v>22</v>
      </c>
      <c r="Z51" s="374" t="str">
        <f t="shared" si="3"/>
        <v>○</v>
      </c>
      <c r="AA51" s="395" t="str">
        <f t="shared" si="4"/>
        <v>整備しない場合は入力不要です。</v>
      </c>
    </row>
    <row r="52" spans="1:27">
      <c r="A52" s="12">
        <v>23</v>
      </c>
      <c r="B52" s="6"/>
      <c r="C52" s="6"/>
      <c r="D52" s="6"/>
      <c r="E52" s="10"/>
      <c r="F52" s="7"/>
      <c r="G52" s="541"/>
      <c r="H52" s="15">
        <f t="shared" si="0"/>
        <v>0</v>
      </c>
      <c r="I52" s="4">
        <f t="shared" si="1"/>
        <v>0</v>
      </c>
      <c r="J52" s="9"/>
      <c r="K52" s="4">
        <f t="shared" si="2"/>
        <v>0</v>
      </c>
      <c r="L52" s="5" t="str">
        <f>IF(Z52="◎",COUNTIF($Z$30:Z52,"◎"),"")</f>
        <v/>
      </c>
      <c r="W52" s="395" t="str">
        <f>IF(B52="個別病床",はじめに入力してください!$K$50,IF(B52="共通使用",はじめに入力してください!$K$52,""))</f>
        <v/>
      </c>
      <c r="Y52" s="12">
        <v>23</v>
      </c>
      <c r="Z52" s="374" t="str">
        <f t="shared" si="3"/>
        <v>○</v>
      </c>
      <c r="AA52" s="395" t="str">
        <f t="shared" si="4"/>
        <v>整備しない場合は入力不要です。</v>
      </c>
    </row>
    <row r="53" spans="1:27">
      <c r="A53" s="12">
        <v>24</v>
      </c>
      <c r="B53" s="6"/>
      <c r="C53" s="6"/>
      <c r="D53" s="6"/>
      <c r="E53" s="10"/>
      <c r="F53" s="7"/>
      <c r="G53" s="541"/>
      <c r="H53" s="15">
        <f t="shared" si="0"/>
        <v>0</v>
      </c>
      <c r="I53" s="4">
        <f t="shared" si="1"/>
        <v>0</v>
      </c>
      <c r="J53" s="9"/>
      <c r="K53" s="4">
        <f t="shared" si="2"/>
        <v>0</v>
      </c>
      <c r="L53" s="5" t="str">
        <f>IF(Z53="◎",COUNTIF($Z$30:Z53,"◎"),"")</f>
        <v/>
      </c>
      <c r="W53" s="395" t="str">
        <f>IF(B53="個別病床",はじめに入力してください!$K$50,IF(B53="共通使用",はじめに入力してください!$K$52,""))</f>
        <v/>
      </c>
      <c r="Y53" s="12">
        <v>24</v>
      </c>
      <c r="Z53" s="374" t="str">
        <f t="shared" si="3"/>
        <v>○</v>
      </c>
      <c r="AA53" s="395" t="str">
        <f t="shared" si="4"/>
        <v>整備しない場合は入力不要です。</v>
      </c>
    </row>
    <row r="54" spans="1:27">
      <c r="A54" s="12">
        <v>25</v>
      </c>
      <c r="B54" s="6"/>
      <c r="C54" s="6"/>
      <c r="D54" s="6"/>
      <c r="E54" s="10"/>
      <c r="F54" s="7"/>
      <c r="G54" s="541"/>
      <c r="H54" s="15">
        <f t="shared" si="0"/>
        <v>0</v>
      </c>
      <c r="I54" s="4">
        <f t="shared" si="1"/>
        <v>0</v>
      </c>
      <c r="J54" s="9"/>
      <c r="K54" s="4">
        <f t="shared" si="2"/>
        <v>0</v>
      </c>
      <c r="L54" s="5" t="str">
        <f>IF(Z54="◎",COUNTIF($Z$30:Z54,"◎"),"")</f>
        <v/>
      </c>
      <c r="W54" s="395" t="str">
        <f>IF(B54="個別病床",はじめに入力してください!$K$50,IF(B54="共通使用",はじめに入力してください!$K$52,""))</f>
        <v/>
      </c>
      <c r="Y54" s="12">
        <v>25</v>
      </c>
      <c r="Z54" s="374" t="str">
        <f t="shared" si="3"/>
        <v>○</v>
      </c>
      <c r="AA54" s="395" t="str">
        <f t="shared" si="4"/>
        <v>整備しない場合は入力不要です。</v>
      </c>
    </row>
    <row r="55" spans="1:27">
      <c r="A55" s="12">
        <v>26</v>
      </c>
      <c r="B55" s="6"/>
      <c r="C55" s="6"/>
      <c r="D55" s="6"/>
      <c r="E55" s="10"/>
      <c r="F55" s="7"/>
      <c r="G55" s="541"/>
      <c r="H55" s="15">
        <f t="shared" si="0"/>
        <v>0</v>
      </c>
      <c r="I55" s="4">
        <f t="shared" si="1"/>
        <v>0</v>
      </c>
      <c r="J55" s="9"/>
      <c r="K55" s="4">
        <f t="shared" si="2"/>
        <v>0</v>
      </c>
      <c r="L55" s="5" t="str">
        <f>IF(Z55="◎",COUNTIF($Z$30:Z55,"◎"),"")</f>
        <v/>
      </c>
      <c r="W55" s="395" t="str">
        <f>IF(B55="個別病床",はじめに入力してください!$K$50,IF(B55="共通使用",はじめに入力してください!$K$52,""))</f>
        <v/>
      </c>
      <c r="Y55" s="12">
        <v>26</v>
      </c>
      <c r="Z55" s="374" t="str">
        <f t="shared" si="3"/>
        <v>○</v>
      </c>
      <c r="AA55" s="395" t="str">
        <f t="shared" si="4"/>
        <v>整備しない場合は入力不要です。</v>
      </c>
    </row>
    <row r="56" spans="1:27">
      <c r="A56" s="12">
        <v>27</v>
      </c>
      <c r="B56" s="6"/>
      <c r="C56" s="6"/>
      <c r="D56" s="6"/>
      <c r="E56" s="10"/>
      <c r="F56" s="7"/>
      <c r="G56" s="541"/>
      <c r="H56" s="15">
        <f t="shared" si="0"/>
        <v>0</v>
      </c>
      <c r="I56" s="4">
        <f t="shared" si="1"/>
        <v>0</v>
      </c>
      <c r="J56" s="9"/>
      <c r="K56" s="4">
        <f t="shared" si="2"/>
        <v>0</v>
      </c>
      <c r="L56" s="5" t="str">
        <f>IF(Z56="◎",COUNTIF($Z$30:Z56,"◎"),"")</f>
        <v/>
      </c>
      <c r="W56" s="395" t="str">
        <f>IF(B56="個別病床",はじめに入力してください!$K$50,IF(B56="共通使用",はじめに入力してください!$K$52,""))</f>
        <v/>
      </c>
      <c r="Y56" s="12">
        <v>27</v>
      </c>
      <c r="Z56" s="374" t="str">
        <f t="shared" si="3"/>
        <v>○</v>
      </c>
      <c r="AA56" s="395" t="str">
        <f t="shared" si="4"/>
        <v>整備しない場合は入力不要です。</v>
      </c>
    </row>
    <row r="57" spans="1:27">
      <c r="A57" s="12">
        <v>28</v>
      </c>
      <c r="B57" s="6"/>
      <c r="C57" s="6"/>
      <c r="D57" s="6"/>
      <c r="E57" s="10"/>
      <c r="F57" s="7"/>
      <c r="G57" s="541"/>
      <c r="H57" s="15">
        <f t="shared" si="0"/>
        <v>0</v>
      </c>
      <c r="I57" s="4">
        <f t="shared" si="1"/>
        <v>0</v>
      </c>
      <c r="J57" s="9"/>
      <c r="K57" s="4">
        <f t="shared" si="2"/>
        <v>0</v>
      </c>
      <c r="L57" s="5" t="str">
        <f>IF(Z57="◎",COUNTIF($Z$30:Z57,"◎"),"")</f>
        <v/>
      </c>
      <c r="W57" s="395" t="str">
        <f>IF(B57="個別病床",はじめに入力してください!$K$50,IF(B57="共通使用",はじめに入力してください!$K$52,""))</f>
        <v/>
      </c>
      <c r="Y57" s="12">
        <v>28</v>
      </c>
      <c r="Z57" s="374" t="str">
        <f t="shared" si="3"/>
        <v>○</v>
      </c>
      <c r="AA57" s="395" t="str">
        <f t="shared" si="4"/>
        <v>整備しない場合は入力不要です。</v>
      </c>
    </row>
    <row r="58" spans="1:27">
      <c r="A58" s="12">
        <v>29</v>
      </c>
      <c r="B58" s="6"/>
      <c r="C58" s="6"/>
      <c r="D58" s="6"/>
      <c r="E58" s="10"/>
      <c r="F58" s="7"/>
      <c r="G58" s="541"/>
      <c r="H58" s="15">
        <f t="shared" si="0"/>
        <v>0</v>
      </c>
      <c r="I58" s="4">
        <f t="shared" si="1"/>
        <v>0</v>
      </c>
      <c r="J58" s="9"/>
      <c r="K58" s="4">
        <f t="shared" si="2"/>
        <v>0</v>
      </c>
      <c r="L58" s="5" t="str">
        <f>IF(Z58="◎",COUNTIF($Z$30:Z58,"◎"),"")</f>
        <v/>
      </c>
      <c r="W58" s="395" t="str">
        <f>IF(B58="個別病床",はじめに入力してください!$K$50,IF(B58="共通使用",はじめに入力してください!$K$52,""))</f>
        <v/>
      </c>
      <c r="Y58" s="12">
        <v>29</v>
      </c>
      <c r="Z58" s="374" t="str">
        <f t="shared" si="3"/>
        <v>○</v>
      </c>
      <c r="AA58" s="395" t="str">
        <f t="shared" si="4"/>
        <v>整備しない場合は入力不要です。</v>
      </c>
    </row>
    <row r="59" spans="1:27">
      <c r="A59" s="12">
        <v>30</v>
      </c>
      <c r="B59" s="6"/>
      <c r="C59" s="6"/>
      <c r="D59" s="6"/>
      <c r="E59" s="10"/>
      <c r="F59" s="7"/>
      <c r="G59" s="541"/>
      <c r="H59" s="15">
        <f t="shared" si="0"/>
        <v>0</v>
      </c>
      <c r="I59" s="4">
        <f t="shared" si="1"/>
        <v>0</v>
      </c>
      <c r="J59" s="9"/>
      <c r="K59" s="4">
        <f t="shared" si="2"/>
        <v>0</v>
      </c>
      <c r="L59" s="5" t="str">
        <f>IF(Z59="◎",COUNTIF($Z$30:Z59,"◎"),"")</f>
        <v/>
      </c>
      <c r="W59" s="395" t="str">
        <f>IF(B59="個別病床",はじめに入力してください!$K$50,IF(B59="共通使用",はじめに入力してください!$K$52,""))</f>
        <v/>
      </c>
      <c r="Y59" s="12">
        <v>30</v>
      </c>
      <c r="Z59" s="374" t="str">
        <f t="shared" si="3"/>
        <v>○</v>
      </c>
      <c r="AA59" s="395" t="str">
        <f t="shared" si="4"/>
        <v>整備しない場合は入力不要です。</v>
      </c>
    </row>
    <row r="60" spans="1:27">
      <c r="A60" s="12">
        <v>31</v>
      </c>
      <c r="B60" s="6"/>
      <c r="C60" s="6"/>
      <c r="D60" s="6"/>
      <c r="E60" s="10"/>
      <c r="F60" s="7"/>
      <c r="G60" s="541"/>
      <c r="H60" s="15">
        <f t="shared" si="0"/>
        <v>0</v>
      </c>
      <c r="I60" s="4">
        <f t="shared" si="1"/>
        <v>0</v>
      </c>
      <c r="J60" s="9"/>
      <c r="K60" s="4">
        <f t="shared" si="2"/>
        <v>0</v>
      </c>
      <c r="L60" s="5" t="str">
        <f>IF(Z60="◎",COUNTIF($Z$30:Z60,"◎"),"")</f>
        <v/>
      </c>
      <c r="W60" s="395" t="str">
        <f>IF(B60="個別病床",はじめに入力してください!$K$50,IF(B60="共通使用",はじめに入力してください!$K$52,""))</f>
        <v/>
      </c>
      <c r="Y60" s="12">
        <v>31</v>
      </c>
      <c r="Z60" s="374" t="str">
        <f t="shared" si="3"/>
        <v>○</v>
      </c>
      <c r="AA60" s="395" t="str">
        <f t="shared" si="4"/>
        <v>整備しない場合は入力不要です。</v>
      </c>
    </row>
    <row r="61" spans="1:27">
      <c r="A61" s="12">
        <v>32</v>
      </c>
      <c r="B61" s="6"/>
      <c r="C61" s="6"/>
      <c r="D61" s="6"/>
      <c r="E61" s="10"/>
      <c r="F61" s="7"/>
      <c r="G61" s="541"/>
      <c r="H61" s="15">
        <f t="shared" si="0"/>
        <v>0</v>
      </c>
      <c r="I61" s="4">
        <f t="shared" si="1"/>
        <v>0</v>
      </c>
      <c r="J61" s="9"/>
      <c r="K61" s="4">
        <f t="shared" si="2"/>
        <v>0</v>
      </c>
      <c r="L61" s="5" t="str">
        <f>IF(Z61="◎",COUNTIF($Z$30:Z61,"◎"),"")</f>
        <v/>
      </c>
      <c r="W61" s="395" t="str">
        <f>IF(B61="個別病床",はじめに入力してください!$K$50,IF(B61="共通使用",はじめに入力してください!$K$52,""))</f>
        <v/>
      </c>
      <c r="Y61" s="12">
        <v>32</v>
      </c>
      <c r="Z61" s="374" t="str">
        <f t="shared" si="3"/>
        <v>○</v>
      </c>
      <c r="AA61" s="395" t="str">
        <f t="shared" si="4"/>
        <v>整備しない場合は入力不要です。</v>
      </c>
    </row>
    <row r="62" spans="1:27">
      <c r="A62" s="12">
        <v>33</v>
      </c>
      <c r="B62" s="6"/>
      <c r="C62" s="6"/>
      <c r="D62" s="6"/>
      <c r="E62" s="10"/>
      <c r="F62" s="7"/>
      <c r="G62" s="541"/>
      <c r="H62" s="15">
        <f t="shared" si="0"/>
        <v>0</v>
      </c>
      <c r="I62" s="4">
        <f t="shared" si="1"/>
        <v>0</v>
      </c>
      <c r="J62" s="9"/>
      <c r="K62" s="4">
        <f t="shared" si="2"/>
        <v>0</v>
      </c>
      <c r="L62" s="5" t="str">
        <f>IF(Z62="◎",COUNTIF($Z$30:Z62,"◎"),"")</f>
        <v/>
      </c>
      <c r="W62" s="395" t="str">
        <f>IF(B62="個別病床",はじめに入力してください!$K$50,IF(B62="共通使用",はじめに入力してください!$K$52,""))</f>
        <v/>
      </c>
      <c r="Y62" s="12">
        <v>33</v>
      </c>
      <c r="Z62" s="374" t="str">
        <f t="shared" si="3"/>
        <v>○</v>
      </c>
      <c r="AA62" s="395" t="str">
        <f t="shared" si="4"/>
        <v>整備しない場合は入力不要です。</v>
      </c>
    </row>
    <row r="63" spans="1:27">
      <c r="A63" s="12">
        <v>34</v>
      </c>
      <c r="B63" s="6"/>
      <c r="C63" s="6"/>
      <c r="D63" s="6"/>
      <c r="E63" s="10"/>
      <c r="F63" s="7"/>
      <c r="G63" s="541"/>
      <c r="H63" s="15">
        <f t="shared" si="0"/>
        <v>0</v>
      </c>
      <c r="I63" s="4">
        <f t="shared" si="1"/>
        <v>0</v>
      </c>
      <c r="J63" s="9"/>
      <c r="K63" s="4">
        <f t="shared" si="2"/>
        <v>0</v>
      </c>
      <c r="L63" s="5" t="str">
        <f>IF(Z63="◎",COUNTIF($Z$30:Z63,"◎"),"")</f>
        <v/>
      </c>
      <c r="W63" s="395" t="str">
        <f>IF(B63="個別病床",はじめに入力してください!$K$50,IF(B63="共通使用",はじめに入力してください!$K$52,""))</f>
        <v/>
      </c>
      <c r="Y63" s="12">
        <v>34</v>
      </c>
      <c r="Z63" s="374" t="str">
        <f t="shared" si="3"/>
        <v>○</v>
      </c>
      <c r="AA63" s="395" t="str">
        <f t="shared" si="4"/>
        <v>整備しない場合は入力不要です。</v>
      </c>
    </row>
    <row r="64" spans="1:27">
      <c r="A64" s="12">
        <v>35</v>
      </c>
      <c r="B64" s="6"/>
      <c r="C64" s="6"/>
      <c r="D64" s="6"/>
      <c r="E64" s="10"/>
      <c r="F64" s="7"/>
      <c r="G64" s="541"/>
      <c r="H64" s="15">
        <f t="shared" si="0"/>
        <v>0</v>
      </c>
      <c r="I64" s="4">
        <f t="shared" si="1"/>
        <v>0</v>
      </c>
      <c r="J64" s="9"/>
      <c r="K64" s="4">
        <f t="shared" si="2"/>
        <v>0</v>
      </c>
      <c r="L64" s="5" t="str">
        <f>IF(Z64="◎",COUNTIF($Z$30:Z64,"◎"),"")</f>
        <v/>
      </c>
      <c r="W64" s="395" t="str">
        <f>IF(B64="個別病床",はじめに入力してください!$K$50,IF(B64="共通使用",はじめに入力してください!$K$52,""))</f>
        <v/>
      </c>
      <c r="Y64" s="12">
        <v>35</v>
      </c>
      <c r="Z64" s="374" t="str">
        <f t="shared" si="3"/>
        <v>○</v>
      </c>
      <c r="AA64" s="395" t="str">
        <f t="shared" si="4"/>
        <v>整備しない場合は入力不要です。</v>
      </c>
    </row>
    <row r="65" spans="1:27">
      <c r="A65" s="12">
        <v>36</v>
      </c>
      <c r="B65" s="6"/>
      <c r="C65" s="6"/>
      <c r="D65" s="6"/>
      <c r="E65" s="10"/>
      <c r="F65" s="7"/>
      <c r="G65" s="541"/>
      <c r="H65" s="15">
        <f t="shared" si="0"/>
        <v>0</v>
      </c>
      <c r="I65" s="4">
        <f t="shared" si="1"/>
        <v>0</v>
      </c>
      <c r="J65" s="9"/>
      <c r="K65" s="4">
        <f t="shared" si="2"/>
        <v>0</v>
      </c>
      <c r="L65" s="5" t="str">
        <f>IF(Z65="◎",COUNTIF($Z$30:Z65,"◎"),"")</f>
        <v/>
      </c>
      <c r="W65" s="395" t="str">
        <f>IF(B65="個別病床",はじめに入力してください!$K$50,IF(B65="共通使用",はじめに入力してください!$K$52,""))</f>
        <v/>
      </c>
      <c r="Y65" s="12">
        <v>36</v>
      </c>
      <c r="Z65" s="374" t="str">
        <f t="shared" si="3"/>
        <v>○</v>
      </c>
      <c r="AA65" s="395" t="str">
        <f t="shared" si="4"/>
        <v>整備しない場合は入力不要です。</v>
      </c>
    </row>
    <row r="66" spans="1:27">
      <c r="A66" s="12">
        <v>37</v>
      </c>
      <c r="B66" s="6"/>
      <c r="C66" s="6"/>
      <c r="D66" s="6"/>
      <c r="E66" s="10"/>
      <c r="F66" s="7"/>
      <c r="G66" s="541"/>
      <c r="H66" s="15">
        <f t="shared" si="0"/>
        <v>0</v>
      </c>
      <c r="I66" s="4">
        <f t="shared" si="1"/>
        <v>0</v>
      </c>
      <c r="J66" s="9"/>
      <c r="K66" s="4">
        <f t="shared" si="2"/>
        <v>0</v>
      </c>
      <c r="L66" s="5" t="str">
        <f>IF(Z66="◎",COUNTIF($Z$30:Z66,"◎"),"")</f>
        <v/>
      </c>
      <c r="W66" s="395" t="str">
        <f>IF(B66="個別病床",はじめに入力してください!$K$50,IF(B66="共通使用",はじめに入力してください!$K$52,""))</f>
        <v/>
      </c>
      <c r="Y66" s="12">
        <v>37</v>
      </c>
      <c r="Z66" s="374" t="str">
        <f t="shared" si="3"/>
        <v>○</v>
      </c>
      <c r="AA66" s="395" t="str">
        <f t="shared" si="4"/>
        <v>整備しない場合は入力不要です。</v>
      </c>
    </row>
    <row r="67" spans="1:27">
      <c r="A67" s="12">
        <v>38</v>
      </c>
      <c r="B67" s="6"/>
      <c r="C67" s="6"/>
      <c r="D67" s="6"/>
      <c r="E67" s="10"/>
      <c r="F67" s="7"/>
      <c r="G67" s="541"/>
      <c r="H67" s="15">
        <f t="shared" si="0"/>
        <v>0</v>
      </c>
      <c r="I67" s="4">
        <f t="shared" si="1"/>
        <v>0</v>
      </c>
      <c r="J67" s="9"/>
      <c r="K67" s="4">
        <f t="shared" si="2"/>
        <v>0</v>
      </c>
      <c r="L67" s="5" t="str">
        <f>IF(Z67="◎",COUNTIF($Z$30:Z67,"◎"),"")</f>
        <v/>
      </c>
      <c r="W67" s="395" t="str">
        <f>IF(B67="個別病床",はじめに入力してください!$K$50,IF(B67="共通使用",はじめに入力してください!$K$52,""))</f>
        <v/>
      </c>
      <c r="Y67" s="12">
        <v>38</v>
      </c>
      <c r="Z67" s="374" t="str">
        <f t="shared" si="3"/>
        <v>○</v>
      </c>
      <c r="AA67" s="395" t="str">
        <f t="shared" si="4"/>
        <v>整備しない場合は入力不要です。</v>
      </c>
    </row>
    <row r="68" spans="1:27">
      <c r="A68" s="12">
        <v>39</v>
      </c>
      <c r="B68" s="6"/>
      <c r="C68" s="6"/>
      <c r="D68" s="6"/>
      <c r="E68" s="10"/>
      <c r="F68" s="7"/>
      <c r="G68" s="541"/>
      <c r="H68" s="15">
        <f t="shared" si="0"/>
        <v>0</v>
      </c>
      <c r="I68" s="4">
        <f t="shared" si="1"/>
        <v>0</v>
      </c>
      <c r="J68" s="9"/>
      <c r="K68" s="4">
        <f t="shared" si="2"/>
        <v>0</v>
      </c>
      <c r="L68" s="5" t="str">
        <f>IF(Z68="◎",COUNTIF($Z$30:Z68,"◎"),"")</f>
        <v/>
      </c>
      <c r="W68" s="395" t="str">
        <f>IF(B68="個別病床",はじめに入力してください!$K$50,IF(B68="共通使用",はじめに入力してください!$K$52,""))</f>
        <v/>
      </c>
      <c r="Y68" s="12">
        <v>39</v>
      </c>
      <c r="Z68" s="374" t="str">
        <f t="shared" si="3"/>
        <v>○</v>
      </c>
      <c r="AA68" s="395" t="str">
        <f t="shared" si="4"/>
        <v>整備しない場合は入力不要です。</v>
      </c>
    </row>
    <row r="69" spans="1:27">
      <c r="A69" s="12">
        <v>40</v>
      </c>
      <c r="B69" s="6"/>
      <c r="C69" s="6"/>
      <c r="D69" s="6"/>
      <c r="E69" s="10"/>
      <c r="F69" s="7"/>
      <c r="G69" s="541"/>
      <c r="H69" s="15">
        <f t="shared" si="0"/>
        <v>0</v>
      </c>
      <c r="I69" s="4">
        <f t="shared" si="1"/>
        <v>0</v>
      </c>
      <c r="J69" s="9"/>
      <c r="K69" s="4">
        <f t="shared" si="2"/>
        <v>0</v>
      </c>
      <c r="L69" s="5" t="str">
        <f>IF(Z69="◎",COUNTIF($Z$30:Z69,"◎"),"")</f>
        <v/>
      </c>
      <c r="W69" s="395" t="str">
        <f>IF(B69="個別病床",はじめに入力してください!$K$50,IF(B69="共通使用",はじめに入力してください!$K$52,""))</f>
        <v/>
      </c>
      <c r="Y69" s="12">
        <v>40</v>
      </c>
      <c r="Z69" s="374" t="str">
        <f t="shared" si="3"/>
        <v>○</v>
      </c>
      <c r="AA69" s="395" t="str">
        <f t="shared" si="4"/>
        <v>整備しない場合は入力不要です。</v>
      </c>
    </row>
    <row r="70" spans="1:27">
      <c r="A70" s="12">
        <v>41</v>
      </c>
      <c r="B70" s="6"/>
      <c r="C70" s="6"/>
      <c r="D70" s="6"/>
      <c r="E70" s="10"/>
      <c r="F70" s="7"/>
      <c r="G70" s="541"/>
      <c r="H70" s="15">
        <f t="shared" si="0"/>
        <v>0</v>
      </c>
      <c r="I70" s="4">
        <f t="shared" si="1"/>
        <v>0</v>
      </c>
      <c r="J70" s="9"/>
      <c r="K70" s="4">
        <f t="shared" si="2"/>
        <v>0</v>
      </c>
      <c r="L70" s="5" t="str">
        <f>IF(Z70="◎",COUNTIF($Z$30:Z70,"◎"),"")</f>
        <v/>
      </c>
      <c r="W70" s="395" t="str">
        <f>IF(B70="個別病床",はじめに入力してください!$K$50,IF(B70="共通使用",はじめに入力してください!$K$52,""))</f>
        <v/>
      </c>
      <c r="Y70" s="12">
        <v>41</v>
      </c>
      <c r="Z70" s="374" t="str">
        <f t="shared" si="3"/>
        <v>○</v>
      </c>
      <c r="AA70" s="395" t="str">
        <f t="shared" si="4"/>
        <v>整備しない場合は入力不要です。</v>
      </c>
    </row>
    <row r="71" spans="1:27">
      <c r="A71" s="12">
        <v>42</v>
      </c>
      <c r="B71" s="6"/>
      <c r="C71" s="6"/>
      <c r="D71" s="6"/>
      <c r="E71" s="10"/>
      <c r="F71" s="7"/>
      <c r="G71" s="541"/>
      <c r="H71" s="15">
        <f t="shared" si="0"/>
        <v>0</v>
      </c>
      <c r="I71" s="4">
        <f t="shared" si="1"/>
        <v>0</v>
      </c>
      <c r="J71" s="9"/>
      <c r="K71" s="4">
        <f t="shared" si="2"/>
        <v>0</v>
      </c>
      <c r="L71" s="5" t="str">
        <f>IF(Z71="◎",COUNTIF($Z$30:Z71,"◎"),"")</f>
        <v/>
      </c>
      <c r="W71" s="395" t="str">
        <f>IF(B71="個別病床",はじめに入力してください!$K$50,IF(B71="共通使用",はじめに入力してください!$K$52,""))</f>
        <v/>
      </c>
      <c r="Y71" s="12">
        <v>42</v>
      </c>
      <c r="Z71" s="374" t="str">
        <f t="shared" si="3"/>
        <v>○</v>
      </c>
      <c r="AA71" s="395" t="str">
        <f t="shared" si="4"/>
        <v>整備しない場合は入力不要です。</v>
      </c>
    </row>
    <row r="72" spans="1:27">
      <c r="A72" s="12">
        <v>43</v>
      </c>
      <c r="B72" s="6"/>
      <c r="C72" s="6"/>
      <c r="D72" s="6"/>
      <c r="E72" s="10"/>
      <c r="F72" s="7"/>
      <c r="G72" s="541"/>
      <c r="H72" s="15">
        <f t="shared" si="0"/>
        <v>0</v>
      </c>
      <c r="I72" s="4">
        <f t="shared" si="1"/>
        <v>0</v>
      </c>
      <c r="J72" s="9"/>
      <c r="K72" s="4">
        <f t="shared" si="2"/>
        <v>0</v>
      </c>
      <c r="L72" s="5" t="str">
        <f>IF(Z72="◎",COUNTIF($Z$30:Z72,"◎"),"")</f>
        <v/>
      </c>
      <c r="W72" s="395" t="str">
        <f>IF(B72="個別病床",はじめに入力してください!$K$50,IF(B72="共通使用",はじめに入力してください!$K$52,""))</f>
        <v/>
      </c>
      <c r="Y72" s="12">
        <v>43</v>
      </c>
      <c r="Z72" s="374" t="str">
        <f t="shared" si="3"/>
        <v>○</v>
      </c>
      <c r="AA72" s="395" t="str">
        <f t="shared" si="4"/>
        <v>整備しない場合は入力不要です。</v>
      </c>
    </row>
    <row r="73" spans="1:27">
      <c r="A73" s="12">
        <v>44</v>
      </c>
      <c r="B73" s="6"/>
      <c r="C73" s="6"/>
      <c r="D73" s="6"/>
      <c r="E73" s="10"/>
      <c r="F73" s="7"/>
      <c r="G73" s="541"/>
      <c r="H73" s="15">
        <f t="shared" si="0"/>
        <v>0</v>
      </c>
      <c r="I73" s="4">
        <f t="shared" si="1"/>
        <v>0</v>
      </c>
      <c r="J73" s="9"/>
      <c r="K73" s="4">
        <f t="shared" si="2"/>
        <v>0</v>
      </c>
      <c r="L73" s="5" t="str">
        <f>IF(Z73="◎",COUNTIF($Z$30:Z73,"◎"),"")</f>
        <v/>
      </c>
      <c r="W73" s="395" t="str">
        <f>IF(B73="個別病床",はじめに入力してください!$K$50,IF(B73="共通使用",はじめに入力してください!$K$52,""))</f>
        <v/>
      </c>
      <c r="Y73" s="12">
        <v>44</v>
      </c>
      <c r="Z73" s="374" t="str">
        <f t="shared" si="3"/>
        <v>○</v>
      </c>
      <c r="AA73" s="395" t="str">
        <f t="shared" si="4"/>
        <v>整備しない場合は入力不要です。</v>
      </c>
    </row>
    <row r="74" spans="1:27">
      <c r="A74" s="12">
        <v>45</v>
      </c>
      <c r="B74" s="6"/>
      <c r="C74" s="6"/>
      <c r="D74" s="6"/>
      <c r="E74" s="10"/>
      <c r="F74" s="7"/>
      <c r="G74" s="541"/>
      <c r="H74" s="15">
        <f t="shared" si="0"/>
        <v>0</v>
      </c>
      <c r="I74" s="4">
        <f t="shared" si="1"/>
        <v>0</v>
      </c>
      <c r="J74" s="9"/>
      <c r="K74" s="4">
        <f t="shared" si="2"/>
        <v>0</v>
      </c>
      <c r="L74" s="5" t="str">
        <f>IF(Z74="◎",COUNTIF($Z$30:Z74,"◎"),"")</f>
        <v/>
      </c>
      <c r="W74" s="395" t="str">
        <f>IF(B74="個別病床",はじめに入力してください!$K$50,IF(B74="共通使用",はじめに入力してください!$K$52,""))</f>
        <v/>
      </c>
      <c r="Y74" s="12">
        <v>45</v>
      </c>
      <c r="Z74" s="374" t="str">
        <f t="shared" si="3"/>
        <v>○</v>
      </c>
      <c r="AA74" s="395" t="str">
        <f t="shared" si="4"/>
        <v>整備しない場合は入力不要です。</v>
      </c>
    </row>
  </sheetData>
  <mergeCells count="23">
    <mergeCell ref="K1:M1"/>
    <mergeCell ref="B22:L22"/>
    <mergeCell ref="B2:D3"/>
    <mergeCell ref="Z3:Z5"/>
    <mergeCell ref="AA3:AA5"/>
    <mergeCell ref="Z7:Z8"/>
    <mergeCell ref="AA7:AA8"/>
    <mergeCell ref="B10:L10"/>
    <mergeCell ref="B13:L13"/>
    <mergeCell ref="B14:L14"/>
    <mergeCell ref="B15:L15"/>
    <mergeCell ref="B18:L21"/>
    <mergeCell ref="B7:L7"/>
    <mergeCell ref="B9:C9"/>
    <mergeCell ref="B12:L12"/>
    <mergeCell ref="B26:L26"/>
    <mergeCell ref="Z27:Z28"/>
    <mergeCell ref="AA27:AA28"/>
    <mergeCell ref="B28:D28"/>
    <mergeCell ref="E28:F28"/>
    <mergeCell ref="G28:J28"/>
    <mergeCell ref="K28:K29"/>
    <mergeCell ref="L28:L29"/>
  </mergeCells>
  <phoneticPr fontId="9"/>
  <conditionalFormatting sqref="Z29:Z1048576 Z1:Z2 Z11:Z21 Z6 Z23:Z27">
    <cfRule type="containsText" dxfId="13" priority="10" operator="containsText" text="×">
      <formula>NOT(ISERROR(SEARCH("×",Z1)))</formula>
    </cfRule>
  </conditionalFormatting>
  <conditionalFormatting sqref="AA1:AA2 AA11:AA21 AA29:AA1048576 AA6 AA23:AA27">
    <cfRule type="containsText" dxfId="12" priority="9" operator="containsText" text="要修正">
      <formula>NOT(ISERROR(SEARCH("要修正",AA1)))</formula>
    </cfRule>
  </conditionalFormatting>
  <conditionalFormatting sqref="Z22">
    <cfRule type="containsText" dxfId="11" priority="8" operator="containsText" text="×">
      <formula>NOT(ISERROR(SEARCH("×",Z22)))</formula>
    </cfRule>
  </conditionalFormatting>
  <conditionalFormatting sqref="AA22">
    <cfRule type="containsText" dxfId="10" priority="7" operator="containsText" text="要修正">
      <formula>NOT(ISERROR(SEARCH("要修正",AA22)))</formula>
    </cfRule>
  </conditionalFormatting>
  <conditionalFormatting sqref="Z9:Z10 Z7">
    <cfRule type="containsText" dxfId="9" priority="4" operator="containsText" text="×">
      <formula>NOT(ISERROR(SEARCH("×",Z7)))</formula>
    </cfRule>
  </conditionalFormatting>
  <conditionalFormatting sqref="AA9:AA10 AA7">
    <cfRule type="containsText" dxfId="8" priority="3" operator="containsText" text="要修正">
      <formula>NOT(ISERROR(SEARCH("要修正",AA7)))</formula>
    </cfRule>
  </conditionalFormatting>
  <conditionalFormatting sqref="Z3:Z4">
    <cfRule type="containsText" dxfId="7" priority="2" operator="containsText" text="×">
      <formula>NOT(ISERROR(SEARCH("×",Z3)))</formula>
    </cfRule>
  </conditionalFormatting>
  <conditionalFormatting sqref="AA3:AA4">
    <cfRule type="containsText" dxfId="6" priority="1" operator="containsText" text="要修正">
      <formula>NOT(ISERROR(SEARCH("要修正",AA3)))</formula>
    </cfRule>
  </conditionalFormatting>
  <dataValidations count="10">
    <dataValidation allowBlank="1" showInputMessage="1" showErrorMessage="1" promptTitle="割引額がある場合は入力" prompt="割引がない場合は「0円」のままとしてください。" sqref="I3" xr:uid="{00000000-0002-0000-1B00-000000000000}"/>
    <dataValidation allowBlank="1" showInputMessage="1" showErrorMessage="1" promptTitle="補助対象金額" prompt="補助対象額×（見積書金額-割引額）/見積書金額_x000a_で算出されます。" sqref="J3" xr:uid="{00000000-0002-0000-1B00-000001000000}"/>
    <dataValidation allowBlank="1" showInputMessage="1" showErrorMessage="1" promptTitle="規格及び数量の入力" prompt="補助対象経費を計上する際、いずれも入力してください。" sqref="E30:E74" xr:uid="{884960C7-D452-4B6C-9535-D04ED1E1CB24}"/>
    <dataValidation allowBlank="1" showInputMessage="1" showErrorMessage="1" promptTitle="単価の入力" prompt="税抜額または税込額のいずれかを入力してください。_x000a_入力しない方は「0」は入力せず、空欄としてください。" sqref="H30:H74" xr:uid="{76C1A860-7B15-484D-809C-11AB4A203731}"/>
    <dataValidation allowBlank="1" showInputMessage="1" showErrorMessage="1" promptTitle="添付書類番号" prompt="種類、規格、数量、単価が全て適切に入力され、右の「判定」が「◎」と表示されると自動で番号が表示されます。" sqref="L30:L74" xr:uid="{AEBACB65-2B8F-4019-86B3-90A65EE45F55}"/>
    <dataValidation allowBlank="1" showInputMessage="1" showErrorMessage="1" promptTitle="金額の表示" prompt="数式が入力されているため、自動計算されます。" sqref="K30:K74 I30:I74" xr:uid="{4AB9B2F8-43D0-4601-866D-43AF52F3BEDE}"/>
    <dataValidation type="list" allowBlank="1" showInputMessage="1" showErrorMessage="1" promptTitle="補助対象の該当非該当" prompt="コロナ対応病床の初度設備に係る経費が対象となります。_x000a_共用部分の設備、備品や医療用消耗品等は補助対象外なので「対象外」を選択してください。_x000a_審査において確認、対象外と認めたものについては対象外として補正をお願いする場合があります。" sqref="J30:J74" xr:uid="{DA7610F1-5A08-47A0-8DFF-251EDCEC6DA6}">
      <formula1>"補助対象,補助対象外"</formula1>
    </dataValidation>
    <dataValidation type="list" allowBlank="1" showInputMessage="1" showErrorMessage="1" promptTitle="設備、備品、その他の別を選択" prompt="当該行に記載する品目が_x000a_・「設備」（設備本体）_x000a_・備品（本体設備と別の構成をなすもの）_x000a_・その他（上記の該当しないもの）_x000a_の別をプルダウンから選択してください。" sqref="D30:D74" xr:uid="{9432110B-8AB0-494C-B380-4CE478FD41C1}">
      <formula1>"設備,備品,その他"</formula1>
    </dataValidation>
    <dataValidation type="decimal" operator="greaterThanOrEqual" allowBlank="1" showInputMessage="1" showErrorMessage="1" promptTitle="単価の入力" prompt="税抜額または税込額のいずれかを入力してください。_x000a_入力しない方は「0」は入力せず、空欄としてください。" sqref="G30:G74" xr:uid="{8805668A-DEB7-4717-8E05-1548C2497D88}">
      <formula1>0</formula1>
    </dataValidation>
    <dataValidation type="whole" operator="greaterThanOrEqual" allowBlank="1" showInputMessage="1" showErrorMessage="1" errorTitle="数値のみを入力してください。" error="「個」、「枚」等の単位入力は不要です。" promptTitle="規格及び数量の入力" prompt="補助対象経費を計上する際、いずれも入力してください。" sqref="F30:F74" xr:uid="{F695BD7A-8AD0-41D8-A2F2-7C3B5961163B}">
      <formula1>0</formula1>
    </dataValidation>
  </dataValidations>
  <pageMargins left="0.7" right="0.7" top="0.75" bottom="0.75" header="0.3" footer="0.3"/>
  <pageSetup paperSize="9" scale="55" orientation="portrait"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promptTitle="「用途先」病床の選択（左の「病床」を選択しないと表示されません。" prompt="ベッドに必ずしも紐付けるものではありませんが、１病床１台で紐付けした場合、整備する病床に番号付けをした場合の番号を選択してください。" xr:uid="{F9761EF7-6F1D-459E-BE15-3D3C22D1262A}">
          <x14:formula1>
            <xm:f>OFFSET(テーブル!$X$48, 0, MATCH(B30,テーブル!$Y$47:$Z$47,0), COUNTA(OFFSET(テーブル!$X$48,0,MATCH(B30,テーブル!$Y$47:$Z$47,0),$W$30,1)),1)</xm:f>
          </x14:formula1>
          <xm:sqref>C30:C74</xm:sqref>
        </x14:dataValidation>
        <x14:dataValidation type="list" allowBlank="1" showInputMessage="1" showErrorMessage="1" promptTitle="配備先の別を選択" prompt="確保病床の共通使用のものか、個別のベッドに配備するものか選択してください。" xr:uid="{6CDFA665-8D00-4DDC-8096-C303F6165146}">
          <x14:formula1>
            <xm:f>テーブル!$X$48:$X$49</xm:f>
          </x14:formula1>
          <xm:sqref>B30:B74</xm:sqref>
        </x14:dataValidation>
        <x14:dataValidation type="list" allowBlank="1" showInputMessage="1" showErrorMessage="1" xr:uid="{00000000-0002-0000-1B00-000008000000}">
          <x14:formula1>
            <xm:f>テーブル!$M$37:$M$51</xm:f>
          </x14:formula1>
          <xm:sqref>B2:D2</xm:sqref>
        </x14:dataValidation>
      </x14:dataValidations>
    </ext>
  </extLst>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8">
    <tabColor theme="4" tint="0.79998168889431442"/>
    <pageSetUpPr fitToPage="1"/>
  </sheetPr>
  <dimension ref="A1:AF74"/>
  <sheetViews>
    <sheetView showGridLines="0" view="pageBreakPreview" zoomScale="70" zoomScaleNormal="100" zoomScaleSheetLayoutView="70" workbookViewId="0">
      <selection activeCell="B26" sqref="B26:L26"/>
    </sheetView>
  </sheetViews>
  <sheetFormatPr defaultColWidth="8.625" defaultRowHeight="18"/>
  <cols>
    <col min="1" max="1" width="3.625" style="12" customWidth="1"/>
    <col min="2" max="4" width="8.625" style="19"/>
    <col min="5" max="5" width="30.625" style="19" customWidth="1"/>
    <col min="6" max="6" width="8.625" style="19"/>
    <col min="7" max="11" width="12.625" style="19" customWidth="1"/>
    <col min="12" max="12" width="8.625" style="19"/>
    <col min="13" max="13" width="3.625" style="19" customWidth="1"/>
    <col min="14" max="23" width="8.625" style="19"/>
    <col min="24" max="24" width="8.625" style="19" customWidth="1"/>
    <col min="25" max="25" width="3.625" style="12" customWidth="1"/>
    <col min="26" max="26" width="8.625" style="19"/>
    <col min="27" max="27" width="40.625" style="19" customWidth="1"/>
    <col min="28" max="28" width="3.625" style="19" customWidth="1"/>
    <col min="29" max="32" width="8.625" style="19"/>
    <col min="33" max="33" width="30.625" style="19" customWidth="1"/>
    <col min="34" max="16384" width="8.625" style="19"/>
  </cols>
  <sheetData>
    <row r="1" spans="1:32" ht="20.100000000000001" customHeight="1">
      <c r="K1" s="1829" t="str">
        <f xml:space="preserve">
IF(表紙!X2="交付申請兼実績報告","（４月１日～５月７日分）",
IF(OR(表紙!X2="事前協議",表紙!X2="交付申請",表紙!X2="変更申請",表紙!X2="実績報告"),"（５月８日～９月30日分）",
))</f>
        <v>（５月８日～９月30日分）</v>
      </c>
      <c r="L1" s="1364"/>
      <c r="M1" s="1364"/>
    </row>
    <row r="2" spans="1:32" ht="20.100000000000001" customHeight="1">
      <c r="B2" s="1817" t="s">
        <v>436</v>
      </c>
      <c r="C2" s="1818"/>
      <c r="D2" s="1819"/>
      <c r="H2" s="5" t="s">
        <v>538</v>
      </c>
      <c r="I2" s="374" t="s">
        <v>539</v>
      </c>
      <c r="J2" s="5" t="s">
        <v>44</v>
      </c>
      <c r="Z2" s="374" t="s">
        <v>419</v>
      </c>
      <c r="AA2" s="374" t="s">
        <v>417</v>
      </c>
      <c r="AC2" s="374" t="str">
        <f>Z9</f>
        <v>×</v>
      </c>
      <c r="AD2" s="374" t="str">
        <f>Z15</f>
        <v>◎</v>
      </c>
      <c r="AE2" s="374" t="str">
        <f>Z22</f>
        <v>◎</v>
      </c>
      <c r="AF2" s="374" t="str">
        <f>Z26</f>
        <v>◎</v>
      </c>
    </row>
    <row r="3" spans="1:32" ht="20.100000000000001" customHeight="1">
      <c r="B3" s="1820"/>
      <c r="C3" s="1821"/>
      <c r="D3" s="1822"/>
      <c r="H3" s="358">
        <f>SUM(I30:I74)</f>
        <v>61600000</v>
      </c>
      <c r="I3" s="8"/>
      <c r="J3" s="358">
        <f>IFERROR(ROUNDUP(SUM(K30:K74)*((H3-I3)/H3),0),0)</f>
        <v>46200000</v>
      </c>
      <c r="Z3" s="863" t="str">
        <f xml:space="preserve">
IF(COUNTIF(AD2:AF2,"○")=3,"○",
IF(COUNTIF(AD2:AF2,"◎")=3,"◎","×"
))</f>
        <v>◎</v>
      </c>
      <c r="AA3" s="1812" t="str">
        <f xml:space="preserve">
IF(Z3="○","整備しない場合は入力不要です。",
IF(Z3="×","【要修正】入力が不十分な箇所があります。",
IF(Z3="◎","適切に入力がされました。")))</f>
        <v>適切に入力がされました。</v>
      </c>
    </row>
    <row r="4" spans="1:32" ht="9.9499999999999993" customHeight="1">
      <c r="Z4" s="863"/>
      <c r="AA4" s="1812"/>
    </row>
    <row r="5" spans="1:32" ht="20.100000000000001" customHeight="1">
      <c r="B5" s="393" t="s">
        <v>55</v>
      </c>
      <c r="C5" s="393"/>
      <c r="D5" s="393"/>
      <c r="E5" s="393"/>
      <c r="F5" s="393"/>
      <c r="G5" s="393"/>
      <c r="H5" s="393"/>
      <c r="I5" s="393"/>
      <c r="J5" s="393"/>
      <c r="K5" s="393"/>
      <c r="L5" s="393"/>
      <c r="Z5" s="908"/>
      <c r="AA5" s="843"/>
    </row>
    <row r="6" spans="1:32" ht="9.9499999999999993" customHeight="1"/>
    <row r="7" spans="1:32" ht="20.100000000000001" customHeight="1">
      <c r="B7" s="1833" t="str">
        <f xml:space="preserve">
IF(OR(表紙!X2="事前協議",表紙!X2="交付申請"),"（１）整備を行う対象の新規で指定を受けた確保病床数あるいは、確保病床を有しない場合は整備を行う病床の数",
IF(表紙!X2="交付申請兼実績報告","（１）整備を行う対象の新規で指定を受けた確保病床数"))</f>
        <v>（１）整備を行う対象の新規で指定を受けた確保病床数あるいは、確保病床を有しない場合は整備を行う病床の数</v>
      </c>
      <c r="C7" s="932"/>
      <c r="D7" s="932"/>
      <c r="E7" s="932"/>
      <c r="F7" s="932"/>
      <c r="G7" s="932"/>
      <c r="H7" s="932"/>
      <c r="I7" s="932"/>
      <c r="J7" s="932"/>
      <c r="K7" s="932"/>
      <c r="L7" s="932"/>
      <c r="Z7" s="1808" t="s">
        <v>415</v>
      </c>
      <c r="AA7" s="1808" t="s">
        <v>417</v>
      </c>
    </row>
    <row r="8" spans="1:32" ht="9.9499999999999993" customHeight="1">
      <c r="Z8" s="1809"/>
      <c r="AA8" s="1809"/>
    </row>
    <row r="9" spans="1:32" ht="35.1" customHeight="1">
      <c r="B9" s="1834" t="s">
        <v>56</v>
      </c>
      <c r="C9" s="1835"/>
      <c r="D9" s="205" t="str">
        <f>IF(はじめに入力してください!K50="","",はじめに入力してください!K50)</f>
        <v/>
      </c>
      <c r="E9" s="359"/>
      <c r="F9" s="360"/>
      <c r="G9" s="360"/>
      <c r="H9" s="360"/>
      <c r="I9" s="360"/>
      <c r="J9" s="361"/>
      <c r="K9" s="361"/>
      <c r="L9" s="361"/>
      <c r="Z9" s="374" t="str">
        <f xml:space="preserve">
IF(D9="","×",
IF(D9=0,"○",
IF(D9&gt;=1,"◎",
)))</f>
        <v>×</v>
      </c>
      <c r="AA9" s="395" t="str">
        <f xml:space="preserve">
IF(D9="","【要修正】「はじめに入力してください」シートに整備を行う病床の数を入力してください。",
IF(D9=0,"申請しない場合は以下入力不要です。",
IF(D9&gt;=1,"適切に入力されました。",
)))</f>
        <v>【要修正】「はじめに入力してください」シートに整備を行う病床の数を入力してください。</v>
      </c>
    </row>
    <row r="10" spans="1:32" ht="20.100000000000001" customHeight="1">
      <c r="B10" s="1830"/>
      <c r="C10" s="1831"/>
      <c r="D10" s="1832"/>
      <c r="E10" s="1832"/>
      <c r="F10" s="1832"/>
      <c r="G10" s="1832"/>
      <c r="H10" s="1832"/>
      <c r="I10" s="1832"/>
      <c r="J10" s="1832"/>
      <c r="K10" s="1832"/>
      <c r="L10" s="1832"/>
    </row>
    <row r="11" spans="1:32" ht="20.100000000000001" hidden="1" customHeight="1">
      <c r="B11" s="2136"/>
      <c r="C11" s="1832"/>
      <c r="D11" s="1832"/>
      <c r="E11" s="1832"/>
      <c r="F11" s="1832"/>
      <c r="G11" s="1832"/>
      <c r="H11" s="1832"/>
      <c r="I11" s="1832"/>
      <c r="J11" s="1832"/>
      <c r="K11" s="1832"/>
      <c r="L11" s="1832"/>
    </row>
    <row r="12" spans="1:32" ht="20.100000000000001" customHeight="1">
      <c r="B12" s="1833" t="s">
        <v>57</v>
      </c>
      <c r="C12" s="932"/>
      <c r="D12" s="932"/>
      <c r="E12" s="932"/>
      <c r="F12" s="932"/>
      <c r="G12" s="932"/>
      <c r="H12" s="932"/>
      <c r="I12" s="932"/>
      <c r="J12" s="932"/>
      <c r="K12" s="932"/>
      <c r="L12" s="932"/>
    </row>
    <row r="13" spans="1:32" ht="39.950000000000003" customHeight="1">
      <c r="B13" s="1813" t="s">
        <v>540</v>
      </c>
      <c r="C13" s="931"/>
      <c r="D13" s="931"/>
      <c r="E13" s="931"/>
      <c r="F13" s="931"/>
      <c r="G13" s="931"/>
      <c r="H13" s="931"/>
      <c r="I13" s="931"/>
      <c r="J13" s="931"/>
      <c r="K13" s="931"/>
      <c r="L13" s="931"/>
    </row>
    <row r="14" spans="1:32" s="392" customFormat="1" ht="99.95" customHeight="1">
      <c r="A14" s="13"/>
      <c r="B14" s="2134" t="str">
        <f>VLOOKUP(B2,テーブル!M37:N51,2,FALSE)</f>
        <v>（例）当院は重点医療機関として周産期妊婦の入院受け入れを行ってきたが、この度の第７波の感染拡大により、当院が陽性妊婦の受け入れのため確保している
　　　病床数を超える入院受け入れ要請が生じ、近隣の医療機関に受け入れ協力をせざるを得ない状況が生じた。圏域内の一般病床を有する病院及び有床診療所
　　　に陽性妊婦の受入協力を打診したが、そもそも医療機関が少ないことも相まり、調整は不調に終わったケースが生じている。
　　　目下の感染拡大を前に、遠隔の医療機関への搬送及び容態悪化を避けるためにも自院での受け入れ体制の強化が喫緊の課題となっており、分娩監視装置
　　　の追加とともに新生児用のモニタ設備を新たに○台の追加整備を行うこととしたい。（整備台数の検討にあたってのピーク時の陽性患者数の推移及び
　　　受け入れ要請を断らざるを得なかったケースの詳細については別紙のとおり。）</v>
      </c>
      <c r="C14" s="2135"/>
      <c r="D14" s="2135"/>
      <c r="E14" s="2135"/>
      <c r="F14" s="2135"/>
      <c r="G14" s="2135"/>
      <c r="H14" s="2135"/>
      <c r="I14" s="2135"/>
      <c r="J14" s="2135"/>
      <c r="K14" s="2135"/>
      <c r="L14" s="2135"/>
      <c r="Y14" s="13"/>
      <c r="Z14" s="373" t="s">
        <v>415</v>
      </c>
      <c r="AA14" s="373" t="s">
        <v>416</v>
      </c>
    </row>
    <row r="15" spans="1:32" ht="120" customHeight="1">
      <c r="B15" s="1814" t="s">
        <v>1322</v>
      </c>
      <c r="C15" s="1815"/>
      <c r="D15" s="1815"/>
      <c r="E15" s="1815"/>
      <c r="F15" s="1815"/>
      <c r="G15" s="1815"/>
      <c r="H15" s="1815"/>
      <c r="I15" s="1815"/>
      <c r="J15" s="1815"/>
      <c r="K15" s="1815"/>
      <c r="L15" s="1816"/>
      <c r="Z15" s="374" t="str">
        <f xml:space="preserve">
IF(COUNTA(B15)=0,"○",
IF(COUNTA(B15)=1,"◎"))</f>
        <v>◎</v>
      </c>
      <c r="AA15" s="395" t="str">
        <f xml:space="preserve">
IF(COUNTA(B15)=0,"整備しない場合は入力不要です。",
IF(COUNTA(B15)=1,"入力された状態になりました。"))</f>
        <v>入力された状態になりました。</v>
      </c>
    </row>
    <row r="16" spans="1:32" ht="20.100000000000001" customHeight="1"/>
    <row r="17" spans="1:27" ht="20.100000000000001" customHeight="1">
      <c r="B17" s="393" t="s">
        <v>454</v>
      </c>
      <c r="C17" s="393"/>
      <c r="D17" s="393"/>
      <c r="E17" s="393"/>
      <c r="F17" s="393"/>
      <c r="G17" s="393"/>
      <c r="H17" s="393"/>
      <c r="I17" s="393"/>
      <c r="J17" s="393"/>
      <c r="K17" s="393"/>
      <c r="L17" s="393"/>
    </row>
    <row r="18" spans="1:27" ht="20.100000000000001" customHeight="1">
      <c r="B18" s="1813" t="s">
        <v>482</v>
      </c>
      <c r="C18" s="931"/>
      <c r="D18" s="931"/>
      <c r="E18" s="931"/>
      <c r="F18" s="931"/>
      <c r="G18" s="931"/>
      <c r="H18" s="931"/>
      <c r="I18" s="931"/>
      <c r="J18" s="931"/>
      <c r="K18" s="931"/>
      <c r="L18" s="931"/>
    </row>
    <row r="19" spans="1:27" ht="20.100000000000001" customHeight="1">
      <c r="B19" s="1813"/>
      <c r="C19" s="931"/>
      <c r="D19" s="931"/>
      <c r="E19" s="931"/>
      <c r="F19" s="931"/>
      <c r="G19" s="931"/>
      <c r="H19" s="931"/>
      <c r="I19" s="931"/>
      <c r="J19" s="931"/>
      <c r="K19" s="931"/>
      <c r="L19" s="931"/>
    </row>
    <row r="20" spans="1:27" ht="20.100000000000001" customHeight="1">
      <c r="B20" s="1813"/>
      <c r="C20" s="931"/>
      <c r="D20" s="931"/>
      <c r="E20" s="931"/>
      <c r="F20" s="931"/>
      <c r="G20" s="931"/>
      <c r="H20" s="931"/>
      <c r="I20" s="931"/>
      <c r="J20" s="931"/>
      <c r="K20" s="931"/>
      <c r="L20" s="931"/>
    </row>
    <row r="21" spans="1:27" ht="20.100000000000001" customHeight="1">
      <c r="B21" s="931"/>
      <c r="C21" s="931"/>
      <c r="D21" s="931"/>
      <c r="E21" s="931"/>
      <c r="F21" s="931"/>
      <c r="G21" s="931"/>
      <c r="H21" s="931"/>
      <c r="I21" s="931"/>
      <c r="J21" s="931"/>
      <c r="K21" s="931"/>
      <c r="L21" s="931"/>
    </row>
    <row r="22" spans="1:27" ht="120" customHeight="1">
      <c r="B22" s="1814" t="s">
        <v>1322</v>
      </c>
      <c r="C22" s="1815"/>
      <c r="D22" s="1815"/>
      <c r="E22" s="1815"/>
      <c r="F22" s="1815"/>
      <c r="G22" s="1815"/>
      <c r="H22" s="1815"/>
      <c r="I22" s="1815"/>
      <c r="J22" s="1815"/>
      <c r="K22" s="1815"/>
      <c r="L22" s="1816"/>
      <c r="Z22" s="374" t="str">
        <f xml:space="preserve">
IF(COUNTA(B22)=0,"○",
IF(COUNTA(B22)=1,"◎"))</f>
        <v>◎</v>
      </c>
      <c r="AA22" s="395" t="str">
        <f xml:space="preserve">
IF(COUNTA(B22)=0,"整備しない場合は入力不要です。",
IF(COUNTA(B22)=1,"入力された状態になりました。"))</f>
        <v>入力された状態になりました。</v>
      </c>
    </row>
    <row r="23" spans="1:27" ht="20.100000000000001" customHeight="1"/>
    <row r="24" spans="1:27" ht="20.100000000000001" customHeight="1">
      <c r="B24" s="393" t="s">
        <v>453</v>
      </c>
      <c r="C24" s="393"/>
      <c r="D24" s="393"/>
      <c r="E24" s="393"/>
      <c r="F24" s="393"/>
      <c r="G24" s="393"/>
      <c r="H24" s="393"/>
      <c r="I24" s="393"/>
      <c r="J24" s="393"/>
      <c r="K24" s="393"/>
      <c r="L24" s="393"/>
      <c r="Z24" s="14"/>
    </row>
    <row r="25" spans="1:27" ht="9.9499999999999993" customHeight="1"/>
    <row r="26" spans="1:27" ht="60" customHeight="1">
      <c r="B26" s="1813" t="s">
        <v>561</v>
      </c>
      <c r="C26" s="932"/>
      <c r="D26" s="932"/>
      <c r="E26" s="932"/>
      <c r="F26" s="932"/>
      <c r="G26" s="932"/>
      <c r="H26" s="932"/>
      <c r="I26" s="932"/>
      <c r="J26" s="932"/>
      <c r="K26" s="932"/>
      <c r="L26" s="932"/>
      <c r="Z26" s="374" t="str">
        <f xml:space="preserve">
IF(COUNTIF(Z30:Z74,"○")=45,"○",
IF(COUNTIF(Z30:Z74,"×")&gt;=1,"×",
IF(AND(COUNTIF(Z30:Z74,"◎")&gt;=1,COUNTIF(Z30:Z74,"×")=0),"◎")))</f>
        <v>◎</v>
      </c>
      <c r="AA26" s="395" t="str">
        <f xml:space="preserve">
IF(COUNTIF(Z30:Z74,"○")=45,"整備しない場合は入力不要です。",
IF(COUNTIF(Z30:Z74,"×")&gt;=1,"【要修正】入力が不十分な箇所があります。",
IF(AND(COUNTIF(Z30:Z74,"◎")&gt;=1,COUNTIF(Z30:Z74,"×")=0),"適切に入力がされました。")))</f>
        <v>適切に入力がされました。</v>
      </c>
    </row>
    <row r="27" spans="1:27" ht="9.9499999999999993" customHeight="1">
      <c r="Z27" s="1807" t="s">
        <v>418</v>
      </c>
      <c r="AA27" s="1810" t="s">
        <v>420</v>
      </c>
    </row>
    <row r="28" spans="1:27">
      <c r="B28" s="1823" t="s">
        <v>41</v>
      </c>
      <c r="C28" s="1824"/>
      <c r="D28" s="1825"/>
      <c r="E28" s="1823" t="s">
        <v>42</v>
      </c>
      <c r="F28" s="1825"/>
      <c r="G28" s="1823" t="s">
        <v>43</v>
      </c>
      <c r="H28" s="1824"/>
      <c r="I28" s="1824"/>
      <c r="J28" s="1825"/>
      <c r="K28" s="1826" t="s">
        <v>44</v>
      </c>
      <c r="L28" s="1826" t="s">
        <v>45</v>
      </c>
      <c r="Z28" s="1084"/>
      <c r="AA28" s="1811"/>
    </row>
    <row r="29" spans="1:27">
      <c r="B29" s="3" t="s">
        <v>46</v>
      </c>
      <c r="C29" s="3" t="s">
        <v>47</v>
      </c>
      <c r="D29" s="3" t="s">
        <v>48</v>
      </c>
      <c r="E29" s="3" t="s">
        <v>54</v>
      </c>
      <c r="F29" s="3" t="s">
        <v>49</v>
      </c>
      <c r="G29" s="3" t="s">
        <v>50</v>
      </c>
      <c r="H29" s="3" t="s">
        <v>51</v>
      </c>
      <c r="I29" s="3" t="s">
        <v>52</v>
      </c>
      <c r="J29" s="3" t="s">
        <v>53</v>
      </c>
      <c r="K29" s="1827"/>
      <c r="L29" s="1827"/>
      <c r="Z29" s="374" t="s">
        <v>415</v>
      </c>
      <c r="AA29" s="374" t="s">
        <v>417</v>
      </c>
    </row>
    <row r="30" spans="1:27">
      <c r="A30" s="12">
        <v>1</v>
      </c>
      <c r="B30" s="6"/>
      <c r="C30" s="6"/>
      <c r="D30" s="6"/>
      <c r="E30" s="10"/>
      <c r="F30" s="7"/>
      <c r="G30" s="541"/>
      <c r="H30" s="15">
        <f>ROUNDDOWN(G30*1.1,0)</f>
        <v>0</v>
      </c>
      <c r="I30" s="4">
        <f>F30*H30</f>
        <v>0</v>
      </c>
      <c r="J30" s="9"/>
      <c r="K30" s="4">
        <f>IF(J30="補助対象",I30,IF(J30="補助対象外",0,0))</f>
        <v>0</v>
      </c>
      <c r="L30" s="5" t="str">
        <f>IF(Z30="◎",COUNTIF($Z$30:Z30,"◎"),"")</f>
        <v/>
      </c>
      <c r="W30" s="395" t="str">
        <f>IF(B30="個別病床",はじめに入力してください!$K$50,IF(B30="共通使用",はじめに入力してください!$K$52,""))</f>
        <v/>
      </c>
      <c r="Y30" s="12">
        <v>1</v>
      </c>
      <c r="Z30" s="374" t="str">
        <f xml:space="preserve">
IF(SUM(COUNTA(B30:G30),COUNTA(J30))=0,"○",
IF(AND(SUM(COUNTA(B30:G30),COUNTA(J30))&gt;0,SUM(COUNTA(B30:G30),COUNTA(J30))&lt;7),"×",
IF(SUM(COUNTA(B30:G30),COUNTA(J30))=7,"◎")))</f>
        <v>○</v>
      </c>
      <c r="AA30" s="395" t="str">
        <f xml:space="preserve">
IF(SUM(COUNTA(B30:G30),COUNTA(J30))=0,"整備しない場合は入力不要です。",
IF(AND(SUM(COUNTA(B30:G30),COUNTA(J30))&gt;0,SUM(COUNTA(B30:G30),COUNTA(J30))&lt;7),"【要修正】未入力の箇所があります。",
IF(SUM(COUNTA(B30:G30),COUNTA(J30))=7,"適切に入力がされました。")))</f>
        <v>整備しない場合は入力不要です。</v>
      </c>
    </row>
    <row r="31" spans="1:27">
      <c r="A31" s="12">
        <v>2</v>
      </c>
      <c r="B31" s="6"/>
      <c r="C31" s="6"/>
      <c r="D31" s="6"/>
      <c r="E31" s="10"/>
      <c r="F31" s="7"/>
      <c r="G31" s="541"/>
      <c r="H31" s="15">
        <f t="shared" ref="H31:H74" si="0">ROUNDDOWN(G31*1.1,0)</f>
        <v>0</v>
      </c>
      <c r="I31" s="4">
        <f t="shared" ref="I31:I74" si="1">F31*H31</f>
        <v>0</v>
      </c>
      <c r="J31" s="9"/>
      <c r="K31" s="4">
        <f t="shared" ref="K31:K74" si="2">IF(J31="補助対象",I31,IF(J31="補助対象外",0,0))</f>
        <v>0</v>
      </c>
      <c r="L31" s="5" t="str">
        <f>IF(Z31="◎",COUNTIF($Z$30:Z31,"◎"),"")</f>
        <v/>
      </c>
      <c r="W31" s="395" t="str">
        <f>IF(B31="個別病床",はじめに入力してください!$K$50,IF(B31="共通使用",はじめに入力してください!$K$52,""))</f>
        <v/>
      </c>
      <c r="Y31" s="12">
        <v>2</v>
      </c>
      <c r="Z31" s="374" t="str">
        <f t="shared" ref="Z31:Z74" si="3" xml:space="preserve">
IF(SUM(COUNTA(B31:G31),COUNTA(J31))=0,"○",
IF(AND(SUM(COUNTA(B31:G31),COUNTA(J31))&gt;0,SUM(COUNTA(B31:G31),COUNTA(J31))&lt;7),"×",
IF(SUM(COUNTA(B31:G31),COUNTA(J31))=7,"◎")))</f>
        <v>○</v>
      </c>
      <c r="AA31" s="395" t="str">
        <f t="shared" ref="AA31:AA74" si="4" xml:space="preserve">
IF(SUM(COUNTA(B31:G31),COUNTA(J31))=0,"整備しない場合は入力不要です。",
IF(AND(SUM(COUNTA(B31:G31),COUNTA(J31))&gt;0,SUM(COUNTA(B31:G31),COUNTA(J31))&lt;7),"【要修正】未入力の箇所があります。",
IF(SUM(COUNTA(B31:G31),COUNTA(J31))=7,"適切に入力がされました。")))</f>
        <v>整備しない場合は入力不要です。</v>
      </c>
    </row>
    <row r="32" spans="1:27">
      <c r="A32" s="12">
        <v>3</v>
      </c>
      <c r="B32" s="6"/>
      <c r="C32" s="6"/>
      <c r="D32" s="6"/>
      <c r="E32" s="10"/>
      <c r="F32" s="7"/>
      <c r="G32" s="541"/>
      <c r="H32" s="15">
        <f t="shared" si="0"/>
        <v>0</v>
      </c>
      <c r="I32" s="4">
        <f t="shared" si="1"/>
        <v>0</v>
      </c>
      <c r="J32" s="9"/>
      <c r="K32" s="4">
        <f t="shared" si="2"/>
        <v>0</v>
      </c>
      <c r="L32" s="5" t="str">
        <f>IF(Z32="◎",COUNTIF($Z$30:Z32,"◎"),"")</f>
        <v/>
      </c>
      <c r="W32" s="395" t="str">
        <f>IF(B32="個別病床",はじめに入力してください!$K$50,IF(B32="共通使用",はじめに入力してください!$K$52,""))</f>
        <v/>
      </c>
      <c r="Y32" s="12">
        <v>3</v>
      </c>
      <c r="Z32" s="374" t="str">
        <f t="shared" si="3"/>
        <v>○</v>
      </c>
      <c r="AA32" s="395" t="str">
        <f t="shared" si="4"/>
        <v>整備しない場合は入力不要です。</v>
      </c>
    </row>
    <row r="33" spans="1:27">
      <c r="A33" s="12">
        <v>4</v>
      </c>
      <c r="B33" s="6" t="s">
        <v>691</v>
      </c>
      <c r="C33" s="6" t="s">
        <v>692</v>
      </c>
      <c r="D33" s="6" t="s">
        <v>1315</v>
      </c>
      <c r="E33" s="10" t="s">
        <v>1314</v>
      </c>
      <c r="F33" s="7">
        <v>14</v>
      </c>
      <c r="G33" s="541">
        <v>1000000</v>
      </c>
      <c r="H33" s="15">
        <f t="shared" si="0"/>
        <v>1100000</v>
      </c>
      <c r="I33" s="4">
        <f t="shared" si="1"/>
        <v>15400000</v>
      </c>
      <c r="J33" s="9" t="s">
        <v>1319</v>
      </c>
      <c r="K33" s="4">
        <f t="shared" si="2"/>
        <v>15400000</v>
      </c>
      <c r="L33" s="5">
        <f>IF(Z33="◎",COUNTIF($Z$30:Z33,"◎"),"")</f>
        <v>1</v>
      </c>
      <c r="W33" s="395">
        <f>IF(B33="個別病床",はじめに入力してください!$K$50,IF(B33="共通使用",はじめに入力してください!$K$52,""))</f>
        <v>0</v>
      </c>
      <c r="Y33" s="12">
        <v>4</v>
      </c>
      <c r="Z33" s="374" t="str">
        <f t="shared" si="3"/>
        <v>◎</v>
      </c>
      <c r="AA33" s="395" t="str">
        <f t="shared" si="4"/>
        <v>適切に入力がされました。</v>
      </c>
    </row>
    <row r="34" spans="1:27">
      <c r="A34" s="12">
        <v>5</v>
      </c>
      <c r="B34" s="6" t="s">
        <v>691</v>
      </c>
      <c r="C34" s="6" t="s">
        <v>692</v>
      </c>
      <c r="D34" s="6" t="s">
        <v>1316</v>
      </c>
      <c r="E34" s="10" t="s">
        <v>1317</v>
      </c>
      <c r="F34" s="7">
        <v>14</v>
      </c>
      <c r="G34" s="541">
        <v>1000000</v>
      </c>
      <c r="H34" s="15">
        <f t="shared" si="0"/>
        <v>1100000</v>
      </c>
      <c r="I34" s="4">
        <f t="shared" si="1"/>
        <v>15400000</v>
      </c>
      <c r="J34" s="9" t="s">
        <v>1320</v>
      </c>
      <c r="K34" s="4">
        <f t="shared" si="2"/>
        <v>0</v>
      </c>
      <c r="L34" s="5">
        <f>IF(Z34="◎",COUNTIF($Z$30:Z34,"◎"),"")</f>
        <v>2</v>
      </c>
      <c r="W34" s="395">
        <f>IF(B34="個別病床",はじめに入力してください!$K$50,IF(B34="共通使用",はじめに入力してください!$K$52,""))</f>
        <v>0</v>
      </c>
      <c r="Y34" s="12">
        <v>5</v>
      </c>
      <c r="Z34" s="374" t="str">
        <f t="shared" si="3"/>
        <v>◎</v>
      </c>
      <c r="AA34" s="395" t="str">
        <f t="shared" si="4"/>
        <v>適切に入力がされました。</v>
      </c>
    </row>
    <row r="35" spans="1:27">
      <c r="A35" s="12">
        <v>6</v>
      </c>
      <c r="B35" s="6" t="s">
        <v>102</v>
      </c>
      <c r="C35" s="6" t="s">
        <v>842</v>
      </c>
      <c r="D35" s="6" t="s">
        <v>1315</v>
      </c>
      <c r="E35" s="10" t="s">
        <v>1318</v>
      </c>
      <c r="F35" s="7">
        <v>14</v>
      </c>
      <c r="G35" s="541">
        <v>2000000</v>
      </c>
      <c r="H35" s="15">
        <f t="shared" si="0"/>
        <v>2200000</v>
      </c>
      <c r="I35" s="4">
        <f t="shared" si="1"/>
        <v>30800000</v>
      </c>
      <c r="J35" s="9" t="s">
        <v>1319</v>
      </c>
      <c r="K35" s="4">
        <f t="shared" si="2"/>
        <v>30800000</v>
      </c>
      <c r="L35" s="5">
        <f>IF(Z35="◎",COUNTIF($Z$30:Z35,"◎"),"")</f>
        <v>3</v>
      </c>
      <c r="W35" s="395">
        <f>IF(B35="個別病床",はじめに入力してください!$K$50,IF(B35="共通使用",はじめに入力してください!$K$52,""))</f>
        <v>0</v>
      </c>
      <c r="Y35" s="12">
        <v>6</v>
      </c>
      <c r="Z35" s="374" t="str">
        <f t="shared" si="3"/>
        <v>◎</v>
      </c>
      <c r="AA35" s="395" t="str">
        <f t="shared" si="4"/>
        <v>適切に入力がされました。</v>
      </c>
    </row>
    <row r="36" spans="1:27">
      <c r="A36" s="12">
        <v>7</v>
      </c>
      <c r="B36" s="6"/>
      <c r="C36" s="6"/>
      <c r="D36" s="6"/>
      <c r="E36" s="10"/>
      <c r="F36" s="7"/>
      <c r="G36" s="541"/>
      <c r="H36" s="15">
        <f t="shared" si="0"/>
        <v>0</v>
      </c>
      <c r="I36" s="4">
        <f t="shared" si="1"/>
        <v>0</v>
      </c>
      <c r="J36" s="9"/>
      <c r="K36" s="4">
        <f t="shared" si="2"/>
        <v>0</v>
      </c>
      <c r="L36" s="5" t="str">
        <f>IF(Z36="◎",COUNTIF($Z$30:Z36,"◎"),"")</f>
        <v/>
      </c>
      <c r="W36" s="395" t="str">
        <f>IF(B36="個別病床",はじめに入力してください!$K$50,IF(B36="共通使用",はじめに入力してください!$K$52,""))</f>
        <v/>
      </c>
      <c r="Y36" s="12">
        <v>7</v>
      </c>
      <c r="Z36" s="374" t="str">
        <f t="shared" si="3"/>
        <v>○</v>
      </c>
      <c r="AA36" s="395" t="str">
        <f t="shared" si="4"/>
        <v>整備しない場合は入力不要です。</v>
      </c>
    </row>
    <row r="37" spans="1:27">
      <c r="A37" s="12">
        <v>8</v>
      </c>
      <c r="B37" s="6"/>
      <c r="C37" s="6"/>
      <c r="D37" s="6"/>
      <c r="E37" s="10"/>
      <c r="F37" s="7"/>
      <c r="G37" s="541"/>
      <c r="H37" s="15">
        <f t="shared" si="0"/>
        <v>0</v>
      </c>
      <c r="I37" s="4">
        <f t="shared" si="1"/>
        <v>0</v>
      </c>
      <c r="J37" s="9"/>
      <c r="K37" s="4">
        <f t="shared" si="2"/>
        <v>0</v>
      </c>
      <c r="L37" s="5" t="str">
        <f>IF(Z37="◎",COUNTIF($Z$30:Z37,"◎"),"")</f>
        <v/>
      </c>
      <c r="W37" s="395" t="str">
        <f>IF(B37="個別病床",はじめに入力してください!$K$50,IF(B37="共通使用",はじめに入力してください!$K$52,""))</f>
        <v/>
      </c>
      <c r="Y37" s="12">
        <v>8</v>
      </c>
      <c r="Z37" s="374" t="str">
        <f t="shared" si="3"/>
        <v>○</v>
      </c>
      <c r="AA37" s="395" t="str">
        <f t="shared" si="4"/>
        <v>整備しない場合は入力不要です。</v>
      </c>
    </row>
    <row r="38" spans="1:27">
      <c r="A38" s="12">
        <v>9</v>
      </c>
      <c r="B38" s="6"/>
      <c r="C38" s="6"/>
      <c r="D38" s="6"/>
      <c r="E38" s="10"/>
      <c r="F38" s="7"/>
      <c r="G38" s="541"/>
      <c r="H38" s="15">
        <f t="shared" si="0"/>
        <v>0</v>
      </c>
      <c r="I38" s="4">
        <f t="shared" si="1"/>
        <v>0</v>
      </c>
      <c r="J38" s="9"/>
      <c r="K38" s="4">
        <f t="shared" si="2"/>
        <v>0</v>
      </c>
      <c r="L38" s="5" t="str">
        <f>IF(Z38="◎",COUNTIF($Z$30:Z38,"◎"),"")</f>
        <v/>
      </c>
      <c r="W38" s="395" t="str">
        <f>IF(B38="個別病床",はじめに入力してください!$K$50,IF(B38="共通使用",はじめに入力してください!$K$52,""))</f>
        <v/>
      </c>
      <c r="Y38" s="12">
        <v>9</v>
      </c>
      <c r="Z38" s="374" t="str">
        <f t="shared" si="3"/>
        <v>○</v>
      </c>
      <c r="AA38" s="395" t="str">
        <f t="shared" si="4"/>
        <v>整備しない場合は入力不要です。</v>
      </c>
    </row>
    <row r="39" spans="1:27">
      <c r="A39" s="12">
        <v>10</v>
      </c>
      <c r="B39" s="6"/>
      <c r="C39" s="6"/>
      <c r="D39" s="6"/>
      <c r="E39" s="10"/>
      <c r="F39" s="7"/>
      <c r="G39" s="541"/>
      <c r="H39" s="15">
        <f t="shared" si="0"/>
        <v>0</v>
      </c>
      <c r="I39" s="4">
        <f t="shared" si="1"/>
        <v>0</v>
      </c>
      <c r="J39" s="9"/>
      <c r="K39" s="4">
        <f t="shared" si="2"/>
        <v>0</v>
      </c>
      <c r="L39" s="5" t="str">
        <f>IF(Z39="◎",COUNTIF($Z$30:Z39,"◎"),"")</f>
        <v/>
      </c>
      <c r="W39" s="395" t="str">
        <f>IF(B39="個別病床",はじめに入力してください!$K$50,IF(B39="共通使用",はじめに入力してください!$K$52,""))</f>
        <v/>
      </c>
      <c r="Y39" s="12">
        <v>10</v>
      </c>
      <c r="Z39" s="374" t="str">
        <f t="shared" si="3"/>
        <v>○</v>
      </c>
      <c r="AA39" s="395" t="str">
        <f t="shared" si="4"/>
        <v>整備しない場合は入力不要です。</v>
      </c>
    </row>
    <row r="40" spans="1:27">
      <c r="A40" s="12">
        <v>11</v>
      </c>
      <c r="B40" s="6"/>
      <c r="C40" s="6"/>
      <c r="D40" s="6"/>
      <c r="E40" s="10"/>
      <c r="F40" s="7"/>
      <c r="G40" s="541"/>
      <c r="H40" s="15">
        <f t="shared" si="0"/>
        <v>0</v>
      </c>
      <c r="I40" s="4">
        <f t="shared" si="1"/>
        <v>0</v>
      </c>
      <c r="J40" s="9"/>
      <c r="K40" s="4">
        <f t="shared" si="2"/>
        <v>0</v>
      </c>
      <c r="L40" s="5" t="str">
        <f>IF(Z40="◎",COUNTIF($Z$30:Z40,"◎"),"")</f>
        <v/>
      </c>
      <c r="W40" s="395" t="str">
        <f>IF(B40="個別病床",はじめに入力してください!$K$50,IF(B40="共通使用",はじめに入力してください!$K$52,""))</f>
        <v/>
      </c>
      <c r="Y40" s="12">
        <v>11</v>
      </c>
      <c r="Z40" s="374" t="str">
        <f t="shared" si="3"/>
        <v>○</v>
      </c>
      <c r="AA40" s="395" t="str">
        <f t="shared" si="4"/>
        <v>整備しない場合は入力不要です。</v>
      </c>
    </row>
    <row r="41" spans="1:27">
      <c r="A41" s="12">
        <v>12</v>
      </c>
      <c r="B41" s="6"/>
      <c r="C41" s="6"/>
      <c r="D41" s="6"/>
      <c r="E41" s="10"/>
      <c r="F41" s="7"/>
      <c r="G41" s="541"/>
      <c r="H41" s="15">
        <f t="shared" si="0"/>
        <v>0</v>
      </c>
      <c r="I41" s="4">
        <f t="shared" si="1"/>
        <v>0</v>
      </c>
      <c r="J41" s="9"/>
      <c r="K41" s="4">
        <f t="shared" si="2"/>
        <v>0</v>
      </c>
      <c r="L41" s="5" t="str">
        <f>IF(Z41="◎",COUNTIF($Z$30:Z41,"◎"),"")</f>
        <v/>
      </c>
      <c r="W41" s="395" t="str">
        <f>IF(B41="個別病床",はじめに入力してください!$K$50,IF(B41="共通使用",はじめに入力してください!$K$52,""))</f>
        <v/>
      </c>
      <c r="Y41" s="12">
        <v>12</v>
      </c>
      <c r="Z41" s="374" t="str">
        <f t="shared" si="3"/>
        <v>○</v>
      </c>
      <c r="AA41" s="395" t="str">
        <f t="shared" si="4"/>
        <v>整備しない場合は入力不要です。</v>
      </c>
    </row>
    <row r="42" spans="1:27">
      <c r="A42" s="12">
        <v>13</v>
      </c>
      <c r="B42" s="6"/>
      <c r="C42" s="6"/>
      <c r="D42" s="6"/>
      <c r="E42" s="10"/>
      <c r="F42" s="7"/>
      <c r="G42" s="541"/>
      <c r="H42" s="15">
        <f t="shared" si="0"/>
        <v>0</v>
      </c>
      <c r="I42" s="4">
        <f t="shared" si="1"/>
        <v>0</v>
      </c>
      <c r="J42" s="9"/>
      <c r="K42" s="4">
        <f t="shared" si="2"/>
        <v>0</v>
      </c>
      <c r="L42" s="5" t="str">
        <f>IF(Z42="◎",COUNTIF($Z$30:Z42,"◎"),"")</f>
        <v/>
      </c>
      <c r="W42" s="395" t="str">
        <f>IF(B42="個別病床",はじめに入力してください!$K$50,IF(B42="共通使用",はじめに入力してください!$K$52,""))</f>
        <v/>
      </c>
      <c r="Y42" s="12">
        <v>13</v>
      </c>
      <c r="Z42" s="374" t="str">
        <f t="shared" si="3"/>
        <v>○</v>
      </c>
      <c r="AA42" s="395" t="str">
        <f t="shared" si="4"/>
        <v>整備しない場合は入力不要です。</v>
      </c>
    </row>
    <row r="43" spans="1:27">
      <c r="A43" s="12">
        <v>14</v>
      </c>
      <c r="B43" s="6"/>
      <c r="C43" s="6"/>
      <c r="D43" s="6"/>
      <c r="E43" s="10"/>
      <c r="F43" s="7"/>
      <c r="G43" s="541"/>
      <c r="H43" s="15">
        <f t="shared" si="0"/>
        <v>0</v>
      </c>
      <c r="I43" s="4">
        <f t="shared" si="1"/>
        <v>0</v>
      </c>
      <c r="J43" s="9"/>
      <c r="K43" s="4">
        <f t="shared" si="2"/>
        <v>0</v>
      </c>
      <c r="L43" s="5" t="str">
        <f>IF(Z43="◎",COUNTIF($Z$30:Z43,"◎"),"")</f>
        <v/>
      </c>
      <c r="W43" s="395" t="str">
        <f>IF(B43="個別病床",はじめに入力してください!$K$50,IF(B43="共通使用",はじめに入力してください!$K$52,""))</f>
        <v/>
      </c>
      <c r="Y43" s="12">
        <v>14</v>
      </c>
      <c r="Z43" s="374" t="str">
        <f t="shared" si="3"/>
        <v>○</v>
      </c>
      <c r="AA43" s="395" t="str">
        <f t="shared" si="4"/>
        <v>整備しない場合は入力不要です。</v>
      </c>
    </row>
    <row r="44" spans="1:27">
      <c r="A44" s="12">
        <v>15</v>
      </c>
      <c r="B44" s="6"/>
      <c r="C44" s="6"/>
      <c r="D44" s="6"/>
      <c r="E44" s="10"/>
      <c r="F44" s="7"/>
      <c r="G44" s="541"/>
      <c r="H44" s="15">
        <f t="shared" si="0"/>
        <v>0</v>
      </c>
      <c r="I44" s="4">
        <f t="shared" si="1"/>
        <v>0</v>
      </c>
      <c r="J44" s="9"/>
      <c r="K44" s="4">
        <f t="shared" si="2"/>
        <v>0</v>
      </c>
      <c r="L44" s="5" t="str">
        <f>IF(Z44="◎",COUNTIF($Z$30:Z44,"◎"),"")</f>
        <v/>
      </c>
      <c r="W44" s="395" t="str">
        <f>IF(B44="個別病床",はじめに入力してください!$K$50,IF(B44="共通使用",はじめに入力してください!$K$52,""))</f>
        <v/>
      </c>
      <c r="Y44" s="12">
        <v>15</v>
      </c>
      <c r="Z44" s="374" t="str">
        <f t="shared" si="3"/>
        <v>○</v>
      </c>
      <c r="AA44" s="395" t="str">
        <f t="shared" si="4"/>
        <v>整備しない場合は入力不要です。</v>
      </c>
    </row>
    <row r="45" spans="1:27">
      <c r="A45" s="12">
        <v>16</v>
      </c>
      <c r="B45" s="6"/>
      <c r="C45" s="6"/>
      <c r="D45" s="6"/>
      <c r="E45" s="10"/>
      <c r="F45" s="7"/>
      <c r="G45" s="541"/>
      <c r="H45" s="15">
        <f t="shared" si="0"/>
        <v>0</v>
      </c>
      <c r="I45" s="4">
        <f t="shared" si="1"/>
        <v>0</v>
      </c>
      <c r="J45" s="9"/>
      <c r="K45" s="4">
        <f t="shared" si="2"/>
        <v>0</v>
      </c>
      <c r="L45" s="5" t="str">
        <f>IF(Z45="◎",COUNTIF($Z$30:Z45,"◎"),"")</f>
        <v/>
      </c>
      <c r="W45" s="395" t="str">
        <f>IF(B45="個別病床",はじめに入力してください!$K$50,IF(B45="共通使用",はじめに入力してください!$K$52,""))</f>
        <v/>
      </c>
      <c r="Y45" s="12">
        <v>16</v>
      </c>
      <c r="Z45" s="374" t="str">
        <f t="shared" si="3"/>
        <v>○</v>
      </c>
      <c r="AA45" s="395" t="str">
        <f t="shared" si="4"/>
        <v>整備しない場合は入力不要です。</v>
      </c>
    </row>
    <row r="46" spans="1:27">
      <c r="A46" s="12">
        <v>17</v>
      </c>
      <c r="B46" s="6"/>
      <c r="C46" s="6"/>
      <c r="D46" s="6"/>
      <c r="E46" s="10"/>
      <c r="F46" s="7"/>
      <c r="G46" s="541"/>
      <c r="H46" s="15">
        <f t="shared" si="0"/>
        <v>0</v>
      </c>
      <c r="I46" s="4">
        <f t="shared" si="1"/>
        <v>0</v>
      </c>
      <c r="J46" s="9"/>
      <c r="K46" s="4">
        <f t="shared" si="2"/>
        <v>0</v>
      </c>
      <c r="L46" s="5" t="str">
        <f>IF(Z46="◎",COUNTIF($Z$30:Z46,"◎"),"")</f>
        <v/>
      </c>
      <c r="W46" s="395" t="str">
        <f>IF(B46="個別病床",はじめに入力してください!$K$50,IF(B46="共通使用",はじめに入力してください!$K$52,""))</f>
        <v/>
      </c>
      <c r="Y46" s="12">
        <v>17</v>
      </c>
      <c r="Z46" s="374" t="str">
        <f t="shared" si="3"/>
        <v>○</v>
      </c>
      <c r="AA46" s="395" t="str">
        <f t="shared" si="4"/>
        <v>整備しない場合は入力不要です。</v>
      </c>
    </row>
    <row r="47" spans="1:27">
      <c r="A47" s="12">
        <v>18</v>
      </c>
      <c r="B47" s="6"/>
      <c r="C47" s="6"/>
      <c r="D47" s="6"/>
      <c r="E47" s="10"/>
      <c r="F47" s="7"/>
      <c r="G47" s="541"/>
      <c r="H47" s="15">
        <f t="shared" si="0"/>
        <v>0</v>
      </c>
      <c r="I47" s="4">
        <f t="shared" si="1"/>
        <v>0</v>
      </c>
      <c r="J47" s="9"/>
      <c r="K47" s="4">
        <f t="shared" si="2"/>
        <v>0</v>
      </c>
      <c r="L47" s="5" t="str">
        <f>IF(Z47="◎",COUNTIF($Z$30:Z47,"◎"),"")</f>
        <v/>
      </c>
      <c r="W47" s="395" t="str">
        <f>IF(B47="個別病床",はじめに入力してください!$K$50,IF(B47="共通使用",はじめに入力してください!$K$52,""))</f>
        <v/>
      </c>
      <c r="Y47" s="12">
        <v>18</v>
      </c>
      <c r="Z47" s="374" t="str">
        <f t="shared" si="3"/>
        <v>○</v>
      </c>
      <c r="AA47" s="395" t="str">
        <f t="shared" si="4"/>
        <v>整備しない場合は入力不要です。</v>
      </c>
    </row>
    <row r="48" spans="1:27">
      <c r="A48" s="12">
        <v>19</v>
      </c>
      <c r="B48" s="6"/>
      <c r="C48" s="6"/>
      <c r="D48" s="6"/>
      <c r="E48" s="10"/>
      <c r="F48" s="7"/>
      <c r="G48" s="541"/>
      <c r="H48" s="15">
        <f t="shared" si="0"/>
        <v>0</v>
      </c>
      <c r="I48" s="4">
        <f t="shared" si="1"/>
        <v>0</v>
      </c>
      <c r="J48" s="9"/>
      <c r="K48" s="4">
        <f t="shared" si="2"/>
        <v>0</v>
      </c>
      <c r="L48" s="5" t="str">
        <f>IF(Z48="◎",COUNTIF($Z$30:Z48,"◎"),"")</f>
        <v/>
      </c>
      <c r="W48" s="395" t="str">
        <f>IF(B48="個別病床",はじめに入力してください!$K$50,IF(B48="共通使用",はじめに入力してください!$K$52,""))</f>
        <v/>
      </c>
      <c r="Y48" s="12">
        <v>19</v>
      </c>
      <c r="Z48" s="374" t="str">
        <f t="shared" si="3"/>
        <v>○</v>
      </c>
      <c r="AA48" s="395" t="str">
        <f t="shared" si="4"/>
        <v>整備しない場合は入力不要です。</v>
      </c>
    </row>
    <row r="49" spans="1:27">
      <c r="A49" s="12">
        <v>20</v>
      </c>
      <c r="B49" s="6"/>
      <c r="C49" s="6"/>
      <c r="D49" s="6"/>
      <c r="E49" s="10"/>
      <c r="F49" s="7"/>
      <c r="G49" s="541"/>
      <c r="H49" s="15">
        <f t="shared" si="0"/>
        <v>0</v>
      </c>
      <c r="I49" s="4">
        <f t="shared" si="1"/>
        <v>0</v>
      </c>
      <c r="J49" s="9"/>
      <c r="K49" s="4">
        <f t="shared" si="2"/>
        <v>0</v>
      </c>
      <c r="L49" s="5" t="str">
        <f>IF(Z49="◎",COUNTIF($Z$30:Z49,"◎"),"")</f>
        <v/>
      </c>
      <c r="W49" s="395" t="str">
        <f>IF(B49="個別病床",はじめに入力してください!$K$50,IF(B49="共通使用",はじめに入力してください!$K$52,""))</f>
        <v/>
      </c>
      <c r="Y49" s="12">
        <v>20</v>
      </c>
      <c r="Z49" s="374" t="str">
        <f t="shared" si="3"/>
        <v>○</v>
      </c>
      <c r="AA49" s="395" t="str">
        <f t="shared" si="4"/>
        <v>整備しない場合は入力不要です。</v>
      </c>
    </row>
    <row r="50" spans="1:27">
      <c r="A50" s="12">
        <v>21</v>
      </c>
      <c r="B50" s="6"/>
      <c r="C50" s="6"/>
      <c r="D50" s="6"/>
      <c r="E50" s="10"/>
      <c r="F50" s="7"/>
      <c r="G50" s="541"/>
      <c r="H50" s="15">
        <f t="shared" si="0"/>
        <v>0</v>
      </c>
      <c r="I50" s="4">
        <f t="shared" si="1"/>
        <v>0</v>
      </c>
      <c r="J50" s="9"/>
      <c r="K50" s="4">
        <f t="shared" si="2"/>
        <v>0</v>
      </c>
      <c r="L50" s="5" t="str">
        <f>IF(Z50="◎",COUNTIF($Z$30:Z50,"◎"),"")</f>
        <v/>
      </c>
      <c r="W50" s="395" t="str">
        <f>IF(B50="個別病床",はじめに入力してください!$K$50,IF(B50="共通使用",はじめに入力してください!$K$52,""))</f>
        <v/>
      </c>
      <c r="Y50" s="12">
        <v>21</v>
      </c>
      <c r="Z50" s="374" t="str">
        <f t="shared" si="3"/>
        <v>○</v>
      </c>
      <c r="AA50" s="395" t="str">
        <f t="shared" si="4"/>
        <v>整備しない場合は入力不要です。</v>
      </c>
    </row>
    <row r="51" spans="1:27">
      <c r="A51" s="12">
        <v>22</v>
      </c>
      <c r="B51" s="6"/>
      <c r="C51" s="6"/>
      <c r="D51" s="6"/>
      <c r="E51" s="10"/>
      <c r="F51" s="7"/>
      <c r="G51" s="541"/>
      <c r="H51" s="15">
        <f t="shared" si="0"/>
        <v>0</v>
      </c>
      <c r="I51" s="4">
        <f t="shared" si="1"/>
        <v>0</v>
      </c>
      <c r="J51" s="9"/>
      <c r="K51" s="4">
        <f t="shared" si="2"/>
        <v>0</v>
      </c>
      <c r="L51" s="5" t="str">
        <f>IF(Z51="◎",COUNTIF($Z$30:Z51,"◎"),"")</f>
        <v/>
      </c>
      <c r="W51" s="395" t="str">
        <f>IF(B51="個別病床",はじめに入力してください!$K$50,IF(B51="共通使用",はじめに入力してください!$K$52,""))</f>
        <v/>
      </c>
      <c r="Y51" s="12">
        <v>22</v>
      </c>
      <c r="Z51" s="374" t="str">
        <f t="shared" si="3"/>
        <v>○</v>
      </c>
      <c r="AA51" s="395" t="str">
        <f t="shared" si="4"/>
        <v>整備しない場合は入力不要です。</v>
      </c>
    </row>
    <row r="52" spans="1:27">
      <c r="A52" s="12">
        <v>23</v>
      </c>
      <c r="B52" s="6"/>
      <c r="C52" s="6"/>
      <c r="D52" s="6"/>
      <c r="E52" s="10"/>
      <c r="F52" s="7"/>
      <c r="G52" s="541"/>
      <c r="H52" s="15">
        <f t="shared" si="0"/>
        <v>0</v>
      </c>
      <c r="I52" s="4">
        <f t="shared" si="1"/>
        <v>0</v>
      </c>
      <c r="J52" s="9"/>
      <c r="K52" s="4">
        <f t="shared" si="2"/>
        <v>0</v>
      </c>
      <c r="L52" s="5" t="str">
        <f>IF(Z52="◎",COUNTIF($Z$30:Z52,"◎"),"")</f>
        <v/>
      </c>
      <c r="W52" s="395" t="str">
        <f>IF(B52="個別病床",はじめに入力してください!$K$50,IF(B52="共通使用",はじめに入力してください!$K$52,""))</f>
        <v/>
      </c>
      <c r="Y52" s="12">
        <v>23</v>
      </c>
      <c r="Z52" s="374" t="str">
        <f t="shared" si="3"/>
        <v>○</v>
      </c>
      <c r="AA52" s="395" t="str">
        <f t="shared" si="4"/>
        <v>整備しない場合は入力不要です。</v>
      </c>
    </row>
    <row r="53" spans="1:27">
      <c r="A53" s="12">
        <v>24</v>
      </c>
      <c r="B53" s="6"/>
      <c r="C53" s="6"/>
      <c r="D53" s="6"/>
      <c r="E53" s="10"/>
      <c r="F53" s="7"/>
      <c r="G53" s="541"/>
      <c r="H53" s="15">
        <f t="shared" si="0"/>
        <v>0</v>
      </c>
      <c r="I53" s="4">
        <f t="shared" si="1"/>
        <v>0</v>
      </c>
      <c r="J53" s="9"/>
      <c r="K53" s="4">
        <f t="shared" si="2"/>
        <v>0</v>
      </c>
      <c r="L53" s="5" t="str">
        <f>IF(Z53="◎",COUNTIF($Z$30:Z53,"◎"),"")</f>
        <v/>
      </c>
      <c r="W53" s="395" t="str">
        <f>IF(B53="個別病床",はじめに入力してください!$K$50,IF(B53="共通使用",はじめに入力してください!$K$52,""))</f>
        <v/>
      </c>
      <c r="Y53" s="12">
        <v>24</v>
      </c>
      <c r="Z53" s="374" t="str">
        <f t="shared" si="3"/>
        <v>○</v>
      </c>
      <c r="AA53" s="395" t="str">
        <f t="shared" si="4"/>
        <v>整備しない場合は入力不要です。</v>
      </c>
    </row>
    <row r="54" spans="1:27">
      <c r="A54" s="12">
        <v>25</v>
      </c>
      <c r="B54" s="6"/>
      <c r="C54" s="6"/>
      <c r="D54" s="6"/>
      <c r="E54" s="10"/>
      <c r="F54" s="7"/>
      <c r="G54" s="541"/>
      <c r="H54" s="15">
        <f t="shared" si="0"/>
        <v>0</v>
      </c>
      <c r="I54" s="4">
        <f t="shared" si="1"/>
        <v>0</v>
      </c>
      <c r="J54" s="9"/>
      <c r="K54" s="4">
        <f t="shared" si="2"/>
        <v>0</v>
      </c>
      <c r="L54" s="5" t="str">
        <f>IF(Z54="◎",COUNTIF($Z$30:Z54,"◎"),"")</f>
        <v/>
      </c>
      <c r="W54" s="395" t="str">
        <f>IF(B54="個別病床",はじめに入力してください!$K$50,IF(B54="共通使用",はじめに入力してください!$K$52,""))</f>
        <v/>
      </c>
      <c r="Y54" s="12">
        <v>25</v>
      </c>
      <c r="Z54" s="374" t="str">
        <f t="shared" si="3"/>
        <v>○</v>
      </c>
      <c r="AA54" s="395" t="str">
        <f t="shared" si="4"/>
        <v>整備しない場合は入力不要です。</v>
      </c>
    </row>
    <row r="55" spans="1:27">
      <c r="A55" s="12">
        <v>26</v>
      </c>
      <c r="B55" s="6"/>
      <c r="C55" s="6"/>
      <c r="D55" s="6"/>
      <c r="E55" s="10"/>
      <c r="F55" s="7"/>
      <c r="G55" s="541"/>
      <c r="H55" s="15">
        <f t="shared" si="0"/>
        <v>0</v>
      </c>
      <c r="I55" s="4">
        <f t="shared" si="1"/>
        <v>0</v>
      </c>
      <c r="J55" s="9"/>
      <c r="K55" s="4">
        <f t="shared" si="2"/>
        <v>0</v>
      </c>
      <c r="L55" s="5" t="str">
        <f>IF(Z55="◎",COUNTIF($Z$30:Z55,"◎"),"")</f>
        <v/>
      </c>
      <c r="W55" s="395" t="str">
        <f>IF(B55="個別病床",はじめに入力してください!$K$50,IF(B55="共通使用",はじめに入力してください!$K$52,""))</f>
        <v/>
      </c>
      <c r="Y55" s="12">
        <v>26</v>
      </c>
      <c r="Z55" s="374" t="str">
        <f t="shared" si="3"/>
        <v>○</v>
      </c>
      <c r="AA55" s="395" t="str">
        <f t="shared" si="4"/>
        <v>整備しない場合は入力不要です。</v>
      </c>
    </row>
    <row r="56" spans="1:27">
      <c r="A56" s="12">
        <v>27</v>
      </c>
      <c r="B56" s="6"/>
      <c r="C56" s="6"/>
      <c r="D56" s="6"/>
      <c r="E56" s="10"/>
      <c r="F56" s="7"/>
      <c r="G56" s="541"/>
      <c r="H56" s="15">
        <f t="shared" si="0"/>
        <v>0</v>
      </c>
      <c r="I56" s="4">
        <f t="shared" si="1"/>
        <v>0</v>
      </c>
      <c r="J56" s="9"/>
      <c r="K56" s="4">
        <f t="shared" si="2"/>
        <v>0</v>
      </c>
      <c r="L56" s="5" t="str">
        <f>IF(Z56="◎",COUNTIF($Z$30:Z56,"◎"),"")</f>
        <v/>
      </c>
      <c r="W56" s="395" t="str">
        <f>IF(B56="個別病床",はじめに入力してください!$K$50,IF(B56="共通使用",はじめに入力してください!$K$52,""))</f>
        <v/>
      </c>
      <c r="Y56" s="12">
        <v>27</v>
      </c>
      <c r="Z56" s="374" t="str">
        <f t="shared" si="3"/>
        <v>○</v>
      </c>
      <c r="AA56" s="395" t="str">
        <f t="shared" si="4"/>
        <v>整備しない場合は入力不要です。</v>
      </c>
    </row>
    <row r="57" spans="1:27">
      <c r="A57" s="12">
        <v>28</v>
      </c>
      <c r="B57" s="6"/>
      <c r="C57" s="6"/>
      <c r="D57" s="6"/>
      <c r="E57" s="10"/>
      <c r="F57" s="7"/>
      <c r="G57" s="541"/>
      <c r="H57" s="15">
        <f t="shared" si="0"/>
        <v>0</v>
      </c>
      <c r="I57" s="4">
        <f t="shared" si="1"/>
        <v>0</v>
      </c>
      <c r="J57" s="9"/>
      <c r="K57" s="4">
        <f t="shared" si="2"/>
        <v>0</v>
      </c>
      <c r="L57" s="5" t="str">
        <f>IF(Z57="◎",COUNTIF($Z$30:Z57,"◎"),"")</f>
        <v/>
      </c>
      <c r="W57" s="395" t="str">
        <f>IF(B57="個別病床",はじめに入力してください!$K$50,IF(B57="共通使用",はじめに入力してください!$K$52,""))</f>
        <v/>
      </c>
      <c r="Y57" s="12">
        <v>28</v>
      </c>
      <c r="Z57" s="374" t="str">
        <f t="shared" si="3"/>
        <v>○</v>
      </c>
      <c r="AA57" s="395" t="str">
        <f t="shared" si="4"/>
        <v>整備しない場合は入力不要です。</v>
      </c>
    </row>
    <row r="58" spans="1:27">
      <c r="A58" s="12">
        <v>29</v>
      </c>
      <c r="B58" s="6"/>
      <c r="C58" s="6"/>
      <c r="D58" s="6"/>
      <c r="E58" s="10"/>
      <c r="F58" s="7"/>
      <c r="G58" s="541"/>
      <c r="H58" s="15">
        <f t="shared" si="0"/>
        <v>0</v>
      </c>
      <c r="I58" s="4">
        <f t="shared" si="1"/>
        <v>0</v>
      </c>
      <c r="J58" s="9"/>
      <c r="K58" s="4">
        <f t="shared" si="2"/>
        <v>0</v>
      </c>
      <c r="L58" s="5" t="str">
        <f>IF(Z58="◎",COUNTIF($Z$30:Z58,"◎"),"")</f>
        <v/>
      </c>
      <c r="W58" s="395" t="str">
        <f>IF(B58="個別病床",はじめに入力してください!$K$50,IF(B58="共通使用",はじめに入力してください!$K$52,""))</f>
        <v/>
      </c>
      <c r="Y58" s="12">
        <v>29</v>
      </c>
      <c r="Z58" s="374" t="str">
        <f t="shared" si="3"/>
        <v>○</v>
      </c>
      <c r="AA58" s="395" t="str">
        <f t="shared" si="4"/>
        <v>整備しない場合は入力不要です。</v>
      </c>
    </row>
    <row r="59" spans="1:27">
      <c r="A59" s="12">
        <v>30</v>
      </c>
      <c r="B59" s="6"/>
      <c r="C59" s="6"/>
      <c r="D59" s="6"/>
      <c r="E59" s="10"/>
      <c r="F59" s="7"/>
      <c r="G59" s="541"/>
      <c r="H59" s="15">
        <f t="shared" si="0"/>
        <v>0</v>
      </c>
      <c r="I59" s="4">
        <f t="shared" si="1"/>
        <v>0</v>
      </c>
      <c r="J59" s="9"/>
      <c r="K59" s="4">
        <f t="shared" si="2"/>
        <v>0</v>
      </c>
      <c r="L59" s="5" t="str">
        <f>IF(Z59="◎",COUNTIF($Z$30:Z59,"◎"),"")</f>
        <v/>
      </c>
      <c r="W59" s="395" t="str">
        <f>IF(B59="個別病床",はじめに入力してください!$K$50,IF(B59="共通使用",はじめに入力してください!$K$52,""))</f>
        <v/>
      </c>
      <c r="Y59" s="12">
        <v>30</v>
      </c>
      <c r="Z59" s="374" t="str">
        <f t="shared" si="3"/>
        <v>○</v>
      </c>
      <c r="AA59" s="395" t="str">
        <f t="shared" si="4"/>
        <v>整備しない場合は入力不要です。</v>
      </c>
    </row>
    <row r="60" spans="1:27">
      <c r="A60" s="12">
        <v>31</v>
      </c>
      <c r="B60" s="6"/>
      <c r="C60" s="6"/>
      <c r="D60" s="6"/>
      <c r="E60" s="10"/>
      <c r="F60" s="7"/>
      <c r="G60" s="541"/>
      <c r="H60" s="15">
        <f t="shared" si="0"/>
        <v>0</v>
      </c>
      <c r="I60" s="4">
        <f t="shared" si="1"/>
        <v>0</v>
      </c>
      <c r="J60" s="9"/>
      <c r="K60" s="4">
        <f t="shared" si="2"/>
        <v>0</v>
      </c>
      <c r="L60" s="5" t="str">
        <f>IF(Z60="◎",COUNTIF($Z$30:Z60,"◎"),"")</f>
        <v/>
      </c>
      <c r="W60" s="395" t="str">
        <f>IF(B60="個別病床",はじめに入力してください!$K$50,IF(B60="共通使用",はじめに入力してください!$K$52,""))</f>
        <v/>
      </c>
      <c r="Y60" s="12">
        <v>31</v>
      </c>
      <c r="Z60" s="374" t="str">
        <f t="shared" si="3"/>
        <v>○</v>
      </c>
      <c r="AA60" s="395" t="str">
        <f t="shared" si="4"/>
        <v>整備しない場合は入力不要です。</v>
      </c>
    </row>
    <row r="61" spans="1:27">
      <c r="A61" s="12">
        <v>32</v>
      </c>
      <c r="B61" s="6"/>
      <c r="C61" s="6"/>
      <c r="D61" s="6"/>
      <c r="E61" s="10"/>
      <c r="F61" s="7"/>
      <c r="G61" s="541"/>
      <c r="H61" s="15">
        <f t="shared" si="0"/>
        <v>0</v>
      </c>
      <c r="I61" s="4">
        <f t="shared" si="1"/>
        <v>0</v>
      </c>
      <c r="J61" s="9"/>
      <c r="K61" s="4">
        <f t="shared" si="2"/>
        <v>0</v>
      </c>
      <c r="L61" s="5" t="str">
        <f>IF(Z61="◎",COUNTIF($Z$30:Z61,"◎"),"")</f>
        <v/>
      </c>
      <c r="W61" s="395" t="str">
        <f>IF(B61="個別病床",はじめに入力してください!$K$50,IF(B61="共通使用",はじめに入力してください!$K$52,""))</f>
        <v/>
      </c>
      <c r="Y61" s="12">
        <v>32</v>
      </c>
      <c r="Z61" s="374" t="str">
        <f t="shared" si="3"/>
        <v>○</v>
      </c>
      <c r="AA61" s="395" t="str">
        <f t="shared" si="4"/>
        <v>整備しない場合は入力不要です。</v>
      </c>
    </row>
    <row r="62" spans="1:27">
      <c r="A62" s="12">
        <v>33</v>
      </c>
      <c r="B62" s="6"/>
      <c r="C62" s="6"/>
      <c r="D62" s="6"/>
      <c r="E62" s="10"/>
      <c r="F62" s="7"/>
      <c r="G62" s="541"/>
      <c r="H62" s="15">
        <f t="shared" si="0"/>
        <v>0</v>
      </c>
      <c r="I62" s="4">
        <f t="shared" si="1"/>
        <v>0</v>
      </c>
      <c r="J62" s="9"/>
      <c r="K62" s="4">
        <f t="shared" si="2"/>
        <v>0</v>
      </c>
      <c r="L62" s="5" t="str">
        <f>IF(Z62="◎",COUNTIF($Z$30:Z62,"◎"),"")</f>
        <v/>
      </c>
      <c r="W62" s="395" t="str">
        <f>IF(B62="個別病床",はじめに入力してください!$K$50,IF(B62="共通使用",はじめに入力してください!$K$52,""))</f>
        <v/>
      </c>
      <c r="Y62" s="12">
        <v>33</v>
      </c>
      <c r="Z62" s="374" t="str">
        <f t="shared" si="3"/>
        <v>○</v>
      </c>
      <c r="AA62" s="395" t="str">
        <f t="shared" si="4"/>
        <v>整備しない場合は入力不要です。</v>
      </c>
    </row>
    <row r="63" spans="1:27">
      <c r="A63" s="12">
        <v>34</v>
      </c>
      <c r="B63" s="6"/>
      <c r="C63" s="6"/>
      <c r="D63" s="6"/>
      <c r="E63" s="10"/>
      <c r="F63" s="7"/>
      <c r="G63" s="541"/>
      <c r="H63" s="15">
        <f t="shared" si="0"/>
        <v>0</v>
      </c>
      <c r="I63" s="4">
        <f t="shared" si="1"/>
        <v>0</v>
      </c>
      <c r="J63" s="9"/>
      <c r="K63" s="4">
        <f t="shared" si="2"/>
        <v>0</v>
      </c>
      <c r="L63" s="5" t="str">
        <f>IF(Z63="◎",COUNTIF($Z$30:Z63,"◎"),"")</f>
        <v/>
      </c>
      <c r="W63" s="395" t="str">
        <f>IF(B63="個別病床",はじめに入力してください!$K$50,IF(B63="共通使用",はじめに入力してください!$K$52,""))</f>
        <v/>
      </c>
      <c r="Y63" s="12">
        <v>34</v>
      </c>
      <c r="Z63" s="374" t="str">
        <f t="shared" si="3"/>
        <v>○</v>
      </c>
      <c r="AA63" s="395" t="str">
        <f t="shared" si="4"/>
        <v>整備しない場合は入力不要です。</v>
      </c>
    </row>
    <row r="64" spans="1:27">
      <c r="A64" s="12">
        <v>35</v>
      </c>
      <c r="B64" s="6"/>
      <c r="C64" s="6"/>
      <c r="D64" s="6"/>
      <c r="E64" s="10"/>
      <c r="F64" s="7"/>
      <c r="G64" s="541"/>
      <c r="H64" s="15">
        <f t="shared" si="0"/>
        <v>0</v>
      </c>
      <c r="I64" s="4">
        <f t="shared" si="1"/>
        <v>0</v>
      </c>
      <c r="J64" s="9"/>
      <c r="K64" s="4">
        <f t="shared" si="2"/>
        <v>0</v>
      </c>
      <c r="L64" s="5" t="str">
        <f>IF(Z64="◎",COUNTIF($Z$30:Z64,"◎"),"")</f>
        <v/>
      </c>
      <c r="W64" s="395" t="str">
        <f>IF(B64="個別病床",はじめに入力してください!$K$50,IF(B64="共通使用",はじめに入力してください!$K$52,""))</f>
        <v/>
      </c>
      <c r="Y64" s="12">
        <v>35</v>
      </c>
      <c r="Z64" s="374" t="str">
        <f t="shared" si="3"/>
        <v>○</v>
      </c>
      <c r="AA64" s="395" t="str">
        <f t="shared" si="4"/>
        <v>整備しない場合は入力不要です。</v>
      </c>
    </row>
    <row r="65" spans="1:27">
      <c r="A65" s="12">
        <v>36</v>
      </c>
      <c r="B65" s="6"/>
      <c r="C65" s="6"/>
      <c r="D65" s="6"/>
      <c r="E65" s="10"/>
      <c r="F65" s="7"/>
      <c r="G65" s="541"/>
      <c r="H65" s="15">
        <f t="shared" si="0"/>
        <v>0</v>
      </c>
      <c r="I65" s="4">
        <f t="shared" si="1"/>
        <v>0</v>
      </c>
      <c r="J65" s="9"/>
      <c r="K65" s="4">
        <f t="shared" si="2"/>
        <v>0</v>
      </c>
      <c r="L65" s="5" t="str">
        <f>IF(Z65="◎",COUNTIF($Z$30:Z65,"◎"),"")</f>
        <v/>
      </c>
      <c r="W65" s="395" t="str">
        <f>IF(B65="個別病床",はじめに入力してください!$K$50,IF(B65="共通使用",はじめに入力してください!$K$52,""))</f>
        <v/>
      </c>
      <c r="Y65" s="12">
        <v>36</v>
      </c>
      <c r="Z65" s="374" t="str">
        <f t="shared" si="3"/>
        <v>○</v>
      </c>
      <c r="AA65" s="395" t="str">
        <f t="shared" si="4"/>
        <v>整備しない場合は入力不要です。</v>
      </c>
    </row>
    <row r="66" spans="1:27">
      <c r="A66" s="12">
        <v>37</v>
      </c>
      <c r="B66" s="6"/>
      <c r="C66" s="6"/>
      <c r="D66" s="6"/>
      <c r="E66" s="10"/>
      <c r="F66" s="7"/>
      <c r="G66" s="541"/>
      <c r="H66" s="15">
        <f t="shared" si="0"/>
        <v>0</v>
      </c>
      <c r="I66" s="4">
        <f t="shared" si="1"/>
        <v>0</v>
      </c>
      <c r="J66" s="9"/>
      <c r="K66" s="4">
        <f t="shared" si="2"/>
        <v>0</v>
      </c>
      <c r="L66" s="5" t="str">
        <f>IF(Z66="◎",COUNTIF($Z$30:Z66,"◎"),"")</f>
        <v/>
      </c>
      <c r="W66" s="395" t="str">
        <f>IF(B66="個別病床",はじめに入力してください!$K$50,IF(B66="共通使用",はじめに入力してください!$K$52,""))</f>
        <v/>
      </c>
      <c r="Y66" s="12">
        <v>37</v>
      </c>
      <c r="Z66" s="374" t="str">
        <f t="shared" si="3"/>
        <v>○</v>
      </c>
      <c r="AA66" s="395" t="str">
        <f t="shared" si="4"/>
        <v>整備しない場合は入力不要です。</v>
      </c>
    </row>
    <row r="67" spans="1:27">
      <c r="A67" s="12">
        <v>38</v>
      </c>
      <c r="B67" s="6"/>
      <c r="C67" s="6"/>
      <c r="D67" s="6"/>
      <c r="E67" s="10"/>
      <c r="F67" s="7"/>
      <c r="G67" s="541"/>
      <c r="H67" s="15">
        <f t="shared" si="0"/>
        <v>0</v>
      </c>
      <c r="I67" s="4">
        <f t="shared" si="1"/>
        <v>0</v>
      </c>
      <c r="J67" s="9"/>
      <c r="K67" s="4">
        <f t="shared" si="2"/>
        <v>0</v>
      </c>
      <c r="L67" s="5" t="str">
        <f>IF(Z67="◎",COUNTIF($Z$30:Z67,"◎"),"")</f>
        <v/>
      </c>
      <c r="W67" s="395" t="str">
        <f>IF(B67="個別病床",はじめに入力してください!$K$50,IF(B67="共通使用",はじめに入力してください!$K$52,""))</f>
        <v/>
      </c>
      <c r="Y67" s="12">
        <v>38</v>
      </c>
      <c r="Z67" s="374" t="str">
        <f t="shared" si="3"/>
        <v>○</v>
      </c>
      <c r="AA67" s="395" t="str">
        <f t="shared" si="4"/>
        <v>整備しない場合は入力不要です。</v>
      </c>
    </row>
    <row r="68" spans="1:27">
      <c r="A68" s="12">
        <v>39</v>
      </c>
      <c r="B68" s="6"/>
      <c r="C68" s="6"/>
      <c r="D68" s="6"/>
      <c r="E68" s="10"/>
      <c r="F68" s="7"/>
      <c r="G68" s="541"/>
      <c r="H68" s="15">
        <f t="shared" si="0"/>
        <v>0</v>
      </c>
      <c r="I68" s="4">
        <f t="shared" si="1"/>
        <v>0</v>
      </c>
      <c r="J68" s="9"/>
      <c r="K68" s="4">
        <f t="shared" si="2"/>
        <v>0</v>
      </c>
      <c r="L68" s="5" t="str">
        <f>IF(Z68="◎",COUNTIF($Z$30:Z68,"◎"),"")</f>
        <v/>
      </c>
      <c r="W68" s="395" t="str">
        <f>IF(B68="個別病床",はじめに入力してください!$K$50,IF(B68="共通使用",はじめに入力してください!$K$52,""))</f>
        <v/>
      </c>
      <c r="Y68" s="12">
        <v>39</v>
      </c>
      <c r="Z68" s="374" t="str">
        <f t="shared" si="3"/>
        <v>○</v>
      </c>
      <c r="AA68" s="395" t="str">
        <f t="shared" si="4"/>
        <v>整備しない場合は入力不要です。</v>
      </c>
    </row>
    <row r="69" spans="1:27">
      <c r="A69" s="12">
        <v>40</v>
      </c>
      <c r="B69" s="6"/>
      <c r="C69" s="6"/>
      <c r="D69" s="6"/>
      <c r="E69" s="10"/>
      <c r="F69" s="7"/>
      <c r="G69" s="541"/>
      <c r="H69" s="15">
        <f t="shared" si="0"/>
        <v>0</v>
      </c>
      <c r="I69" s="4">
        <f t="shared" si="1"/>
        <v>0</v>
      </c>
      <c r="J69" s="9"/>
      <c r="K69" s="4">
        <f t="shared" si="2"/>
        <v>0</v>
      </c>
      <c r="L69" s="5" t="str">
        <f>IF(Z69="◎",COUNTIF($Z$30:Z69,"◎"),"")</f>
        <v/>
      </c>
      <c r="W69" s="395" t="str">
        <f>IF(B69="個別病床",はじめに入力してください!$K$50,IF(B69="共通使用",はじめに入力してください!$K$52,""))</f>
        <v/>
      </c>
      <c r="Y69" s="12">
        <v>40</v>
      </c>
      <c r="Z69" s="374" t="str">
        <f t="shared" si="3"/>
        <v>○</v>
      </c>
      <c r="AA69" s="395" t="str">
        <f t="shared" si="4"/>
        <v>整備しない場合は入力不要です。</v>
      </c>
    </row>
    <row r="70" spans="1:27">
      <c r="A70" s="12">
        <v>41</v>
      </c>
      <c r="B70" s="6"/>
      <c r="C70" s="6"/>
      <c r="D70" s="6"/>
      <c r="E70" s="10"/>
      <c r="F70" s="7"/>
      <c r="G70" s="541"/>
      <c r="H70" s="15">
        <f t="shared" si="0"/>
        <v>0</v>
      </c>
      <c r="I70" s="4">
        <f t="shared" si="1"/>
        <v>0</v>
      </c>
      <c r="J70" s="9"/>
      <c r="K70" s="4">
        <f t="shared" si="2"/>
        <v>0</v>
      </c>
      <c r="L70" s="5" t="str">
        <f>IF(Z70="◎",COUNTIF($Z$30:Z70,"◎"),"")</f>
        <v/>
      </c>
      <c r="W70" s="395" t="str">
        <f>IF(B70="個別病床",はじめに入力してください!$K$50,IF(B70="共通使用",はじめに入力してください!$K$52,""))</f>
        <v/>
      </c>
      <c r="Y70" s="12">
        <v>41</v>
      </c>
      <c r="Z70" s="374" t="str">
        <f t="shared" si="3"/>
        <v>○</v>
      </c>
      <c r="AA70" s="395" t="str">
        <f t="shared" si="4"/>
        <v>整備しない場合は入力不要です。</v>
      </c>
    </row>
    <row r="71" spans="1:27">
      <c r="A71" s="12">
        <v>42</v>
      </c>
      <c r="B71" s="6"/>
      <c r="C71" s="6"/>
      <c r="D71" s="6"/>
      <c r="E71" s="10"/>
      <c r="F71" s="7"/>
      <c r="G71" s="541"/>
      <c r="H71" s="15">
        <f t="shared" si="0"/>
        <v>0</v>
      </c>
      <c r="I71" s="4">
        <f t="shared" si="1"/>
        <v>0</v>
      </c>
      <c r="J71" s="9"/>
      <c r="K71" s="4">
        <f t="shared" si="2"/>
        <v>0</v>
      </c>
      <c r="L71" s="5" t="str">
        <f>IF(Z71="◎",COUNTIF($Z$30:Z71,"◎"),"")</f>
        <v/>
      </c>
      <c r="W71" s="395" t="str">
        <f>IF(B71="個別病床",はじめに入力してください!$K$50,IF(B71="共通使用",はじめに入力してください!$K$52,""))</f>
        <v/>
      </c>
      <c r="Y71" s="12">
        <v>42</v>
      </c>
      <c r="Z71" s="374" t="str">
        <f t="shared" si="3"/>
        <v>○</v>
      </c>
      <c r="AA71" s="395" t="str">
        <f t="shared" si="4"/>
        <v>整備しない場合は入力不要です。</v>
      </c>
    </row>
    <row r="72" spans="1:27">
      <c r="A72" s="12">
        <v>43</v>
      </c>
      <c r="B72" s="6"/>
      <c r="C72" s="6"/>
      <c r="D72" s="6"/>
      <c r="E72" s="10"/>
      <c r="F72" s="7"/>
      <c r="G72" s="541"/>
      <c r="H72" s="15">
        <f t="shared" si="0"/>
        <v>0</v>
      </c>
      <c r="I72" s="4">
        <f t="shared" si="1"/>
        <v>0</v>
      </c>
      <c r="J72" s="9"/>
      <c r="K72" s="4">
        <f t="shared" si="2"/>
        <v>0</v>
      </c>
      <c r="L72" s="5" t="str">
        <f>IF(Z72="◎",COUNTIF($Z$30:Z72,"◎"),"")</f>
        <v/>
      </c>
      <c r="W72" s="395" t="str">
        <f>IF(B72="個別病床",はじめに入力してください!$K$50,IF(B72="共通使用",はじめに入力してください!$K$52,""))</f>
        <v/>
      </c>
      <c r="Y72" s="12">
        <v>43</v>
      </c>
      <c r="Z72" s="374" t="str">
        <f t="shared" si="3"/>
        <v>○</v>
      </c>
      <c r="AA72" s="395" t="str">
        <f t="shared" si="4"/>
        <v>整備しない場合は入力不要です。</v>
      </c>
    </row>
    <row r="73" spans="1:27">
      <c r="A73" s="12">
        <v>44</v>
      </c>
      <c r="B73" s="6"/>
      <c r="C73" s="6"/>
      <c r="D73" s="6"/>
      <c r="E73" s="10"/>
      <c r="F73" s="7"/>
      <c r="G73" s="541"/>
      <c r="H73" s="15">
        <f t="shared" si="0"/>
        <v>0</v>
      </c>
      <c r="I73" s="4">
        <f t="shared" si="1"/>
        <v>0</v>
      </c>
      <c r="J73" s="9"/>
      <c r="K73" s="4">
        <f t="shared" si="2"/>
        <v>0</v>
      </c>
      <c r="L73" s="5" t="str">
        <f>IF(Z73="◎",COUNTIF($Z$30:Z73,"◎"),"")</f>
        <v/>
      </c>
      <c r="W73" s="395" t="str">
        <f>IF(B73="個別病床",はじめに入力してください!$K$50,IF(B73="共通使用",はじめに入力してください!$K$52,""))</f>
        <v/>
      </c>
      <c r="Y73" s="12">
        <v>44</v>
      </c>
      <c r="Z73" s="374" t="str">
        <f t="shared" si="3"/>
        <v>○</v>
      </c>
      <c r="AA73" s="395" t="str">
        <f t="shared" si="4"/>
        <v>整備しない場合は入力不要です。</v>
      </c>
    </row>
    <row r="74" spans="1:27">
      <c r="A74" s="12">
        <v>45</v>
      </c>
      <c r="B74" s="6"/>
      <c r="C74" s="6"/>
      <c r="D74" s="6"/>
      <c r="E74" s="10"/>
      <c r="F74" s="7"/>
      <c r="G74" s="541"/>
      <c r="H74" s="15">
        <f t="shared" si="0"/>
        <v>0</v>
      </c>
      <c r="I74" s="4">
        <f t="shared" si="1"/>
        <v>0</v>
      </c>
      <c r="J74" s="9"/>
      <c r="K74" s="4">
        <f t="shared" si="2"/>
        <v>0</v>
      </c>
      <c r="L74" s="5" t="str">
        <f>IF(Z74="◎",COUNTIF($Z$30:Z74,"◎"),"")</f>
        <v/>
      </c>
      <c r="W74" s="395" t="str">
        <f>IF(B74="個別病床",はじめに入力してください!$K$50,IF(B74="共通使用",はじめに入力してください!$K$52,""))</f>
        <v/>
      </c>
      <c r="Y74" s="12">
        <v>45</v>
      </c>
      <c r="Z74" s="374" t="str">
        <f t="shared" si="3"/>
        <v>○</v>
      </c>
      <c r="AA74" s="395" t="str">
        <f t="shared" si="4"/>
        <v>整備しない場合は入力不要です。</v>
      </c>
    </row>
  </sheetData>
  <mergeCells count="24">
    <mergeCell ref="K1:M1"/>
    <mergeCell ref="B22:L22"/>
    <mergeCell ref="B2:D3"/>
    <mergeCell ref="Z3:Z5"/>
    <mergeCell ref="AA3:AA5"/>
    <mergeCell ref="Z7:Z8"/>
    <mergeCell ref="AA7:AA8"/>
    <mergeCell ref="B10:L10"/>
    <mergeCell ref="B13:L13"/>
    <mergeCell ref="B14:L14"/>
    <mergeCell ref="B15:L15"/>
    <mergeCell ref="B18:L21"/>
    <mergeCell ref="B7:L7"/>
    <mergeCell ref="B9:C9"/>
    <mergeCell ref="B12:L12"/>
    <mergeCell ref="B11:L11"/>
    <mergeCell ref="B26:L26"/>
    <mergeCell ref="Z27:Z28"/>
    <mergeCell ref="AA27:AA28"/>
    <mergeCell ref="B28:D28"/>
    <mergeCell ref="E28:F28"/>
    <mergeCell ref="G28:J28"/>
    <mergeCell ref="K28:K29"/>
    <mergeCell ref="L28:L29"/>
  </mergeCells>
  <phoneticPr fontId="9"/>
  <conditionalFormatting sqref="Z29:Z1048576 Z1:Z2 Z9:Z21 Z6:Z7 Z23:Z27">
    <cfRule type="containsText" dxfId="5" priority="8" operator="containsText" text="×">
      <formula>NOT(ISERROR(SEARCH("×",Z1)))</formula>
    </cfRule>
  </conditionalFormatting>
  <conditionalFormatting sqref="AA1:AA2 AA9:AA21 AA29:AA1048576 AA6:AA7 AA23:AA27">
    <cfRule type="containsText" dxfId="4" priority="7" operator="containsText" text="要修正">
      <formula>NOT(ISERROR(SEARCH("要修正",AA1)))</formula>
    </cfRule>
  </conditionalFormatting>
  <conditionalFormatting sqref="Z22">
    <cfRule type="containsText" dxfId="3" priority="6" operator="containsText" text="×">
      <formula>NOT(ISERROR(SEARCH("×",Z22)))</formula>
    </cfRule>
  </conditionalFormatting>
  <conditionalFormatting sqref="AA22">
    <cfRule type="containsText" dxfId="2" priority="5" operator="containsText" text="要修正">
      <formula>NOT(ISERROR(SEARCH("要修正",AA22)))</formula>
    </cfRule>
  </conditionalFormatting>
  <conditionalFormatting sqref="Z3:Z4">
    <cfRule type="containsText" dxfId="1" priority="2" operator="containsText" text="×">
      <formula>NOT(ISERROR(SEARCH("×",Z3)))</formula>
    </cfRule>
  </conditionalFormatting>
  <conditionalFormatting sqref="AA3:AA4">
    <cfRule type="containsText" dxfId="0" priority="1" operator="containsText" text="要修正">
      <formula>NOT(ISERROR(SEARCH("要修正",AA3)))</formula>
    </cfRule>
  </conditionalFormatting>
  <dataValidations xWindow="1045" yWindow="798" count="10">
    <dataValidation type="list" allowBlank="1" showInputMessage="1" showErrorMessage="1" promptTitle="補助対象の該当非該当" prompt="コロナ対応病床の初度設備に係る経費が対象となります。_x000a_共用部分の設備、備品や医療用消耗品等は補助対象外なので「対象外」を選択してください。_x000a_審査において確認、対象外と認めたものについては対象外として補正をお願いする場合があります。" sqref="J30:J74" xr:uid="{3FF92992-577F-410E-B0FD-498668A3E72D}">
      <formula1>"補助対象,補助対象外"</formula1>
    </dataValidation>
    <dataValidation allowBlank="1" showInputMessage="1" showErrorMessage="1" promptTitle="金額の表示" prompt="数式が入力されているため、自動計算されます。" sqref="K30:K74 I30:I74" xr:uid="{4F4DBC9B-1F92-472C-97B6-14F74D0C422C}"/>
    <dataValidation allowBlank="1" showInputMessage="1" showErrorMessage="1" promptTitle="添付書類番号" prompt="種類、規格、数量、単価が全て適切に入力され、右の「判定」が「◎」と表示されると自動で番号が表示されます。" sqref="L30:L74" xr:uid="{3F23D8F6-3B5E-48C9-8BC1-189E9B5A1F2F}"/>
    <dataValidation allowBlank="1" showInputMessage="1" showErrorMessage="1" promptTitle="単価の入力" prompt="税抜額または税込額のいずれかを入力してください。_x000a_入力しない方は「0」は入力せず、空欄としてください。" sqref="H30:H74" xr:uid="{BC019538-F348-476F-A528-11A41C736939}"/>
    <dataValidation allowBlank="1" showInputMessage="1" showErrorMessage="1" promptTitle="規格及び数量の入力" prompt="補助対象経費を計上する際、いずれも入力してください。" sqref="E30:E74" xr:uid="{A9BB7D50-5CCB-4278-8046-519557EC4506}"/>
    <dataValidation allowBlank="1" showInputMessage="1" showErrorMessage="1" promptTitle="補助対象金額" prompt="補助対象額×（見積書金額-割引額）/見積書金額_x000a_で算出されます。" sqref="J3" xr:uid="{00000000-0002-0000-1C00-000005000000}"/>
    <dataValidation type="whole" operator="greaterThanOrEqual" allowBlank="1" showInputMessage="1" showErrorMessage="1" promptTitle="割引額がある場合は入力" prompt="割引がない場合は「0円」のままとしてください。" sqref="I3" xr:uid="{00000000-0002-0000-1C00-000006000000}">
      <formula1>0</formula1>
    </dataValidation>
    <dataValidation type="list" allowBlank="1" showInputMessage="1" showErrorMessage="1" promptTitle="設備、備品、その他の別を選択" prompt="当該行に記載する品目が_x000a_・「設備」（設備本体）_x000a_・備品（本体設備と別の構成をなすもの）_x000a_・その他（上記の該当しないもの）_x000a_の別をプルダウンから選択してください。" sqref="D30:D74" xr:uid="{255EF3EC-B761-41DD-BEE5-85E4DFF308E6}">
      <formula1>"設備,備品,その他"</formula1>
    </dataValidation>
    <dataValidation type="decimal" operator="greaterThanOrEqual" allowBlank="1" showInputMessage="1" showErrorMessage="1" promptTitle="単価の入力" prompt="税抜額または税込額のいずれかを入力してください。_x000a_入力しない方は「0」は入力せず、空欄としてください。" sqref="G30:G74" xr:uid="{DEBF60E7-7623-487E-BC3A-61A664270D05}">
      <formula1>0</formula1>
    </dataValidation>
    <dataValidation type="whole" operator="greaterThanOrEqual" allowBlank="1" showInputMessage="1" showErrorMessage="1" errorTitle="数値のみを入力してください。" error="「個」、「枚」等の単位入力は不要です。" promptTitle="規格及び数量の入力" prompt="補助対象経費を計上する際、いずれも入力してください。" sqref="F30:F74" xr:uid="{ADABAFB7-3F19-4AAB-A472-D5968BF482EB}">
      <formula1>0</formula1>
    </dataValidation>
  </dataValidations>
  <pageMargins left="0.7" right="0.7" top="0.75" bottom="0.75" header="0.3" footer="0.3"/>
  <pageSetup paperSize="9" scale="55" orientation="portrait" r:id="rId1"/>
  <drawing r:id="rId2"/>
  <legacyDrawing r:id="rId3"/>
  <extLst>
    <ext xmlns:x14="http://schemas.microsoft.com/office/spreadsheetml/2009/9/main" uri="{CCE6A557-97BC-4b89-ADB6-D9C93CAAB3DF}">
      <x14:dataValidations xmlns:xm="http://schemas.microsoft.com/office/excel/2006/main" xWindow="1045" yWindow="798" count="3">
        <x14:dataValidation type="list" allowBlank="1" showInputMessage="1" showErrorMessage="1" promptTitle="配備先の別を選択" prompt="確保病床の共通使用のものか、個別のベッドに配備するものか選択してください。" xr:uid="{5CE13CB9-1059-4F32-9F73-C80FC2E77BDA}">
          <x14:formula1>
            <xm:f>テーブル!$X$48:$X$49</xm:f>
          </x14:formula1>
          <xm:sqref>B30:B74</xm:sqref>
        </x14:dataValidation>
        <x14:dataValidation type="list" allowBlank="1" showInputMessage="1" showErrorMessage="1" promptTitle="「用途先」病床の選択（左の「病床」を選択しないと表示されません。" prompt="ベッドに必ずしも紐付けるものではありませんが、１病床１台で紐付けした場合、整備する病床に番号付けをした場合の番号を選択してください。" xr:uid="{4ECBB9EE-1DA8-4974-8A27-9EE33973CA33}">
          <x14:formula1>
            <xm:f>OFFSET(テーブル!$X$48, 0, MATCH(B30,テーブル!$Y$47:$Z$47,0), COUNTA(OFFSET(テーブル!$X$48,0,MATCH(B30,テーブル!$Y$47:$Z$47,0),$W$30,1)),1)</xm:f>
          </x14:formula1>
          <xm:sqref>C30:C74</xm:sqref>
        </x14:dataValidation>
        <x14:dataValidation type="list" allowBlank="1" showInputMessage="1" showErrorMessage="1" xr:uid="{00000000-0002-0000-1C00-000008000000}">
          <x14:formula1>
            <xm:f>テーブル!$M$37:$M$51</xm:f>
          </x14:formula1>
          <xm:sqref>B2:D2</xm:sqref>
        </x14:dataValidation>
      </x14:dataValidations>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129D81-6B6E-4DC1-8A94-FF9E56023991}">
  <sheetPr>
    <tabColor rgb="FFFF0000"/>
  </sheetPr>
  <dimension ref="A1:E11"/>
  <sheetViews>
    <sheetView showGridLines="0" view="pageBreakPreview" zoomScale="60" zoomScaleNormal="100" workbookViewId="0">
      <selection activeCell="C24" sqref="C24"/>
    </sheetView>
  </sheetViews>
  <sheetFormatPr defaultColWidth="9" defaultRowHeight="16.5"/>
  <cols>
    <col min="1" max="1" width="9" style="362"/>
    <col min="2" max="3" width="50.625" style="363" customWidth="1"/>
    <col min="4" max="5" width="50.625" style="362" customWidth="1"/>
    <col min="6" max="16384" width="9" style="362"/>
  </cols>
  <sheetData>
    <row r="1" spans="1:5">
      <c r="E1" s="364" t="str">
        <f>IF(OR(はじめに入力してください!H6="",はじめに入力してください!H10=""),"",はじめに入力してください!H6&amp;"（"&amp;はじめに入力してください!H10&amp;"）")</f>
        <v/>
      </c>
    </row>
    <row r="2" spans="1:5" ht="25.5">
      <c r="A2" s="2137" t="str">
        <f>"令和５年度入院医療機関設備整備費補助金（"&amp;表紙!X2&amp;"）に係る審査意見書"</f>
        <v>令和５年度入院医療機関設備整備費補助金（事前協議）に係る審査意見書</v>
      </c>
      <c r="B2" s="2137"/>
      <c r="C2" s="2137"/>
      <c r="D2" s="2137"/>
      <c r="E2" s="2137"/>
    </row>
    <row r="4" spans="1:5" ht="120" customHeight="1">
      <c r="A4" s="2138" t="str">
        <f>"【御担当者様へ】
○標記補助金に係る（"&amp;表紙!X2&amp;"）をご提出いただきありがとうございました。
○本補助金は全額、公金である国庫を原資としており、これを用いての設備整備は低廉かつ必要最小限であること及び、本県として当該原資により補助金を交付するにあたっては左記の妥当性について確認した上で、国に対し説明する責任を負います。
○上記に伴う形で補助金を活用して整備を行う医療機関（補助事業者）におかれても、実施しようとする整備の内容及び妥当性について説明する義務がありますことを御確認いただいた上で、以下の確認事項についてご回答をいただきますようお願いします。"</f>
        <v>【御担当者様へ】
○標記補助金に係る（事前協議）をご提出いただきありがとうございました。
○本補助金は全額、公金である国庫を原資としており、これを用いての設備整備は低廉かつ必要最小限であること及び、本県として当該原資により補助金を交付するにあたっては左記の妥当性について確認した上で、国に対し説明する責任を負います。
○上記に伴う形で補助金を活用して整備を行う医療機関（補助事業者）におかれても、実施しようとする整備の内容及び妥当性について説明する義務がありますことを御確認いただいた上で、以下の確認事項についてご回答をいただきますようお願いします。</v>
      </c>
      <c r="B4" s="2138"/>
      <c r="C4" s="2138"/>
      <c r="D4" s="2138"/>
      <c r="E4" s="2138"/>
    </row>
    <row r="6" spans="1:5" s="367" customFormat="1" ht="19.5">
      <c r="A6" s="365" t="s">
        <v>1297</v>
      </c>
      <c r="B6" s="366" t="s">
        <v>1298</v>
      </c>
      <c r="C6" s="366" t="s">
        <v>1299</v>
      </c>
      <c r="D6" s="365" t="s">
        <v>1300</v>
      </c>
      <c r="E6" s="365" t="s">
        <v>1301</v>
      </c>
    </row>
    <row r="7" spans="1:5" s="370" customFormat="1" ht="19.5">
      <c r="A7" s="368">
        <v>1</v>
      </c>
      <c r="B7" s="369"/>
      <c r="C7" s="369"/>
      <c r="D7" s="369"/>
      <c r="E7" s="369"/>
    </row>
    <row r="8" spans="1:5" ht="19.5">
      <c r="A8" s="366">
        <v>2</v>
      </c>
      <c r="B8" s="369"/>
      <c r="C8" s="369"/>
      <c r="D8" s="369"/>
      <c r="E8" s="371"/>
    </row>
    <row r="9" spans="1:5" ht="19.5">
      <c r="A9" s="366">
        <v>3</v>
      </c>
      <c r="B9" s="369"/>
      <c r="C9" s="369"/>
      <c r="D9" s="369"/>
      <c r="E9" s="372"/>
    </row>
    <row r="10" spans="1:5" ht="19.5">
      <c r="A10" s="366">
        <v>4</v>
      </c>
      <c r="B10" s="369"/>
      <c r="C10" s="369"/>
      <c r="D10" s="369"/>
      <c r="E10" s="372"/>
    </row>
    <row r="11" spans="1:5" ht="19.5">
      <c r="A11" s="366">
        <v>5</v>
      </c>
      <c r="B11" s="369"/>
      <c r="C11" s="369"/>
      <c r="D11" s="369"/>
      <c r="E11" s="372"/>
    </row>
  </sheetData>
  <mergeCells count="2">
    <mergeCell ref="A2:E2"/>
    <mergeCell ref="A4:E4"/>
  </mergeCells>
  <phoneticPr fontId="9"/>
  <pageMargins left="0.7" right="0.7" top="0.75" bottom="0.75" header="0.3" footer="0.3"/>
  <pageSetup paperSize="9" scale="38" orientation="portrait" copies="0"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
    <tabColor rgb="FFFFC000"/>
    <pageSetUpPr fitToPage="1"/>
  </sheetPr>
  <dimension ref="A1:AR227"/>
  <sheetViews>
    <sheetView showGridLines="0" tabSelected="1" view="pageBreakPreview" zoomScale="60" zoomScaleNormal="100" workbookViewId="0">
      <selection activeCell="H6" sqref="H6:N6"/>
    </sheetView>
  </sheetViews>
  <sheetFormatPr defaultColWidth="9" defaultRowHeight="16.5"/>
  <cols>
    <col min="1" max="1" width="8.625" style="106" customWidth="1"/>
    <col min="2" max="2" width="3.625" style="715" customWidth="1"/>
    <col min="3" max="7" width="6.125" style="715" customWidth="1"/>
    <col min="8" max="14" width="6.125" style="113" customWidth="1"/>
    <col min="15" max="15" width="10.625" style="110" customWidth="1"/>
    <col min="16" max="16" width="6.125" style="714" customWidth="1"/>
    <col min="17" max="28" width="6.125" style="715" customWidth="1"/>
    <col min="29" max="29" width="10.625" style="715" customWidth="1"/>
    <col min="30" max="30" width="3.625" style="715" customWidth="1"/>
    <col min="31" max="31" width="15.625" style="130" customWidth="1"/>
    <col min="32" max="32" width="15.625" style="715" customWidth="1"/>
    <col min="33" max="35" width="10.25" style="715" customWidth="1"/>
    <col min="36" max="36" width="40.625" style="714" customWidth="1"/>
    <col min="37" max="37" width="9" style="715"/>
    <col min="38" max="38" width="9" style="715" customWidth="1"/>
    <col min="39" max="16384" width="9" style="715"/>
  </cols>
  <sheetData>
    <row r="1" spans="2:40" ht="90" customHeight="1">
      <c r="B1" s="671"/>
      <c r="C1" s="881" t="s">
        <v>414</v>
      </c>
      <c r="D1" s="881"/>
      <c r="E1" s="881"/>
      <c r="F1" s="881"/>
      <c r="G1" s="881"/>
      <c r="H1" s="881"/>
      <c r="I1" s="881"/>
      <c r="J1" s="881"/>
      <c r="K1" s="881"/>
      <c r="L1" s="881"/>
      <c r="M1" s="881"/>
      <c r="N1" s="881"/>
      <c r="O1" s="881"/>
      <c r="P1" s="881"/>
      <c r="Q1" s="881"/>
      <c r="R1" s="881"/>
      <c r="S1" s="881"/>
      <c r="T1" s="881"/>
      <c r="U1" s="881"/>
      <c r="V1" s="881"/>
      <c r="W1" s="881"/>
      <c r="X1" s="881"/>
      <c r="Y1" s="881"/>
      <c r="Z1" s="881"/>
      <c r="AA1" s="881"/>
      <c r="AB1" s="881"/>
      <c r="AC1" s="671"/>
      <c r="AD1" s="671"/>
      <c r="AE1" s="126"/>
    </row>
    <row r="2" spans="2:40" ht="30" customHeight="1">
      <c r="B2" s="666"/>
      <c r="C2" s="882" t="s">
        <v>58</v>
      </c>
      <c r="D2" s="883"/>
      <c r="E2" s="883"/>
      <c r="F2" s="883"/>
      <c r="G2" s="884"/>
      <c r="H2" s="882" t="s">
        <v>59</v>
      </c>
      <c r="I2" s="883"/>
      <c r="J2" s="883"/>
      <c r="K2" s="883"/>
      <c r="L2" s="883"/>
      <c r="M2" s="883"/>
      <c r="N2" s="884"/>
      <c r="O2" s="122" t="s">
        <v>60</v>
      </c>
      <c r="P2" s="885" t="s">
        <v>61</v>
      </c>
      <c r="Q2" s="886"/>
      <c r="R2" s="886"/>
      <c r="S2" s="886"/>
      <c r="T2" s="886"/>
      <c r="U2" s="886"/>
      <c r="V2" s="886"/>
      <c r="W2" s="886"/>
      <c r="X2" s="886"/>
      <c r="Y2" s="886"/>
      <c r="Z2" s="886"/>
      <c r="AA2" s="886"/>
      <c r="AB2" s="887"/>
      <c r="AC2" s="671"/>
      <c r="AD2" s="671"/>
      <c r="AE2" s="127"/>
    </row>
    <row r="3" spans="2:40" ht="30" customHeight="1">
      <c r="B3" s="822" t="s">
        <v>1031</v>
      </c>
      <c r="C3" s="837" t="s">
        <v>62</v>
      </c>
      <c r="D3" s="838"/>
      <c r="E3" s="838"/>
      <c r="F3" s="838"/>
      <c r="G3" s="838"/>
      <c r="H3" s="878" t="s">
        <v>63</v>
      </c>
      <c r="I3" s="888"/>
      <c r="J3" s="888"/>
      <c r="K3" s="888"/>
      <c r="L3" s="888"/>
      <c r="M3" s="888"/>
      <c r="N3" s="888"/>
      <c r="O3" s="862" t="str">
        <f xml:space="preserve">
IF(AND(AM3="×",AM4="×",AM5="×"),"×",
IF(AND(AM3="×",AM4="×",AM5="○"),"○"&amp;CHAR(10)&amp;"（公立）",
IF(AND(AM3="×",AM4="○",AM5="×"),"○"&amp;CHAR(10)&amp;"（個人）",
IF(AND(AM3="×",AM4="○",AM5="○"),"×",
IF(AND(AM3="○",AM4="×",AM5="×"),"○"&amp;CHAR(10)&amp;"（法人）",
IF(AND(AM3="○",AM4="×",AM5="○"),"×",
IF(AND(AM3="○",AM4="○",AM5="×"),"×",
IF(AND(AM3="○",AM4="○",AM5="○"),"×",
))))))))</f>
        <v>×</v>
      </c>
      <c r="P3" s="889" t="str">
        <f xml:space="preserve">
IF(AND(AM3="×",AM4="×",AM5="×"),"【要修正】いずれかのボックスにチェックしてください。",
IF(AND(AM3="×",AM4="×",AM5="○"),"適切に入力がされました。",
IF(AND(AM3="×",AM4="○",AM5="×"),"適切に入力がされました。",
IF(AND(AM3="×",AM4="○",AM5="○"),"【要修正】複数のボックスにチェックされています。（いずれか１つのみチェックしてください。）",
IF(AND(AM3="○",AM4="×",AM5="×"),"適切に入力がされました。",
IF(AND(AM3="○",AM4="×",AM5="○"),"【要修正】複数のボックスにチェックされています。（いずれか１つのみチェックしてください。）",
IF(AND(AM3="○",AM4="○",AM5="×"),"【要修正】複数のボックスにチェックされています。（いずれか１つのみチェックしてください。）",
IF(AND(AM3="○",AM4="○",AM5="○"),"【要修正】全てのボックスにチェックされています。（いずれか１つのみチェックしてください。）",
))))))))</f>
        <v>【要修正】いずれかのボックスにチェックしてください。</v>
      </c>
      <c r="Q3" s="890"/>
      <c r="R3" s="890"/>
      <c r="S3" s="890"/>
      <c r="T3" s="890"/>
      <c r="U3" s="890"/>
      <c r="V3" s="890"/>
      <c r="W3" s="890"/>
      <c r="X3" s="836"/>
      <c r="Y3" s="836"/>
      <c r="Z3" s="836"/>
      <c r="AA3" s="836"/>
      <c r="AB3" s="836"/>
      <c r="AC3" s="671"/>
      <c r="AD3" s="671"/>
      <c r="AE3" s="892" t="str">
        <f>IF(OR(O3="○"&amp;CHAR(10)&amp;"（法人）",O3="○"&amp;CHAR(10)&amp;"（個人）"),"",C3&amp;"/")</f>
        <v>法人・個人事業主の別/</v>
      </c>
      <c r="AF3" s="813" t="s">
        <v>1143</v>
      </c>
      <c r="AM3" s="124" t="str">
        <f>IF(AN3=TRUE,"○","×")</f>
        <v>×</v>
      </c>
      <c r="AN3" s="125" t="b">
        <v>0</v>
      </c>
    </row>
    <row r="4" spans="2:40" ht="30" customHeight="1">
      <c r="B4" s="822"/>
      <c r="C4" s="837"/>
      <c r="D4" s="838"/>
      <c r="E4" s="838"/>
      <c r="F4" s="838"/>
      <c r="G4" s="838"/>
      <c r="H4" s="869" t="s">
        <v>64</v>
      </c>
      <c r="I4" s="893"/>
      <c r="J4" s="893"/>
      <c r="K4" s="893"/>
      <c r="L4" s="893"/>
      <c r="M4" s="893"/>
      <c r="N4" s="893"/>
      <c r="O4" s="862"/>
      <c r="P4" s="889"/>
      <c r="Q4" s="890"/>
      <c r="R4" s="890"/>
      <c r="S4" s="890"/>
      <c r="T4" s="890"/>
      <c r="U4" s="890"/>
      <c r="V4" s="890"/>
      <c r="W4" s="890"/>
      <c r="X4" s="836"/>
      <c r="Y4" s="836"/>
      <c r="Z4" s="836"/>
      <c r="AA4" s="836"/>
      <c r="AB4" s="836"/>
      <c r="AC4" s="671"/>
      <c r="AD4" s="671"/>
      <c r="AE4" s="892"/>
      <c r="AF4" s="814"/>
      <c r="AM4" s="124" t="str">
        <f>IF(AN4=TRUE,"○","×")</f>
        <v>×</v>
      </c>
      <c r="AN4" s="125" t="b">
        <v>0</v>
      </c>
    </row>
    <row r="5" spans="2:40" ht="30" customHeight="1">
      <c r="B5" s="822"/>
      <c r="C5" s="837"/>
      <c r="D5" s="838"/>
      <c r="E5" s="838"/>
      <c r="F5" s="838"/>
      <c r="G5" s="838"/>
      <c r="H5" s="870" t="s">
        <v>65</v>
      </c>
      <c r="I5" s="894"/>
      <c r="J5" s="894"/>
      <c r="K5" s="894"/>
      <c r="L5" s="894"/>
      <c r="M5" s="894"/>
      <c r="N5" s="894"/>
      <c r="O5" s="862"/>
      <c r="P5" s="890"/>
      <c r="Q5" s="890"/>
      <c r="R5" s="890"/>
      <c r="S5" s="890"/>
      <c r="T5" s="890"/>
      <c r="U5" s="890"/>
      <c r="V5" s="890"/>
      <c r="W5" s="890"/>
      <c r="X5" s="836"/>
      <c r="Y5" s="836"/>
      <c r="Z5" s="836"/>
      <c r="AA5" s="836"/>
      <c r="AB5" s="836"/>
      <c r="AC5" s="671"/>
      <c r="AD5" s="671"/>
      <c r="AE5" s="892"/>
      <c r="AF5" s="815"/>
      <c r="AM5" s="124" t="str">
        <f>IF(AN5=TRUE,"○","×")</f>
        <v>×</v>
      </c>
      <c r="AN5" s="125" t="b">
        <v>0</v>
      </c>
    </row>
    <row r="6" spans="2:40" ht="30" customHeight="1">
      <c r="B6" s="822"/>
      <c r="C6" s="837" t="s">
        <v>66</v>
      </c>
      <c r="D6" s="838"/>
      <c r="E6" s="838"/>
      <c r="F6" s="838"/>
      <c r="G6" s="838"/>
      <c r="H6" s="834"/>
      <c r="I6" s="873"/>
      <c r="J6" s="873"/>
      <c r="K6" s="873"/>
      <c r="L6" s="873"/>
      <c r="M6" s="873"/>
      <c r="N6" s="873"/>
      <c r="O6" s="107" t="str">
        <f>IF(COUNTA(H6)=0,"×","○")</f>
        <v>×</v>
      </c>
      <c r="P6" s="819" t="str">
        <f>IF(O6="×","【要修正】法人の場合は法人名、個人事業主の場合は屋号を入力してください。","適切に入力がされました。")</f>
        <v>【要修正】法人の場合は法人名、個人事業主の場合は屋号を入力してください。</v>
      </c>
      <c r="Q6" s="835"/>
      <c r="R6" s="835"/>
      <c r="S6" s="835"/>
      <c r="T6" s="835"/>
      <c r="U6" s="835"/>
      <c r="V6" s="835"/>
      <c r="W6" s="835"/>
      <c r="X6" s="836"/>
      <c r="Y6" s="836"/>
      <c r="Z6" s="836"/>
      <c r="AA6" s="836"/>
      <c r="AB6" s="836"/>
      <c r="AC6" s="671"/>
      <c r="AD6" s="671"/>
      <c r="AE6" s="128" t="str">
        <f>IF(O6="○","",C6&amp;"/")</f>
        <v>事業者名（法人名または屋号）/</v>
      </c>
      <c r="AF6" s="665" t="str">
        <f t="shared" ref="AF6:AF11" si="0">DBCS(H6)</f>
        <v/>
      </c>
      <c r="AG6" s="110" t="str">
        <f>IF(AF12&lt;VLOOKUP(表紙!$X$2,テーブル!$E$25:$G$31,2,FALSE),"○","×")</f>
        <v>×</v>
      </c>
    </row>
    <row r="7" spans="2:40" ht="30" customHeight="1">
      <c r="B7" s="822"/>
      <c r="C7" s="837" t="s">
        <v>67</v>
      </c>
      <c r="D7" s="838"/>
      <c r="E7" s="838"/>
      <c r="F7" s="838"/>
      <c r="G7" s="838"/>
      <c r="H7" s="834"/>
      <c r="I7" s="873"/>
      <c r="J7" s="873"/>
      <c r="K7" s="873"/>
      <c r="L7" s="873"/>
      <c r="M7" s="873"/>
      <c r="N7" s="873"/>
      <c r="O7" s="107" t="str">
        <f>IF(COUNTA(H7)=0,"×","○")</f>
        <v>×</v>
      </c>
      <c r="P7" s="819" t="str">
        <f>IF(O7="×","【要修正】代表者の職名（「理事長」等）を入力してください。","適切に入力がされました。")</f>
        <v>【要修正】代表者の職名（「理事長」等）を入力してください。</v>
      </c>
      <c r="Q7" s="835"/>
      <c r="R7" s="835"/>
      <c r="S7" s="835"/>
      <c r="T7" s="835"/>
      <c r="U7" s="835"/>
      <c r="V7" s="835"/>
      <c r="W7" s="835"/>
      <c r="X7" s="836"/>
      <c r="Y7" s="836"/>
      <c r="Z7" s="836"/>
      <c r="AA7" s="836"/>
      <c r="AB7" s="836"/>
      <c r="AC7" s="671"/>
      <c r="AE7" s="128" t="str">
        <f>IF(O7="○","",C7&amp;"/")</f>
        <v>代表者役職/</v>
      </c>
      <c r="AF7" s="665" t="str">
        <f t="shared" si="0"/>
        <v/>
      </c>
    </row>
    <row r="8" spans="2:40" ht="30" customHeight="1">
      <c r="B8" s="822"/>
      <c r="C8" s="837" t="s">
        <v>71</v>
      </c>
      <c r="D8" s="838"/>
      <c r="E8" s="838"/>
      <c r="F8" s="838"/>
      <c r="G8" s="838"/>
      <c r="H8" s="834"/>
      <c r="I8" s="873"/>
      <c r="J8" s="873"/>
      <c r="K8" s="873"/>
      <c r="L8" s="873"/>
      <c r="M8" s="873"/>
      <c r="N8" s="873"/>
      <c r="O8" s="107" t="str">
        <f>IF(COUNTA(H8)=0,"×","○")</f>
        <v>×</v>
      </c>
      <c r="P8" s="819" t="str">
        <f>IF(O8="×","【要修正】代表者の氏名（例：「愛知　太郎」）を入力してください。","適切に入力がされました。")</f>
        <v>【要修正】代表者の氏名（例：「愛知　太郎」）を入力してください。</v>
      </c>
      <c r="Q8" s="835"/>
      <c r="R8" s="835"/>
      <c r="S8" s="835"/>
      <c r="T8" s="835"/>
      <c r="U8" s="835"/>
      <c r="V8" s="835"/>
      <c r="W8" s="835"/>
      <c r="X8" s="836"/>
      <c r="Y8" s="836"/>
      <c r="Z8" s="836"/>
      <c r="AA8" s="836"/>
      <c r="AB8" s="836"/>
      <c r="AC8" s="671"/>
      <c r="AE8" s="128" t="str">
        <f>IF(O8="○","",C8&amp;"/")</f>
        <v>代表者氏名/</v>
      </c>
      <c r="AF8" s="665" t="str">
        <f t="shared" si="0"/>
        <v/>
      </c>
    </row>
    <row r="9" spans="2:40" ht="30" customHeight="1">
      <c r="B9" s="822"/>
      <c r="C9" s="837" t="s">
        <v>72</v>
      </c>
      <c r="D9" s="838"/>
      <c r="E9" s="838"/>
      <c r="F9" s="838"/>
      <c r="G9" s="838"/>
      <c r="H9" s="834"/>
      <c r="I9" s="873"/>
      <c r="J9" s="873"/>
      <c r="K9" s="873"/>
      <c r="L9" s="873"/>
      <c r="M9" s="873"/>
      <c r="N9" s="873"/>
      <c r="O9" s="107" t="str">
        <f>IF(COUNTA(H9)=0,"×","○")</f>
        <v>×</v>
      </c>
      <c r="P9" s="819" t="str">
        <f>IF(O9="×","【要修正】法人の場合は法人所在地、個人事業主の場合は貴医療機関の所在地を入力してください","適切に入力がされました。")</f>
        <v>【要修正】法人の場合は法人所在地、個人事業主の場合は貴医療機関の所在地を入力してください</v>
      </c>
      <c r="Q9" s="835"/>
      <c r="R9" s="835"/>
      <c r="S9" s="835"/>
      <c r="T9" s="835"/>
      <c r="U9" s="835"/>
      <c r="V9" s="835"/>
      <c r="W9" s="835"/>
      <c r="X9" s="836"/>
      <c r="Y9" s="836"/>
      <c r="Z9" s="836"/>
      <c r="AA9" s="836"/>
      <c r="AB9" s="836"/>
      <c r="AC9" s="671"/>
      <c r="AE9" s="128" t="str">
        <f>IF(O9="○","",C9&amp;"/")</f>
        <v>所在地/</v>
      </c>
      <c r="AF9" s="665" t="str">
        <f t="shared" si="0"/>
        <v/>
      </c>
    </row>
    <row r="10" spans="2:40" ht="30" customHeight="1">
      <c r="B10" s="822"/>
      <c r="C10" s="837" t="s">
        <v>73</v>
      </c>
      <c r="D10" s="838"/>
      <c r="E10" s="838"/>
      <c r="F10" s="838"/>
      <c r="G10" s="838"/>
      <c r="H10" s="834"/>
      <c r="I10" s="873"/>
      <c r="J10" s="873"/>
      <c r="K10" s="873"/>
      <c r="L10" s="873"/>
      <c r="M10" s="873"/>
      <c r="N10" s="873"/>
      <c r="O10" s="107" t="str">
        <f xml:space="preserve">
IF(O3="×","×",
IF(AND(OR(O3="○"&amp;CHAR(10)&amp;"（個人）",O3="○"&amp;CHAR(10)&amp;"（法人）"),H10=""),"×",
IF(AND(O3="○"&amp;CHAR(10)&amp;"（法人）",H6=H10),"×",
IF(AND(O3="○"&amp;CHAR(10)&amp;"（法人）",H6&lt;&gt;H10),"○",
IF(AND(O3="○"&amp;CHAR(10)&amp;"（個人）",H6=H10),"○",
IF(AND(O3="○"&amp;CHAR(10)&amp;"（個人）",H6&lt;&gt;H10),"×",
IF(AND(O3="○"&amp;CHAR(10)&amp;"（公立）",H6=H10),"×",
IF(AND(O3="○"&amp;CHAR(10)&amp;"（公立）",H6&lt;&gt;H10),"○"
))))))))</f>
        <v>×</v>
      </c>
      <c r="P10" s="889" t="str">
        <f xml:space="preserve">
IF(O3="×","【要修正】「法人・個人事業主の別」の入力に問題があります。",
IF(AND(OR(O3="○"&amp;CHAR(10)&amp;"（個人）",O3="○"&amp;CHAR(10)&amp;"（法人）",O3="○"&amp;CHAR(10)&amp;"（公立）"),H10=""),"【要修正】医療機関の施設名称を入力してください。",
IF(AND(O3="○"&amp;CHAR(10)&amp;"（法人）",H6=H10),"【要修正】法人名ではなく、施設名を入力してください。（「医療法人」等は記載不要）",
IF(AND(O3="○"&amp;CHAR(10)&amp;"（法人）",H6&lt;&gt;H10),"適切に入力がされました。",
IF(AND(O3="○"&amp;CHAR(10)&amp;"（個人）",H6=H10),"適切に入力がされました。",
IF(AND(O3="○"&amp;CHAR(10)&amp;"（個人）",H6&lt;&gt;H10),"【要修正】個人事業主の場合は「事業者名」欄と一致するように入力してください。（コピー＆貼り付け入力推奨）",
IF(AND(O3="○"&amp;CHAR(10)&amp;"（公立）",H6=H10),"【要修正】自治体名ではなく、施設名を入力してください。（自治体名の記載は不要）",
IF(AND(O3="○"&amp;CHAR(10)&amp;"（公立）",H6&lt;&gt;H10),"適切に入力がされました。"
))))))))</f>
        <v>【要修正】「法人・個人事業主の別」の入力に問題があります。</v>
      </c>
      <c r="Q10" s="890"/>
      <c r="R10" s="890"/>
      <c r="S10" s="890"/>
      <c r="T10" s="890"/>
      <c r="U10" s="890"/>
      <c r="V10" s="890"/>
      <c r="W10" s="890"/>
      <c r="X10" s="836"/>
      <c r="Y10" s="836"/>
      <c r="Z10" s="836"/>
      <c r="AA10" s="836"/>
      <c r="AB10" s="836"/>
      <c r="AC10" s="671"/>
      <c r="AE10" s="128" t="str">
        <f xml:space="preserve">
IF(O3="×",C10,
IF(AND(OR(O3="○"&amp;CHAR(10)&amp;"（個人）",O3="○"&amp;CHAR(10)&amp;"（法人）",O3="○"&amp;CHAR(10)&amp;"（公立）"),H10=""),C10,
IF(AND(O3="○"&amp;CHAR(10)&amp;"（法人）",H6=H10),C10,
IF(AND(O3="○"&amp;CHAR(10)&amp;"（法人）",H6&lt;&gt;H10),"",
IF(AND(O3="○"&amp;CHAR(10)&amp;"（個人）",H6=H10),"",
IF(AND(O3="○"&amp;CHAR(10)&amp;"（個人）",H6&lt;&gt;H10),C10,
IF(AND(O3="○"&amp;CHAR(10)&amp;"（公立）",H6=H10),C10,
IF(AND(O3="○"&amp;CHAR(10)&amp;"（公立）",H6&lt;&gt;H10),""
))))))))</f>
        <v>施設の名称</v>
      </c>
      <c r="AF10" s="665" t="str">
        <f t="shared" si="0"/>
        <v/>
      </c>
    </row>
    <row r="11" spans="2:40" ht="30" customHeight="1">
      <c r="B11" s="822"/>
      <c r="C11" s="837" t="s">
        <v>74</v>
      </c>
      <c r="D11" s="838"/>
      <c r="E11" s="838"/>
      <c r="F11" s="838"/>
      <c r="G11" s="838"/>
      <c r="H11" s="834"/>
      <c r="I11" s="873"/>
      <c r="J11" s="873"/>
      <c r="K11" s="873"/>
      <c r="L11" s="873"/>
      <c r="M11" s="873"/>
      <c r="N11" s="873"/>
      <c r="O11" s="107" t="str">
        <f>IF(COUNTA(H11)=0,"×","○")</f>
        <v>×</v>
      </c>
      <c r="P11" s="889" t="str">
        <f>IF(COUNTA(H11)=0,"【要修正】「施設の名称」欄に入力した施設の所在地を入力してください。","適切に入力がされました。")</f>
        <v>【要修正】「施設の名称」欄に入力した施設の所在地を入力してください。</v>
      </c>
      <c r="Q11" s="890"/>
      <c r="R11" s="890"/>
      <c r="S11" s="890"/>
      <c r="T11" s="890"/>
      <c r="U11" s="890"/>
      <c r="V11" s="890"/>
      <c r="W11" s="890"/>
      <c r="X11" s="890"/>
      <c r="Y11" s="890"/>
      <c r="Z11" s="890"/>
      <c r="AA11" s="890"/>
      <c r="AB11" s="890"/>
      <c r="AC11" s="108"/>
      <c r="AE11" s="128" t="str">
        <f t="shared" ref="AE11:AE17" si="1">IF(O11="○","",C11&amp;"/")</f>
        <v>施設所在地/</v>
      </c>
      <c r="AF11" s="665" t="str">
        <f t="shared" si="0"/>
        <v/>
      </c>
    </row>
    <row r="12" spans="2:40" ht="30" customHeight="1">
      <c r="B12" s="822"/>
      <c r="C12" s="837" t="s">
        <v>77</v>
      </c>
      <c r="D12" s="838"/>
      <c r="E12" s="838"/>
      <c r="F12" s="838"/>
      <c r="G12" s="838"/>
      <c r="H12" s="752" t="s">
        <v>78</v>
      </c>
      <c r="I12" s="564"/>
      <c r="J12" s="752" t="s">
        <v>79</v>
      </c>
      <c r="K12" s="564"/>
      <c r="L12" s="752" t="s">
        <v>80</v>
      </c>
      <c r="M12" s="564"/>
      <c r="N12" s="752" t="s">
        <v>81</v>
      </c>
      <c r="O12" s="107" t="str">
        <f xml:space="preserve">
IF(OR(表紙!$X$2="事前協議",表紙!$X$2="交付申請（２次）",表紙!$X$2="変更申請",表紙!$X$2="交付申請兼実績報告"),
IF(OR(COUNTA(I12,K12,M12)&lt;&gt;3,AF12&lt;VLOOKUP(表紙!$X$2,テーブル!$E$25:$G$31,2,FALSE),AF12&gt;VLOOKUP(表紙!$X$2,テーブル!$E$25:$G$31,3,FALSE)),
"×",
IF(OR(COUNTA(I12,K12,M12)=3,AND(AF12&gt;=VLOOKUP(表紙!$X$2,テーブル!$E$25:$G$31,2,FALSE),AF12&lt;=VLOOKUP(表紙!$X$2,テーブル!$E$25:$G$31,3,FALSE))),
"○")),"")
&amp;
IF(OR(表紙!$X$2="実績報告（１次）",表紙!$X$2="実績報告（２次）"),
IF(はじめに入力してください!L18="","×",
IF(OR(COUNTIF(O30:O40,"×")&gt;=1,COUNTIF(P30:AB40,"適切に入力がされました。")=0),"×",
IF(OR(COUNTA(I12,K12,M12)&lt;&gt;3,AF12&lt;VLOOKUP(表紙!$X$2,テーブル!$E$25:$G$31,2,FALSE),AF12&gt;VLOOKUP(表紙!$X$2,テーブル!$E$25:$G$31,3,FALSE)),
"×",
IF(OR(COUNTA(I12,K12,M12)=3,AND(AF12&gt;=VLOOKUP(表紙!$X$2,テーブル!$E$25:$G$31,2,FALSE),AF12&lt;=VLOOKUP(表紙!$X$2,テーブル!$E$25:$G$31,3,FALSE))),
"○")))),"")</f>
        <v>×</v>
      </c>
      <c r="P12" s="891" t="str">
        <f xml:space="preserve">
IF(OR(表紙!$X$2="事前協議",表紙!$X$2="交付申請（２次）",表紙!$X$2="変更申請",表紙!$X$2="交付申請兼実績報告"),
IF(OR(COUNTA(I12,K12,M12)&lt;&gt;3,AF12&lt;VLOOKUP(表紙!$X$2,テーブル!$E$25:$G$31,2,FALSE),AF12&gt;VLOOKUP(表紙!$X$2,テーブル!$E$25:$G$31,3,FALSE)),
"【要修正】"&amp;TEXT(VLOOKUP(表紙!$X$2,テーブル!$E$25:$G$31,2,FALSE),"m月d日")&amp;"から"&amp;TEXT(VLOOKUP(表紙!$X$2,テーブル!$E$25:$G$31,3,FALSE),"m月d日")&amp;"までの日付を入力してください。",
IF(OR(COUNTA(I12,K12,M12)=3,AND(AF12&gt;=VLOOKUP(表紙!$X$2,テーブル!$E$25:$G$31,2,FALSE),AF12&lt;=VLOOKUP(表紙!$X$2,テーブル!$E$25:$G$31,3,FALSE))),
"適切に入力がされました。")),"")&amp;
IF(OR(表紙!$X$2="実績報告（１次）",表紙!$X$2="実績報告（２次）"),
IF(はじめに入力してください!L18="","【要修正】下段の「既交付決定通知番号」を入力してください。（入力すると、記入すべき日付の期間が本欄に表示されます。）",
IF(OR(COUNTIF(O30:O40,"×")&gt;=1,COUNTIF(P30:AB40,"適切に入力がされました。")=0),"【要修正】実績報告を行う品目に係る明細シートを全て完成させてください。",
IF(OR(COUNTA(I12,K12,M12)&lt;&gt;3,AF12&lt;VLOOKUP(表紙!$X$2,テーブル!$E$25:$G$31,2,FALSE),AF12&gt;VLOOKUP(表紙!$X$2,テーブル!$E$25:$G$31,3,FALSE)),
"【要修正】"&amp;TEXT(VLOOKUP(表紙!$X$2,テーブル!$E$25:$G$31,2,FALSE),"m月d日")&amp;"から"&amp;TEXT(VLOOKUP(表紙!$X$2,テーブル!$E$25:$G$31,3,FALSE),"m月d日")&amp;"までの日付を入力してください。",
IF(OR(COUNTA(I12,K12,M12)=3,AND(AF12&gt;=VLOOKUP(表紙!$X$2,テーブル!$E$25:$G$31,2,FALSE),AF12&lt;=VLOOKUP(表紙!$X$2,テーブル!$E$25:$G$31,3,FALSE))),
"適切に入力がされました。")))),"")</f>
        <v>【要修正】2月1日から2月29日までの日付を入力してください。</v>
      </c>
      <c r="Q12" s="890"/>
      <c r="R12" s="890"/>
      <c r="S12" s="890"/>
      <c r="T12" s="890"/>
      <c r="U12" s="890"/>
      <c r="V12" s="890"/>
      <c r="W12" s="890"/>
      <c r="X12" s="890"/>
      <c r="Y12" s="890"/>
      <c r="Z12" s="890"/>
      <c r="AA12" s="890"/>
      <c r="AB12" s="890"/>
      <c r="AC12" s="108"/>
      <c r="AE12" s="128" t="str">
        <f t="shared" si="1"/>
        <v>提出日/</v>
      </c>
      <c r="AF12" s="737" t="str">
        <f>IF(COUNTA(I12,K12,M12)&lt;&gt;3,"",DATE(IF(I12=5,2023,IF(I12=6,2024)),K12,M12))</f>
        <v/>
      </c>
    </row>
    <row r="13" spans="2:40" ht="30" customHeight="1">
      <c r="B13" s="822"/>
      <c r="C13" s="837" t="s">
        <v>82</v>
      </c>
      <c r="D13" s="838"/>
      <c r="E13" s="838"/>
      <c r="F13" s="838"/>
      <c r="G13" s="838"/>
      <c r="H13" s="834"/>
      <c r="I13" s="873"/>
      <c r="J13" s="873"/>
      <c r="K13" s="873"/>
      <c r="L13" s="873"/>
      <c r="M13" s="873"/>
      <c r="N13" s="873"/>
      <c r="O13" s="107" t="s">
        <v>1442</v>
      </c>
      <c r="P13" s="889" t="s">
        <v>84</v>
      </c>
      <c r="Q13" s="890"/>
      <c r="R13" s="890"/>
      <c r="S13" s="890"/>
      <c r="T13" s="890"/>
      <c r="U13" s="890"/>
      <c r="V13" s="890"/>
      <c r="W13" s="890"/>
      <c r="X13" s="890"/>
      <c r="Y13" s="890"/>
      <c r="Z13" s="890"/>
      <c r="AA13" s="890"/>
      <c r="AB13" s="890"/>
      <c r="AC13" s="108"/>
      <c r="AE13" s="128" t="str">
        <f t="shared" si="1"/>
        <v/>
      </c>
      <c r="AF13" s="738" t="s">
        <v>1143</v>
      </c>
    </row>
    <row r="14" spans="2:40" ht="30" customHeight="1">
      <c r="B14" s="822"/>
      <c r="C14" s="837" t="s">
        <v>85</v>
      </c>
      <c r="D14" s="838"/>
      <c r="E14" s="838"/>
      <c r="F14" s="838"/>
      <c r="G14" s="838"/>
      <c r="H14" s="834"/>
      <c r="I14" s="873"/>
      <c r="J14" s="873"/>
      <c r="K14" s="873"/>
      <c r="L14" s="873"/>
      <c r="M14" s="873"/>
      <c r="N14" s="873"/>
      <c r="O14" s="107" t="str">
        <f>IF(COUNTA(H14)=0,"×","○")</f>
        <v>×</v>
      </c>
      <c r="P14" s="819" t="str">
        <f>IF(COUNTA(H14)=0,"【要修正】この申請をご担当される方が所属する部署名、部署を置いていない場合は職務（例：医師、事務等）を入力してください。","適切に入力がされました。")</f>
        <v>【要修正】この申請をご担当される方が所属する部署名、部署を置いていない場合は職務（例：医師、事務等）を入力してください。</v>
      </c>
      <c r="Q14" s="835"/>
      <c r="R14" s="835"/>
      <c r="S14" s="835"/>
      <c r="T14" s="835"/>
      <c r="U14" s="835"/>
      <c r="V14" s="835"/>
      <c r="W14" s="835"/>
      <c r="X14" s="836"/>
      <c r="Y14" s="836"/>
      <c r="Z14" s="836"/>
      <c r="AA14" s="836"/>
      <c r="AB14" s="836"/>
      <c r="AC14" s="671"/>
      <c r="AE14" s="128" t="str">
        <f t="shared" si="1"/>
        <v>担当部署/</v>
      </c>
      <c r="AF14" s="665" t="str">
        <f>DBCS(H14)</f>
        <v/>
      </c>
    </row>
    <row r="15" spans="2:40" ht="30" customHeight="1">
      <c r="B15" s="822"/>
      <c r="C15" s="837" t="s">
        <v>86</v>
      </c>
      <c r="D15" s="838"/>
      <c r="E15" s="838"/>
      <c r="F15" s="838"/>
      <c r="G15" s="838"/>
      <c r="H15" s="834"/>
      <c r="I15" s="873"/>
      <c r="J15" s="873"/>
      <c r="K15" s="873"/>
      <c r="L15" s="873"/>
      <c r="M15" s="873"/>
      <c r="N15" s="873"/>
      <c r="O15" s="107" t="str">
        <f>IF(COUNTA(H15)=0,"×","○")</f>
        <v>×</v>
      </c>
      <c r="P15" s="819" t="str">
        <f>IF(COUNTA(H15)=0,"【要修正】この申請をご担当される方の氏名（フルネーム）を入力してください。（例：愛知　太郎）","適切に入力がされました。")</f>
        <v>【要修正】この申請をご担当される方の氏名（フルネーム）を入力してください。（例：愛知　太郎）</v>
      </c>
      <c r="Q15" s="835"/>
      <c r="R15" s="835"/>
      <c r="S15" s="835"/>
      <c r="T15" s="835"/>
      <c r="U15" s="835"/>
      <c r="V15" s="835"/>
      <c r="W15" s="835"/>
      <c r="X15" s="836"/>
      <c r="Y15" s="836"/>
      <c r="Z15" s="836"/>
      <c r="AA15" s="836"/>
      <c r="AB15" s="836"/>
      <c r="AC15" s="671"/>
      <c r="AD15" s="671"/>
      <c r="AE15" s="128" t="str">
        <f t="shared" si="1"/>
        <v>担当者名/</v>
      </c>
      <c r="AF15" s="665" t="str">
        <f>DBCS(H15)</f>
        <v/>
      </c>
    </row>
    <row r="16" spans="2:40" ht="30" customHeight="1">
      <c r="B16" s="822"/>
      <c r="C16" s="837" t="s">
        <v>87</v>
      </c>
      <c r="D16" s="838"/>
      <c r="E16" s="838"/>
      <c r="F16" s="838"/>
      <c r="G16" s="838"/>
      <c r="H16" s="676"/>
      <c r="I16" s="753" t="s">
        <v>1313</v>
      </c>
      <c r="J16" s="676"/>
      <c r="K16" s="753" t="s">
        <v>1313</v>
      </c>
      <c r="L16" s="904"/>
      <c r="M16" s="905"/>
      <c r="N16" s="754"/>
      <c r="O16" s="107" t="str">
        <f>IF(SUM(COUNTA(H16),COUNTA(J16),COUNTA(L16))=3,"○","×")</f>
        <v>×</v>
      </c>
      <c r="P16" s="819" t="str">
        <f>IF(SUM(COUNTA(H16),COUNTA(J16),COUNTA(L16))=3,"適切に入力がされました。","【要修正】申請に関するやりとりをするための電話番号を入力してください。")</f>
        <v>【要修正】申請に関するやりとりをするための電話番号を入力してください。</v>
      </c>
      <c r="Q16" s="835"/>
      <c r="R16" s="835"/>
      <c r="S16" s="835"/>
      <c r="T16" s="835"/>
      <c r="U16" s="835"/>
      <c r="V16" s="835"/>
      <c r="W16" s="835"/>
      <c r="X16" s="836"/>
      <c r="Y16" s="836"/>
      <c r="Z16" s="836"/>
      <c r="AA16" s="836"/>
      <c r="AB16" s="836"/>
      <c r="AC16" s="671"/>
      <c r="AD16" s="671"/>
      <c r="AE16" s="128" t="str">
        <f t="shared" si="1"/>
        <v>電話番号（担当直通）/</v>
      </c>
      <c r="AF16" s="215" t="str">
        <f>ASC(H16)&amp;"-"&amp;ASC(J16)&amp;"-"&amp;ASC(L16)</f>
        <v>--</v>
      </c>
      <c r="AL16" s="715" t="s">
        <v>88</v>
      </c>
    </row>
    <row r="17" spans="2:38" ht="30" customHeight="1">
      <c r="B17" s="822"/>
      <c r="C17" s="837" t="s">
        <v>89</v>
      </c>
      <c r="D17" s="838"/>
      <c r="E17" s="838"/>
      <c r="F17" s="838"/>
      <c r="G17" s="838"/>
      <c r="H17" s="833"/>
      <c r="I17" s="834"/>
      <c r="J17" s="834"/>
      <c r="K17" s="834"/>
      <c r="L17" s="834"/>
      <c r="M17" s="834"/>
      <c r="N17" s="834"/>
      <c r="O17" s="107" t="str">
        <f>IF(COUNTA(H17)=0,"×","○")</f>
        <v>×</v>
      </c>
      <c r="P17" s="819" t="str">
        <f>IF(COUNTA(H17)=0,"【要修正】【重要：各種手続で用いるため間違えないように入力】申請に関するやりとりをするためのメールアドレスを入力してください。","適切に入力がされました。")</f>
        <v>【要修正】【重要：各種手続で用いるため間違えないように入力】申請に関するやりとりをするためのメールアドレスを入力してください。</v>
      </c>
      <c r="Q17" s="835"/>
      <c r="R17" s="835"/>
      <c r="S17" s="835"/>
      <c r="T17" s="835"/>
      <c r="U17" s="835"/>
      <c r="V17" s="835"/>
      <c r="W17" s="835"/>
      <c r="X17" s="836"/>
      <c r="Y17" s="836"/>
      <c r="Z17" s="836"/>
      <c r="AA17" s="836"/>
      <c r="AB17" s="836"/>
      <c r="AC17" s="671"/>
      <c r="AD17" s="671"/>
      <c r="AE17" s="128" t="str">
        <f t="shared" si="1"/>
        <v>Mailｱﾄﾞﾚｽ（担当直通）/</v>
      </c>
      <c r="AF17" s="215" t="str">
        <f>ASC(H17)</f>
        <v/>
      </c>
      <c r="AL17" s="715" t="s">
        <v>90</v>
      </c>
    </row>
    <row r="18" spans="2:38" ht="30" hidden="1" customHeight="1">
      <c r="B18" s="822"/>
      <c r="C18" s="837" t="str">
        <f xml:space="preserve">
IF(表紙!$X$2="事前協議","－",
IF(表紙!$X$2="交付申請（２次）","－",
IF(表紙!$X$2="変更申請","既交付決定通知番号",
IF(表紙!$X$2="実績報告（１次）","既交付決定通知番号",
IF(表紙!$X$2="実績報告（２次）","既交付決定通知番号",
IF(表紙!$X$2="交付申請兼実績報告","－"))))))</f>
        <v>－</v>
      </c>
      <c r="D18" s="838"/>
      <c r="E18" s="838"/>
      <c r="F18" s="838"/>
      <c r="G18" s="838"/>
      <c r="H18" s="862" t="s">
        <v>1030</v>
      </c>
      <c r="I18" s="863"/>
      <c r="J18" s="863"/>
      <c r="K18" s="863"/>
      <c r="L18" s="864"/>
      <c r="M18" s="865"/>
      <c r="N18" s="755" t="s">
        <v>91</v>
      </c>
      <c r="O18" s="107" t="str">
        <f xml:space="preserve">
IF(C18="－","○",
IF(AND(C18="既交付決定通知番号",COUNTA(L18)=0),"×",
IF(AND(C18="既交付決定通知番号",COUNTA(L18)=1),"○"
)))</f>
        <v>○</v>
      </c>
      <c r="P18" s="819" t="str">
        <f xml:space="preserve">
IF(C18="－",
"入力不要です。",
IF(AND(C18="既交付決定通知番号",COUNTA(L18)=0),
"【要修正】県から郵送された交付決定通知書を確認し、右肩に記載の番号をプルダウンから選択してください。",
IF(AND(C18="既交付決定通知番号",COUNTA(L18)=1),
"正常に入力がされました。"
)))</f>
        <v>入力不要です。</v>
      </c>
      <c r="Q18" s="836"/>
      <c r="R18" s="836"/>
      <c r="S18" s="836"/>
      <c r="T18" s="836"/>
      <c r="U18" s="836"/>
      <c r="V18" s="836"/>
      <c r="W18" s="836"/>
      <c r="X18" s="836"/>
      <c r="Y18" s="836"/>
      <c r="Z18" s="836"/>
      <c r="AA18" s="836"/>
      <c r="AB18" s="836"/>
      <c r="AC18" s="671"/>
      <c r="AD18" s="671"/>
      <c r="AE18" s="129" t="str">
        <f>IF(L18="","",IF(L18="新規","新規","入院第"&amp;L18&amp;"号"))</f>
        <v/>
      </c>
      <c r="AF18" s="738" t="s">
        <v>1143</v>
      </c>
      <c r="AJ18" s="664" t="str">
        <f>IF(O18="○","",C18&amp;"/")</f>
        <v/>
      </c>
    </row>
    <row r="19" spans="2:38" ht="30" customHeight="1">
      <c r="B19" s="823" t="s">
        <v>1032</v>
      </c>
      <c r="C19" s="871" t="str">
        <f xml:space="preserve">
IF(表紙!$X$2="事前協議","金融機関番号",
IF(表紙!$X$2="交付申請（２次）","金融機関番号",
IF(表紙!$X$2="変更申請","－",
IF(表紙!$X$2="実績報告（１次）","－",
IF(表紙!$X$2="実績報告（２次）","－",
IF(表紙!$X$2="交付申請兼実績報告","金融機関番号"))))))</f>
        <v>金融機関番号</v>
      </c>
      <c r="D19" s="847"/>
      <c r="E19" s="847"/>
      <c r="F19" s="847"/>
      <c r="G19" s="847"/>
      <c r="H19" s="675"/>
      <c r="I19" s="675"/>
      <c r="J19" s="675"/>
      <c r="K19" s="675"/>
      <c r="L19" s="848"/>
      <c r="M19" s="848"/>
      <c r="N19" s="848"/>
      <c r="O19" s="47" t="str">
        <f xml:space="preserve">
IF(AND(表紙!$X$2="事前協議",COUNTA(H19:K19)=4),"○",
IF(AND(表紙!$X$2="事前協議",COUNTA(H19:K19)&lt;&gt;4),"×",
IF(AND(表紙!$X$2="交付申請（２次）",COUNTA(H19:K19)=4),"○",
IF(AND(表紙!$X$2="交付申請（２次）",COUNTA(H19:K19)&lt;&gt;4),"×",
IF(表紙!$X$2="変更申請","○",
IF(表紙!$X$2="実績報告（１次）","○",
IF(表紙!$X$2="実績報告（２次）","○",
IF(AND(表紙!$X$2="交付申請兼実績報告",COUNTA(H19:K19)=4),"○",
IF(AND(表紙!$X$2="交付申請兼実績報告",COUNTA(H19:K19)&lt;&gt;4),"×")))))))))</f>
        <v>×</v>
      </c>
      <c r="P19" s="844" t="str">
        <f xml:space="preserve">
IF(AND(表紙!$X$2="事前協議",COUNTA(H19:K19)=4),"適切に入力がされました。",
IF(AND(表紙!$X$2="事前協議",COUNTA(H19:K19)&lt;&gt;4),"【要修正】振込先口座の金融機関コード（４桁）を入力してください。",
IF(AND(表紙!$X$2="交付申請（２次）",COUNTA(H19:K19)=4),"適切に入力がされました。",
IF(AND(表紙!$X$2="交付申請（２次）",COUNTA(H19:K19)&lt;&gt;4),"要修正】振込先口座の金融機関コード（４桁）を入力してください。",
IF(表紙!$X$2="変更申請","－",
IF(表紙!$X$2="実績報告（１次）","入力不要です。",
IF(表紙!$X$2="実績報告（２次）","入力不要です。",
IF(AND(表紙!$X$2="交付申請兼実績報告",COUNTA(H19:K19)=4),"適切に入力がされました。",
IF(AND(表紙!$X$2="交付申請兼実績報告",COUNTA(H19:K19)&lt;&gt;4),"【要修正】振込先口座の金融機関コード（４桁）を入力してください。")))))))))</f>
        <v>【要修正】振込先口座の金融機関コード（４桁）を入力してください。</v>
      </c>
      <c r="Q19" s="845"/>
      <c r="R19" s="845"/>
      <c r="S19" s="845"/>
      <c r="T19" s="845"/>
      <c r="U19" s="845"/>
      <c r="V19" s="845"/>
      <c r="W19" s="845"/>
      <c r="X19" s="845"/>
      <c r="Y19" s="845"/>
      <c r="Z19" s="845"/>
      <c r="AA19" s="845"/>
      <c r="AB19" s="845"/>
      <c r="AC19" s="671"/>
      <c r="AD19" s="671"/>
      <c r="AE19" s="128" t="str">
        <f t="shared" ref="AE19:AE25" si="2">IF(O19="○","",C19&amp;"/")</f>
        <v>金融機関番号/</v>
      </c>
      <c r="AF19" s="215" t="str">
        <f>ASC(H19&amp;I19&amp;J19&amp;K19)</f>
        <v/>
      </c>
    </row>
    <row r="20" spans="2:38" ht="30" customHeight="1">
      <c r="B20" s="823"/>
      <c r="C20" s="871" t="str">
        <f xml:space="preserve">
IF(表紙!$X$2="事前協議","金融機関名",
IF(表紙!$X$2="交付申請（２次）","金融機関名",
IF(表紙!$X$2="変更申請","－",
IF(表紙!$X$2="実績報告（１次）","－",
IF(表紙!$X$2="実績報告（２次）","－",
IF(表紙!$X$2="交付申請兼実績報告","金融機関名"))))))</f>
        <v>金融機関名</v>
      </c>
      <c r="D20" s="847"/>
      <c r="E20" s="847"/>
      <c r="F20" s="847"/>
      <c r="G20" s="847"/>
      <c r="H20" s="879"/>
      <c r="I20" s="880"/>
      <c r="J20" s="880"/>
      <c r="K20" s="880"/>
      <c r="L20" s="880"/>
      <c r="M20" s="880"/>
      <c r="N20" s="880"/>
      <c r="O20" s="47" t="str">
        <f xml:space="preserve">
IF(AND(表紙!$X$2="事前協議",COUNTA(H20)=1),"○",
IF(AND(表紙!$X$2="事前協議",COUNTA(H20)&lt;&gt;1),"×",
IF(AND(表紙!$X$2="交付申請（２次）",COUNTA(H20)=1),"○",
IF(AND(表紙!$X$2="交付申請（２次）",COUNTA(H20)&lt;&gt;1),"×",
IF(表紙!$X$2="変更申請","○",
IF(表紙!$X$2="実績報告（１次）","○",
IF(表紙!$X$2="実績報告（２次）","○",
IF(AND(表紙!$X$2="交付申請兼実績報告",COUNTA(H20)=1),"○",
IF(AND(表紙!$X$2="交付申請兼実績報告",COUNTA(H20)&lt;&gt;1),"×")))))))))</f>
        <v>×</v>
      </c>
      <c r="P20" s="844" t="str">
        <f xml:space="preserve">
IF(AND(表紙!$X$2="事前協議",COUNTA(H20)=1),"適切に入力がされました。",
IF(AND(表紙!$X$2="事前協議",COUNTA(H20)&lt;&gt;1),"【要修正】振込先口座の金融機関名を入力してください。（「○○銀行」まで）",
IF(AND(表紙!$X$2="交付申請（２次）",COUNTA(H20)=1),"適切に入力がされました。",
IF(AND(表紙!$X$2="交付申請（２次）",COUNTA(H20)&lt;&gt;1),"【要修正】振込先口座の金融機関名を入力してください。（「○○銀行」まで）",
IF(表紙!$X$2="変更申請","－",
IF(表紙!$X$2="実績報告（１次）","入力不要です。（下段の「既交付決定番号」で選択した番号に基づき請求書に自動で表示されます。）",
IF(表紙!$X$2="実績報告（２次）","入力不要です。（下段の「既交付決定番号」で選択した番号に基づき請求書に自動で表示されます。）",
IF(AND(表紙!$X$2="交付申請兼実績報告",COUNTA(H20)=1),"適切に入力がされました。",
IF(AND(表紙!$X$2="交付申請兼実績報告",COUNTA(H20)&lt;&gt;1),"【要修正】振込先口座の金融機関名を入力してください。（「○○銀行」まで）")))))))))</f>
        <v>【要修正】振込先口座の金融機関名を入力してください。（「○○銀行」まで）</v>
      </c>
      <c r="Q20" s="845"/>
      <c r="R20" s="845"/>
      <c r="S20" s="845"/>
      <c r="T20" s="845"/>
      <c r="U20" s="845"/>
      <c r="V20" s="845"/>
      <c r="W20" s="845"/>
      <c r="X20" s="845"/>
      <c r="Y20" s="845"/>
      <c r="Z20" s="845"/>
      <c r="AA20" s="845"/>
      <c r="AB20" s="845"/>
      <c r="AC20" s="671"/>
      <c r="AD20" s="671"/>
      <c r="AE20" s="128" t="str">
        <f t="shared" si="2"/>
        <v>金融機関名/</v>
      </c>
      <c r="AF20" s="215" t="str">
        <f>ASC(H20)</f>
        <v/>
      </c>
    </row>
    <row r="21" spans="2:38" ht="30" customHeight="1">
      <c r="B21" s="823"/>
      <c r="C21" s="846" t="str">
        <f xml:space="preserve">
IF(表紙!$X$2="事前協議","支店番号",
IF(表紙!$X$2="交付申請（２次）","支店番号",
IF(表紙!$X$2="変更申請","－",
IF(表紙!$X$2="実績報告（１次）","－",
IF(表紙!$X$2="実績報告（２次）","－",
IF(表紙!$X$2="交付申請兼実績報告","支店番号"))))))</f>
        <v>支店番号</v>
      </c>
      <c r="D21" s="847"/>
      <c r="E21" s="847"/>
      <c r="F21" s="847"/>
      <c r="G21" s="847"/>
      <c r="H21" s="675"/>
      <c r="I21" s="675"/>
      <c r="J21" s="675"/>
      <c r="K21" s="848"/>
      <c r="L21" s="848"/>
      <c r="M21" s="848"/>
      <c r="N21" s="848"/>
      <c r="O21" s="47" t="str">
        <f xml:space="preserve">
IF(AND(表紙!$X$2="事前協議",COUNTA(H21:J21)=3),"○",
IF(AND(表紙!$X$2="事前協議",COUNTA(H21:J21)&lt;&gt;3),"×",
IF(AND(表紙!$X$2="交付申請（２次）",COUNTA(H21:J21)=3),"○",
IF(AND(表紙!$X$2="交付申請（２次）",COUNTA(H21:J21)&lt;&gt;3),"×",
IF(表紙!$X$2="変更申請","○",
IF(表紙!$X$2="実績報告（１次）","○",
IF(表紙!$X$2="実績報告（２次）","○",
IF(AND(表紙!$X$2="交付申請兼実績報告",COUNTA(H21:J21)=3),"○",
IF(AND(表紙!$X$2="交付申請兼実績報告",COUNTA(H21:J21)&lt;&gt;3),"×")))))))))</f>
        <v>×</v>
      </c>
      <c r="P21" s="844" t="str">
        <f xml:space="preserve">
IF(AND(表紙!$X$2="事前協議",COUNTA(H21:J21)=3),"適切に入力がされました。",
IF(AND(表紙!$X$2="事前協議",COUNTA(H21:J21)&lt;&gt;3),"【要修正】振込先口座の支店コード（３桁）を入力してください。",
IF(AND(表紙!$X$2="交付申請（２次）",COUNTA(H21:J21)=3),"適切に入力がされました。",
IF(AND(表紙!$X$2="交付申請（２次）",COUNTA(H21:J21)&lt;&gt;3),"【要修正】振込先口座の支店コード（３桁）を入力してください。",
IF(表紙!$X$2="変更申請","－",
IF(表紙!$X$2="実績報告（１次）","入力不要です。",
IF(表紙!$X$2="実績報告（２次）","入力不要です。",
IF(AND(表紙!$X$2="交付申請兼実績報告",COUNTA(H21:J21)=3),"適切に入力がされました。",
IF(AND(表紙!$X$2="交付申請兼実績報告",COUNTA(H21:J21)&lt;&gt;3),"【要修正】振込先口座の支店コード（３桁）を入力してください。")))))))))</f>
        <v>【要修正】振込先口座の支店コード（３桁）を入力してください。</v>
      </c>
      <c r="Q21" s="845"/>
      <c r="R21" s="845"/>
      <c r="S21" s="845"/>
      <c r="T21" s="845"/>
      <c r="U21" s="845"/>
      <c r="V21" s="845"/>
      <c r="W21" s="845"/>
      <c r="X21" s="845"/>
      <c r="Y21" s="845"/>
      <c r="Z21" s="845"/>
      <c r="AA21" s="845"/>
      <c r="AB21" s="845"/>
      <c r="AC21" s="671"/>
      <c r="AD21" s="671"/>
      <c r="AE21" s="128" t="str">
        <f t="shared" si="2"/>
        <v>支店番号/</v>
      </c>
      <c r="AF21" s="215" t="str">
        <f>ASC(H19&amp;I19&amp;J19&amp;K19&amp;H21&amp;I21&amp;J21)</f>
        <v/>
      </c>
    </row>
    <row r="22" spans="2:38" ht="30" customHeight="1">
      <c r="B22" s="823"/>
      <c r="C22" s="846" t="str">
        <f xml:space="preserve">
IF(表紙!$X$2="事前協議","支店名",
IF(表紙!$X$2="交付申請（２次）","支店名",
IF(表紙!$X$2="変更申請","－",
IF(表紙!$X$2="実績報告（１次）","－",
IF(表紙!$X$2="実績報告（２次）","－",
IF(表紙!$X$2="交付申請兼実績報告","支店名"))))))</f>
        <v>支店名</v>
      </c>
      <c r="D22" s="847"/>
      <c r="E22" s="847"/>
      <c r="F22" s="847"/>
      <c r="G22" s="847"/>
      <c r="H22" s="849"/>
      <c r="I22" s="850"/>
      <c r="J22" s="850"/>
      <c r="K22" s="850"/>
      <c r="L22" s="850"/>
      <c r="M22" s="850"/>
      <c r="N22" s="850"/>
      <c r="O22" s="47" t="str">
        <f xml:space="preserve">
IF(AND(表紙!$X$2="事前協議",COUNTA(H22)=1),"○",
IF(AND(表紙!$X$2="事前協議",COUNTA(H22)&lt;&gt;1),"×",
IF(AND(表紙!$X$2="交付申請（２次）",COUNTA(H22)=1),"○",
IF(AND(表紙!$X$2="交付申請（２次）",COUNTA(H22)&lt;&gt;1),"×",
IF(表紙!$X$2="変更申請","○",
IF(表紙!$X$2="実績報告（１次）","○",
IF(表紙!$X$2="実績報告（２次）","○",
IF(AND(表紙!$X$2="交付申請兼実績報告",COUNTA(H22)=1),"○",
IF(AND(表紙!$X$2="交付申請兼実績報告",COUNTA(H22)&lt;&gt;1),"×")))))))))</f>
        <v>×</v>
      </c>
      <c r="P22" s="844" t="str">
        <f xml:space="preserve">
IF(AND(表紙!$X$2="事前協議",COUNTA(H22)=1),"適切に入力がされました。",
IF(AND(表紙!$X$2="事前協議",COUNTA(H22)&lt;&gt;1),"【要修正】振込先口座の店名（支店名）を入力してください。",
IF(AND(表紙!$X$2="交付申請（２次）",COUNTA(H22)=1),"適切に入力がされました。",
IF(AND(表紙!$X$2="交付申請（２次）",COUNTA(H22)&lt;&gt;1),"【要修正】振込先口座の店名（支店名）を入力してください。",
IF(表紙!$X$2="変更申請","－",
IF(表紙!$X$2="実績報告（１次）","入力不要です。（下段の「既交付決定番号」で選択した番号に基づき請求書に自動で表示されます。）",
IF(表紙!$X$2="実績報告（２次）","入力不要です。（下段の「既交付決定番号」で選択した番号に基づき請求書に自動で表示されます。）",
IF(AND(表紙!$X$2="交付申請兼実績報告",COUNTA(H22)=1),"適切に入力がされました。",
IF(AND(表紙!$X$2="交付申請兼実績報告",COUNTA(H22)&lt;&gt;1),"【要修正】振込先口座の店名（支店名）を入力してください。")))))))))</f>
        <v>【要修正】振込先口座の店名（支店名）を入力してください。</v>
      </c>
      <c r="Q22" s="845"/>
      <c r="R22" s="845"/>
      <c r="S22" s="845"/>
      <c r="T22" s="845"/>
      <c r="U22" s="845"/>
      <c r="V22" s="845"/>
      <c r="W22" s="845"/>
      <c r="X22" s="845"/>
      <c r="Y22" s="845"/>
      <c r="Z22" s="845"/>
      <c r="AA22" s="845"/>
      <c r="AB22" s="845"/>
      <c r="AC22" s="671"/>
      <c r="AD22" s="671"/>
      <c r="AE22" s="128" t="str">
        <f t="shared" si="2"/>
        <v>支店名/</v>
      </c>
      <c r="AF22" s="215" t="str">
        <f>ASC(H22)</f>
        <v/>
      </c>
    </row>
    <row r="23" spans="2:38" ht="30" customHeight="1">
      <c r="B23" s="823"/>
      <c r="C23" s="871" t="str">
        <f xml:space="preserve">
IF(表紙!$X$2="事前協議","預金口座種別",
IF(表紙!$X$2="交付申請（２次）","預金口座種別",
IF(表紙!$X$2="変更申請","－",
IF(表紙!$X$2="実績報告（１次）","－",
IF(表紙!$X$2="実績報告（２次）","－",
IF(表紙!$X$2="交付申請兼実績報告","預金口座種別"))))))</f>
        <v>預金口座種別</v>
      </c>
      <c r="D23" s="847"/>
      <c r="E23" s="847"/>
      <c r="F23" s="847"/>
      <c r="G23" s="847"/>
      <c r="H23" s="675"/>
      <c r="I23" s="874" t="s">
        <v>521</v>
      </c>
      <c r="J23" s="874"/>
      <c r="K23" s="874"/>
      <c r="L23" s="874"/>
      <c r="M23" s="874"/>
      <c r="N23" s="874"/>
      <c r="O23" s="47" t="str">
        <f xml:space="preserve">
IF(AND(表紙!$X$2="事前協議",COUNTA(H23)=1),"○",
IF(AND(表紙!$X$2="事前協議",COUNTA(H23)&lt;&gt;1),"×",
IF(AND(表紙!$X$2="交付申請（２次）",COUNTA(H23)=1),"○",
IF(AND(表紙!$X$2="交付申請（２次）",COUNTA(H23)&lt;&gt;1),"×",
IF(表紙!$X$2="変更申請","○",
IF(表紙!$X$2="実績報告（１次）","○",
IF(表紙!$X$2="実績報告（２次）","○",
IF(AND(表紙!$X$2="交付申請兼実績報告",COUNTA(H23)=1),"○",
IF(AND(表紙!$X$2="交付申請兼実績報告",COUNTA(H23)&lt;&gt;1),"×")))))))))</f>
        <v>×</v>
      </c>
      <c r="P23" s="844" t="str">
        <f xml:space="preserve">
IF(AND(表紙!$X$2="事前協議",COUNTA(H23)=1),"適切に入力がされました。",
IF(AND(表紙!$X$2="事前協議",COUNTA(H23)&lt;&gt;1),"【要修正】預金口座種別を選択してください。",
IF(AND(表紙!$X$2="交付申請（２次）",COUNTA(H23)=1),"適切に入力がされました。",
IF(AND(表紙!$X$2="交付申請（２次）",COUNTA(H23)&lt;&gt;1),"【要修正】振預金口座種別を選択してください。",
IF(表紙!$X$2="変更申請","－",
IF(表紙!$X$2="実績報告（１次）","入力不要です。（下段の「既交付決定番号」で選択した番号に基づき請求書に自動で表示されます。）",
IF(表紙!$X$2="実績報告（２次）","入力不要です。（下段の「既交付決定番号」で選択した番号に基づき請求書に自動で表示されます。）",
IF(AND(表紙!$X$2="交付申請兼実績報告",COUNTA(H23)=1),"適切に入力がされました。",
IF(AND(表紙!$X$2="交付申請兼実績報告",COUNTA(H23)&lt;&gt;1),"【要修正】預金口座種別を選択してください。")))))))))</f>
        <v>【要修正】預金口座種別を選択してください。</v>
      </c>
      <c r="Q23" s="845"/>
      <c r="R23" s="845"/>
      <c r="S23" s="845"/>
      <c r="T23" s="845"/>
      <c r="U23" s="845"/>
      <c r="V23" s="845"/>
      <c r="W23" s="845"/>
      <c r="X23" s="845"/>
      <c r="Y23" s="845"/>
      <c r="Z23" s="845"/>
      <c r="AA23" s="845"/>
      <c r="AB23" s="845"/>
      <c r="AC23" s="671"/>
      <c r="AD23" s="671"/>
      <c r="AE23" s="128" t="str">
        <f t="shared" si="2"/>
        <v>預金口座種別/</v>
      </c>
      <c r="AF23" s="215" t="str">
        <f>ASC(H23)</f>
        <v/>
      </c>
    </row>
    <row r="24" spans="2:38" ht="30" customHeight="1">
      <c r="B24" s="823"/>
      <c r="C24" s="871" t="s">
        <v>1447</v>
      </c>
      <c r="D24" s="847"/>
      <c r="E24" s="847"/>
      <c r="F24" s="847"/>
      <c r="G24" s="847"/>
      <c r="H24" s="675"/>
      <c r="I24" s="675"/>
      <c r="J24" s="675"/>
      <c r="K24" s="675"/>
      <c r="L24" s="675"/>
      <c r="M24" s="675"/>
      <c r="N24" s="675"/>
      <c r="O24" s="47" t="str">
        <f xml:space="preserve">
IF(AND(表紙!$X$2="事前協議",COUNTA(H24:N24)=7),"○",
IF(AND(表紙!$X$2="事前協議",COUNTA(H24:N24)&lt;&gt;7),"×",
IF(AND(表紙!$X$2="交付申請（２次）",COUNTA(H24:N24)=7),"○",
IF(AND(表紙!$X$2="交付申請（２次）",COUNTA(H24:N24)&lt;&gt;7),"×",
IF(表紙!$X$2="変更申請","○",
IF(AND(表紙!$X$2="実績報告（１次）",COUNTA(H24:N24)=7),"○",
IF(AND(表紙!$X$2="実績報告（１次）",COUNTA(H24:N24)&lt;&gt;7),"×",
IF(AND(表紙!$X$2="実績報告（２次）",COUNTA(H24:N24)=7),"○",
IF(AND(表紙!$X$2="実績報告（２次）",COUNTA(H24:N24)&lt;&gt;7),"×",
IF(AND(表紙!$X$2="交付申請兼実績報告",COUNTA(H24:N24)=7),"○",
IF(AND(表紙!$X$2="交付申請兼実績報告",COUNTA(H24:N24)&lt;&gt;7),"×")))))))))))</f>
        <v>×</v>
      </c>
      <c r="P24" s="844" t="str">
        <f xml:space="preserve">
IF(AND(表紙!$X$2="事前協議",COUNTA(H24:N24)=7),"適切に入力がされました。",
IF(AND(表紙!$X$2="事前協議",COUNTA(H24:N24)&lt;&gt;7),"【要修正】振込先口座番号（７桁）を入力してください。（７桁以下の番号は先頭に「0」を入力。）",
IF(AND(表紙!$X$2="交付申請（２次）",COUNTA(H24:N24)=7),"適切に入力がされました。",
IF(AND(表紙!$X$2="交付申請（２次）",COUNTA(H24:N24)&lt;&gt;7),"【要修正】振込先口座番号（７桁）を入力してください。（７桁以下の番号は先頭に「0」を入力。）",
IF(表紙!$X$2="変更申請","－",
IF(AND(表紙!$X$2="実績報告（１次）",COUNTA(H24:N24)=7),"適切に入力がされました。",
IF(AND(表紙!$X$2="実績報告（１次）",COUNTA(H24:N24)&lt;&gt;7),"【要修正】本手続では振込先口座番号（７桁）のみ、改めて入力願います。",
IF(AND(表紙!$X$2="実績報告（２次）",COUNTA(H24:N24)=7),"適切に入力がされました。",
IF(AND(表紙!$X$2="実績報告（２次）",COUNTA(H24:N24)&lt;&gt;7),"【要修正】本手続では振込先口座番号（７桁）のみ、改めて入力願います。",
IF(AND(表紙!$X$2="交付申請兼実績報告",COUNTA(H24:N24)=7),"適切に入力がされました。",
IF(AND(表紙!$X$2="交付申請兼実績報告",COUNTA(H24:N24)&lt;&gt;7),"【要修正】振込先口座番号（７桁）を入力してください。（７桁以下の番号は先頭に「0」を入力。）")))))))))))</f>
        <v>【要修正】振込先口座番号（７桁）を入力してください。（７桁以下の番号は先頭に「0」を入力。）</v>
      </c>
      <c r="Q24" s="845"/>
      <c r="R24" s="845"/>
      <c r="S24" s="845"/>
      <c r="T24" s="845"/>
      <c r="U24" s="845"/>
      <c r="V24" s="845"/>
      <c r="W24" s="845"/>
      <c r="X24" s="845"/>
      <c r="Y24" s="845"/>
      <c r="Z24" s="845"/>
      <c r="AA24" s="845"/>
      <c r="AB24" s="845"/>
      <c r="AC24" s="671"/>
      <c r="AD24" s="671"/>
      <c r="AE24" s="128" t="str">
        <f t="shared" si="2"/>
        <v>口座番号/</v>
      </c>
      <c r="AF24" s="667" t="str">
        <f>ASC(H24&amp;I24&amp;J24&amp;K24&amp;L24&amp;M24&amp;N24)</f>
        <v/>
      </c>
    </row>
    <row r="25" spans="2:38" ht="30" customHeight="1">
      <c r="B25" s="823"/>
      <c r="C25" s="871" t="str">
        <f xml:space="preserve">
IF(表紙!$X$2="事前協議","振込先口座名義（半角ｶﾅ）",
IF(表紙!$X$2="交付申請（２次）","振込先口座名義（半角ｶﾅ）",
IF(表紙!$X$2="変更申請","－",
IF(表紙!$X$2="実績報告（１次）","－",
IF(表紙!$X$2="実績報告（２次）","－",
IF(表紙!$X$2="交付申請兼実績報告","振込先口座名義（半角ｶﾅ）"))))))</f>
        <v>振込先口座名義（半角ｶﾅ）</v>
      </c>
      <c r="D25" s="847"/>
      <c r="E25" s="847"/>
      <c r="F25" s="847"/>
      <c r="G25" s="847"/>
      <c r="H25" s="875"/>
      <c r="I25" s="876"/>
      <c r="J25" s="876"/>
      <c r="K25" s="876"/>
      <c r="L25" s="876"/>
      <c r="M25" s="876"/>
      <c r="N25" s="876"/>
      <c r="O25" s="47" t="str">
        <f xml:space="preserve">
IF(AND(表紙!$X$2="事前協議",COUNTA(H25)=1),"○",
IF(AND(表紙!$X$2="事前協議",COUNTA(H25)&lt;&gt;1),"×",
IF(AND(表紙!$X$2="交付申請（２次）",COUNTA(H25)=1),"○",
IF(AND(表紙!$X$2="交付申請（２次）",COUNTA(H25)&lt;&gt;1),"×",
IF(表紙!$X$2="変更申請","○",
IF(表紙!$X$2="実績報告（１次）","○",
IF(表紙!$X$2="実績報告（２次）","○",
IF(AND(表紙!$X$2="交付申請兼実績報告",COUNTA(H25)=1),"○",
IF(AND(表紙!$X$2="交付申請兼実績報告",COUNTA(H25)&lt;&gt;1),"×")))))))))</f>
        <v>×</v>
      </c>
      <c r="P25" s="844" t="str">
        <f xml:space="preserve">
IF(AND(表紙!$X$2="事前協議",COUNTA(H25)=1),"適切に入力がされました。",
IF(AND(表紙!$X$2="事前協議",COUNTA(H25)&lt;&gt;1),"【要修正】口座名義（半角ｶﾅ）を入力してください。",
IF(AND(表紙!$X$2="交付申請（２次）",COUNTA(H25)=1),"適切に入力がされました。",
IF(AND(表紙!$X$2="交付申請（２次）",COUNTA(H25)&lt;&gt;1),"【要修正】口座名義（半角ｶﾅ）を入力してください。",
IF(表紙!$X$2="変更申請","－",
IF(表紙!$X$2="実績報告（１次）","入力不要です。",
IF(表紙!$X$2="実績報告（２次）","入力不要です。",
IF(AND(表紙!$X$2="交付申請兼実績報告",COUNTA(H25)=1),"適切に入力がされました。",
IF(AND(表紙!$X$2="交付申請兼実績報告",COUNTA(H25)&lt;&gt;1),"【要修正】口座名義（半角ｶﾅ）を入力してください。")))))))))</f>
        <v>【要修正】口座名義（半角ｶﾅ）を入力してください。</v>
      </c>
      <c r="Q25" s="845"/>
      <c r="R25" s="845"/>
      <c r="S25" s="845"/>
      <c r="T25" s="845"/>
      <c r="U25" s="845"/>
      <c r="V25" s="845"/>
      <c r="W25" s="845"/>
      <c r="X25" s="845"/>
      <c r="Y25" s="845"/>
      <c r="Z25" s="845"/>
      <c r="AA25" s="845"/>
      <c r="AB25" s="845"/>
      <c r="AC25" s="671"/>
      <c r="AD25" s="671"/>
      <c r="AE25" s="128" t="str">
        <f t="shared" si="2"/>
        <v>振込先口座名義（半角ｶﾅ）/</v>
      </c>
      <c r="AF25" s="215" t="str">
        <f>ASC(H25)</f>
        <v/>
      </c>
    </row>
    <row r="26" spans="2:38" s="214" customFormat="1" ht="30" customHeight="1">
      <c r="B26" s="822" t="s">
        <v>1033</v>
      </c>
      <c r="C26" s="825" t="s">
        <v>1034</v>
      </c>
      <c r="D26" s="826"/>
      <c r="E26" s="827" t="s">
        <v>1210</v>
      </c>
      <c r="F26" s="828"/>
      <c r="G26" s="828"/>
      <c r="H26" s="829" t="s">
        <v>1035</v>
      </c>
      <c r="I26" s="830"/>
      <c r="J26" s="830"/>
      <c r="K26" s="830"/>
      <c r="L26" s="830"/>
      <c r="M26" s="830"/>
      <c r="N26" s="830"/>
      <c r="O26" s="47" t="str">
        <f>基礎情報!AZ15</f>
        <v>×</v>
      </c>
      <c r="P26" s="831" t="str">
        <f>IF(COUNTIF(O26:O28,"○")=3,"総合判定"&amp;CHAR(10)&amp;"【○】","総合判定"&amp;CHAR(10)&amp;"【×】")</f>
        <v>総合判定
【×】</v>
      </c>
      <c r="Q26" s="832"/>
      <c r="R26" s="821" t="str">
        <f>IF(O26="×","【要修正】未入力または入力不十分（空欄、赤表示の欄がないか確認してください。）","適切に入力がされました。")</f>
        <v>【要修正】未入力または入力不十分（空欄、赤表示の欄がないか確認してください。）</v>
      </c>
      <c r="S26" s="851"/>
      <c r="T26" s="851"/>
      <c r="U26" s="851"/>
      <c r="V26" s="851"/>
      <c r="W26" s="851"/>
      <c r="X26" s="851"/>
      <c r="Y26" s="851"/>
      <c r="Z26" s="851"/>
      <c r="AA26" s="851"/>
      <c r="AB26" s="851"/>
      <c r="AE26" s="213" t="str">
        <f>IF(O26="○","","「基礎情報」シート("&amp;E26&amp;")/")</f>
        <v>「基礎情報」シート(１．勤務体制)/</v>
      </c>
      <c r="AF26" s="215"/>
      <c r="AG26" s="216"/>
    </row>
    <row r="27" spans="2:38" s="214" customFormat="1" ht="30" customHeight="1">
      <c r="B27" s="824"/>
      <c r="C27" s="826"/>
      <c r="D27" s="826"/>
      <c r="E27" s="827" t="s">
        <v>1036</v>
      </c>
      <c r="F27" s="828"/>
      <c r="G27" s="828"/>
      <c r="H27" s="830"/>
      <c r="I27" s="830"/>
      <c r="J27" s="830"/>
      <c r="K27" s="830"/>
      <c r="L27" s="830"/>
      <c r="M27" s="830"/>
      <c r="N27" s="830"/>
      <c r="O27" s="47" t="str">
        <f>基礎情報!AZ63</f>
        <v>×</v>
      </c>
      <c r="P27" s="832"/>
      <c r="Q27" s="832"/>
      <c r="R27" s="821" t="str">
        <f>IF(O27="×","【要修正】未入力または入力不十分（空欄、赤表示の欄がないか確認してください。）","適切に入力がされました。")</f>
        <v>【要修正】未入力または入力不十分（空欄、赤表示の欄がないか確認してください。）</v>
      </c>
      <c r="S27" s="851"/>
      <c r="T27" s="851"/>
      <c r="U27" s="851"/>
      <c r="V27" s="851"/>
      <c r="W27" s="851"/>
      <c r="X27" s="851"/>
      <c r="Y27" s="851"/>
      <c r="Z27" s="851"/>
      <c r="AA27" s="851"/>
      <c r="AB27" s="851"/>
      <c r="AE27" s="213" t="str">
        <f>IF(O27="○","","「基礎情報」シート("&amp;E27&amp;")/")</f>
        <v>「基礎情報」シート(２．職員情報)/</v>
      </c>
      <c r="AF27" s="215"/>
      <c r="AG27" s="216"/>
    </row>
    <row r="28" spans="2:38" s="214" customFormat="1" ht="30" customHeight="1">
      <c r="B28" s="824"/>
      <c r="C28" s="826"/>
      <c r="D28" s="826"/>
      <c r="E28" s="827" t="s">
        <v>1037</v>
      </c>
      <c r="F28" s="828"/>
      <c r="G28" s="828"/>
      <c r="H28" s="830"/>
      <c r="I28" s="830"/>
      <c r="J28" s="830"/>
      <c r="K28" s="830"/>
      <c r="L28" s="830"/>
      <c r="M28" s="830"/>
      <c r="N28" s="830"/>
      <c r="O28" s="47" t="str">
        <f>基礎情報!AZ77</f>
        <v>×</v>
      </c>
      <c r="P28" s="832"/>
      <c r="Q28" s="832"/>
      <c r="R28" s="821" t="str">
        <f>IF(O28="×","【要修正】未入力または入力不十分（空欄、赤表示の欄がないか確認してください。）","適切に入力がされました。")</f>
        <v>【要修正】未入力または入力不十分（空欄、赤表示の欄がないか確認してください。）</v>
      </c>
      <c r="S28" s="851"/>
      <c r="T28" s="851"/>
      <c r="U28" s="851"/>
      <c r="V28" s="851"/>
      <c r="W28" s="851"/>
      <c r="X28" s="851"/>
      <c r="Y28" s="851"/>
      <c r="Z28" s="851"/>
      <c r="AA28" s="851"/>
      <c r="AB28" s="851"/>
      <c r="AE28" s="213" t="str">
        <f>IF(O28="○","","「基礎情報」シート("&amp;E28&amp;")/")</f>
        <v>「基礎情報」シート(３．配置情報)/</v>
      </c>
      <c r="AF28" s="215"/>
      <c r="AG28" s="216"/>
    </row>
    <row r="29" spans="2:38" s="214" customFormat="1" ht="30" customHeight="1" thickBot="1">
      <c r="B29" s="824"/>
      <c r="C29" s="825" t="s">
        <v>1038</v>
      </c>
      <c r="D29" s="826"/>
      <c r="E29" s="827" t="s">
        <v>1039</v>
      </c>
      <c r="F29" s="828"/>
      <c r="G29" s="828"/>
      <c r="H29" s="841" t="s">
        <v>1040</v>
      </c>
      <c r="I29" s="842"/>
      <c r="J29" s="842"/>
      <c r="K29" s="842"/>
      <c r="L29" s="842"/>
      <c r="M29" s="842"/>
      <c r="N29" s="842"/>
      <c r="O29" s="47" t="str">
        <f>基礎情報!AZ99</f>
        <v>×</v>
      </c>
      <c r="P29" s="821" t="str">
        <f>IF(O29="×","【要修正】未入力または入力不十分（空欄、赤表示の欄がないか確認してください。）","適切に入力がされました。")</f>
        <v>【要修正】未入力または入力不十分（空欄、赤表示の欄がないか確認してください。）</v>
      </c>
      <c r="Q29" s="843"/>
      <c r="R29" s="843"/>
      <c r="S29" s="843"/>
      <c r="T29" s="843"/>
      <c r="U29" s="843"/>
      <c r="V29" s="843"/>
      <c r="W29" s="843"/>
      <c r="X29" s="843"/>
      <c r="Y29" s="843"/>
      <c r="Z29" s="843"/>
      <c r="AA29" s="843"/>
      <c r="AB29" s="843"/>
      <c r="AE29" s="213" t="str">
        <f>IF(O29="○","","「基礎情報」シート("&amp;E29&amp;")/")</f>
        <v>「基礎情報」シート(４．防護具使用情報)/</v>
      </c>
      <c r="AF29" s="217"/>
      <c r="AG29" s="216"/>
    </row>
    <row r="30" spans="2:38" s="214" customFormat="1" ht="30" customHeight="1">
      <c r="B30" s="816" t="s">
        <v>1131</v>
      </c>
      <c r="C30" s="871" t="s">
        <v>1207</v>
      </c>
      <c r="D30" s="871" t="str">
        <f>経費書!C7</f>
        <v>初度設備</v>
      </c>
      <c r="E30" s="908"/>
      <c r="F30" s="908"/>
      <c r="G30" s="908"/>
      <c r="H30" s="756" t="s">
        <v>78</v>
      </c>
      <c r="I30" s="751" t="str">
        <f>額内訳書!M7</f>
        <v/>
      </c>
      <c r="J30" s="757" t="s">
        <v>79</v>
      </c>
      <c r="K30" s="751" t="str">
        <f>額内訳書!O7</f>
        <v/>
      </c>
      <c r="L30" s="757" t="s">
        <v>80</v>
      </c>
      <c r="M30" s="751" t="str">
        <f>額内訳書!Q7</f>
        <v/>
      </c>
      <c r="N30" s="758" t="s">
        <v>81</v>
      </c>
      <c r="O30" s="47" t="str">
        <f>IF(額内訳書!T7="×","×","○")</f>
        <v>×</v>
      </c>
      <c r="P30" s="821" t="str">
        <f>額内訳書!U7</f>
        <v>【要修正】基礎情報シートが入力不十分です。</v>
      </c>
      <c r="Q30" s="820"/>
      <c r="R30" s="820"/>
      <c r="S30" s="820"/>
      <c r="T30" s="820"/>
      <c r="U30" s="820"/>
      <c r="V30" s="820"/>
      <c r="W30" s="820"/>
      <c r="X30" s="820"/>
      <c r="Y30" s="820"/>
      <c r="Z30" s="820"/>
      <c r="AA30" s="820"/>
      <c r="AB30" s="820"/>
      <c r="AE30" s="218" t="str">
        <f t="shared" ref="AE30:AE47" si="3">IF(O30="○","",D30&amp;"関係項目/")</f>
        <v>初度設備関係項目/</v>
      </c>
      <c r="AF30" s="219" t="str">
        <f t="shared" ref="AF30:AF39" si="4">IFERROR(IF(AND(O30="○",P30="適切に入力がされました。"),DATE(IF(I30=5,2023,IF(I30=6,2024)),K30,M30),""),"")</f>
        <v/>
      </c>
      <c r="AG30" s="216"/>
    </row>
    <row r="31" spans="2:38" s="214" customFormat="1" ht="30" customHeight="1">
      <c r="B31" s="817"/>
      <c r="C31" s="901"/>
      <c r="D31" s="871" t="str">
        <f>経費書!C9</f>
        <v>人工呼吸器</v>
      </c>
      <c r="E31" s="908"/>
      <c r="F31" s="908"/>
      <c r="G31" s="908"/>
      <c r="H31" s="756" t="s">
        <v>78</v>
      </c>
      <c r="I31" s="751" t="str">
        <f>額内訳書!M8</f>
        <v/>
      </c>
      <c r="J31" s="757" t="s">
        <v>79</v>
      </c>
      <c r="K31" s="751" t="str">
        <f>額内訳書!O8</f>
        <v/>
      </c>
      <c r="L31" s="757" t="s">
        <v>80</v>
      </c>
      <c r="M31" s="751" t="str">
        <f>額内訳書!Q8</f>
        <v/>
      </c>
      <c r="N31" s="758" t="s">
        <v>81</v>
      </c>
      <c r="O31" s="47" t="str">
        <f>IF(額内訳書!T8="×","×","○")</f>
        <v>×</v>
      </c>
      <c r="P31" s="821" t="str">
        <f>額内訳書!U8</f>
        <v>【要修正】基礎情報シートが入力不十分です。</v>
      </c>
      <c r="Q31" s="820"/>
      <c r="R31" s="820"/>
      <c r="S31" s="820"/>
      <c r="T31" s="820"/>
      <c r="U31" s="820"/>
      <c r="V31" s="820"/>
      <c r="W31" s="820"/>
      <c r="X31" s="820"/>
      <c r="Y31" s="820"/>
      <c r="Z31" s="820"/>
      <c r="AA31" s="820"/>
      <c r="AB31" s="820"/>
      <c r="AE31" s="218" t="str">
        <f t="shared" si="3"/>
        <v>人工呼吸器関係項目/</v>
      </c>
      <c r="AF31" s="220" t="str">
        <f t="shared" si="4"/>
        <v/>
      </c>
      <c r="AG31" s="216"/>
    </row>
    <row r="32" spans="2:38" s="214" customFormat="1" ht="30" customHeight="1">
      <c r="B32" s="817"/>
      <c r="C32" s="901"/>
      <c r="D32" s="871" t="str">
        <f>経費書!C11</f>
        <v>個人防護具</v>
      </c>
      <c r="E32" s="908"/>
      <c r="F32" s="908"/>
      <c r="G32" s="908"/>
      <c r="H32" s="756" t="s">
        <v>78</v>
      </c>
      <c r="I32" s="751" t="str">
        <f>額内訳書!M9</f>
        <v/>
      </c>
      <c r="J32" s="757" t="s">
        <v>79</v>
      </c>
      <c r="K32" s="751" t="str">
        <f>額内訳書!O9</f>
        <v/>
      </c>
      <c r="L32" s="757" t="s">
        <v>80</v>
      </c>
      <c r="M32" s="751" t="str">
        <f>額内訳書!Q9</f>
        <v/>
      </c>
      <c r="N32" s="758" t="s">
        <v>81</v>
      </c>
      <c r="O32" s="47" t="str">
        <f>IF(額内訳書!T9="×","×","○")</f>
        <v>×</v>
      </c>
      <c r="P32" s="821" t="str">
        <f>額内訳書!U9</f>
        <v>【要修正】基礎情報が入力不十分です。</v>
      </c>
      <c r="Q32" s="820"/>
      <c r="R32" s="820"/>
      <c r="S32" s="820"/>
      <c r="T32" s="820"/>
      <c r="U32" s="820"/>
      <c r="V32" s="820"/>
      <c r="W32" s="820"/>
      <c r="X32" s="820"/>
      <c r="Y32" s="820"/>
      <c r="Z32" s="820"/>
      <c r="AA32" s="820"/>
      <c r="AB32" s="820"/>
      <c r="AE32" s="218" t="str">
        <f t="shared" si="3"/>
        <v>個人防護具関係項目/</v>
      </c>
      <c r="AF32" s="220" t="str">
        <f t="shared" si="4"/>
        <v/>
      </c>
      <c r="AG32" s="216"/>
    </row>
    <row r="33" spans="2:33" s="214" customFormat="1" ht="30" customHeight="1">
      <c r="B33" s="817"/>
      <c r="C33" s="901"/>
      <c r="D33" s="871" t="str">
        <f>経費書!C13</f>
        <v>簡易陰圧装置</v>
      </c>
      <c r="E33" s="908"/>
      <c r="F33" s="908"/>
      <c r="G33" s="908"/>
      <c r="H33" s="756" t="s">
        <v>78</v>
      </c>
      <c r="I33" s="751" t="str">
        <f>額内訳書!M10</f>
        <v/>
      </c>
      <c r="J33" s="757" t="s">
        <v>79</v>
      </c>
      <c r="K33" s="751" t="str">
        <f>額内訳書!O10</f>
        <v/>
      </c>
      <c r="L33" s="757" t="s">
        <v>80</v>
      </c>
      <c r="M33" s="751" t="str">
        <f>額内訳書!Q10</f>
        <v/>
      </c>
      <c r="N33" s="758" t="s">
        <v>81</v>
      </c>
      <c r="O33" s="47" t="str">
        <f>IF(額内訳書!T10="×","×","○")</f>
        <v>×</v>
      </c>
      <c r="P33" s="821" t="str">
        <f>額内訳書!U10</f>
        <v>【要修正】基礎情報シートが入力不十分です。</v>
      </c>
      <c r="Q33" s="820"/>
      <c r="R33" s="820"/>
      <c r="S33" s="820"/>
      <c r="T33" s="820"/>
      <c r="U33" s="820"/>
      <c r="V33" s="820"/>
      <c r="W33" s="820"/>
      <c r="X33" s="820"/>
      <c r="Y33" s="820"/>
      <c r="Z33" s="820"/>
      <c r="AA33" s="820"/>
      <c r="AB33" s="820"/>
      <c r="AE33" s="218" t="str">
        <f t="shared" si="3"/>
        <v>簡易陰圧装置関係項目/</v>
      </c>
      <c r="AF33" s="220" t="str">
        <f t="shared" si="4"/>
        <v/>
      </c>
      <c r="AG33" s="216"/>
    </row>
    <row r="34" spans="2:33" s="214" customFormat="1" ht="30" customHeight="1">
      <c r="B34" s="817"/>
      <c r="C34" s="901"/>
      <c r="D34" s="906" t="str">
        <f>経費書!C15</f>
        <v>空気清浄機</v>
      </c>
      <c r="E34" s="907"/>
      <c r="F34" s="907"/>
      <c r="G34" s="907"/>
      <c r="H34" s="756" t="s">
        <v>78</v>
      </c>
      <c r="I34" s="751" t="str">
        <f>額内訳書!M11</f>
        <v/>
      </c>
      <c r="J34" s="757" t="s">
        <v>79</v>
      </c>
      <c r="K34" s="751" t="str">
        <f>額内訳書!O11</f>
        <v/>
      </c>
      <c r="L34" s="757" t="s">
        <v>69</v>
      </c>
      <c r="M34" s="751" t="str">
        <f>額内訳書!Q11</f>
        <v/>
      </c>
      <c r="N34" s="758" t="s">
        <v>70</v>
      </c>
      <c r="O34" s="47" t="str">
        <f>IF(額内訳書!T11="×","×","○")</f>
        <v>×</v>
      </c>
      <c r="P34" s="821" t="str">
        <f>額内訳書!U11</f>
        <v>【要修正】基礎情報シートが入力不十分です</v>
      </c>
      <c r="Q34" s="820"/>
      <c r="R34" s="820"/>
      <c r="S34" s="820"/>
      <c r="T34" s="820"/>
      <c r="U34" s="820"/>
      <c r="V34" s="820"/>
      <c r="W34" s="820"/>
      <c r="X34" s="820"/>
      <c r="Y34" s="820"/>
      <c r="Z34" s="820"/>
      <c r="AA34" s="820"/>
      <c r="AB34" s="820"/>
      <c r="AE34" s="218" t="str">
        <f t="shared" si="3"/>
        <v>空気清浄機関係項目/</v>
      </c>
      <c r="AF34" s="220" t="str">
        <f t="shared" si="4"/>
        <v/>
      </c>
      <c r="AG34" s="216"/>
    </row>
    <row r="35" spans="2:33" s="214" customFormat="1" ht="30" customHeight="1">
      <c r="B35" s="817"/>
      <c r="C35" s="901"/>
      <c r="D35" s="906" t="str">
        <f>経費書!C17</f>
        <v>パーテーション</v>
      </c>
      <c r="E35" s="907"/>
      <c r="F35" s="907"/>
      <c r="G35" s="907"/>
      <c r="H35" s="756" t="s">
        <v>78</v>
      </c>
      <c r="I35" s="751" t="str">
        <f>額内訳書!M12</f>
        <v/>
      </c>
      <c r="J35" s="757" t="s">
        <v>79</v>
      </c>
      <c r="K35" s="751" t="str">
        <f>額内訳書!O12</f>
        <v/>
      </c>
      <c r="L35" s="757" t="s">
        <v>69</v>
      </c>
      <c r="M35" s="751" t="str">
        <f>額内訳書!Q12</f>
        <v/>
      </c>
      <c r="N35" s="758" t="s">
        <v>70</v>
      </c>
      <c r="O35" s="47" t="str">
        <f>IF(額内訳書!T12="×","×","○")</f>
        <v>×</v>
      </c>
      <c r="P35" s="821" t="str">
        <f>額内訳書!U12</f>
        <v>【要修正】基礎情報シートが入力不十分です</v>
      </c>
      <c r="Q35" s="820"/>
      <c r="R35" s="820"/>
      <c r="S35" s="820"/>
      <c r="T35" s="820"/>
      <c r="U35" s="820"/>
      <c r="V35" s="820"/>
      <c r="W35" s="820"/>
      <c r="X35" s="820"/>
      <c r="Y35" s="820"/>
      <c r="Z35" s="820"/>
      <c r="AA35" s="820"/>
      <c r="AB35" s="820"/>
      <c r="AE35" s="218" t="str">
        <f t="shared" si="3"/>
        <v>パーテーション関係項目/</v>
      </c>
      <c r="AF35" s="220" t="str">
        <f t="shared" si="4"/>
        <v/>
      </c>
      <c r="AG35" s="216"/>
    </row>
    <row r="36" spans="2:33" s="214" customFormat="1" ht="30" customHeight="1">
      <c r="B36" s="817"/>
      <c r="C36" s="901"/>
      <c r="D36" s="871" t="str">
        <f>経費書!C19</f>
        <v>簡易ベッド</v>
      </c>
      <c r="E36" s="908"/>
      <c r="F36" s="908"/>
      <c r="G36" s="908"/>
      <c r="H36" s="756" t="s">
        <v>78</v>
      </c>
      <c r="I36" s="751" t="str">
        <f>額内訳書!M13</f>
        <v/>
      </c>
      <c r="J36" s="757" t="s">
        <v>79</v>
      </c>
      <c r="K36" s="751" t="str">
        <f>額内訳書!O13</f>
        <v/>
      </c>
      <c r="L36" s="757" t="s">
        <v>69</v>
      </c>
      <c r="M36" s="751" t="str">
        <f>額内訳書!Q13</f>
        <v/>
      </c>
      <c r="N36" s="758" t="s">
        <v>81</v>
      </c>
      <c r="O36" s="47" t="str">
        <f>IF(額内訳書!T13="×","×","○")</f>
        <v>×</v>
      </c>
      <c r="P36" s="821" t="str">
        <f>額内訳書!U13</f>
        <v>【要修正】基礎情報シートが入力不十分です</v>
      </c>
      <c r="Q36" s="820"/>
      <c r="R36" s="820"/>
      <c r="S36" s="820"/>
      <c r="T36" s="820"/>
      <c r="U36" s="820"/>
      <c r="V36" s="820"/>
      <c r="W36" s="820"/>
      <c r="X36" s="820"/>
      <c r="Y36" s="820"/>
      <c r="Z36" s="820"/>
      <c r="AA36" s="820"/>
      <c r="AB36" s="820"/>
      <c r="AE36" s="218" t="str">
        <f t="shared" si="3"/>
        <v>簡易ベッド関係項目/</v>
      </c>
      <c r="AF36" s="220" t="str">
        <f t="shared" si="4"/>
        <v/>
      </c>
      <c r="AG36" s="216"/>
    </row>
    <row r="37" spans="2:33" s="214" customFormat="1" ht="30" customHeight="1">
      <c r="B37" s="818"/>
      <c r="C37" s="901"/>
      <c r="D37" s="871" t="str">
        <f>経費書!C21</f>
        <v>体外式膜型人工肺</v>
      </c>
      <c r="E37" s="908"/>
      <c r="F37" s="908"/>
      <c r="G37" s="908"/>
      <c r="H37" s="756" t="s">
        <v>78</v>
      </c>
      <c r="I37" s="751" t="str">
        <f>額内訳書!M14</f>
        <v/>
      </c>
      <c r="J37" s="757" t="s">
        <v>79</v>
      </c>
      <c r="K37" s="751" t="str">
        <f>額内訳書!O14</f>
        <v/>
      </c>
      <c r="L37" s="757" t="s">
        <v>69</v>
      </c>
      <c r="M37" s="751" t="str">
        <f>額内訳書!Q14</f>
        <v/>
      </c>
      <c r="N37" s="758" t="s">
        <v>70</v>
      </c>
      <c r="O37" s="47" t="str">
        <f>IF(額内訳書!T14="×","×","○")</f>
        <v>×</v>
      </c>
      <c r="P37" s="821" t="str">
        <f>額内訳書!U14</f>
        <v>【要修正】基礎情報シートが入力不十分です。</v>
      </c>
      <c r="Q37" s="820"/>
      <c r="R37" s="820"/>
      <c r="S37" s="820"/>
      <c r="T37" s="820"/>
      <c r="U37" s="820"/>
      <c r="V37" s="820"/>
      <c r="W37" s="820"/>
      <c r="X37" s="820"/>
      <c r="Y37" s="820"/>
      <c r="Z37" s="820"/>
      <c r="AA37" s="820"/>
      <c r="AB37" s="820"/>
      <c r="AE37" s="218" t="str">
        <f t="shared" si="3"/>
        <v>体外式膜型人工肺関係項目/</v>
      </c>
      <c r="AF37" s="220" t="str">
        <f t="shared" si="4"/>
        <v/>
      </c>
      <c r="AG37" s="216"/>
    </row>
    <row r="38" spans="2:33" s="214" customFormat="1" ht="30" customHeight="1">
      <c r="B38" s="818"/>
      <c r="C38" s="901"/>
      <c r="D38" s="871" t="str">
        <f>経費書!C23</f>
        <v>簡易病室</v>
      </c>
      <c r="E38" s="908"/>
      <c r="F38" s="908"/>
      <c r="G38" s="908"/>
      <c r="H38" s="756" t="s">
        <v>78</v>
      </c>
      <c r="I38" s="751" t="str">
        <f>額内訳書!M15</f>
        <v/>
      </c>
      <c r="J38" s="757" t="s">
        <v>79</v>
      </c>
      <c r="K38" s="751" t="str">
        <f>額内訳書!O15</f>
        <v/>
      </c>
      <c r="L38" s="757" t="s">
        <v>69</v>
      </c>
      <c r="M38" s="751" t="str">
        <f>額内訳書!Q15</f>
        <v/>
      </c>
      <c r="N38" s="758" t="s">
        <v>70</v>
      </c>
      <c r="O38" s="47" t="str">
        <f>IF(額内訳書!T15="×","×","○")</f>
        <v>×</v>
      </c>
      <c r="P38" s="821" t="str">
        <f>額内訳書!U15</f>
        <v>【要修正】基礎情報シートが入力不十分です。</v>
      </c>
      <c r="Q38" s="820"/>
      <c r="R38" s="820"/>
      <c r="S38" s="820"/>
      <c r="T38" s="820"/>
      <c r="U38" s="820"/>
      <c r="V38" s="820"/>
      <c r="W38" s="820"/>
      <c r="X38" s="820"/>
      <c r="Y38" s="820"/>
      <c r="Z38" s="820"/>
      <c r="AA38" s="820"/>
      <c r="AB38" s="820"/>
      <c r="AE38" s="218" t="str">
        <f t="shared" si="3"/>
        <v>簡易病室関係項目/</v>
      </c>
      <c r="AF38" s="220" t="str">
        <f t="shared" si="4"/>
        <v/>
      </c>
      <c r="AG38" s="216"/>
    </row>
    <row r="39" spans="2:33" s="214" customFormat="1" ht="30" customHeight="1">
      <c r="B39" s="818"/>
      <c r="C39" s="901"/>
      <c r="D39" s="871" t="str">
        <f>経費書!C25</f>
        <v>紫外線照射装置等
導入経費</v>
      </c>
      <c r="E39" s="908"/>
      <c r="F39" s="908"/>
      <c r="G39" s="908"/>
      <c r="H39" s="756" t="s">
        <v>78</v>
      </c>
      <c r="I39" s="751" t="str">
        <f>額内訳書!M16</f>
        <v/>
      </c>
      <c r="J39" s="757" t="s">
        <v>79</v>
      </c>
      <c r="K39" s="751" t="str">
        <f>額内訳書!O16</f>
        <v/>
      </c>
      <c r="L39" s="757" t="s">
        <v>69</v>
      </c>
      <c r="M39" s="751" t="str">
        <f>額内訳書!Q16</f>
        <v/>
      </c>
      <c r="N39" s="758" t="s">
        <v>70</v>
      </c>
      <c r="O39" s="47" t="str">
        <f>IF(額内訳書!T16="×","×","○")</f>
        <v>×</v>
      </c>
      <c r="P39" s="821" t="str">
        <f>額内訳書!U16</f>
        <v>【要修正】基礎情報シートが入力不十分です。</v>
      </c>
      <c r="Q39" s="820"/>
      <c r="R39" s="820"/>
      <c r="S39" s="820"/>
      <c r="T39" s="820"/>
      <c r="U39" s="820"/>
      <c r="V39" s="820"/>
      <c r="W39" s="820"/>
      <c r="X39" s="820"/>
      <c r="Y39" s="820"/>
      <c r="Z39" s="820"/>
      <c r="AA39" s="820"/>
      <c r="AB39" s="820"/>
      <c r="AE39" s="218" t="str">
        <f t="shared" si="3"/>
        <v>紫外線照射装置等
導入経費関係項目/</v>
      </c>
      <c r="AF39" s="220" t="str">
        <f t="shared" si="4"/>
        <v/>
      </c>
      <c r="AG39" s="216"/>
    </row>
    <row r="40" spans="2:33" s="214" customFormat="1" ht="30" hidden="1" customHeight="1">
      <c r="B40" s="818"/>
      <c r="C40" s="759" t="s">
        <v>1208</v>
      </c>
      <c r="D40" s="906" t="str">
        <f>経費書!C29</f>
        <v>－</v>
      </c>
      <c r="E40" s="907"/>
      <c r="F40" s="907"/>
      <c r="G40" s="907"/>
      <c r="H40" s="756" t="s">
        <v>78</v>
      </c>
      <c r="I40" s="751" t="str">
        <f>額内訳書!M18</f>
        <v/>
      </c>
      <c r="J40" s="757" t="s">
        <v>79</v>
      </c>
      <c r="K40" s="751" t="str">
        <f>額内訳書!O18</f>
        <v/>
      </c>
      <c r="L40" s="757" t="s">
        <v>80</v>
      </c>
      <c r="M40" s="751" t="str">
        <f>額内訳書!Q18</f>
        <v/>
      </c>
      <c r="N40" s="758" t="s">
        <v>81</v>
      </c>
      <c r="O40" s="47" t="str">
        <f>IF(額内訳書!T18="×","×","○")</f>
        <v>×</v>
      </c>
      <c r="P40" s="821" t="str">
        <f>額内訳書!U18</f>
        <v>【要修正】基礎情報シートが入力不十分です。</v>
      </c>
      <c r="Q40" s="820"/>
      <c r="R40" s="820"/>
      <c r="S40" s="820"/>
      <c r="T40" s="820"/>
      <c r="U40" s="820"/>
      <c r="V40" s="820"/>
      <c r="W40" s="820"/>
      <c r="X40" s="820"/>
      <c r="Y40" s="820"/>
      <c r="Z40" s="820"/>
      <c r="AA40" s="820"/>
      <c r="AB40" s="820"/>
      <c r="AE40" s="218" t="str">
        <f t="shared" si="3"/>
        <v>－関係項目/</v>
      </c>
      <c r="AF40" s="220" t="str">
        <f>IFERROR(IF(AND(O40="○",P40="適切に入力がされました。"),DATE(IF(I40=5,2023,IF(I40=6,2024)),K40,M40),""),"")</f>
        <v/>
      </c>
      <c r="AG40" s="216"/>
    </row>
    <row r="41" spans="2:33" s="214" customFormat="1" ht="30" hidden="1" customHeight="1">
      <c r="B41" s="818"/>
      <c r="C41" s="871" t="s">
        <v>1209</v>
      </c>
      <c r="D41" s="906" t="str">
        <f>経費書!C31</f>
        <v>－</v>
      </c>
      <c r="E41" s="907"/>
      <c r="F41" s="907"/>
      <c r="G41" s="907"/>
      <c r="H41" s="756" t="s">
        <v>78</v>
      </c>
      <c r="I41" s="751">
        <v>5</v>
      </c>
      <c r="J41" s="757" t="s">
        <v>79</v>
      </c>
      <c r="K41" s="751">
        <v>9</v>
      </c>
      <c r="L41" s="757" t="s">
        <v>69</v>
      </c>
      <c r="M41" s="751">
        <v>31</v>
      </c>
      <c r="N41" s="758" t="s">
        <v>70</v>
      </c>
      <c r="O41" s="47" t="s">
        <v>1442</v>
      </c>
      <c r="P41" s="819" t="s">
        <v>1004</v>
      </c>
      <c r="Q41" s="820"/>
      <c r="R41" s="820"/>
      <c r="S41" s="820"/>
      <c r="T41" s="820"/>
      <c r="U41" s="820"/>
      <c r="V41" s="820"/>
      <c r="W41" s="820"/>
      <c r="X41" s="820"/>
      <c r="Y41" s="820"/>
      <c r="Z41" s="820"/>
      <c r="AA41" s="820"/>
      <c r="AB41" s="820"/>
      <c r="AE41" s="218" t="str">
        <f t="shared" si="3"/>
        <v/>
      </c>
      <c r="AF41" s="220" t="str">
        <f t="shared" ref="AF41:AF47" si="5">IFERROR(IF(AND(O41="○",P41="適切に入力がされました。"),DATE(IF(I41=5,2023,IF(I41=6,2024)),K41,M41),""),"")</f>
        <v/>
      </c>
      <c r="AG41" s="216"/>
    </row>
    <row r="42" spans="2:33" s="214" customFormat="1" ht="30" hidden="1" customHeight="1">
      <c r="B42" s="818"/>
      <c r="C42" s="901"/>
      <c r="D42" s="906" t="str">
        <f>経費書!C33</f>
        <v>－</v>
      </c>
      <c r="E42" s="907"/>
      <c r="F42" s="907"/>
      <c r="G42" s="907"/>
      <c r="H42" s="756" t="s">
        <v>78</v>
      </c>
      <c r="I42" s="751">
        <v>5</v>
      </c>
      <c r="J42" s="757" t="s">
        <v>79</v>
      </c>
      <c r="K42" s="751">
        <v>4</v>
      </c>
      <c r="L42" s="757" t="s">
        <v>69</v>
      </c>
      <c r="M42" s="751">
        <v>30</v>
      </c>
      <c r="N42" s="758" t="s">
        <v>70</v>
      </c>
      <c r="O42" s="47" t="s">
        <v>1442</v>
      </c>
      <c r="P42" s="819" t="s">
        <v>1004</v>
      </c>
      <c r="Q42" s="820"/>
      <c r="R42" s="820"/>
      <c r="S42" s="820"/>
      <c r="T42" s="820"/>
      <c r="U42" s="820"/>
      <c r="V42" s="820"/>
      <c r="W42" s="820"/>
      <c r="X42" s="820"/>
      <c r="Y42" s="820"/>
      <c r="Z42" s="820"/>
      <c r="AA42" s="820"/>
      <c r="AB42" s="820"/>
      <c r="AE42" s="218" t="str">
        <f t="shared" si="3"/>
        <v/>
      </c>
      <c r="AF42" s="220" t="str">
        <f t="shared" si="5"/>
        <v/>
      </c>
      <c r="AG42" s="216"/>
    </row>
    <row r="43" spans="2:33" s="214" customFormat="1" ht="30" hidden="1" customHeight="1">
      <c r="B43" s="818"/>
      <c r="C43" s="901"/>
      <c r="D43" s="906" t="str">
        <f>経費書!C35</f>
        <v>－</v>
      </c>
      <c r="E43" s="907"/>
      <c r="F43" s="907"/>
      <c r="G43" s="907"/>
      <c r="H43" s="756" t="s">
        <v>78</v>
      </c>
      <c r="I43" s="751">
        <v>5</v>
      </c>
      <c r="J43" s="757" t="s">
        <v>79</v>
      </c>
      <c r="K43" s="751">
        <v>5</v>
      </c>
      <c r="L43" s="757" t="s">
        <v>69</v>
      </c>
      <c r="M43" s="751">
        <v>29</v>
      </c>
      <c r="N43" s="758" t="s">
        <v>70</v>
      </c>
      <c r="O43" s="47" t="s">
        <v>1442</v>
      </c>
      <c r="P43" s="819" t="s">
        <v>1004</v>
      </c>
      <c r="Q43" s="820"/>
      <c r="R43" s="820"/>
      <c r="S43" s="820"/>
      <c r="T43" s="820"/>
      <c r="U43" s="820"/>
      <c r="V43" s="820"/>
      <c r="W43" s="820"/>
      <c r="X43" s="820"/>
      <c r="Y43" s="820"/>
      <c r="Z43" s="820"/>
      <c r="AA43" s="820"/>
      <c r="AB43" s="820"/>
      <c r="AE43" s="218" t="str">
        <f t="shared" si="3"/>
        <v/>
      </c>
      <c r="AF43" s="220" t="str">
        <f t="shared" si="5"/>
        <v/>
      </c>
      <c r="AG43" s="216"/>
    </row>
    <row r="44" spans="2:33" s="214" customFormat="1" ht="30" hidden="1" customHeight="1">
      <c r="B44" s="818"/>
      <c r="C44" s="901"/>
      <c r="D44" s="906" t="str">
        <f>経費書!C37</f>
        <v>－</v>
      </c>
      <c r="E44" s="907"/>
      <c r="F44" s="907"/>
      <c r="G44" s="907"/>
      <c r="H44" s="756" t="s">
        <v>78</v>
      </c>
      <c r="I44" s="751">
        <v>5</v>
      </c>
      <c r="J44" s="757" t="s">
        <v>79</v>
      </c>
      <c r="K44" s="751">
        <v>6</v>
      </c>
      <c r="L44" s="757" t="s">
        <v>69</v>
      </c>
      <c r="M44" s="751">
        <v>28</v>
      </c>
      <c r="N44" s="758" t="s">
        <v>70</v>
      </c>
      <c r="O44" s="47" t="s">
        <v>1442</v>
      </c>
      <c r="P44" s="819" t="s">
        <v>1004</v>
      </c>
      <c r="Q44" s="820"/>
      <c r="R44" s="820"/>
      <c r="S44" s="820"/>
      <c r="T44" s="820"/>
      <c r="U44" s="820"/>
      <c r="V44" s="820"/>
      <c r="W44" s="820"/>
      <c r="X44" s="820"/>
      <c r="Y44" s="820"/>
      <c r="Z44" s="820"/>
      <c r="AA44" s="820"/>
      <c r="AB44" s="820"/>
      <c r="AE44" s="218" t="str">
        <f t="shared" si="3"/>
        <v/>
      </c>
      <c r="AF44" s="220" t="str">
        <f t="shared" si="5"/>
        <v/>
      </c>
      <c r="AG44" s="216"/>
    </row>
    <row r="45" spans="2:33" s="214" customFormat="1" ht="30" hidden="1" customHeight="1">
      <c r="B45" s="818"/>
      <c r="C45" s="901"/>
      <c r="D45" s="906" t="str">
        <f>経費書!C39</f>
        <v>－</v>
      </c>
      <c r="E45" s="907"/>
      <c r="F45" s="907"/>
      <c r="G45" s="907"/>
      <c r="H45" s="756" t="s">
        <v>78</v>
      </c>
      <c r="I45" s="751">
        <v>5</v>
      </c>
      <c r="J45" s="757" t="s">
        <v>79</v>
      </c>
      <c r="K45" s="751">
        <v>7</v>
      </c>
      <c r="L45" s="757" t="s">
        <v>69</v>
      </c>
      <c r="M45" s="751">
        <v>27</v>
      </c>
      <c r="N45" s="758" t="s">
        <v>70</v>
      </c>
      <c r="O45" s="47" t="s">
        <v>1442</v>
      </c>
      <c r="P45" s="819" t="s">
        <v>1004</v>
      </c>
      <c r="Q45" s="820"/>
      <c r="R45" s="820"/>
      <c r="S45" s="820"/>
      <c r="T45" s="820"/>
      <c r="U45" s="820"/>
      <c r="V45" s="820"/>
      <c r="W45" s="820"/>
      <c r="X45" s="820"/>
      <c r="Y45" s="820"/>
      <c r="Z45" s="820"/>
      <c r="AA45" s="820"/>
      <c r="AB45" s="820"/>
      <c r="AE45" s="218" t="str">
        <f t="shared" si="3"/>
        <v/>
      </c>
      <c r="AF45" s="220" t="str">
        <f t="shared" si="5"/>
        <v/>
      </c>
      <c r="AG45" s="216"/>
    </row>
    <row r="46" spans="2:33" s="214" customFormat="1" ht="30" hidden="1" customHeight="1">
      <c r="B46" s="818"/>
      <c r="C46" s="901"/>
      <c r="D46" s="906" t="str">
        <f>経費書!C41</f>
        <v>－</v>
      </c>
      <c r="E46" s="907"/>
      <c r="F46" s="907"/>
      <c r="G46" s="907"/>
      <c r="H46" s="756" t="s">
        <v>78</v>
      </c>
      <c r="I46" s="751">
        <v>5</v>
      </c>
      <c r="J46" s="757" t="s">
        <v>79</v>
      </c>
      <c r="K46" s="751">
        <v>8</v>
      </c>
      <c r="L46" s="757" t="s">
        <v>69</v>
      </c>
      <c r="M46" s="751">
        <v>26</v>
      </c>
      <c r="N46" s="758" t="s">
        <v>70</v>
      </c>
      <c r="O46" s="47" t="s">
        <v>1442</v>
      </c>
      <c r="P46" s="819" t="s">
        <v>1004</v>
      </c>
      <c r="Q46" s="820"/>
      <c r="R46" s="820"/>
      <c r="S46" s="820"/>
      <c r="T46" s="820"/>
      <c r="U46" s="820"/>
      <c r="V46" s="820"/>
      <c r="W46" s="820"/>
      <c r="X46" s="820"/>
      <c r="Y46" s="820"/>
      <c r="Z46" s="820"/>
      <c r="AA46" s="820"/>
      <c r="AB46" s="820"/>
      <c r="AE46" s="218" t="str">
        <f t="shared" si="3"/>
        <v/>
      </c>
      <c r="AF46" s="220" t="str">
        <f>IFERROR(IF(AND(O46="○",P46="適切に入力がされました。"),DATE(IF(I46=5,2023,IF(I46=6,2024)),K46,M46),""),"")</f>
        <v/>
      </c>
      <c r="AG46" s="216"/>
    </row>
    <row r="47" spans="2:33" s="214" customFormat="1" ht="30" hidden="1" customHeight="1" thickBot="1">
      <c r="B47" s="818"/>
      <c r="C47" s="901"/>
      <c r="D47" s="906" t="str">
        <f>経費書!C43</f>
        <v>－</v>
      </c>
      <c r="E47" s="907"/>
      <c r="F47" s="907"/>
      <c r="G47" s="907"/>
      <c r="H47" s="756" t="s">
        <v>78</v>
      </c>
      <c r="I47" s="751">
        <v>5</v>
      </c>
      <c r="J47" s="757" t="s">
        <v>79</v>
      </c>
      <c r="K47" s="751">
        <v>9</v>
      </c>
      <c r="L47" s="757" t="s">
        <v>69</v>
      </c>
      <c r="M47" s="751">
        <v>25</v>
      </c>
      <c r="N47" s="758" t="s">
        <v>70</v>
      </c>
      <c r="O47" s="47" t="s">
        <v>1442</v>
      </c>
      <c r="P47" s="819" t="s">
        <v>1004</v>
      </c>
      <c r="Q47" s="820"/>
      <c r="R47" s="820"/>
      <c r="S47" s="820"/>
      <c r="T47" s="820"/>
      <c r="U47" s="820"/>
      <c r="V47" s="820"/>
      <c r="W47" s="820"/>
      <c r="X47" s="820"/>
      <c r="Y47" s="820"/>
      <c r="Z47" s="820"/>
      <c r="AA47" s="820"/>
      <c r="AB47" s="820"/>
      <c r="AE47" s="218" t="str">
        <f t="shared" si="3"/>
        <v/>
      </c>
      <c r="AF47" s="221" t="str">
        <f t="shared" si="5"/>
        <v/>
      </c>
      <c r="AG47" s="216"/>
    </row>
    <row r="48" spans="2:33" ht="99.95" customHeight="1">
      <c r="B48" s="565" t="s">
        <v>1338</v>
      </c>
      <c r="C48" s="837" t="s">
        <v>92</v>
      </c>
      <c r="D48" s="872"/>
      <c r="E48" s="872"/>
      <c r="F48" s="872"/>
      <c r="G48" s="872"/>
      <c r="H48" s="834"/>
      <c r="I48" s="873"/>
      <c r="J48" s="873"/>
      <c r="K48" s="873"/>
      <c r="L48" s="873"/>
      <c r="M48" s="873"/>
      <c r="N48" s="873"/>
      <c r="O48" s="107" t="str">
        <f>IF(H48=AL16,"○",IF(H48="","×",IF(H48=AL17,"×")))</f>
        <v>×</v>
      </c>
      <c r="P48" s="819" t="str">
        <f xml:space="preserve">
IF(H48=AL16,"適切に入力がされました。",
IF(H48="","【下記いずれにも該当する場合、「申立てする」を選択してください。】"&amp;CHAR(10)&amp;"・補助を受ける経費について他の補助金等の交付を受けていないこと。"&amp;CHAR(10)&amp;"・本補助金により整備の物品は新型コロナウイルス感染症対策の目的以外に使用しないこと。"&amp;CHAR(10)&amp;"・本補助金の収入、支出等に係る証拠書類を５年間適切に整備保管すること。"&amp;CHAR(10)&amp;"・暴力団員又は暴力団関係者と実質を含めいかなる関係も有していないこと。",
IF(H48=AL17,"【申請する場合は要修正】
申立事項に該当しない申請者に対して交付を行うことはできません。")))</f>
        <v>【下記いずれにも該当する場合、「申立てする」を選択してください。】
・補助を受ける経費について他の補助金等の交付を受けていないこと。
・本補助金により整備の物品は新型コロナウイルス感染症対策の目的以外に使用しないこと。
・本補助金の収入、支出等に係る証拠書類を５年間適切に整備保管すること。
・暴力団員又は暴力団関係者と実質を含めいかなる関係も有していないこと。</v>
      </c>
      <c r="Q48" s="836"/>
      <c r="R48" s="836"/>
      <c r="S48" s="836"/>
      <c r="T48" s="836"/>
      <c r="U48" s="836"/>
      <c r="V48" s="836"/>
      <c r="W48" s="836"/>
      <c r="X48" s="836"/>
      <c r="Y48" s="836"/>
      <c r="Z48" s="836"/>
      <c r="AA48" s="836"/>
      <c r="AB48" s="836"/>
      <c r="AC48" s="671"/>
      <c r="AD48" s="671"/>
      <c r="AE48" s="128" t="str">
        <f>IF(O48="○","","申立事項/")</f>
        <v>申立事項/</v>
      </c>
      <c r="AF48" s="222"/>
    </row>
    <row r="49" spans="2:36" ht="30" customHeight="1">
      <c r="B49" s="839" t="s">
        <v>1339</v>
      </c>
      <c r="C49" s="846" t="s">
        <v>1005</v>
      </c>
      <c r="D49" s="899"/>
      <c r="E49" s="846" t="s">
        <v>1173</v>
      </c>
      <c r="F49" s="900"/>
      <c r="G49" s="900"/>
      <c r="H49" s="902"/>
      <c r="I49" s="903"/>
      <c r="J49" s="903"/>
      <c r="K49" s="903"/>
      <c r="L49" s="903"/>
      <c r="M49" s="903"/>
      <c r="N49" s="903"/>
      <c r="O49" s="107" t="str">
        <f xml:space="preserve">
IF(COUNTA(H49)=0,"×",
IF(COUNTA(H49)=1,"○"))</f>
        <v>×</v>
      </c>
      <c r="P49" s="889" t="str">
        <f xml:space="preserve">
IF(COUNTA(H49)=0,"【要修正】確保病床の有無について選択してください。",
IF(COUNTA(H49)=1,"適切に入力がされました。"))</f>
        <v>【要修正】確保病床の有無について選択してください。</v>
      </c>
      <c r="Q49" s="890"/>
      <c r="R49" s="890"/>
      <c r="S49" s="890"/>
      <c r="T49" s="890"/>
      <c r="U49" s="890"/>
      <c r="V49" s="890"/>
      <c r="W49" s="890"/>
      <c r="X49" s="890"/>
      <c r="Y49" s="890"/>
      <c r="Z49" s="890"/>
      <c r="AA49" s="890"/>
      <c r="AB49" s="890"/>
      <c r="AC49" s="671"/>
      <c r="AD49" s="671"/>
      <c r="AE49" s="213" t="str">
        <f>IF(O49="○","",E49&amp;"/")</f>
        <v>確保病床の有無/</v>
      </c>
      <c r="AF49" s="215"/>
    </row>
    <row r="50" spans="2:36" ht="30" customHeight="1">
      <c r="B50" s="840"/>
      <c r="C50" s="846"/>
      <c r="D50" s="899"/>
      <c r="E50" s="852" t="s">
        <v>1434</v>
      </c>
      <c r="F50" s="853"/>
      <c r="G50" s="853"/>
      <c r="H50" s="853"/>
      <c r="I50" s="853"/>
      <c r="J50" s="854"/>
      <c r="K50" s="566"/>
      <c r="L50" s="674" t="s">
        <v>75</v>
      </c>
      <c r="M50" s="862"/>
      <c r="N50" s="862"/>
      <c r="O50" s="107" t="str">
        <f xml:space="preserve">
IF(K50="","×",
IF(K50=0,"○",
IF(K50&gt;=1,"○",
)))</f>
        <v>×</v>
      </c>
      <c r="P50" s="889" t="str">
        <f xml:space="preserve">
IF(K50="","【要修正】個人防護具及び消毒経費以外の設備整備を行う場合、整備を行う病床数を入力してください。（消耗品のみの申請の場合は０を入力してください。）",
IF(K50=0,"適切に入力がされました。",
IF(K50&gt;=1,"適切に入力がされました。（整備を行う病床の院内位置図及び、室内の整備状況が判る図面をご用意ください。）",
)))</f>
        <v>【要修正】個人防護具及び消毒経費以外の設備整備を行う場合、整備を行う病床数を入力してください。（消耗品のみの申請の場合は０を入力してください。）</v>
      </c>
      <c r="Q50" s="897"/>
      <c r="R50" s="897"/>
      <c r="S50" s="897"/>
      <c r="T50" s="897"/>
      <c r="U50" s="897"/>
      <c r="V50" s="897"/>
      <c r="W50" s="897"/>
      <c r="X50" s="897"/>
      <c r="Y50" s="897"/>
      <c r="Z50" s="897"/>
      <c r="AA50" s="897"/>
      <c r="AB50" s="897"/>
      <c r="AC50" s="671"/>
      <c r="AD50" s="671"/>
      <c r="AE50" s="213"/>
      <c r="AF50" s="215"/>
    </row>
    <row r="51" spans="2:36" ht="30" customHeight="1">
      <c r="B51" s="840"/>
      <c r="C51" s="846"/>
      <c r="D51" s="899"/>
      <c r="E51" s="846" t="s">
        <v>1172</v>
      </c>
      <c r="F51" s="901"/>
      <c r="G51" s="901"/>
      <c r="H51" s="846" t="s">
        <v>1430</v>
      </c>
      <c r="I51" s="898"/>
      <c r="J51" s="898"/>
      <c r="K51" s="566"/>
      <c r="L51" s="674" t="s">
        <v>75</v>
      </c>
      <c r="M51" s="862"/>
      <c r="N51" s="862"/>
      <c r="O51" s="107" t="s">
        <v>83</v>
      </c>
      <c r="P51" s="889" t="s">
        <v>1433</v>
      </c>
      <c r="Q51" s="890"/>
      <c r="R51" s="890"/>
      <c r="S51" s="890"/>
      <c r="T51" s="890"/>
      <c r="U51" s="890"/>
      <c r="V51" s="890"/>
      <c r="W51" s="890"/>
      <c r="X51" s="890"/>
      <c r="Y51" s="890"/>
      <c r="Z51" s="890"/>
      <c r="AA51" s="890"/>
      <c r="AB51" s="890"/>
      <c r="AC51" s="671"/>
      <c r="AD51" s="671"/>
      <c r="AE51" s="213" t="str">
        <f>IF(O51="○","",$E$51&amp;"("&amp;H51&amp;")/")</f>
        <v/>
      </c>
      <c r="AF51" s="215"/>
    </row>
    <row r="52" spans="2:36" ht="30" customHeight="1">
      <c r="B52" s="840"/>
      <c r="C52" s="899"/>
      <c r="D52" s="899"/>
      <c r="E52" s="901"/>
      <c r="F52" s="901"/>
      <c r="G52" s="901"/>
      <c r="H52" s="846" t="s">
        <v>1431</v>
      </c>
      <c r="I52" s="898"/>
      <c r="J52" s="898"/>
      <c r="K52" s="566"/>
      <c r="L52" s="674" t="s">
        <v>75</v>
      </c>
      <c r="M52" s="862"/>
      <c r="N52" s="862"/>
      <c r="O52" s="107" t="str">
        <f xml:space="preserve">
IF($O$49="×","×",
IF($H$49="無","○",
IF(AND($H$49="有",K52=""),"×",
IF(AND($H$49="有",K52&lt;&gt;""),"○"))))</f>
        <v>×</v>
      </c>
      <c r="P52" s="889" t="str">
        <f xml:space="preserve">
IF($O$49="×","【要修正】「確保病床の有無」が入力されていません。",
IF($H$49="無","段階毎の確保病床数の入力は不要です。",
IF(AND($H$49="有",K52=""),"【要修正】段階１における確保病床数を入力してください。",
IF(AND($H$49="有",K52&lt;&gt;""),"適切に入力がされました。"))))</f>
        <v>【要修正】「確保病床の有無」が入力されていません。</v>
      </c>
      <c r="Q52" s="890"/>
      <c r="R52" s="890"/>
      <c r="S52" s="890"/>
      <c r="T52" s="890"/>
      <c r="U52" s="890"/>
      <c r="V52" s="890"/>
      <c r="W52" s="890"/>
      <c r="X52" s="890"/>
      <c r="Y52" s="890"/>
      <c r="Z52" s="890"/>
      <c r="AA52" s="890"/>
      <c r="AB52" s="890"/>
      <c r="AC52" s="108"/>
      <c r="AE52" s="213" t="str">
        <f>IF(O52="○","",$E$51&amp;"("&amp;H52&amp;")/")</f>
        <v>確保病床数(段階1)/</v>
      </c>
      <c r="AF52" s="215"/>
    </row>
    <row r="53" spans="2:36" ht="30" customHeight="1">
      <c r="B53" s="840"/>
      <c r="C53" s="899"/>
      <c r="D53" s="899"/>
      <c r="E53" s="901"/>
      <c r="F53" s="901"/>
      <c r="G53" s="901"/>
      <c r="H53" s="846" t="s">
        <v>1432</v>
      </c>
      <c r="I53" s="898"/>
      <c r="J53" s="898"/>
      <c r="K53" s="566"/>
      <c r="L53" s="674" t="s">
        <v>75</v>
      </c>
      <c r="M53" s="862"/>
      <c r="N53" s="862"/>
      <c r="O53" s="107" t="str">
        <f xml:space="preserve">
IF($O$49="×","×",
IF($H$49="無","○",
IF(AND($H$49="有",K53=""),"×",
IF(AND($H$49="有",K53&lt;&gt;""),"○"))))</f>
        <v>×</v>
      </c>
      <c r="P53" s="889" t="str">
        <f xml:space="preserve">
IF($O$49="×","【要修正】「確保病床の有無」が入力されていません。",
IF($H$49="無","段階毎の確保病床数の入力は不要です。",
IF(AND($H$49="有",K53=""),"【要修正】段階２における確保病床数を入力してください。",
IF(AND($H$49="有",K53&lt;&gt;""),"適切に入力がされました。"))))</f>
        <v>【要修正】「確保病床の有無」が入力されていません。</v>
      </c>
      <c r="Q53" s="890"/>
      <c r="R53" s="890"/>
      <c r="S53" s="890"/>
      <c r="T53" s="890"/>
      <c r="U53" s="890"/>
      <c r="V53" s="890"/>
      <c r="W53" s="890"/>
      <c r="X53" s="890"/>
      <c r="Y53" s="890"/>
      <c r="Z53" s="890"/>
      <c r="AA53" s="890"/>
      <c r="AB53" s="890"/>
      <c r="AC53" s="108"/>
      <c r="AE53" s="213" t="str">
        <f>IF(O53="○","",$E$51&amp;"("&amp;H53&amp;")/")</f>
        <v>確保病床数(段階2)/</v>
      </c>
      <c r="AF53" s="215"/>
    </row>
    <row r="54" spans="2:36" ht="30" customHeight="1">
      <c r="B54" s="840"/>
      <c r="C54" s="846" t="s">
        <v>93</v>
      </c>
      <c r="D54" s="877"/>
      <c r="E54" s="877"/>
      <c r="F54" s="877"/>
      <c r="G54" s="877"/>
      <c r="H54" s="878" t="s">
        <v>94</v>
      </c>
      <c r="I54" s="878"/>
      <c r="J54" s="878"/>
      <c r="K54" s="878"/>
      <c r="L54" s="878"/>
      <c r="M54" s="878"/>
      <c r="N54" s="878"/>
      <c r="O54" s="862" t="s">
        <v>83</v>
      </c>
      <c r="P54" s="819" t="s">
        <v>1007</v>
      </c>
      <c r="Q54" s="819"/>
      <c r="R54" s="819"/>
      <c r="S54" s="819"/>
      <c r="T54" s="819"/>
      <c r="U54" s="819"/>
      <c r="V54" s="819"/>
      <c r="W54" s="819"/>
      <c r="X54" s="819"/>
      <c r="Y54" s="819"/>
      <c r="Z54" s="819"/>
      <c r="AA54" s="819"/>
      <c r="AB54" s="819"/>
      <c r="AC54" s="671"/>
      <c r="AD54" s="671"/>
      <c r="AE54" s="866" t="str">
        <f>IF(O54="○","","入院受入の可否/")</f>
        <v/>
      </c>
      <c r="AF54" s="555" t="b">
        <v>0</v>
      </c>
    </row>
    <row r="55" spans="2:36" ht="30" customHeight="1">
      <c r="B55" s="840"/>
      <c r="C55" s="877"/>
      <c r="D55" s="877"/>
      <c r="E55" s="877"/>
      <c r="F55" s="877"/>
      <c r="G55" s="877"/>
      <c r="H55" s="869" t="s">
        <v>95</v>
      </c>
      <c r="I55" s="869"/>
      <c r="J55" s="869"/>
      <c r="K55" s="869"/>
      <c r="L55" s="869"/>
      <c r="M55" s="869"/>
      <c r="N55" s="869"/>
      <c r="O55" s="862"/>
      <c r="P55" s="819"/>
      <c r="Q55" s="819"/>
      <c r="R55" s="819"/>
      <c r="S55" s="819"/>
      <c r="T55" s="819"/>
      <c r="U55" s="819"/>
      <c r="V55" s="819"/>
      <c r="W55" s="819"/>
      <c r="X55" s="819"/>
      <c r="Y55" s="819"/>
      <c r="Z55" s="819"/>
      <c r="AA55" s="819"/>
      <c r="AB55" s="819"/>
      <c r="AC55" s="671"/>
      <c r="AD55" s="671"/>
      <c r="AE55" s="867"/>
      <c r="AF55" s="555" t="b">
        <v>0</v>
      </c>
    </row>
    <row r="56" spans="2:36" ht="30" customHeight="1">
      <c r="B56" s="840"/>
      <c r="C56" s="877"/>
      <c r="D56" s="877"/>
      <c r="E56" s="877"/>
      <c r="F56" s="877"/>
      <c r="G56" s="877"/>
      <c r="H56" s="870" t="s">
        <v>96</v>
      </c>
      <c r="I56" s="870"/>
      <c r="J56" s="870"/>
      <c r="K56" s="870"/>
      <c r="L56" s="870"/>
      <c r="M56" s="870"/>
      <c r="N56" s="870"/>
      <c r="O56" s="862"/>
      <c r="P56" s="819"/>
      <c r="Q56" s="819"/>
      <c r="R56" s="819"/>
      <c r="S56" s="819"/>
      <c r="T56" s="819"/>
      <c r="U56" s="819"/>
      <c r="V56" s="819"/>
      <c r="W56" s="819"/>
      <c r="X56" s="819"/>
      <c r="Y56" s="819"/>
      <c r="Z56" s="819"/>
      <c r="AA56" s="819"/>
      <c r="AB56" s="819"/>
      <c r="AC56" s="671"/>
      <c r="AD56" s="671"/>
      <c r="AE56" s="868"/>
      <c r="AF56" s="555" t="b">
        <v>0</v>
      </c>
    </row>
    <row r="57" spans="2:36" ht="15" customHeight="1">
      <c r="B57" s="671"/>
      <c r="C57" s="672"/>
      <c r="D57" s="673"/>
      <c r="E57" s="673"/>
      <c r="F57" s="673"/>
      <c r="G57" s="673"/>
      <c r="H57" s="673"/>
      <c r="I57" s="111"/>
      <c r="J57" s="111"/>
      <c r="K57" s="111"/>
      <c r="L57" s="111"/>
      <c r="M57" s="111"/>
      <c r="N57" s="111"/>
      <c r="O57" s="673"/>
      <c r="P57" s="668"/>
      <c r="Q57" s="669"/>
      <c r="R57" s="669"/>
      <c r="S57" s="669"/>
      <c r="T57" s="669"/>
      <c r="U57" s="669"/>
      <c r="V57" s="669"/>
      <c r="W57" s="669"/>
      <c r="X57" s="671"/>
      <c r="Y57" s="671"/>
      <c r="Z57" s="671"/>
      <c r="AA57" s="671"/>
      <c r="AB57" s="671"/>
      <c r="AC57" s="671"/>
      <c r="AD57" s="671"/>
      <c r="AJ57" s="670"/>
    </row>
    <row r="58" spans="2:36" ht="80.099999999999994" customHeight="1">
      <c r="C58" s="110" t="s">
        <v>97</v>
      </c>
      <c r="D58" s="895" t="s">
        <v>98</v>
      </c>
      <c r="E58" s="896"/>
      <c r="F58" s="109" t="str">
        <f>IF(COUNTIF(O3:O56,"×")&gt;=1,"×","○")</f>
        <v>×</v>
      </c>
      <c r="G58" s="819" t="str">
        <f>IF(F58="○","適切に入力がされました。","【要修正】次の項目が適切に入力されているかご確認ください→"&amp;AE3&amp;AE6&amp;AE7&amp;AE8&amp;AE9&amp;AE10&amp;AE11&amp;AE12&amp;AE14&amp;AE15&amp;AE16&amp;AE17&amp;AE19&amp;AE20&amp;AE21&amp;AE22&amp;AE23&amp;AE24&amp;AE25&amp;AE26&amp;AE27&amp;AE28&amp;AE29&amp;AE30&amp;AE31&amp;AE32&amp;AE40&amp;AE33&amp;AE34&amp;AE35&amp;AE36&amp;AE37&amp;AE38&amp;AE39&amp;AE41&amp;AE42&amp;AE43&amp;AE44&amp;AE45&amp;AE46&amp;AE47&amp;AE48&amp;AE49&amp;AE51&amp;AE52&amp;AE53)</f>
        <v>【要修正】次の項目が適切に入力されているかご確認ください→法人・個人事業主の別/事業者名（法人名または屋号）/代表者役職/代表者氏名/所在地/施設の名称施設所在地/提出日/担当部署/担当者名/電話番号（担当直通）/Mailｱﾄﾞﾚｽ（担当直通）/金融機関番号/金融機関名/支店番号/支店名/預金口座種別/口座番号/振込先口座名義（半角ｶﾅ）/「基礎情報」シート(１．勤務体制)/「基礎情報」シート(２．職員情報)/「基礎情報」シート(３．配置情報)/「基礎情報」シート(４．防護具使用情報)/初度設備関係項目/人工呼吸器関係項目/個人防護具関係項目/－関係項目/簡易陰圧装置関係項目/空気清浄機関係項目/パーテーション関係項目/簡易ベッド関係項目/体外式膜型人工肺関係項目/簡易病室関係項目/紫外線照射装置等
導入経費関係項目/申立事項/確保病床の有無/確保病床数(段階1)/確保病床数(段階2)/</v>
      </c>
      <c r="H58" s="819"/>
      <c r="I58" s="819"/>
      <c r="J58" s="819"/>
      <c r="K58" s="819"/>
      <c r="L58" s="819"/>
      <c r="M58" s="819"/>
      <c r="N58" s="819"/>
      <c r="O58" s="819"/>
      <c r="P58" s="819"/>
      <c r="Q58" s="836"/>
      <c r="R58" s="836"/>
      <c r="S58" s="836"/>
      <c r="T58" s="836"/>
      <c r="U58" s="836"/>
      <c r="V58" s="836"/>
      <c r="W58" s="836"/>
      <c r="X58" s="836"/>
      <c r="Y58" s="836"/>
      <c r="Z58" s="836"/>
      <c r="AA58" s="836"/>
      <c r="AB58" s="836"/>
      <c r="AE58" s="131" t="str">
        <f>IF(COUNTA(H6,H7,H8,H9,H12,H14,H15,H16,H17)=9,"○","×")</f>
        <v>×</v>
      </c>
      <c r="AJ58" s="714" t="str">
        <f>AE3&amp;AE6&amp;AE7&amp;AE8&amp;AE9&amp;AE10&amp;AE11&amp;AE12&amp;AE13&amp;AE14&amp;AE15&amp;AE16&amp;AE17&amp;AJ18&amp;AE19&amp;AE48</f>
        <v>法人・個人事業主の別/事業者名（法人名または屋号）/代表者役職/代表者氏名/所在地/施設の名称施設所在地/提出日/担当部署/担当者名/電話番号（担当直通）/Mailｱﾄﾞﾚｽ（担当直通）/金融機関番号/申立事項/</v>
      </c>
    </row>
    <row r="59" spans="2:36" ht="15" customHeight="1">
      <c r="C59" s="110"/>
      <c r="D59" s="672"/>
      <c r="E59" s="673"/>
      <c r="F59" s="673"/>
      <c r="G59" s="668"/>
      <c r="H59" s="668"/>
      <c r="I59" s="668"/>
      <c r="J59" s="668"/>
      <c r="K59" s="668"/>
      <c r="L59" s="668"/>
      <c r="M59" s="668"/>
      <c r="N59" s="668"/>
      <c r="O59" s="668"/>
      <c r="P59" s="668"/>
      <c r="Q59" s="671"/>
      <c r="R59" s="671"/>
      <c r="S59" s="671"/>
      <c r="T59" s="671"/>
      <c r="U59" s="671"/>
      <c r="V59" s="671"/>
      <c r="W59" s="671"/>
      <c r="X59" s="671"/>
      <c r="Y59" s="671"/>
      <c r="Z59" s="671"/>
      <c r="AA59" s="671"/>
      <c r="AB59" s="671"/>
      <c r="AE59" s="131"/>
    </row>
    <row r="60" spans="2:36" ht="90" customHeight="1">
      <c r="B60" s="671"/>
      <c r="C60" s="628"/>
      <c r="D60" s="719"/>
      <c r="E60" s="719"/>
      <c r="F60" s="719"/>
      <c r="G60" s="719"/>
      <c r="H60" s="719"/>
      <c r="I60" s="719"/>
      <c r="J60" s="719"/>
      <c r="K60" s="719"/>
      <c r="L60" s="719"/>
      <c r="M60" s="719"/>
      <c r="N60" s="719"/>
      <c r="O60" s="719"/>
      <c r="P60" s="719"/>
      <c r="Q60" s="719"/>
      <c r="R60" s="719"/>
      <c r="S60" s="719"/>
      <c r="T60" s="719"/>
      <c r="U60" s="719"/>
      <c r="V60" s="719"/>
      <c r="W60" s="719"/>
      <c r="X60" s="719"/>
      <c r="Y60" s="719"/>
      <c r="Z60" s="719"/>
      <c r="AA60" s="719"/>
      <c r="AB60" s="719"/>
    </row>
    <row r="61" spans="2:36" ht="20.100000000000001" customHeight="1">
      <c r="B61" s="671"/>
      <c r="C61" s="112"/>
      <c r="D61" s="720"/>
      <c r="E61" s="720"/>
      <c r="F61" s="720"/>
      <c r="G61" s="720"/>
      <c r="H61" s="720"/>
      <c r="I61" s="720"/>
      <c r="J61" s="720"/>
      <c r="K61" s="720"/>
      <c r="L61" s="720"/>
      <c r="M61" s="720"/>
      <c r="N61" s="720"/>
      <c r="O61" s="720"/>
      <c r="P61" s="720"/>
      <c r="Q61" s="720"/>
      <c r="R61" s="720"/>
      <c r="S61" s="720"/>
      <c r="T61" s="720"/>
      <c r="U61" s="720"/>
      <c r="V61" s="720"/>
      <c r="W61" s="720"/>
      <c r="X61" s="720"/>
      <c r="Y61" s="720"/>
      <c r="Z61" s="720"/>
      <c r="AA61" s="720"/>
      <c r="AB61" s="720"/>
    </row>
    <row r="62" spans="2:36" ht="60" customHeight="1">
      <c r="B62" s="671"/>
      <c r="C62" s="112"/>
      <c r="D62" s="672"/>
      <c r="E62" s="672"/>
      <c r="F62" s="672"/>
      <c r="G62" s="670"/>
      <c r="H62" s="670"/>
      <c r="I62" s="670"/>
      <c r="J62" s="670"/>
      <c r="K62" s="670"/>
      <c r="L62" s="670"/>
      <c r="M62" s="670"/>
      <c r="N62" s="670"/>
      <c r="O62" s="670"/>
      <c r="P62" s="670"/>
      <c r="Q62" s="670"/>
      <c r="R62" s="670"/>
      <c r="S62" s="670"/>
      <c r="T62" s="670"/>
      <c r="U62" s="670"/>
      <c r="V62" s="670"/>
      <c r="W62" s="670"/>
      <c r="X62" s="670"/>
      <c r="Y62" s="670"/>
      <c r="Z62" s="670"/>
      <c r="AA62" s="670"/>
      <c r="AB62" s="670"/>
    </row>
    <row r="63" spans="2:36" ht="20.100000000000001" customHeight="1">
      <c r="B63" s="671"/>
      <c r="C63" s="112"/>
      <c r="D63" s="720"/>
      <c r="E63" s="720"/>
      <c r="F63" s="720"/>
      <c r="G63" s="720"/>
      <c r="H63" s="720"/>
      <c r="I63" s="720"/>
      <c r="J63" s="720"/>
      <c r="K63" s="720"/>
      <c r="L63" s="720"/>
      <c r="M63" s="720"/>
      <c r="N63" s="720"/>
      <c r="O63" s="720"/>
      <c r="P63" s="720"/>
      <c r="Q63" s="720"/>
      <c r="R63" s="720"/>
      <c r="S63" s="720"/>
      <c r="T63" s="720"/>
      <c r="U63" s="720"/>
      <c r="V63" s="720"/>
      <c r="W63" s="720"/>
      <c r="X63" s="720"/>
      <c r="Y63" s="720"/>
      <c r="Z63" s="720"/>
      <c r="AA63" s="720"/>
      <c r="AB63" s="720"/>
    </row>
    <row r="64" spans="2:36" ht="39.950000000000003" customHeight="1">
      <c r="B64" s="673"/>
      <c r="C64" s="721"/>
      <c r="D64" s="722"/>
      <c r="E64" s="722"/>
      <c r="F64" s="722"/>
      <c r="G64" s="722"/>
      <c r="H64" s="722"/>
      <c r="I64" s="672"/>
      <c r="J64" s="673"/>
      <c r="K64" s="673"/>
      <c r="L64" s="673"/>
      <c r="M64" s="673"/>
      <c r="N64" s="671"/>
      <c r="O64" s="672"/>
      <c r="P64" s="672"/>
      <c r="Q64" s="673"/>
      <c r="R64" s="673"/>
      <c r="S64" s="673"/>
      <c r="T64" s="673"/>
      <c r="U64" s="673"/>
      <c r="V64" s="673"/>
      <c r="W64" s="673"/>
      <c r="X64" s="673"/>
      <c r="Y64" s="673"/>
      <c r="Z64" s="673"/>
      <c r="AA64" s="673"/>
      <c r="AB64" s="673"/>
      <c r="AC64" s="110"/>
      <c r="AD64" s="110"/>
    </row>
    <row r="65" spans="2:44" ht="75" customHeight="1">
      <c r="B65" s="673"/>
      <c r="C65" s="668"/>
      <c r="D65" s="669"/>
      <c r="E65" s="669"/>
      <c r="F65" s="669"/>
      <c r="G65" s="669"/>
      <c r="H65" s="669"/>
      <c r="I65" s="723"/>
      <c r="J65" s="723"/>
      <c r="K65" s="723"/>
      <c r="L65" s="723"/>
      <c r="M65" s="723"/>
      <c r="N65" s="724"/>
      <c r="O65" s="673"/>
      <c r="P65" s="670"/>
      <c r="Q65" s="671"/>
      <c r="R65" s="671"/>
      <c r="S65" s="671"/>
      <c r="T65" s="671"/>
      <c r="U65" s="671"/>
      <c r="V65" s="671"/>
      <c r="W65" s="671"/>
      <c r="X65" s="671"/>
      <c r="Y65" s="671"/>
      <c r="Z65" s="671"/>
      <c r="AA65" s="671"/>
      <c r="AB65" s="671"/>
      <c r="AC65" s="110"/>
      <c r="AD65" s="110"/>
    </row>
    <row r="66" spans="2:44" ht="60" customHeight="1">
      <c r="B66" s="673"/>
      <c r="C66" s="668"/>
      <c r="D66" s="678"/>
      <c r="E66" s="678"/>
      <c r="F66" s="678"/>
      <c r="G66" s="678"/>
      <c r="H66" s="678"/>
      <c r="I66" s="723"/>
      <c r="J66" s="723"/>
      <c r="K66" s="723"/>
      <c r="L66" s="723"/>
      <c r="M66" s="723"/>
      <c r="N66" s="724"/>
      <c r="O66" s="673"/>
      <c r="P66" s="670"/>
      <c r="Q66" s="678"/>
      <c r="R66" s="678"/>
      <c r="S66" s="678"/>
      <c r="T66" s="678"/>
      <c r="U66" s="678"/>
      <c r="V66" s="678"/>
      <c r="W66" s="678"/>
      <c r="X66" s="678"/>
      <c r="Y66" s="678"/>
      <c r="Z66" s="678"/>
      <c r="AA66" s="678"/>
      <c r="AB66" s="678"/>
      <c r="AC66" s="110"/>
      <c r="AD66" s="110"/>
    </row>
    <row r="67" spans="2:44" ht="39.950000000000003" customHeight="1">
      <c r="B67" s="673"/>
      <c r="C67" s="668"/>
      <c r="D67" s="669"/>
      <c r="E67" s="669"/>
      <c r="F67" s="669"/>
      <c r="G67" s="669"/>
      <c r="H67" s="669"/>
      <c r="I67" s="723"/>
      <c r="J67" s="723"/>
      <c r="K67" s="723"/>
      <c r="L67" s="723"/>
      <c r="M67" s="723"/>
      <c r="N67" s="724"/>
      <c r="O67" s="725"/>
      <c r="P67" s="670"/>
      <c r="Q67" s="671"/>
      <c r="R67" s="671"/>
      <c r="S67" s="671"/>
      <c r="T67" s="671"/>
      <c r="U67" s="671"/>
      <c r="V67" s="671"/>
      <c r="W67" s="671"/>
      <c r="X67" s="671"/>
      <c r="Y67" s="671"/>
      <c r="Z67" s="671"/>
      <c r="AA67" s="671"/>
      <c r="AB67" s="671"/>
      <c r="AC67" s="110"/>
      <c r="AD67" s="110"/>
    </row>
    <row r="68" spans="2:44" ht="39.950000000000003" customHeight="1">
      <c r="B68" s="673"/>
      <c r="C68" s="668"/>
      <c r="D68" s="669"/>
      <c r="E68" s="669"/>
      <c r="F68" s="669"/>
      <c r="G68" s="669"/>
      <c r="H68" s="669"/>
      <c r="I68" s="723"/>
      <c r="J68" s="723"/>
      <c r="K68" s="723"/>
      <c r="L68" s="723"/>
      <c r="M68" s="723"/>
      <c r="N68" s="724"/>
      <c r="O68" s="673"/>
      <c r="P68" s="670"/>
      <c r="Q68" s="671"/>
      <c r="R68" s="671"/>
      <c r="S68" s="671"/>
      <c r="T68" s="671"/>
      <c r="U68" s="671"/>
      <c r="V68" s="671"/>
      <c r="W68" s="671"/>
      <c r="X68" s="671"/>
      <c r="Y68" s="671"/>
      <c r="Z68" s="671"/>
      <c r="AA68" s="671"/>
      <c r="AB68" s="671"/>
      <c r="AC68" s="110"/>
      <c r="AD68" s="110"/>
    </row>
    <row r="69" spans="2:44" ht="39.950000000000003" customHeight="1">
      <c r="B69" s="673"/>
      <c r="C69" s="668"/>
      <c r="D69" s="669"/>
      <c r="E69" s="669"/>
      <c r="F69" s="669"/>
      <c r="G69" s="669"/>
      <c r="H69" s="669"/>
      <c r="I69" s="723"/>
      <c r="J69" s="723"/>
      <c r="K69" s="723"/>
      <c r="L69" s="723"/>
      <c r="M69" s="723"/>
      <c r="N69" s="724"/>
      <c r="O69" s="673"/>
      <c r="P69" s="670"/>
      <c r="Q69" s="671"/>
      <c r="R69" s="671"/>
      <c r="S69" s="671"/>
      <c r="T69" s="671"/>
      <c r="U69" s="671"/>
      <c r="V69" s="671"/>
      <c r="W69" s="671"/>
      <c r="X69" s="671"/>
      <c r="Y69" s="671"/>
      <c r="Z69" s="671"/>
      <c r="AA69" s="671"/>
      <c r="AB69" s="671"/>
      <c r="AC69" s="110"/>
      <c r="AD69" s="110"/>
    </row>
    <row r="70" spans="2:44" ht="80.099999999999994" customHeight="1">
      <c r="B70" s="673"/>
      <c r="C70" s="668"/>
      <c r="D70" s="669"/>
      <c r="E70" s="669"/>
      <c r="F70" s="669"/>
      <c r="G70" s="669"/>
      <c r="H70" s="669"/>
      <c r="I70" s="723"/>
      <c r="J70" s="723"/>
      <c r="K70" s="723"/>
      <c r="L70" s="723"/>
      <c r="M70" s="723"/>
      <c r="N70" s="724"/>
      <c r="O70" s="725"/>
      <c r="P70" s="670"/>
      <c r="Q70" s="671"/>
      <c r="R70" s="671"/>
      <c r="S70" s="671"/>
      <c r="T70" s="671"/>
      <c r="U70" s="671"/>
      <c r="V70" s="671"/>
      <c r="W70" s="671"/>
      <c r="X70" s="671"/>
      <c r="Y70" s="671"/>
      <c r="Z70" s="671"/>
      <c r="AA70" s="671"/>
      <c r="AB70" s="671"/>
      <c r="AC70" s="110"/>
      <c r="AD70" s="110"/>
    </row>
    <row r="71" spans="2:44" ht="39.950000000000003" customHeight="1">
      <c r="B71" s="673"/>
      <c r="C71" s="668"/>
      <c r="D71" s="669"/>
      <c r="E71" s="669"/>
      <c r="F71" s="669"/>
      <c r="G71" s="669"/>
      <c r="H71" s="669"/>
      <c r="I71" s="672"/>
      <c r="J71" s="672"/>
      <c r="K71" s="672"/>
      <c r="L71" s="672"/>
      <c r="M71" s="672"/>
      <c r="N71" s="673"/>
      <c r="O71" s="725"/>
      <c r="P71" s="726"/>
      <c r="Q71" s="727"/>
      <c r="R71" s="727"/>
      <c r="S71" s="727"/>
      <c r="T71" s="727"/>
      <c r="U71" s="727"/>
      <c r="V71" s="727"/>
      <c r="W71" s="727"/>
      <c r="X71" s="727"/>
      <c r="Y71" s="727"/>
      <c r="Z71" s="727"/>
      <c r="AA71" s="727"/>
      <c r="AB71" s="727"/>
      <c r="AC71" s="110"/>
      <c r="AD71" s="110"/>
      <c r="AO71" s="715" t="s">
        <v>542</v>
      </c>
      <c r="AP71" s="715" t="s">
        <v>544</v>
      </c>
      <c r="AQ71" s="715" t="s">
        <v>546</v>
      </c>
      <c r="AR71" s="715" t="s">
        <v>547</v>
      </c>
    </row>
    <row r="72" spans="2:44" ht="30" customHeight="1">
      <c r="B72" s="671"/>
      <c r="C72" s="668"/>
      <c r="D72" s="669"/>
      <c r="E72" s="669"/>
      <c r="F72" s="669"/>
      <c r="G72" s="669"/>
      <c r="H72" s="669"/>
      <c r="I72" s="672"/>
      <c r="J72" s="672"/>
      <c r="K72" s="672"/>
      <c r="L72" s="672"/>
      <c r="M72" s="672"/>
      <c r="N72" s="673"/>
      <c r="O72" s="673"/>
      <c r="P72" s="670"/>
      <c r="Q72" s="671"/>
      <c r="R72" s="671"/>
      <c r="S72" s="671"/>
      <c r="T72" s="671"/>
      <c r="U72" s="671"/>
      <c r="V72" s="671"/>
      <c r="W72" s="671"/>
      <c r="X72" s="671"/>
      <c r="Y72" s="671"/>
      <c r="Z72" s="671"/>
      <c r="AA72" s="671"/>
      <c r="AB72" s="671"/>
      <c r="AN72" s="715">
        <v>47</v>
      </c>
      <c r="AP72" s="715" t="s">
        <v>102</v>
      </c>
      <c r="AQ72" s="715" t="s">
        <v>103</v>
      </c>
      <c r="AR72" s="715" t="s">
        <v>104</v>
      </c>
    </row>
    <row r="73" spans="2:44" ht="30" customHeight="1">
      <c r="B73" s="671"/>
      <c r="C73" s="668"/>
      <c r="D73" s="669"/>
      <c r="E73" s="669"/>
      <c r="F73" s="669"/>
      <c r="G73" s="669"/>
      <c r="H73" s="669"/>
      <c r="I73" s="672"/>
      <c r="J73" s="672"/>
      <c r="K73" s="672"/>
      <c r="L73" s="672"/>
      <c r="M73" s="672"/>
      <c r="N73" s="673"/>
      <c r="O73" s="673"/>
      <c r="P73" s="670"/>
      <c r="Q73" s="671"/>
      <c r="R73" s="671"/>
      <c r="S73" s="671"/>
      <c r="T73" s="671"/>
      <c r="U73" s="671"/>
      <c r="V73" s="671"/>
      <c r="W73" s="671"/>
      <c r="X73" s="671"/>
      <c r="Y73" s="671"/>
      <c r="Z73" s="671"/>
      <c r="AA73" s="671"/>
      <c r="AB73" s="671"/>
      <c r="AN73" s="715">
        <v>48</v>
      </c>
      <c r="AO73" s="715" t="s">
        <v>102</v>
      </c>
      <c r="AP73" s="715" t="s">
        <v>106</v>
      </c>
      <c r="AQ73" s="715" t="s">
        <v>107</v>
      </c>
      <c r="AR73" s="715" t="s">
        <v>108</v>
      </c>
    </row>
    <row r="74" spans="2:44" ht="30" customHeight="1">
      <c r="B74" s="671"/>
      <c r="C74" s="668"/>
      <c r="D74" s="669"/>
      <c r="E74" s="669"/>
      <c r="F74" s="669"/>
      <c r="G74" s="669"/>
      <c r="H74" s="669"/>
      <c r="I74" s="672"/>
      <c r="J74" s="672"/>
      <c r="K74" s="672"/>
      <c r="L74" s="672"/>
      <c r="M74" s="672"/>
      <c r="N74" s="673"/>
      <c r="O74" s="673"/>
      <c r="P74" s="670"/>
      <c r="Q74" s="671"/>
      <c r="R74" s="671"/>
      <c r="S74" s="671"/>
      <c r="T74" s="671"/>
      <c r="U74" s="671"/>
      <c r="V74" s="671"/>
      <c r="W74" s="671"/>
      <c r="X74" s="671"/>
      <c r="Y74" s="671"/>
      <c r="Z74" s="671"/>
      <c r="AA74" s="671"/>
      <c r="AB74" s="671"/>
      <c r="AN74" s="715">
        <v>49</v>
      </c>
      <c r="AO74" s="715" t="s">
        <v>103</v>
      </c>
      <c r="AQ74" s="715" t="s">
        <v>110</v>
      </c>
      <c r="AR74" s="715" t="s">
        <v>111</v>
      </c>
    </row>
    <row r="75" spans="2:44" ht="30" customHeight="1">
      <c r="B75" s="671"/>
      <c r="C75" s="668"/>
      <c r="D75" s="678"/>
      <c r="E75" s="678"/>
      <c r="F75" s="678"/>
      <c r="G75" s="678"/>
      <c r="H75" s="678"/>
      <c r="I75" s="672"/>
      <c r="J75" s="672"/>
      <c r="K75" s="672"/>
      <c r="L75" s="672"/>
      <c r="M75" s="672"/>
      <c r="N75" s="673"/>
      <c r="O75" s="673"/>
      <c r="P75" s="670"/>
      <c r="Q75" s="671"/>
      <c r="R75" s="671"/>
      <c r="S75" s="671"/>
      <c r="T75" s="671"/>
      <c r="U75" s="671"/>
      <c r="V75" s="671"/>
      <c r="W75" s="671"/>
      <c r="X75" s="671"/>
      <c r="Y75" s="671"/>
      <c r="Z75" s="671"/>
      <c r="AA75" s="671"/>
      <c r="AB75" s="671"/>
    </row>
    <row r="76" spans="2:44" ht="30" customHeight="1">
      <c r="B76" s="671"/>
      <c r="C76" s="668"/>
      <c r="D76" s="678"/>
      <c r="E76" s="678"/>
      <c r="F76" s="678"/>
      <c r="G76" s="678"/>
      <c r="H76" s="678"/>
      <c r="I76" s="672"/>
      <c r="J76" s="672"/>
      <c r="K76" s="672"/>
      <c r="L76" s="672"/>
      <c r="M76" s="672"/>
      <c r="N76" s="673"/>
      <c r="O76" s="673"/>
      <c r="P76" s="670"/>
      <c r="Q76" s="671"/>
      <c r="R76" s="671"/>
      <c r="S76" s="671"/>
      <c r="T76" s="671"/>
      <c r="U76" s="671"/>
      <c r="V76" s="671"/>
      <c r="W76" s="671"/>
      <c r="X76" s="671"/>
      <c r="Y76" s="671"/>
      <c r="Z76" s="671"/>
      <c r="AA76" s="671"/>
      <c r="AB76" s="671"/>
    </row>
    <row r="77" spans="2:44" ht="30" customHeight="1">
      <c r="B77" s="671"/>
      <c r="C77" s="668"/>
      <c r="D77" s="678"/>
      <c r="E77" s="678"/>
      <c r="F77" s="678"/>
      <c r="G77" s="678"/>
      <c r="H77" s="678"/>
      <c r="I77" s="672"/>
      <c r="J77" s="672"/>
      <c r="K77" s="672"/>
      <c r="L77" s="672"/>
      <c r="M77" s="672"/>
      <c r="N77" s="673"/>
      <c r="O77" s="673"/>
      <c r="P77" s="670"/>
      <c r="Q77" s="671"/>
      <c r="R77" s="671"/>
      <c r="S77" s="671"/>
      <c r="T77" s="671"/>
      <c r="U77" s="671"/>
      <c r="V77" s="671"/>
      <c r="W77" s="671"/>
      <c r="X77" s="671"/>
      <c r="Y77" s="671"/>
      <c r="Z77" s="671"/>
      <c r="AA77" s="671"/>
      <c r="AB77" s="671"/>
    </row>
    <row r="78" spans="2:44" ht="30" customHeight="1">
      <c r="B78" s="671"/>
      <c r="C78" s="668"/>
      <c r="D78" s="669"/>
      <c r="E78" s="669"/>
      <c r="F78" s="669"/>
      <c r="G78" s="669"/>
      <c r="H78" s="669"/>
      <c r="I78" s="672"/>
      <c r="J78" s="672"/>
      <c r="K78" s="672"/>
      <c r="L78" s="672"/>
      <c r="M78" s="672"/>
      <c r="N78" s="673"/>
      <c r="O78" s="673"/>
      <c r="P78" s="670"/>
      <c r="Q78" s="671"/>
      <c r="R78" s="671"/>
      <c r="S78" s="671"/>
      <c r="T78" s="671"/>
      <c r="U78" s="671"/>
      <c r="V78" s="671"/>
      <c r="W78" s="671"/>
      <c r="X78" s="671"/>
      <c r="Y78" s="671"/>
      <c r="Z78" s="671"/>
      <c r="AA78" s="671"/>
      <c r="AB78" s="671"/>
      <c r="AN78" s="715">
        <v>50</v>
      </c>
      <c r="AO78" s="715" t="s">
        <v>104</v>
      </c>
      <c r="AQ78" s="715" t="s">
        <v>113</v>
      </c>
      <c r="AR78" s="715" t="s">
        <v>114</v>
      </c>
    </row>
    <row r="79" spans="2:44" ht="30" customHeight="1">
      <c r="B79" s="671"/>
      <c r="C79" s="668"/>
      <c r="D79" s="678"/>
      <c r="E79" s="678"/>
      <c r="F79" s="678"/>
      <c r="G79" s="678"/>
      <c r="H79" s="678"/>
      <c r="I79" s="672"/>
      <c r="J79" s="672"/>
      <c r="K79" s="672"/>
      <c r="L79" s="672"/>
      <c r="M79" s="672"/>
      <c r="N79" s="673"/>
      <c r="O79" s="673"/>
      <c r="P79" s="670"/>
      <c r="Q79" s="671"/>
      <c r="R79" s="671"/>
      <c r="S79" s="671"/>
      <c r="T79" s="671"/>
      <c r="U79" s="671"/>
      <c r="V79" s="671"/>
      <c r="W79" s="671"/>
      <c r="X79" s="671"/>
      <c r="Y79" s="671"/>
      <c r="Z79" s="671"/>
      <c r="AA79" s="671"/>
      <c r="AB79" s="671"/>
    </row>
    <row r="80" spans="2:44" ht="30" customHeight="1">
      <c r="B80" s="671"/>
      <c r="C80" s="668"/>
      <c r="D80" s="678"/>
      <c r="E80" s="678"/>
      <c r="F80" s="678"/>
      <c r="G80" s="678"/>
      <c r="H80" s="678"/>
      <c r="I80" s="672"/>
      <c r="J80" s="672"/>
      <c r="K80" s="672"/>
      <c r="L80" s="672"/>
      <c r="M80" s="672"/>
      <c r="N80" s="673"/>
      <c r="O80" s="673"/>
      <c r="P80" s="670"/>
      <c r="Q80" s="671"/>
      <c r="R80" s="671"/>
      <c r="S80" s="671"/>
      <c r="T80" s="671"/>
      <c r="U80" s="671"/>
      <c r="V80" s="671"/>
      <c r="W80" s="671"/>
      <c r="X80" s="671"/>
      <c r="Y80" s="671"/>
      <c r="Z80" s="671"/>
      <c r="AA80" s="671"/>
      <c r="AB80" s="671"/>
    </row>
    <row r="81" spans="2:44" ht="30" customHeight="1">
      <c r="B81" s="671"/>
      <c r="C81" s="668"/>
      <c r="D81" s="668"/>
      <c r="E81" s="668"/>
      <c r="F81" s="668"/>
      <c r="G81" s="668"/>
      <c r="H81" s="668"/>
      <c r="I81" s="672"/>
      <c r="J81" s="672"/>
      <c r="K81" s="672"/>
      <c r="L81" s="672"/>
      <c r="M81" s="672"/>
      <c r="N81" s="672"/>
      <c r="O81" s="673"/>
      <c r="P81" s="670"/>
      <c r="Q81" s="671"/>
      <c r="R81" s="671"/>
      <c r="S81" s="671"/>
      <c r="T81" s="671"/>
      <c r="U81" s="671"/>
      <c r="V81" s="671"/>
      <c r="W81" s="671"/>
      <c r="X81" s="671"/>
      <c r="Y81" s="671"/>
      <c r="Z81" s="671"/>
      <c r="AA81" s="671"/>
      <c r="AB81" s="671"/>
      <c r="AN81" s="715">
        <v>51</v>
      </c>
      <c r="AQ81" s="715" t="s">
        <v>116</v>
      </c>
      <c r="AR81" s="715" t="s">
        <v>117</v>
      </c>
    </row>
    <row r="82" spans="2:44" ht="30" customHeight="1">
      <c r="B82" s="671"/>
      <c r="C82" s="668"/>
      <c r="D82" s="668"/>
      <c r="E82" s="668"/>
      <c r="F82" s="668"/>
      <c r="G82" s="668"/>
      <c r="H82" s="668"/>
      <c r="I82" s="672"/>
      <c r="J82" s="672"/>
      <c r="K82" s="672"/>
      <c r="L82" s="672"/>
      <c r="M82" s="672"/>
      <c r="N82" s="672"/>
      <c r="O82" s="673"/>
      <c r="P82" s="670"/>
      <c r="Q82" s="671"/>
      <c r="R82" s="671"/>
      <c r="S82" s="671"/>
      <c r="T82" s="671"/>
      <c r="U82" s="671"/>
      <c r="V82" s="671"/>
      <c r="W82" s="671"/>
      <c r="X82" s="671"/>
      <c r="Y82" s="671"/>
      <c r="Z82" s="671"/>
      <c r="AA82" s="671"/>
      <c r="AB82" s="671"/>
      <c r="AN82" s="715">
        <v>52</v>
      </c>
      <c r="AQ82" s="715" t="s">
        <v>119</v>
      </c>
      <c r="AR82" s="715" t="s">
        <v>120</v>
      </c>
    </row>
    <row r="83" spans="2:44" ht="30" customHeight="1">
      <c r="B83" s="671"/>
      <c r="C83" s="668"/>
      <c r="D83" s="668"/>
      <c r="E83" s="668"/>
      <c r="F83" s="668"/>
      <c r="G83" s="668"/>
      <c r="H83" s="668"/>
      <c r="I83" s="672"/>
      <c r="J83" s="672"/>
      <c r="K83" s="672"/>
      <c r="L83" s="672"/>
      <c r="M83" s="672"/>
      <c r="N83" s="672"/>
      <c r="O83" s="673"/>
      <c r="P83" s="670"/>
      <c r="Q83" s="671"/>
      <c r="R83" s="671"/>
      <c r="S83" s="671"/>
      <c r="T83" s="671"/>
      <c r="U83" s="671"/>
      <c r="V83" s="671"/>
      <c r="W83" s="671"/>
      <c r="X83" s="671"/>
      <c r="Y83" s="671"/>
      <c r="Z83" s="671"/>
      <c r="AA83" s="671"/>
      <c r="AB83" s="671"/>
      <c r="AN83" s="715">
        <v>53</v>
      </c>
      <c r="AQ83" s="715" t="s">
        <v>122</v>
      </c>
      <c r="AR83" s="715" t="s">
        <v>123</v>
      </c>
    </row>
    <row r="84" spans="2:44" ht="30" customHeight="1">
      <c r="B84" s="671"/>
      <c r="C84" s="668"/>
      <c r="D84" s="668"/>
      <c r="E84" s="668"/>
      <c r="F84" s="668"/>
      <c r="G84" s="668"/>
      <c r="H84" s="668"/>
      <c r="I84" s="672"/>
      <c r="J84" s="672"/>
      <c r="K84" s="672"/>
      <c r="L84" s="672"/>
      <c r="M84" s="672"/>
      <c r="N84" s="672"/>
      <c r="O84" s="673"/>
      <c r="P84" s="670"/>
      <c r="Q84" s="671"/>
      <c r="R84" s="671"/>
      <c r="S84" s="671"/>
      <c r="T84" s="671"/>
      <c r="U84" s="671"/>
      <c r="V84" s="671"/>
      <c r="W84" s="671"/>
      <c r="X84" s="671"/>
      <c r="Y84" s="671"/>
      <c r="Z84" s="671"/>
      <c r="AA84" s="671"/>
      <c r="AB84" s="671"/>
      <c r="AN84" s="715">
        <v>54</v>
      </c>
      <c r="AQ84" s="715" t="s">
        <v>124</v>
      </c>
      <c r="AR84" s="715" t="s">
        <v>125</v>
      </c>
    </row>
    <row r="85" spans="2:44" ht="30" customHeight="1">
      <c r="B85" s="671"/>
      <c r="C85" s="668"/>
      <c r="D85" s="668"/>
      <c r="E85" s="668"/>
      <c r="F85" s="668"/>
      <c r="G85" s="668"/>
      <c r="H85" s="668"/>
      <c r="I85" s="672"/>
      <c r="J85" s="672"/>
      <c r="K85" s="672"/>
      <c r="L85" s="672"/>
      <c r="M85" s="672"/>
      <c r="N85" s="672"/>
      <c r="O85" s="673"/>
      <c r="P85" s="670"/>
      <c r="Q85" s="671"/>
      <c r="R85" s="671"/>
      <c r="S85" s="671"/>
      <c r="T85" s="671"/>
      <c r="U85" s="671"/>
      <c r="V85" s="671"/>
      <c r="W85" s="671"/>
      <c r="X85" s="671"/>
      <c r="Y85" s="671"/>
      <c r="Z85" s="671"/>
      <c r="AA85" s="671"/>
      <c r="AB85" s="671"/>
      <c r="AN85" s="715">
        <v>55</v>
      </c>
      <c r="AQ85" s="715" t="s">
        <v>126</v>
      </c>
      <c r="AR85" s="715" t="s">
        <v>127</v>
      </c>
    </row>
    <row r="86" spans="2:44" ht="30" customHeight="1">
      <c r="B86" s="671"/>
      <c r="C86" s="668"/>
      <c r="D86" s="668"/>
      <c r="E86" s="668"/>
      <c r="F86" s="668"/>
      <c r="G86" s="668"/>
      <c r="H86" s="668"/>
      <c r="I86" s="672"/>
      <c r="J86" s="672"/>
      <c r="K86" s="672"/>
      <c r="L86" s="672"/>
      <c r="M86" s="672"/>
      <c r="N86" s="672"/>
      <c r="O86" s="673"/>
      <c r="P86" s="670"/>
      <c r="Q86" s="671"/>
      <c r="R86" s="671"/>
      <c r="S86" s="671"/>
      <c r="T86" s="671"/>
      <c r="U86" s="671"/>
      <c r="V86" s="671"/>
      <c r="W86" s="671"/>
      <c r="X86" s="671"/>
      <c r="Y86" s="671"/>
      <c r="Z86" s="671"/>
      <c r="AA86" s="671"/>
      <c r="AB86" s="671"/>
      <c r="AN86" s="715">
        <v>56</v>
      </c>
      <c r="AQ86" s="715" t="s">
        <v>129</v>
      </c>
      <c r="AR86" s="715" t="s">
        <v>130</v>
      </c>
    </row>
    <row r="87" spans="2:44" ht="30" customHeight="1">
      <c r="B87" s="671"/>
      <c r="C87" s="668"/>
      <c r="D87" s="668"/>
      <c r="E87" s="668"/>
      <c r="F87" s="668"/>
      <c r="G87" s="668"/>
      <c r="H87" s="668"/>
      <c r="I87" s="672"/>
      <c r="J87" s="672"/>
      <c r="K87" s="672"/>
      <c r="L87" s="672"/>
      <c r="M87" s="672"/>
      <c r="N87" s="672"/>
      <c r="O87" s="673"/>
      <c r="P87" s="670"/>
      <c r="Q87" s="671"/>
      <c r="R87" s="671"/>
      <c r="S87" s="671"/>
      <c r="T87" s="671"/>
      <c r="U87" s="671"/>
      <c r="V87" s="671"/>
      <c r="W87" s="671"/>
      <c r="X87" s="671"/>
      <c r="Y87" s="671"/>
      <c r="Z87" s="671"/>
      <c r="AA87" s="671"/>
      <c r="AB87" s="671"/>
      <c r="AN87" s="715">
        <v>57</v>
      </c>
      <c r="AQ87" s="715" t="s">
        <v>132</v>
      </c>
      <c r="AR87" s="715" t="s">
        <v>133</v>
      </c>
    </row>
    <row r="88" spans="2:44" ht="30" customHeight="1">
      <c r="B88" s="671"/>
      <c r="C88" s="671"/>
      <c r="D88" s="671"/>
      <c r="E88" s="671"/>
      <c r="F88" s="671"/>
      <c r="G88" s="671"/>
      <c r="H88" s="671"/>
      <c r="I88" s="671"/>
      <c r="J88" s="671"/>
      <c r="K88" s="671"/>
      <c r="L88" s="671"/>
      <c r="M88" s="671"/>
      <c r="N88" s="671"/>
      <c r="O88" s="671"/>
      <c r="P88" s="671"/>
      <c r="Q88" s="671"/>
      <c r="R88" s="671"/>
      <c r="S88" s="671"/>
      <c r="T88" s="671"/>
      <c r="U88" s="671"/>
      <c r="V88" s="671"/>
      <c r="W88" s="671"/>
      <c r="X88" s="671"/>
      <c r="Y88" s="671"/>
      <c r="Z88" s="671"/>
      <c r="AA88" s="671"/>
      <c r="AB88" s="671"/>
      <c r="AN88" s="715">
        <v>58</v>
      </c>
      <c r="AQ88" s="715" t="s">
        <v>134</v>
      </c>
      <c r="AR88" s="715" t="s">
        <v>135</v>
      </c>
    </row>
    <row r="89" spans="2:44" ht="30" customHeight="1">
      <c r="C89" s="855"/>
      <c r="D89" s="856"/>
      <c r="E89" s="856"/>
      <c r="F89" s="856"/>
      <c r="G89" s="856"/>
      <c r="H89" s="856"/>
      <c r="I89" s="860"/>
      <c r="J89" s="860"/>
      <c r="K89" s="860"/>
      <c r="L89" s="860"/>
      <c r="M89" s="860"/>
      <c r="N89" s="861"/>
      <c r="O89" s="673"/>
      <c r="P89" s="858"/>
      <c r="Q89" s="859"/>
      <c r="R89" s="859"/>
      <c r="S89" s="859"/>
      <c r="T89" s="859"/>
      <c r="U89" s="859"/>
      <c r="V89" s="859"/>
      <c r="W89" s="859"/>
      <c r="X89" s="859"/>
      <c r="Y89" s="859"/>
      <c r="Z89" s="859"/>
      <c r="AA89" s="859"/>
      <c r="AB89" s="859"/>
      <c r="AN89" s="715">
        <v>59</v>
      </c>
      <c r="AQ89" s="715" t="s">
        <v>136</v>
      </c>
      <c r="AR89" s="715" t="s">
        <v>137</v>
      </c>
    </row>
    <row r="90" spans="2:44" ht="30" customHeight="1">
      <c r="C90" s="855"/>
      <c r="D90" s="856"/>
      <c r="E90" s="856"/>
      <c r="F90" s="856"/>
      <c r="G90" s="856"/>
      <c r="H90" s="856"/>
      <c r="I90" s="857"/>
      <c r="J90" s="858"/>
      <c r="K90" s="858"/>
      <c r="L90" s="858"/>
      <c r="M90" s="858"/>
      <c r="N90" s="859"/>
      <c r="O90" s="673"/>
      <c r="P90" s="858"/>
      <c r="Q90" s="859"/>
      <c r="R90" s="859"/>
      <c r="S90" s="859"/>
      <c r="T90" s="859"/>
      <c r="U90" s="859"/>
      <c r="V90" s="859"/>
      <c r="W90" s="859"/>
      <c r="X90" s="859"/>
      <c r="Y90" s="859"/>
      <c r="Z90" s="859"/>
      <c r="AA90" s="859"/>
      <c r="AB90" s="859"/>
      <c r="AN90" s="715">
        <v>60</v>
      </c>
      <c r="AQ90" s="715" t="s">
        <v>138</v>
      </c>
      <c r="AR90" s="715" t="s">
        <v>139</v>
      </c>
    </row>
    <row r="91" spans="2:44" ht="30" customHeight="1">
      <c r="C91" s="855"/>
      <c r="D91" s="856"/>
      <c r="E91" s="856"/>
      <c r="F91" s="856"/>
      <c r="G91" s="856"/>
      <c r="H91" s="856"/>
      <c r="I91" s="857"/>
      <c r="J91" s="858"/>
      <c r="K91" s="858"/>
      <c r="L91" s="858"/>
      <c r="M91" s="858"/>
      <c r="N91" s="859"/>
      <c r="O91" s="673"/>
      <c r="P91" s="858"/>
      <c r="Q91" s="859"/>
      <c r="R91" s="859"/>
      <c r="S91" s="859"/>
      <c r="T91" s="859"/>
      <c r="U91" s="859"/>
      <c r="V91" s="859"/>
      <c r="W91" s="859"/>
      <c r="X91" s="859"/>
      <c r="Y91" s="859"/>
      <c r="Z91" s="859"/>
      <c r="AA91" s="859"/>
      <c r="AB91" s="859"/>
      <c r="AN91" s="715">
        <v>61</v>
      </c>
      <c r="AQ91" s="715" t="s">
        <v>140</v>
      </c>
      <c r="AR91" s="715" t="s">
        <v>141</v>
      </c>
    </row>
    <row r="92" spans="2:44">
      <c r="AN92" s="715">
        <v>62</v>
      </c>
      <c r="AQ92" s="715" t="s">
        <v>142</v>
      </c>
      <c r="AR92" s="715" t="s">
        <v>143</v>
      </c>
    </row>
    <row r="93" spans="2:44">
      <c r="AN93" s="715">
        <v>63</v>
      </c>
      <c r="AQ93" s="715" t="s">
        <v>144</v>
      </c>
      <c r="AR93" s="715" t="s">
        <v>145</v>
      </c>
    </row>
    <row r="94" spans="2:44">
      <c r="AN94" s="715">
        <v>64</v>
      </c>
      <c r="AQ94" s="715" t="s">
        <v>146</v>
      </c>
      <c r="AR94" s="715" t="s">
        <v>147</v>
      </c>
    </row>
    <row r="95" spans="2:44">
      <c r="AN95" s="715">
        <v>65</v>
      </c>
      <c r="AQ95" s="715" t="s">
        <v>148</v>
      </c>
      <c r="AR95" s="715" t="s">
        <v>149</v>
      </c>
    </row>
    <row r="96" spans="2:44">
      <c r="AN96" s="715">
        <v>66</v>
      </c>
      <c r="AQ96" s="715" t="s">
        <v>150</v>
      </c>
      <c r="AR96" s="715" t="s">
        <v>151</v>
      </c>
    </row>
    <row r="97" spans="40:44">
      <c r="AN97" s="715">
        <v>67</v>
      </c>
      <c r="AQ97" s="715" t="s">
        <v>152</v>
      </c>
      <c r="AR97" s="715" t="s">
        <v>153</v>
      </c>
    </row>
    <row r="98" spans="40:44">
      <c r="AN98" s="715">
        <v>68</v>
      </c>
      <c r="AQ98" s="715" t="s">
        <v>154</v>
      </c>
      <c r="AR98" s="715" t="s">
        <v>155</v>
      </c>
    </row>
    <row r="99" spans="40:44">
      <c r="AN99" s="715">
        <v>69</v>
      </c>
      <c r="AQ99" s="715" t="s">
        <v>156</v>
      </c>
      <c r="AR99" s="715" t="s">
        <v>157</v>
      </c>
    </row>
    <row r="100" spans="40:44">
      <c r="AN100" s="715">
        <v>70</v>
      </c>
      <c r="AQ100" s="715" t="s">
        <v>158</v>
      </c>
      <c r="AR100" s="715" t="s">
        <v>159</v>
      </c>
    </row>
    <row r="101" spans="40:44">
      <c r="AN101" s="715">
        <v>71</v>
      </c>
      <c r="AQ101" s="715" t="s">
        <v>160</v>
      </c>
      <c r="AR101" s="715" t="s">
        <v>161</v>
      </c>
    </row>
    <row r="102" spans="40:44">
      <c r="AN102" s="715">
        <v>72</v>
      </c>
      <c r="AQ102" s="715" t="s">
        <v>162</v>
      </c>
      <c r="AR102" s="715" t="s">
        <v>163</v>
      </c>
    </row>
    <row r="103" spans="40:44">
      <c r="AN103" s="715">
        <v>73</v>
      </c>
      <c r="AQ103" s="715" t="s">
        <v>164</v>
      </c>
      <c r="AR103" s="715" t="s">
        <v>165</v>
      </c>
    </row>
    <row r="104" spans="40:44">
      <c r="AN104" s="715">
        <v>74</v>
      </c>
      <c r="AQ104" s="715" t="s">
        <v>166</v>
      </c>
      <c r="AR104" s="715" t="s">
        <v>167</v>
      </c>
    </row>
    <row r="105" spans="40:44">
      <c r="AN105" s="715">
        <v>75</v>
      </c>
      <c r="AQ105" s="715" t="s">
        <v>168</v>
      </c>
      <c r="AR105" s="715" t="s">
        <v>169</v>
      </c>
    </row>
    <row r="106" spans="40:44">
      <c r="AN106" s="715">
        <v>76</v>
      </c>
      <c r="AQ106" s="715" t="s">
        <v>170</v>
      </c>
      <c r="AR106" s="715" t="s">
        <v>171</v>
      </c>
    </row>
    <row r="107" spans="40:44">
      <c r="AN107" s="715">
        <v>77</v>
      </c>
      <c r="AQ107" s="715" t="s">
        <v>172</v>
      </c>
      <c r="AR107" s="715" t="s">
        <v>173</v>
      </c>
    </row>
    <row r="108" spans="40:44">
      <c r="AN108" s="715">
        <v>78</v>
      </c>
      <c r="AQ108" s="715" t="s">
        <v>174</v>
      </c>
      <c r="AR108" s="715" t="s">
        <v>175</v>
      </c>
    </row>
    <row r="109" spans="40:44">
      <c r="AN109" s="715">
        <v>79</v>
      </c>
      <c r="AQ109" s="715" t="s">
        <v>176</v>
      </c>
      <c r="AR109" s="715" t="s">
        <v>177</v>
      </c>
    </row>
    <row r="110" spans="40:44">
      <c r="AN110" s="715">
        <v>80</v>
      </c>
      <c r="AQ110" s="715" t="s">
        <v>178</v>
      </c>
      <c r="AR110" s="715" t="s">
        <v>179</v>
      </c>
    </row>
    <row r="111" spans="40:44">
      <c r="AN111" s="715">
        <v>81</v>
      </c>
      <c r="AQ111" s="715" t="s">
        <v>180</v>
      </c>
      <c r="AR111" s="715" t="s">
        <v>181</v>
      </c>
    </row>
    <row r="112" spans="40:44">
      <c r="AN112" s="715">
        <v>82</v>
      </c>
      <c r="AQ112" s="715" t="s">
        <v>182</v>
      </c>
      <c r="AR112" s="715" t="s">
        <v>183</v>
      </c>
    </row>
    <row r="113" spans="40:44">
      <c r="AN113" s="715">
        <v>83</v>
      </c>
      <c r="AQ113" s="715" t="s">
        <v>184</v>
      </c>
      <c r="AR113" s="715" t="s">
        <v>185</v>
      </c>
    </row>
    <row r="114" spans="40:44">
      <c r="AN114" s="715">
        <v>84</v>
      </c>
      <c r="AQ114" s="715" t="s">
        <v>186</v>
      </c>
      <c r="AR114" s="715" t="s">
        <v>187</v>
      </c>
    </row>
    <row r="115" spans="40:44">
      <c r="AN115" s="715">
        <v>85</v>
      </c>
      <c r="AQ115" s="715" t="s">
        <v>188</v>
      </c>
      <c r="AR115" s="715" t="s">
        <v>189</v>
      </c>
    </row>
    <row r="116" spans="40:44">
      <c r="AN116" s="715">
        <v>86</v>
      </c>
      <c r="AQ116" s="715" t="s">
        <v>190</v>
      </c>
      <c r="AR116" s="715" t="s">
        <v>191</v>
      </c>
    </row>
    <row r="117" spans="40:44">
      <c r="AN117" s="715">
        <v>87</v>
      </c>
      <c r="AQ117" s="715" t="s">
        <v>192</v>
      </c>
      <c r="AR117" s="715" t="s">
        <v>193</v>
      </c>
    </row>
    <row r="118" spans="40:44">
      <c r="AN118" s="715">
        <v>88</v>
      </c>
      <c r="AQ118" s="715" t="s">
        <v>194</v>
      </c>
      <c r="AR118" s="715" t="s">
        <v>195</v>
      </c>
    </row>
    <row r="119" spans="40:44">
      <c r="AN119" s="715">
        <v>89</v>
      </c>
      <c r="AQ119" s="715" t="s">
        <v>196</v>
      </c>
      <c r="AR119" s="715" t="s">
        <v>197</v>
      </c>
    </row>
    <row r="120" spans="40:44">
      <c r="AN120" s="715">
        <v>90</v>
      </c>
      <c r="AQ120" s="715" t="s">
        <v>198</v>
      </c>
      <c r="AR120" s="715" t="s">
        <v>199</v>
      </c>
    </row>
    <row r="121" spans="40:44">
      <c r="AN121" s="715">
        <v>91</v>
      </c>
      <c r="AQ121" s="715" t="s">
        <v>200</v>
      </c>
      <c r="AR121" s="715" t="s">
        <v>201</v>
      </c>
    </row>
    <row r="122" spans="40:44">
      <c r="AN122" s="715">
        <v>92</v>
      </c>
      <c r="AQ122" s="715" t="s">
        <v>202</v>
      </c>
      <c r="AR122" s="715" t="s">
        <v>203</v>
      </c>
    </row>
    <row r="123" spans="40:44">
      <c r="AN123" s="715">
        <v>93</v>
      </c>
      <c r="AQ123" s="715" t="s">
        <v>204</v>
      </c>
      <c r="AR123" s="715" t="s">
        <v>205</v>
      </c>
    </row>
    <row r="124" spans="40:44">
      <c r="AN124" s="715">
        <v>94</v>
      </c>
      <c r="AQ124" s="715" t="s">
        <v>206</v>
      </c>
      <c r="AR124" s="715" t="s">
        <v>207</v>
      </c>
    </row>
    <row r="125" spans="40:44">
      <c r="AN125" s="715">
        <v>95</v>
      </c>
      <c r="AQ125" s="715" t="s">
        <v>208</v>
      </c>
      <c r="AR125" s="715" t="s">
        <v>209</v>
      </c>
    </row>
    <row r="126" spans="40:44">
      <c r="AN126" s="715">
        <v>96</v>
      </c>
      <c r="AQ126" s="715" t="s">
        <v>210</v>
      </c>
      <c r="AR126" s="715" t="s">
        <v>211</v>
      </c>
    </row>
    <row r="127" spans="40:44">
      <c r="AN127" s="715">
        <v>97</v>
      </c>
      <c r="AQ127" s="715" t="s">
        <v>212</v>
      </c>
      <c r="AR127" s="715" t="s">
        <v>213</v>
      </c>
    </row>
    <row r="128" spans="40:44">
      <c r="AN128" s="715">
        <v>98</v>
      </c>
      <c r="AQ128" s="715" t="s">
        <v>214</v>
      </c>
      <c r="AR128" s="715" t="s">
        <v>215</v>
      </c>
    </row>
    <row r="129" spans="40:44">
      <c r="AN129" s="715">
        <v>99</v>
      </c>
      <c r="AQ129" s="715" t="s">
        <v>216</v>
      </c>
      <c r="AR129" s="715" t="s">
        <v>217</v>
      </c>
    </row>
    <row r="130" spans="40:44">
      <c r="AN130" s="715">
        <v>100</v>
      </c>
      <c r="AQ130" s="715" t="s">
        <v>218</v>
      </c>
      <c r="AR130" s="715" t="s">
        <v>219</v>
      </c>
    </row>
    <row r="131" spans="40:44">
      <c r="AN131" s="715">
        <v>101</v>
      </c>
      <c r="AQ131" s="715" t="s">
        <v>220</v>
      </c>
      <c r="AR131" s="715" t="s">
        <v>221</v>
      </c>
    </row>
    <row r="132" spans="40:44">
      <c r="AN132" s="715">
        <v>102</v>
      </c>
      <c r="AQ132" s="715" t="s">
        <v>222</v>
      </c>
      <c r="AR132" s="715" t="s">
        <v>223</v>
      </c>
    </row>
    <row r="133" spans="40:44">
      <c r="AN133" s="715">
        <v>103</v>
      </c>
      <c r="AQ133" s="715" t="s">
        <v>224</v>
      </c>
      <c r="AR133" s="715" t="s">
        <v>225</v>
      </c>
    </row>
    <row r="134" spans="40:44">
      <c r="AN134" s="715">
        <v>104</v>
      </c>
      <c r="AQ134" s="715" t="s">
        <v>226</v>
      </c>
      <c r="AR134" s="715" t="s">
        <v>227</v>
      </c>
    </row>
    <row r="135" spans="40:44">
      <c r="AN135" s="715">
        <v>105</v>
      </c>
      <c r="AQ135" s="715" t="s">
        <v>228</v>
      </c>
      <c r="AR135" s="715" t="s">
        <v>229</v>
      </c>
    </row>
    <row r="136" spans="40:44">
      <c r="AN136" s="715">
        <v>106</v>
      </c>
      <c r="AQ136" s="715" t="s">
        <v>230</v>
      </c>
      <c r="AR136" s="715" t="s">
        <v>231</v>
      </c>
    </row>
    <row r="137" spans="40:44">
      <c r="AN137" s="715">
        <v>107</v>
      </c>
      <c r="AQ137" s="715" t="s">
        <v>232</v>
      </c>
      <c r="AR137" s="715" t="s">
        <v>233</v>
      </c>
    </row>
    <row r="138" spans="40:44">
      <c r="AN138" s="715">
        <v>108</v>
      </c>
      <c r="AQ138" s="715" t="s">
        <v>234</v>
      </c>
      <c r="AR138" s="715" t="s">
        <v>235</v>
      </c>
    </row>
    <row r="139" spans="40:44">
      <c r="AN139" s="715">
        <v>109</v>
      </c>
      <c r="AQ139" s="715" t="s">
        <v>236</v>
      </c>
      <c r="AR139" s="715" t="s">
        <v>237</v>
      </c>
    </row>
    <row r="140" spans="40:44">
      <c r="AN140" s="715">
        <v>110</v>
      </c>
      <c r="AQ140" s="715" t="s">
        <v>238</v>
      </c>
      <c r="AR140" s="715" t="s">
        <v>239</v>
      </c>
    </row>
    <row r="141" spans="40:44">
      <c r="AN141" s="715">
        <v>111</v>
      </c>
      <c r="AQ141" s="715" t="s">
        <v>240</v>
      </c>
      <c r="AR141" s="715" t="s">
        <v>241</v>
      </c>
    </row>
    <row r="142" spans="40:44">
      <c r="AN142" s="715">
        <v>112</v>
      </c>
      <c r="AQ142" s="715" t="s">
        <v>242</v>
      </c>
      <c r="AR142" s="715" t="s">
        <v>243</v>
      </c>
    </row>
    <row r="143" spans="40:44">
      <c r="AN143" s="715">
        <v>113</v>
      </c>
      <c r="AQ143" s="715" t="s">
        <v>244</v>
      </c>
      <c r="AR143" s="715" t="s">
        <v>245</v>
      </c>
    </row>
    <row r="144" spans="40:44">
      <c r="AN144" s="715">
        <v>114</v>
      </c>
      <c r="AQ144" s="715" t="s">
        <v>246</v>
      </c>
      <c r="AR144" s="715" t="s">
        <v>247</v>
      </c>
    </row>
    <row r="145" spans="40:44">
      <c r="AN145" s="715">
        <v>115</v>
      </c>
      <c r="AQ145" s="715" t="s">
        <v>248</v>
      </c>
      <c r="AR145" s="715" t="s">
        <v>249</v>
      </c>
    </row>
    <row r="146" spans="40:44">
      <c r="AN146" s="715">
        <v>116</v>
      </c>
      <c r="AQ146" s="715" t="s">
        <v>250</v>
      </c>
      <c r="AR146" s="715" t="s">
        <v>251</v>
      </c>
    </row>
    <row r="147" spans="40:44">
      <c r="AN147" s="715">
        <v>117</v>
      </c>
      <c r="AQ147" s="715" t="s">
        <v>252</v>
      </c>
      <c r="AR147" s="715" t="s">
        <v>253</v>
      </c>
    </row>
    <row r="148" spans="40:44">
      <c r="AN148" s="715">
        <v>118</v>
      </c>
      <c r="AQ148" s="715" t="s">
        <v>254</v>
      </c>
      <c r="AR148" s="715" t="s">
        <v>255</v>
      </c>
    </row>
    <row r="149" spans="40:44">
      <c r="AN149" s="715">
        <v>119</v>
      </c>
      <c r="AQ149" s="715" t="s">
        <v>256</v>
      </c>
      <c r="AR149" s="715" t="s">
        <v>257</v>
      </c>
    </row>
    <row r="150" spans="40:44">
      <c r="AN150" s="715">
        <v>120</v>
      </c>
      <c r="AQ150" s="715" t="s">
        <v>258</v>
      </c>
      <c r="AR150" s="715" t="s">
        <v>259</v>
      </c>
    </row>
    <row r="151" spans="40:44">
      <c r="AN151" s="715">
        <v>121</v>
      </c>
      <c r="AQ151" s="715" t="s">
        <v>260</v>
      </c>
      <c r="AR151" s="715" t="s">
        <v>261</v>
      </c>
    </row>
    <row r="152" spans="40:44">
      <c r="AN152" s="715">
        <v>122</v>
      </c>
      <c r="AQ152" s="715" t="s">
        <v>262</v>
      </c>
      <c r="AR152" s="715" t="s">
        <v>263</v>
      </c>
    </row>
    <row r="153" spans="40:44">
      <c r="AN153" s="715">
        <v>123</v>
      </c>
      <c r="AQ153" s="715" t="s">
        <v>264</v>
      </c>
      <c r="AR153" s="715" t="s">
        <v>265</v>
      </c>
    </row>
    <row r="154" spans="40:44">
      <c r="AN154" s="715">
        <v>124</v>
      </c>
      <c r="AQ154" s="715" t="s">
        <v>266</v>
      </c>
      <c r="AR154" s="715" t="s">
        <v>267</v>
      </c>
    </row>
    <row r="155" spans="40:44">
      <c r="AN155" s="715">
        <v>125</v>
      </c>
      <c r="AQ155" s="715" t="s">
        <v>268</v>
      </c>
      <c r="AR155" s="715" t="s">
        <v>269</v>
      </c>
    </row>
    <row r="156" spans="40:44">
      <c r="AN156" s="715">
        <v>126</v>
      </c>
      <c r="AQ156" s="715" t="s">
        <v>270</v>
      </c>
      <c r="AR156" s="715" t="s">
        <v>271</v>
      </c>
    </row>
    <row r="157" spans="40:44">
      <c r="AN157" s="715">
        <v>127</v>
      </c>
      <c r="AQ157" s="715" t="s">
        <v>272</v>
      </c>
      <c r="AR157" s="715" t="s">
        <v>273</v>
      </c>
    </row>
    <row r="158" spans="40:44">
      <c r="AN158" s="715">
        <v>128</v>
      </c>
      <c r="AQ158" s="715" t="s">
        <v>274</v>
      </c>
      <c r="AR158" s="715" t="s">
        <v>275</v>
      </c>
    </row>
    <row r="159" spans="40:44">
      <c r="AN159" s="715">
        <v>129</v>
      </c>
      <c r="AQ159" s="715" t="s">
        <v>276</v>
      </c>
      <c r="AR159" s="715" t="s">
        <v>277</v>
      </c>
    </row>
    <row r="160" spans="40:44">
      <c r="AN160" s="715">
        <v>130</v>
      </c>
      <c r="AQ160" s="715" t="s">
        <v>278</v>
      </c>
      <c r="AR160" s="715" t="s">
        <v>279</v>
      </c>
    </row>
    <row r="161" spans="40:44">
      <c r="AN161" s="715">
        <v>131</v>
      </c>
      <c r="AQ161" s="715" t="s">
        <v>280</v>
      </c>
      <c r="AR161" s="715" t="s">
        <v>281</v>
      </c>
    </row>
    <row r="162" spans="40:44">
      <c r="AN162" s="715">
        <v>132</v>
      </c>
      <c r="AQ162" s="715" t="s">
        <v>282</v>
      </c>
      <c r="AR162" s="715" t="s">
        <v>283</v>
      </c>
    </row>
    <row r="163" spans="40:44">
      <c r="AN163" s="715">
        <v>133</v>
      </c>
      <c r="AQ163" s="715" t="s">
        <v>284</v>
      </c>
      <c r="AR163" s="715" t="s">
        <v>285</v>
      </c>
    </row>
    <row r="164" spans="40:44">
      <c r="AN164" s="715">
        <v>134</v>
      </c>
      <c r="AQ164" s="715" t="s">
        <v>286</v>
      </c>
      <c r="AR164" s="715" t="s">
        <v>287</v>
      </c>
    </row>
    <row r="165" spans="40:44">
      <c r="AN165" s="715">
        <v>135</v>
      </c>
      <c r="AQ165" s="715" t="s">
        <v>288</v>
      </c>
      <c r="AR165" s="715" t="s">
        <v>289</v>
      </c>
    </row>
    <row r="166" spans="40:44">
      <c r="AN166" s="715">
        <v>136</v>
      </c>
      <c r="AQ166" s="715" t="s">
        <v>290</v>
      </c>
      <c r="AR166" s="715" t="s">
        <v>291</v>
      </c>
    </row>
    <row r="167" spans="40:44">
      <c r="AN167" s="715">
        <v>137</v>
      </c>
      <c r="AQ167" s="715" t="s">
        <v>292</v>
      </c>
      <c r="AR167" s="715" t="s">
        <v>293</v>
      </c>
    </row>
    <row r="168" spans="40:44">
      <c r="AN168" s="715">
        <v>138</v>
      </c>
      <c r="AQ168" s="715" t="s">
        <v>294</v>
      </c>
      <c r="AR168" s="715" t="s">
        <v>295</v>
      </c>
    </row>
    <row r="169" spans="40:44">
      <c r="AN169" s="715">
        <v>139</v>
      </c>
      <c r="AQ169" s="715" t="s">
        <v>296</v>
      </c>
      <c r="AR169" s="715" t="s">
        <v>297</v>
      </c>
    </row>
    <row r="170" spans="40:44">
      <c r="AN170" s="715">
        <v>140</v>
      </c>
      <c r="AQ170" s="715" t="s">
        <v>298</v>
      </c>
      <c r="AR170" s="715" t="s">
        <v>299</v>
      </c>
    </row>
    <row r="171" spans="40:44">
      <c r="AN171" s="715">
        <v>141</v>
      </c>
      <c r="AQ171" s="715" t="s">
        <v>300</v>
      </c>
      <c r="AR171" s="715" t="s">
        <v>301</v>
      </c>
    </row>
    <row r="172" spans="40:44">
      <c r="AN172" s="715">
        <v>142</v>
      </c>
      <c r="AQ172" s="715" t="s">
        <v>302</v>
      </c>
      <c r="AR172" s="715" t="s">
        <v>303</v>
      </c>
    </row>
    <row r="173" spans="40:44">
      <c r="AN173" s="715">
        <v>143</v>
      </c>
      <c r="AQ173" s="715" t="s">
        <v>304</v>
      </c>
      <c r="AR173" s="715" t="s">
        <v>305</v>
      </c>
    </row>
    <row r="174" spans="40:44">
      <c r="AN174" s="715">
        <v>144</v>
      </c>
      <c r="AQ174" s="715" t="s">
        <v>306</v>
      </c>
      <c r="AR174" s="715" t="s">
        <v>307</v>
      </c>
    </row>
    <row r="175" spans="40:44">
      <c r="AN175" s="715">
        <v>145</v>
      </c>
      <c r="AQ175" s="715" t="s">
        <v>308</v>
      </c>
      <c r="AR175" s="715" t="s">
        <v>309</v>
      </c>
    </row>
    <row r="176" spans="40:44">
      <c r="AN176" s="715">
        <v>146</v>
      </c>
      <c r="AQ176" s="715" t="s">
        <v>310</v>
      </c>
      <c r="AR176" s="715" t="s">
        <v>311</v>
      </c>
    </row>
    <row r="177" spans="40:44" ht="33">
      <c r="AN177" s="715">
        <v>147</v>
      </c>
      <c r="AQ177" s="715" t="s">
        <v>312</v>
      </c>
      <c r="AR177" s="715" t="s">
        <v>313</v>
      </c>
    </row>
    <row r="178" spans="40:44" ht="33">
      <c r="AN178" s="715">
        <v>148</v>
      </c>
      <c r="AQ178" s="715" t="s">
        <v>314</v>
      </c>
      <c r="AR178" s="715" t="s">
        <v>315</v>
      </c>
    </row>
    <row r="179" spans="40:44" ht="33">
      <c r="AN179" s="715">
        <v>149</v>
      </c>
      <c r="AQ179" s="715" t="s">
        <v>316</v>
      </c>
      <c r="AR179" s="715" t="s">
        <v>317</v>
      </c>
    </row>
    <row r="180" spans="40:44" ht="33">
      <c r="AN180" s="715">
        <v>150</v>
      </c>
      <c r="AQ180" s="715" t="s">
        <v>318</v>
      </c>
      <c r="AR180" s="715" t="s">
        <v>319</v>
      </c>
    </row>
    <row r="181" spans="40:44" ht="33">
      <c r="AN181" s="715">
        <v>151</v>
      </c>
      <c r="AQ181" s="715" t="s">
        <v>320</v>
      </c>
      <c r="AR181" s="715" t="s">
        <v>321</v>
      </c>
    </row>
    <row r="182" spans="40:44" ht="33">
      <c r="AN182" s="715">
        <v>152</v>
      </c>
      <c r="AQ182" s="715" t="s">
        <v>322</v>
      </c>
      <c r="AR182" s="715" t="s">
        <v>323</v>
      </c>
    </row>
    <row r="183" spans="40:44" ht="33">
      <c r="AN183" s="715">
        <v>153</v>
      </c>
      <c r="AQ183" s="715" t="s">
        <v>324</v>
      </c>
      <c r="AR183" s="715" t="s">
        <v>325</v>
      </c>
    </row>
    <row r="184" spans="40:44" ht="33">
      <c r="AN184" s="715">
        <v>154</v>
      </c>
      <c r="AQ184" s="715" t="s">
        <v>326</v>
      </c>
      <c r="AR184" s="715" t="s">
        <v>327</v>
      </c>
    </row>
    <row r="185" spans="40:44" ht="33">
      <c r="AN185" s="715">
        <v>155</v>
      </c>
      <c r="AQ185" s="715" t="s">
        <v>328</v>
      </c>
      <c r="AR185" s="715" t="s">
        <v>329</v>
      </c>
    </row>
    <row r="186" spans="40:44" ht="33">
      <c r="AN186" s="715">
        <v>156</v>
      </c>
      <c r="AQ186" s="715" t="s">
        <v>330</v>
      </c>
      <c r="AR186" s="715" t="s">
        <v>331</v>
      </c>
    </row>
    <row r="187" spans="40:44" ht="33">
      <c r="AN187" s="715">
        <v>157</v>
      </c>
      <c r="AQ187" s="715" t="s">
        <v>332</v>
      </c>
      <c r="AR187" s="715" t="s">
        <v>333</v>
      </c>
    </row>
    <row r="188" spans="40:44" ht="33">
      <c r="AN188" s="715">
        <v>158</v>
      </c>
      <c r="AQ188" s="715" t="s">
        <v>334</v>
      </c>
      <c r="AR188" s="715" t="s">
        <v>335</v>
      </c>
    </row>
    <row r="189" spans="40:44" ht="33">
      <c r="AN189" s="715">
        <v>159</v>
      </c>
      <c r="AQ189" s="715" t="s">
        <v>336</v>
      </c>
      <c r="AR189" s="715" t="s">
        <v>337</v>
      </c>
    </row>
    <row r="190" spans="40:44" ht="33">
      <c r="AN190" s="715">
        <v>160</v>
      </c>
      <c r="AQ190" s="715" t="s">
        <v>338</v>
      </c>
      <c r="AR190" s="715" t="s">
        <v>339</v>
      </c>
    </row>
    <row r="191" spans="40:44" ht="33">
      <c r="AN191" s="715">
        <v>161</v>
      </c>
      <c r="AQ191" s="715" t="s">
        <v>340</v>
      </c>
      <c r="AR191" s="715" t="s">
        <v>341</v>
      </c>
    </row>
    <row r="192" spans="40:44" ht="33">
      <c r="AN192" s="715">
        <v>162</v>
      </c>
      <c r="AQ192" s="715" t="s">
        <v>342</v>
      </c>
      <c r="AR192" s="715" t="s">
        <v>343</v>
      </c>
    </row>
    <row r="193" spans="40:44" ht="33">
      <c r="AN193" s="715">
        <v>163</v>
      </c>
      <c r="AQ193" s="715" t="s">
        <v>344</v>
      </c>
      <c r="AR193" s="715" t="s">
        <v>345</v>
      </c>
    </row>
    <row r="194" spans="40:44" ht="33">
      <c r="AN194" s="715">
        <v>164</v>
      </c>
      <c r="AQ194" s="715" t="s">
        <v>346</v>
      </c>
      <c r="AR194" s="715" t="s">
        <v>347</v>
      </c>
    </row>
    <row r="195" spans="40:44" ht="33">
      <c r="AN195" s="715">
        <v>165</v>
      </c>
      <c r="AQ195" s="715" t="s">
        <v>348</v>
      </c>
      <c r="AR195" s="715" t="s">
        <v>349</v>
      </c>
    </row>
    <row r="196" spans="40:44" ht="33">
      <c r="AN196" s="715">
        <v>166</v>
      </c>
      <c r="AQ196" s="715" t="s">
        <v>350</v>
      </c>
      <c r="AR196" s="715" t="s">
        <v>351</v>
      </c>
    </row>
    <row r="197" spans="40:44" ht="33">
      <c r="AN197" s="715">
        <v>167</v>
      </c>
      <c r="AQ197" s="715" t="s">
        <v>352</v>
      </c>
      <c r="AR197" s="715" t="s">
        <v>353</v>
      </c>
    </row>
    <row r="198" spans="40:44" ht="33">
      <c r="AN198" s="715">
        <v>168</v>
      </c>
      <c r="AQ198" s="715" t="s">
        <v>354</v>
      </c>
      <c r="AR198" s="715" t="s">
        <v>355</v>
      </c>
    </row>
    <row r="199" spans="40:44" ht="33">
      <c r="AN199" s="715">
        <v>169</v>
      </c>
      <c r="AQ199" s="715" t="s">
        <v>356</v>
      </c>
      <c r="AR199" s="715" t="s">
        <v>357</v>
      </c>
    </row>
    <row r="200" spans="40:44" ht="33">
      <c r="AN200" s="715">
        <v>170</v>
      </c>
      <c r="AQ200" s="715" t="s">
        <v>358</v>
      </c>
      <c r="AR200" s="715" t="s">
        <v>359</v>
      </c>
    </row>
    <row r="201" spans="40:44" ht="33">
      <c r="AN201" s="715">
        <v>171</v>
      </c>
      <c r="AQ201" s="715" t="s">
        <v>360</v>
      </c>
      <c r="AR201" s="715" t="s">
        <v>361</v>
      </c>
    </row>
    <row r="202" spans="40:44" ht="33">
      <c r="AN202" s="715">
        <v>172</v>
      </c>
      <c r="AQ202" s="715" t="s">
        <v>362</v>
      </c>
      <c r="AR202" s="715" t="s">
        <v>363</v>
      </c>
    </row>
    <row r="203" spans="40:44" ht="33">
      <c r="AN203" s="715">
        <v>173</v>
      </c>
      <c r="AQ203" s="715" t="s">
        <v>364</v>
      </c>
      <c r="AR203" s="715" t="s">
        <v>365</v>
      </c>
    </row>
    <row r="204" spans="40:44" ht="33">
      <c r="AN204" s="715">
        <v>174</v>
      </c>
      <c r="AQ204" s="715" t="s">
        <v>366</v>
      </c>
      <c r="AR204" s="715" t="s">
        <v>367</v>
      </c>
    </row>
    <row r="205" spans="40:44" ht="33">
      <c r="AN205" s="715">
        <v>175</v>
      </c>
      <c r="AQ205" s="715" t="s">
        <v>368</v>
      </c>
      <c r="AR205" s="715" t="s">
        <v>369</v>
      </c>
    </row>
    <row r="206" spans="40:44" ht="33">
      <c r="AN206" s="715">
        <v>176</v>
      </c>
      <c r="AQ206" s="715" t="s">
        <v>370</v>
      </c>
      <c r="AR206" s="715" t="s">
        <v>371</v>
      </c>
    </row>
    <row r="207" spans="40:44" ht="33">
      <c r="AN207" s="715">
        <v>177</v>
      </c>
      <c r="AQ207" s="715" t="s">
        <v>372</v>
      </c>
      <c r="AR207" s="715" t="s">
        <v>373</v>
      </c>
    </row>
    <row r="208" spans="40:44" ht="33">
      <c r="AN208" s="715">
        <v>178</v>
      </c>
      <c r="AQ208" s="715" t="s">
        <v>374</v>
      </c>
      <c r="AR208" s="715" t="s">
        <v>375</v>
      </c>
    </row>
    <row r="209" spans="40:44" ht="33">
      <c r="AN209" s="715">
        <v>179</v>
      </c>
      <c r="AQ209" s="715" t="s">
        <v>376</v>
      </c>
      <c r="AR209" s="715" t="s">
        <v>377</v>
      </c>
    </row>
    <row r="210" spans="40:44" ht="33">
      <c r="AN210" s="715">
        <v>180</v>
      </c>
      <c r="AQ210" s="715" t="s">
        <v>378</v>
      </c>
      <c r="AR210" s="715" t="s">
        <v>379</v>
      </c>
    </row>
    <row r="211" spans="40:44" ht="33">
      <c r="AN211" s="715">
        <v>181</v>
      </c>
      <c r="AQ211" s="715" t="s">
        <v>380</v>
      </c>
      <c r="AR211" s="715" t="s">
        <v>381</v>
      </c>
    </row>
    <row r="212" spans="40:44" ht="33">
      <c r="AN212" s="715">
        <v>182</v>
      </c>
      <c r="AQ212" s="715" t="s">
        <v>382</v>
      </c>
      <c r="AR212" s="715" t="s">
        <v>383</v>
      </c>
    </row>
    <row r="213" spans="40:44" ht="33">
      <c r="AN213" s="715">
        <v>183</v>
      </c>
      <c r="AQ213" s="715" t="s">
        <v>384</v>
      </c>
      <c r="AR213" s="715" t="s">
        <v>385</v>
      </c>
    </row>
    <row r="214" spans="40:44" ht="33">
      <c r="AN214" s="715">
        <v>184</v>
      </c>
      <c r="AQ214" s="715" t="s">
        <v>386</v>
      </c>
      <c r="AR214" s="715" t="s">
        <v>387</v>
      </c>
    </row>
    <row r="215" spans="40:44" ht="33">
      <c r="AN215" s="715">
        <v>185</v>
      </c>
      <c r="AQ215" s="715" t="s">
        <v>388</v>
      </c>
      <c r="AR215" s="715" t="s">
        <v>389</v>
      </c>
    </row>
    <row r="216" spans="40:44" ht="33">
      <c r="AN216" s="715">
        <v>186</v>
      </c>
      <c r="AQ216" s="715" t="s">
        <v>390</v>
      </c>
      <c r="AR216" s="715" t="s">
        <v>391</v>
      </c>
    </row>
    <row r="217" spans="40:44" ht="33">
      <c r="AN217" s="715">
        <v>187</v>
      </c>
      <c r="AQ217" s="715" t="s">
        <v>392</v>
      </c>
      <c r="AR217" s="715" t="s">
        <v>393</v>
      </c>
    </row>
    <row r="218" spans="40:44" ht="33">
      <c r="AN218" s="715">
        <v>188</v>
      </c>
      <c r="AQ218" s="715" t="s">
        <v>394</v>
      </c>
      <c r="AR218" s="715" t="s">
        <v>395</v>
      </c>
    </row>
    <row r="219" spans="40:44" ht="33">
      <c r="AN219" s="715">
        <v>189</v>
      </c>
      <c r="AQ219" s="715" t="s">
        <v>396</v>
      </c>
      <c r="AR219" s="715" t="s">
        <v>397</v>
      </c>
    </row>
    <row r="220" spans="40:44" ht="33">
      <c r="AN220" s="715">
        <v>190</v>
      </c>
      <c r="AQ220" s="715" t="s">
        <v>398</v>
      </c>
      <c r="AR220" s="715" t="s">
        <v>399</v>
      </c>
    </row>
    <row r="221" spans="40:44" ht="33">
      <c r="AN221" s="715">
        <v>191</v>
      </c>
      <c r="AQ221" s="715" t="s">
        <v>400</v>
      </c>
      <c r="AR221" s="715" t="s">
        <v>401</v>
      </c>
    </row>
    <row r="222" spans="40:44" ht="33">
      <c r="AN222" s="715">
        <v>192</v>
      </c>
      <c r="AQ222" s="715" t="s">
        <v>402</v>
      </c>
      <c r="AR222" s="715" t="s">
        <v>403</v>
      </c>
    </row>
    <row r="223" spans="40:44" ht="33">
      <c r="AN223" s="715">
        <v>193</v>
      </c>
      <c r="AQ223" s="715" t="s">
        <v>404</v>
      </c>
      <c r="AR223" s="715" t="s">
        <v>405</v>
      </c>
    </row>
    <row r="224" spans="40:44" ht="33">
      <c r="AN224" s="715">
        <v>194</v>
      </c>
      <c r="AQ224" s="715" t="s">
        <v>406</v>
      </c>
      <c r="AR224" s="715" t="s">
        <v>407</v>
      </c>
    </row>
    <row r="225" spans="40:44" ht="33">
      <c r="AN225" s="715">
        <v>195</v>
      </c>
      <c r="AQ225" s="715" t="s">
        <v>408</v>
      </c>
      <c r="AR225" s="715" t="s">
        <v>409</v>
      </c>
    </row>
    <row r="226" spans="40:44" ht="33">
      <c r="AN226" s="715">
        <v>196</v>
      </c>
      <c r="AQ226" s="715" t="s">
        <v>410</v>
      </c>
      <c r="AR226" s="715" t="s">
        <v>411</v>
      </c>
    </row>
    <row r="227" spans="40:44" ht="33">
      <c r="AN227" s="715">
        <v>197</v>
      </c>
      <c r="AQ227" s="715" t="s">
        <v>412</v>
      </c>
      <c r="AR227" s="715" t="s">
        <v>413</v>
      </c>
    </row>
  </sheetData>
  <sheetProtection algorithmName="SHA-512" hashValue="dDTWDBhTt7hQQFBQmerTUoxVzr+IS+LsCHARHbRI2nhsGqSNApVun7XCcqPjJ7YISHJjSaSqUZBAepTG2b60Wg==" saltValue="Y0FFghRucDHK8Qr6mnx+og==" spinCount="100000" sheet="1" objects="1" scenarios="1"/>
  <mergeCells count="165">
    <mergeCell ref="C30:C39"/>
    <mergeCell ref="C41:C47"/>
    <mergeCell ref="P40:AB40"/>
    <mergeCell ref="D30:G30"/>
    <mergeCell ref="D31:G31"/>
    <mergeCell ref="D32:G32"/>
    <mergeCell ref="D33:G33"/>
    <mergeCell ref="D34:G34"/>
    <mergeCell ref="D36:G36"/>
    <mergeCell ref="D35:G35"/>
    <mergeCell ref="D37:G37"/>
    <mergeCell ref="D38:G38"/>
    <mergeCell ref="D39:G39"/>
    <mergeCell ref="D40:G40"/>
    <mergeCell ref="D41:G41"/>
    <mergeCell ref="D42:G42"/>
    <mergeCell ref="P33:AB33"/>
    <mergeCell ref="P36:AB36"/>
    <mergeCell ref="E49:G49"/>
    <mergeCell ref="E51:G53"/>
    <mergeCell ref="H49:N49"/>
    <mergeCell ref="H51:J51"/>
    <mergeCell ref="M51:N51"/>
    <mergeCell ref="P51:AB51"/>
    <mergeCell ref="L16:M16"/>
    <mergeCell ref="D43:G43"/>
    <mergeCell ref="D44:G44"/>
    <mergeCell ref="D45:G45"/>
    <mergeCell ref="D46:G46"/>
    <mergeCell ref="D47:G47"/>
    <mergeCell ref="C14:G14"/>
    <mergeCell ref="H14:N14"/>
    <mergeCell ref="P14:AB14"/>
    <mergeCell ref="C11:G11"/>
    <mergeCell ref="H11:N11"/>
    <mergeCell ref="P11:AB11"/>
    <mergeCell ref="AE3:AE5"/>
    <mergeCell ref="H4:N4"/>
    <mergeCell ref="H5:N5"/>
    <mergeCell ref="C6:G6"/>
    <mergeCell ref="H6:N6"/>
    <mergeCell ref="P6:AB6"/>
    <mergeCell ref="C10:G10"/>
    <mergeCell ref="H10:N10"/>
    <mergeCell ref="P10:AB10"/>
    <mergeCell ref="H15:N15"/>
    <mergeCell ref="P15:AB15"/>
    <mergeCell ref="C1:AB1"/>
    <mergeCell ref="C2:G2"/>
    <mergeCell ref="H2:N2"/>
    <mergeCell ref="P2:AB2"/>
    <mergeCell ref="C3:G5"/>
    <mergeCell ref="H3:N3"/>
    <mergeCell ref="O3:O5"/>
    <mergeCell ref="P3:AB5"/>
    <mergeCell ref="C9:G9"/>
    <mergeCell ref="H9:N9"/>
    <mergeCell ref="P9:AB9"/>
    <mergeCell ref="C7:G7"/>
    <mergeCell ref="H7:N7"/>
    <mergeCell ref="P7:AB7"/>
    <mergeCell ref="C8:G8"/>
    <mergeCell ref="H8:N8"/>
    <mergeCell ref="P8:AB8"/>
    <mergeCell ref="C12:G12"/>
    <mergeCell ref="P12:AB12"/>
    <mergeCell ref="C13:G13"/>
    <mergeCell ref="H13:N13"/>
    <mergeCell ref="P13:AB13"/>
    <mergeCell ref="AE54:AE56"/>
    <mergeCell ref="H55:N55"/>
    <mergeCell ref="H56:N56"/>
    <mergeCell ref="C19:G19"/>
    <mergeCell ref="P19:AB19"/>
    <mergeCell ref="C48:G48"/>
    <mergeCell ref="H48:N48"/>
    <mergeCell ref="P48:AB48"/>
    <mergeCell ref="C23:G23"/>
    <mergeCell ref="I23:N23"/>
    <mergeCell ref="P23:AB23"/>
    <mergeCell ref="C24:G24"/>
    <mergeCell ref="P24:AB24"/>
    <mergeCell ref="C25:G25"/>
    <mergeCell ref="H25:N25"/>
    <mergeCell ref="P25:AB25"/>
    <mergeCell ref="C54:G56"/>
    <mergeCell ref="H54:N54"/>
    <mergeCell ref="O54:O56"/>
    <mergeCell ref="P54:AB56"/>
    <mergeCell ref="P31:AB31"/>
    <mergeCell ref="L19:N19"/>
    <mergeCell ref="C20:G20"/>
    <mergeCell ref="H20:N20"/>
    <mergeCell ref="C91:H91"/>
    <mergeCell ref="I91:N91"/>
    <mergeCell ref="P91:AB91"/>
    <mergeCell ref="C89:H89"/>
    <mergeCell ref="I89:N89"/>
    <mergeCell ref="P89:AB89"/>
    <mergeCell ref="C16:G16"/>
    <mergeCell ref="P16:AB16"/>
    <mergeCell ref="C90:H90"/>
    <mergeCell ref="I90:N90"/>
    <mergeCell ref="P90:AB90"/>
    <mergeCell ref="P30:AB30"/>
    <mergeCell ref="P32:AB32"/>
    <mergeCell ref="C17:G17"/>
    <mergeCell ref="H18:K18"/>
    <mergeCell ref="L18:M18"/>
    <mergeCell ref="P18:AB18"/>
    <mergeCell ref="R28:AB28"/>
    <mergeCell ref="P34:AB34"/>
    <mergeCell ref="D58:E58"/>
    <mergeCell ref="G58:AB58"/>
    <mergeCell ref="P49:AB49"/>
    <mergeCell ref="M50:N50"/>
    <mergeCell ref="M53:N53"/>
    <mergeCell ref="B49:B56"/>
    <mergeCell ref="E29:G29"/>
    <mergeCell ref="H29:N29"/>
    <mergeCell ref="P29:AB29"/>
    <mergeCell ref="P20:AB20"/>
    <mergeCell ref="C21:G21"/>
    <mergeCell ref="K21:N21"/>
    <mergeCell ref="P21:AB21"/>
    <mergeCell ref="C22:G22"/>
    <mergeCell ref="H22:N22"/>
    <mergeCell ref="P22:AB22"/>
    <mergeCell ref="R26:AB26"/>
    <mergeCell ref="E27:G27"/>
    <mergeCell ref="R27:AB27"/>
    <mergeCell ref="E28:G28"/>
    <mergeCell ref="E50:J50"/>
    <mergeCell ref="C29:D29"/>
    <mergeCell ref="P50:AB50"/>
    <mergeCell ref="H52:J52"/>
    <mergeCell ref="M52:N52"/>
    <mergeCell ref="P52:AB52"/>
    <mergeCell ref="H53:J53"/>
    <mergeCell ref="P53:AB53"/>
    <mergeCell ref="C49:D53"/>
    <mergeCell ref="AF3:AF5"/>
    <mergeCell ref="B30:B47"/>
    <mergeCell ref="P42:AB42"/>
    <mergeCell ref="P43:AB43"/>
    <mergeCell ref="P44:AB44"/>
    <mergeCell ref="P45:AB45"/>
    <mergeCell ref="P46:AB46"/>
    <mergeCell ref="P47:AB47"/>
    <mergeCell ref="P41:AB41"/>
    <mergeCell ref="P39:AB39"/>
    <mergeCell ref="P37:AB37"/>
    <mergeCell ref="P38:AB38"/>
    <mergeCell ref="B3:B18"/>
    <mergeCell ref="B19:B25"/>
    <mergeCell ref="B26:B29"/>
    <mergeCell ref="C26:D28"/>
    <mergeCell ref="E26:G26"/>
    <mergeCell ref="P35:AB35"/>
    <mergeCell ref="H26:N28"/>
    <mergeCell ref="P26:Q28"/>
    <mergeCell ref="H17:N17"/>
    <mergeCell ref="P17:AB17"/>
    <mergeCell ref="C18:G18"/>
    <mergeCell ref="C15:G15"/>
  </mergeCells>
  <phoneticPr fontId="9"/>
  <conditionalFormatting sqref="O3:O18 O57 O30:O54">
    <cfRule type="containsText" dxfId="368" priority="42" operator="containsText" text="×">
      <formula>NOT(ISERROR(SEARCH("×",O3)))</formula>
    </cfRule>
    <cfRule type="containsText" dxfId="367" priority="44" operator="containsText" text="×">
      <formula>NOT(ISERROR(SEARCH("×",O3)))</formula>
    </cfRule>
  </conditionalFormatting>
  <conditionalFormatting sqref="P13 P14:W17 P57:W57 P3:W12 P18 P30:P54">
    <cfRule type="containsText" dxfId="366" priority="43" operator="containsText" text="要修正">
      <formula>NOT(ISERROR(SEARCH("要修正",P3)))</formula>
    </cfRule>
  </conditionalFormatting>
  <conditionalFormatting sqref="F58 O89:O91 O65:O87">
    <cfRule type="containsText" dxfId="365" priority="41" operator="containsText" text="×">
      <formula>NOT(ISERROR(SEARCH("×",F58)))</formula>
    </cfRule>
  </conditionalFormatting>
  <conditionalFormatting sqref="G58:AB58">
    <cfRule type="containsText" dxfId="364" priority="40" operator="containsText" text="要修正">
      <formula>NOT(ISERROR(SEARCH("要修正",G58)))</formula>
    </cfRule>
  </conditionalFormatting>
  <conditionalFormatting sqref="P89:AB91 P65:AB65 P66 P67:AB87">
    <cfRule type="containsText" dxfId="363" priority="38" operator="containsText" text="要修正">
      <formula>NOT(ISERROR(SEARCH("要修正",P65)))</formula>
    </cfRule>
    <cfRule type="cellIs" dxfId="362" priority="39" operator="equal">
      <formula>"要修正"</formula>
    </cfRule>
  </conditionalFormatting>
  <conditionalFormatting sqref="F62">
    <cfRule type="containsText" dxfId="361" priority="37" operator="containsText" text="×">
      <formula>NOT(ISERROR(SEARCH("×",F62)))</formula>
    </cfRule>
  </conditionalFormatting>
  <conditionalFormatting sqref="G62:AB62">
    <cfRule type="containsText" dxfId="360" priority="36" operator="containsText" text="要修正">
      <formula>NOT(ISERROR(SEARCH("要修正",G62)))</formula>
    </cfRule>
  </conditionalFormatting>
  <conditionalFormatting sqref="O49:O53">
    <cfRule type="containsText" dxfId="359" priority="33" operator="containsText" text="×">
      <formula>NOT(ISERROR(SEARCH("×",O49)))</formula>
    </cfRule>
    <cfRule type="containsText" dxfId="358" priority="35" operator="containsText" text="×">
      <formula>NOT(ISERROR(SEARCH("×",O49)))</formula>
    </cfRule>
  </conditionalFormatting>
  <conditionalFormatting sqref="P49:W49 P50 P51:W53">
    <cfRule type="containsText" dxfId="357" priority="34" operator="containsText" text="要修正">
      <formula>NOT(ISERROR(SEARCH("要修正",P49)))</formula>
    </cfRule>
  </conditionalFormatting>
  <conditionalFormatting sqref="O71:O87">
    <cfRule type="containsText" dxfId="356" priority="32" operator="containsText" text="×">
      <formula>NOT(ISERROR(SEARCH("×",O71)))</formula>
    </cfRule>
  </conditionalFormatting>
  <conditionalFormatting sqref="P71:AB87">
    <cfRule type="containsText" dxfId="355" priority="31" operator="containsText" text="要修正">
      <formula>NOT(ISERROR(SEARCH("要修正",P71)))</formula>
    </cfRule>
  </conditionalFormatting>
  <conditionalFormatting sqref="O19:O25">
    <cfRule type="containsText" dxfId="354" priority="28" operator="containsText" text="×">
      <formula>NOT(ISERROR(SEARCH("×",O19)))</formula>
    </cfRule>
    <cfRule type="containsText" dxfId="353" priority="30" operator="containsText" text="×">
      <formula>NOT(ISERROR(SEARCH("×",O19)))</formula>
    </cfRule>
  </conditionalFormatting>
  <conditionalFormatting sqref="P19:P25">
    <cfRule type="containsText" dxfId="352" priority="29" operator="containsText" text="要修正">
      <formula>NOT(ISERROR(SEARCH("要修正",P19)))</formula>
    </cfRule>
  </conditionalFormatting>
  <conditionalFormatting sqref="P48:AB48">
    <cfRule type="containsText" dxfId="351" priority="27" operator="containsText" text="「申立てする」を選択して">
      <formula>NOT(ISERROR(SEARCH("「申立てする」を選択して",P48)))</formula>
    </cfRule>
  </conditionalFormatting>
  <conditionalFormatting sqref="O26:O29">
    <cfRule type="containsText" dxfId="350" priority="21" operator="containsText" text="×">
      <formula>NOT(ISERROR(SEARCH("×",O26)))</formula>
    </cfRule>
    <cfRule type="containsText" dxfId="349" priority="23" operator="containsText" text="×">
      <formula>NOT(ISERROR(SEARCH("×",O26)))</formula>
    </cfRule>
  </conditionalFormatting>
  <conditionalFormatting sqref="P26 P29">
    <cfRule type="containsText" dxfId="348" priority="22" operator="containsText" text="要修正">
      <formula>NOT(ISERROR(SEARCH("要修正",P26)))</formula>
    </cfRule>
  </conditionalFormatting>
  <conditionalFormatting sqref="P26:Q28">
    <cfRule type="containsText" dxfId="347" priority="20" operator="containsText" text="×">
      <formula>NOT(ISERROR(SEARCH("×",P26)))</formula>
    </cfRule>
  </conditionalFormatting>
  <conditionalFormatting sqref="R26:AB28 P29:AB29">
    <cfRule type="containsText" dxfId="346" priority="19" operator="containsText" text="要修正">
      <formula>NOT(ISERROR(SEARCH("要修正",P26)))</formula>
    </cfRule>
  </conditionalFormatting>
  <dataValidations count="8">
    <dataValidation type="list" allowBlank="1" showInputMessage="1" showErrorMessage="1" sqref="H48:N48" xr:uid="{00000000-0002-0000-0300-000000000000}">
      <formula1>$AL$16:$AL$17</formula1>
    </dataValidation>
    <dataValidation type="textLength" imeMode="halfKatakana" allowBlank="1" showInputMessage="1" showErrorMessage="1" errorTitle="入力した字数が多すぎます" error="振込先口座のｶﾅ名義は30字以内で入力してください。" sqref="H25:N25 L50:N53 H51:J53" xr:uid="{00000000-0002-0000-0300-000001000000}">
      <formula1>1</formula1>
      <formula2>30</formula2>
    </dataValidation>
    <dataValidation type="whole" imeMode="off" allowBlank="1" showInputMessage="1" showErrorMessage="1" error="令和年度の数値を入力してください。" sqref="I12" xr:uid="{D959248B-8ACD-4696-A812-76D3D0A7F816}">
      <formula1>5</formula1>
      <formula2>6</formula2>
    </dataValidation>
    <dataValidation type="whole" allowBlank="1" showInputMessage="1" showErrorMessage="1" sqref="K12" xr:uid="{CA246A5A-1E3D-4B4D-B377-7B7212A8276A}">
      <formula1>1</formula1>
      <formula2>12</formula2>
    </dataValidation>
    <dataValidation type="whole" imeMode="off" allowBlank="1" showInputMessage="1" showErrorMessage="1" error="申請年月日の日付の数値を入力してください。" sqref="M12" xr:uid="{CA779A74-9325-4809-A6BE-7D6575E0388E}">
      <formula1>1</formula1>
      <formula2>31</formula2>
    </dataValidation>
    <dataValidation type="whole" imeMode="off" allowBlank="1" showInputMessage="1" showErrorMessage="1" error="１マスにつき０～９の数字を入力してください。" sqref="H19:K19 H24:N24 H21:J21" xr:uid="{0823C752-F202-46AF-BBA6-07C70D4B551A}">
      <formula1>0</formula1>
      <formula2>9</formula2>
    </dataValidation>
    <dataValidation imeMode="off" allowBlank="1" showInputMessage="1" showErrorMessage="1" sqref="L16:M16 J16 H16" xr:uid="{526B0996-EB88-40D9-A57F-65AD7873DE9A}"/>
    <dataValidation type="textLength" imeMode="off" allowBlank="1" showInputMessage="1" showErrorMessage="1" errorTitle="入力した字数が多すぎます" error="振込先口座のｶﾅ名義は30字以内で入力してください。" sqref="K50:K53" xr:uid="{E73CC50F-B678-42A9-83F4-3D58A6985C5D}">
      <formula1>1</formula1>
      <formula2>30</formula2>
    </dataValidation>
  </dataValidations>
  <printOptions horizontalCentered="1"/>
  <pageMargins left="0.70866141732283472" right="0.70866141732283472" top="0.74803149606299213" bottom="0.74803149606299213" header="0.31496062992125984" footer="0.31496062992125984"/>
  <pageSetup paperSize="9" scale="43" fitToHeight="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5121" r:id="rId4" name="Check Box 1">
              <controlPr defaultSize="0" autoFill="0" autoLine="0" autoPict="0">
                <anchor moveWithCells="1">
                  <from>
                    <xdr:col>7</xdr:col>
                    <xdr:colOff>85725</xdr:colOff>
                    <xdr:row>2</xdr:row>
                    <xdr:rowOff>28575</xdr:rowOff>
                  </from>
                  <to>
                    <xdr:col>7</xdr:col>
                    <xdr:colOff>304800</xdr:colOff>
                    <xdr:row>2</xdr:row>
                    <xdr:rowOff>333375</xdr:rowOff>
                  </to>
                </anchor>
              </controlPr>
            </control>
          </mc:Choice>
        </mc:AlternateContent>
        <mc:AlternateContent xmlns:mc="http://schemas.openxmlformats.org/markup-compatibility/2006">
          <mc:Choice Requires="x14">
            <control shapeId="5122" r:id="rId5" name="Check Box 2">
              <controlPr defaultSize="0" autoFill="0" autoLine="0" autoPict="0">
                <anchor moveWithCells="1">
                  <from>
                    <xdr:col>7</xdr:col>
                    <xdr:colOff>85725</xdr:colOff>
                    <xdr:row>3</xdr:row>
                    <xdr:rowOff>47625</xdr:rowOff>
                  </from>
                  <to>
                    <xdr:col>7</xdr:col>
                    <xdr:colOff>352425</xdr:colOff>
                    <xdr:row>3</xdr:row>
                    <xdr:rowOff>333375</xdr:rowOff>
                  </to>
                </anchor>
              </controlPr>
            </control>
          </mc:Choice>
        </mc:AlternateContent>
        <mc:AlternateContent xmlns:mc="http://schemas.openxmlformats.org/markup-compatibility/2006">
          <mc:Choice Requires="x14">
            <control shapeId="5123" r:id="rId6" name="Check Box 3">
              <controlPr defaultSize="0" autoFill="0" autoLine="0" autoPict="0">
                <anchor moveWithCells="1">
                  <from>
                    <xdr:col>7</xdr:col>
                    <xdr:colOff>85725</xdr:colOff>
                    <xdr:row>4</xdr:row>
                    <xdr:rowOff>19050</xdr:rowOff>
                  </from>
                  <to>
                    <xdr:col>7</xdr:col>
                    <xdr:colOff>428625</xdr:colOff>
                    <xdr:row>4</xdr:row>
                    <xdr:rowOff>361950</xdr:rowOff>
                  </to>
                </anchor>
              </controlPr>
            </control>
          </mc:Choice>
        </mc:AlternateContent>
        <mc:AlternateContent xmlns:mc="http://schemas.openxmlformats.org/markup-compatibility/2006">
          <mc:Choice Requires="x14">
            <control shapeId="5124" r:id="rId7" name="Check Box 4">
              <controlPr defaultSize="0" autoFill="0" autoLine="0" autoPict="0">
                <anchor moveWithCells="1">
                  <from>
                    <xdr:col>7</xdr:col>
                    <xdr:colOff>142875</xdr:colOff>
                    <xdr:row>53</xdr:row>
                    <xdr:rowOff>19050</xdr:rowOff>
                  </from>
                  <to>
                    <xdr:col>8</xdr:col>
                    <xdr:colOff>352425</xdr:colOff>
                    <xdr:row>53</xdr:row>
                    <xdr:rowOff>352425</xdr:rowOff>
                  </to>
                </anchor>
              </controlPr>
            </control>
          </mc:Choice>
        </mc:AlternateContent>
        <mc:AlternateContent xmlns:mc="http://schemas.openxmlformats.org/markup-compatibility/2006">
          <mc:Choice Requires="x14">
            <control shapeId="5125" r:id="rId8" name="Check Box 5">
              <controlPr defaultSize="0" autoFill="0" autoLine="0" autoPict="0">
                <anchor moveWithCells="1">
                  <from>
                    <xdr:col>7</xdr:col>
                    <xdr:colOff>142875</xdr:colOff>
                    <xdr:row>53</xdr:row>
                    <xdr:rowOff>361950</xdr:rowOff>
                  </from>
                  <to>
                    <xdr:col>8</xdr:col>
                    <xdr:colOff>352425</xdr:colOff>
                    <xdr:row>54</xdr:row>
                    <xdr:rowOff>361950</xdr:rowOff>
                  </to>
                </anchor>
              </controlPr>
            </control>
          </mc:Choice>
        </mc:AlternateContent>
        <mc:AlternateContent xmlns:mc="http://schemas.openxmlformats.org/markup-compatibility/2006">
          <mc:Choice Requires="x14">
            <control shapeId="5126" r:id="rId9" name="Check Box 6">
              <controlPr defaultSize="0" autoFill="0" autoLine="0" autoPict="0">
                <anchor moveWithCells="1">
                  <from>
                    <xdr:col>7</xdr:col>
                    <xdr:colOff>142875</xdr:colOff>
                    <xdr:row>54</xdr:row>
                    <xdr:rowOff>361950</xdr:rowOff>
                  </from>
                  <to>
                    <xdr:col>8</xdr:col>
                    <xdr:colOff>352425</xdr:colOff>
                    <xdr:row>55</xdr:row>
                    <xdr:rowOff>361950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3">
        <x14:dataValidation type="list" imeMode="off" allowBlank="1" showInputMessage="1" showErrorMessage="1" error="普通の場合は１_x000a_当座の場合は２_x000a_を入力してください。" xr:uid="{00000000-0002-0000-0300-000003000000}">
          <x14:formula1>
            <xm:f>テーブル!$C$19:$C$20</xm:f>
          </x14:formula1>
          <xm:sqref>H23</xm:sqref>
        </x14:dataValidation>
        <x14:dataValidation type="list" allowBlank="1" showInputMessage="1" showErrorMessage="1" xr:uid="{00000000-0002-0000-0300-000002000000}">
          <x14:formula1>
            <xm:f>リスト!$A$3:$A$55</xm:f>
          </x14:formula1>
          <xm:sqref>L18:M18</xm:sqref>
        </x14:dataValidation>
        <x14:dataValidation type="list" allowBlank="1" showInputMessage="1" showErrorMessage="1" xr:uid="{E02680AB-7720-4A88-923B-B20F9200A000}">
          <x14:formula1>
            <xm:f>テーブル!$C$21:$C$22</xm:f>
          </x14:formula1>
          <xm:sqref>H49:N49</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
    <tabColor theme="5" tint="-0.249977111117893"/>
    <pageSetUpPr fitToPage="1"/>
  </sheetPr>
  <dimension ref="A1:AP56"/>
  <sheetViews>
    <sheetView showGridLines="0" view="pageBreakPreview" zoomScale="60" zoomScaleNormal="100" workbookViewId="0">
      <selection activeCell="AC4" sqref="AC4"/>
    </sheetView>
  </sheetViews>
  <sheetFormatPr defaultColWidth="8.625" defaultRowHeight="19.5"/>
  <cols>
    <col min="1" max="36" width="3.625" style="397" customWidth="1"/>
    <col min="37" max="38" width="8.625" style="397"/>
    <col min="39" max="39" width="4.625" style="398" customWidth="1"/>
    <col min="40" max="41" width="10.625" style="398" customWidth="1"/>
    <col min="42" max="42" width="4.625" style="398" customWidth="1"/>
    <col min="43" max="16384" width="8.625" style="397"/>
  </cols>
  <sheetData>
    <row r="1" spans="1:42">
      <c r="A1" s="396"/>
      <c r="B1" s="396"/>
      <c r="C1" s="396"/>
      <c r="D1" s="396"/>
      <c r="E1" s="396"/>
      <c r="F1" s="396"/>
      <c r="G1" s="396"/>
      <c r="H1" s="396"/>
      <c r="I1" s="396"/>
      <c r="J1" s="396"/>
      <c r="K1" s="396"/>
      <c r="L1" s="396"/>
      <c r="M1" s="396"/>
      <c r="N1" s="396"/>
      <c r="O1" s="396"/>
      <c r="P1" s="396"/>
      <c r="Q1" s="396"/>
      <c r="R1" s="396"/>
      <c r="S1" s="396"/>
      <c r="T1" s="396"/>
      <c r="U1" s="396"/>
      <c r="V1" s="396"/>
      <c r="W1" s="396"/>
      <c r="X1" s="396"/>
      <c r="Y1" s="396"/>
      <c r="Z1" s="396"/>
      <c r="AA1" s="396"/>
      <c r="AB1" s="396"/>
      <c r="AC1" s="396"/>
      <c r="AD1" s="396"/>
      <c r="AE1" s="396"/>
      <c r="AF1" s="396"/>
      <c r="AG1" s="396"/>
      <c r="AH1" s="396"/>
      <c r="AI1" s="396"/>
      <c r="AJ1" s="396"/>
    </row>
    <row r="2" spans="1:42" ht="24.95" customHeight="1">
      <c r="A2" s="396"/>
      <c r="B2" s="396"/>
      <c r="C2" s="396"/>
      <c r="D2" s="396"/>
      <c r="E2" s="396"/>
      <c r="F2" s="396"/>
      <c r="G2" s="396"/>
      <c r="H2" s="396"/>
      <c r="I2" s="396"/>
      <c r="J2" s="396"/>
      <c r="K2" s="396"/>
      <c r="L2" s="396"/>
      <c r="M2" s="396"/>
      <c r="N2" s="396"/>
      <c r="O2" s="396"/>
      <c r="P2" s="396"/>
      <c r="Q2" s="396"/>
      <c r="R2" s="396"/>
      <c r="S2" s="396"/>
      <c r="T2" s="396"/>
      <c r="U2" s="396"/>
      <c r="V2" s="396"/>
      <c r="W2" s="396"/>
      <c r="X2" s="396"/>
      <c r="Y2" s="396"/>
      <c r="Z2" s="396"/>
      <c r="AA2" s="396"/>
      <c r="AB2" s="396"/>
      <c r="AC2" s="926" t="str">
        <f>IF(はじめに入力してください!H13="","",はじめに入力してください!H13)</f>
        <v/>
      </c>
      <c r="AD2" s="927"/>
      <c r="AE2" s="927"/>
      <c r="AF2" s="927"/>
      <c r="AG2" s="927"/>
      <c r="AH2" s="927"/>
      <c r="AI2" s="927"/>
    </row>
    <row r="3" spans="1:42" ht="24.95" customHeight="1">
      <c r="AC3" s="913" t="str">
        <f>IF(COUNTA(はじめに入力してください!I12,はじめに入力してください!K12,はじめに入力してください!M12)&lt;&gt;3,"令和　年　　月　　日",IF(COUNTA(はじめに入力してください!I12,はじめに入力してください!K12,はじめに入力してください!M12)=3,"令和"&amp;はじめに入力してください!I12&amp;"年"&amp;はじめに入力してください!K12&amp;"月"&amp;はじめに入力してください!M12&amp;"日"))</f>
        <v>令和　年　　月　　日</v>
      </c>
      <c r="AD3" s="914"/>
      <c r="AE3" s="914"/>
      <c r="AF3" s="914"/>
      <c r="AG3" s="914"/>
      <c r="AH3" s="914"/>
      <c r="AI3" s="914"/>
    </row>
    <row r="4" spans="1:42" ht="24.95" customHeight="1">
      <c r="B4" s="909" t="s">
        <v>1</v>
      </c>
      <c r="C4" s="910"/>
      <c r="D4" s="910"/>
      <c r="E4" s="910"/>
      <c r="F4" s="910"/>
      <c r="G4" s="910"/>
      <c r="H4" s="910"/>
      <c r="I4" s="910"/>
      <c r="J4" s="910"/>
      <c r="AM4" s="923"/>
      <c r="AN4" s="923"/>
      <c r="AO4" s="923"/>
      <c r="AP4" s="397"/>
    </row>
    <row r="5" spans="1:42" ht="24.95" customHeight="1">
      <c r="AM5" s="399"/>
      <c r="AN5" s="400"/>
      <c r="AO5" s="923"/>
      <c r="AP5" s="399"/>
    </row>
    <row r="6" spans="1:42" ht="24.95" customHeight="1">
      <c r="U6" s="913" t="s">
        <v>4</v>
      </c>
      <c r="V6" s="914"/>
      <c r="W6" s="914"/>
      <c r="X6" s="914"/>
      <c r="Z6" s="911" t="str">
        <f>IF(はじめに入力してください!H9="","",はじめに入力してください!H9)</f>
        <v/>
      </c>
      <c r="AA6" s="915"/>
      <c r="AB6" s="915"/>
      <c r="AC6" s="915"/>
      <c r="AD6" s="915"/>
      <c r="AE6" s="915"/>
      <c r="AF6" s="915"/>
      <c r="AG6" s="915"/>
      <c r="AH6" s="915"/>
      <c r="AI6" s="915"/>
      <c r="AJ6" s="915"/>
      <c r="AM6" s="401"/>
      <c r="AN6" s="401"/>
      <c r="AO6" s="401"/>
      <c r="AP6" s="401"/>
    </row>
    <row r="7" spans="1:42" ht="24.95" customHeight="1">
      <c r="U7" s="913" t="s">
        <v>2</v>
      </c>
      <c r="V7" s="914"/>
      <c r="W7" s="914"/>
      <c r="X7" s="914"/>
      <c r="Z7" s="911" t="str">
        <f>IF(OR(はじめに入力してください!H6="",はじめに入力してください!H10=""),"",はじめに入力してください!H6&amp;"("&amp;はじめに入力してください!H10&amp;")")</f>
        <v/>
      </c>
      <c r="AA7" s="915"/>
      <c r="AB7" s="915"/>
      <c r="AC7" s="915"/>
      <c r="AD7" s="915"/>
      <c r="AE7" s="915"/>
      <c r="AF7" s="915"/>
      <c r="AG7" s="915"/>
      <c r="AH7" s="915"/>
      <c r="AI7" s="915"/>
      <c r="AJ7" s="915"/>
    </row>
    <row r="8" spans="1:42" ht="24.95" customHeight="1">
      <c r="U8" s="913" t="s">
        <v>3</v>
      </c>
      <c r="V8" s="914"/>
      <c r="W8" s="914"/>
      <c r="X8" s="914"/>
      <c r="Z8" s="916" t="str">
        <f>IF(はじめに入力してください!H7="","",はじめに入力してください!H7)&amp;"　"&amp;IF(はじめに入力してください!H8="","",はじめに入力してください!H8)</f>
        <v>　</v>
      </c>
      <c r="AA8" s="917"/>
      <c r="AB8" s="917"/>
      <c r="AC8" s="917"/>
      <c r="AD8" s="917"/>
      <c r="AE8" s="917"/>
      <c r="AF8" s="917"/>
      <c r="AG8" s="917"/>
      <c r="AH8" s="917"/>
      <c r="AI8" s="917"/>
      <c r="AJ8" s="917"/>
    </row>
    <row r="9" spans="1:42" ht="24.95" customHeight="1">
      <c r="U9" s="402"/>
      <c r="V9" s="403"/>
      <c r="W9" s="403"/>
      <c r="X9" s="403"/>
      <c r="Z9" s="404"/>
      <c r="AA9" s="405"/>
      <c r="AB9" s="405"/>
      <c r="AC9" s="405"/>
      <c r="AD9" s="405"/>
      <c r="AE9" s="405"/>
      <c r="AF9" s="405"/>
      <c r="AG9" s="405"/>
      <c r="AH9" s="405"/>
      <c r="AI9" s="405"/>
      <c r="AJ9" s="405"/>
    </row>
    <row r="10" spans="1:42" ht="24.95" customHeight="1">
      <c r="N10" s="921" t="s">
        <v>0</v>
      </c>
      <c r="O10" s="921"/>
      <c r="P10" s="921"/>
      <c r="Q10" s="921"/>
      <c r="R10" s="921"/>
      <c r="S10" s="921"/>
      <c r="T10" s="921"/>
      <c r="U10" s="921"/>
      <c r="V10" s="921"/>
      <c r="W10" s="921"/>
    </row>
    <row r="11" spans="1:42" ht="24.95" customHeight="1">
      <c r="A11" s="396"/>
      <c r="B11" s="396"/>
      <c r="C11" s="396"/>
      <c r="D11" s="396"/>
      <c r="E11" s="396"/>
      <c r="F11" s="396"/>
      <c r="G11" s="396"/>
      <c r="H11" s="396"/>
      <c r="I11" s="396"/>
      <c r="J11" s="396"/>
      <c r="K11" s="396"/>
      <c r="L11" s="396"/>
      <c r="M11" s="396"/>
      <c r="N11" s="396"/>
      <c r="O11" s="396"/>
      <c r="P11" s="396"/>
      <c r="Q11" s="396"/>
      <c r="R11" s="396"/>
      <c r="S11" s="396"/>
      <c r="T11" s="396"/>
      <c r="U11" s="396"/>
      <c r="V11" s="396"/>
      <c r="W11" s="396"/>
      <c r="X11" s="396"/>
      <c r="Y11" s="396"/>
      <c r="Z11" s="396"/>
      <c r="AA11" s="396"/>
      <c r="AB11" s="396"/>
      <c r="AC11" s="396"/>
      <c r="AD11" s="396"/>
      <c r="AE11" s="396"/>
      <c r="AF11" s="396"/>
      <c r="AG11" s="396"/>
      <c r="AH11" s="396"/>
      <c r="AI11" s="396"/>
      <c r="AJ11" s="396"/>
    </row>
    <row r="12" spans="1:42" ht="24.95" customHeight="1">
      <c r="A12" s="922" t="str">
        <f xml:space="preserve">
IF(表紙!$X$2="事前協議",
"（令和５年度新型コロナウイルス感染症患者等入院医療機関設備整備費補助金（令和５年10月１日～令和６年３月31日整備分）関係）",
IF(表紙!$X$2="交付申請（２次）",
"（令和５年度新型コロナウイルス感染症患者等入院医療機関設備整備費補助金（令和５年10月１日～令和６年３月31日整備分）関係）",
IF(表紙!$X$2="変更申請",
"（令和５年度新型コロナウイルス感染症患者等入院医療機関設備整備費補助金（令和５年10月１日～令和６年３月31日整備分）関係）",
IF(表紙!$X$2="実績報告（１次）",
"（令和５年度新型コロナウイルス感染症患者等入院医療機関設備整備費補助金（令和５年５月８日～９月整備分）関係）",
IF(表紙!$X$2="実績報告（２次）",
"（令和５年度新型コロナウイルス感染症患者等入院医療機関設備整備費補助金（令和５年10月１日～令和６年３月31日整備分）関係）",
IF(表紙!$X$2="交付申請兼実績報告",
"（令和５年度新型コロナウイルス感染症患者等入院医療機関設備整備費補助金（令和５年10月１日～令和６年３月31日整備分）関係）"))))))</f>
        <v>（令和５年度新型コロナウイルス感染症患者等入院医療機関設備整備費補助金（令和５年10月１日～令和６年３月31日整備分）関係）</v>
      </c>
      <c r="B12" s="922"/>
      <c r="C12" s="922"/>
      <c r="D12" s="922"/>
      <c r="E12" s="922"/>
      <c r="F12" s="922"/>
      <c r="G12" s="922"/>
      <c r="H12" s="922"/>
      <c r="I12" s="922"/>
      <c r="J12" s="922"/>
      <c r="K12" s="922"/>
      <c r="L12" s="922"/>
      <c r="M12" s="922"/>
      <c r="N12" s="922"/>
      <c r="O12" s="922"/>
      <c r="P12" s="922"/>
      <c r="Q12" s="922"/>
      <c r="R12" s="922"/>
      <c r="S12" s="922"/>
      <c r="T12" s="922"/>
      <c r="U12" s="922"/>
      <c r="V12" s="922"/>
      <c r="W12" s="922"/>
      <c r="X12" s="922"/>
      <c r="Y12" s="922"/>
      <c r="Z12" s="922"/>
      <c r="AA12" s="922"/>
      <c r="AB12" s="922"/>
      <c r="AC12" s="922"/>
      <c r="AD12" s="922"/>
      <c r="AE12" s="922"/>
      <c r="AF12" s="922"/>
      <c r="AG12" s="922"/>
      <c r="AH12" s="922"/>
      <c r="AI12" s="922"/>
      <c r="AJ12" s="922"/>
    </row>
    <row r="13" spans="1:42" ht="24.95" customHeight="1">
      <c r="A13" s="406"/>
      <c r="B13" s="406"/>
      <c r="C13" s="406"/>
      <c r="D13" s="406"/>
      <c r="E13" s="406"/>
      <c r="F13" s="406"/>
      <c r="G13" s="406"/>
      <c r="H13" s="406"/>
      <c r="I13" s="406"/>
      <c r="J13" s="406"/>
      <c r="K13" s="406"/>
      <c r="L13" s="406"/>
      <c r="M13" s="406"/>
      <c r="N13" s="406"/>
      <c r="O13" s="406"/>
      <c r="P13" s="406"/>
      <c r="Q13" s="406"/>
      <c r="R13" s="406"/>
      <c r="S13" s="406"/>
      <c r="T13" s="406"/>
      <c r="U13" s="406"/>
      <c r="V13" s="406"/>
      <c r="W13" s="406"/>
      <c r="X13" s="406"/>
      <c r="Y13" s="406"/>
      <c r="Z13" s="406"/>
      <c r="AA13" s="406"/>
      <c r="AB13" s="406"/>
      <c r="AC13" s="406"/>
      <c r="AD13" s="406"/>
      <c r="AE13" s="406"/>
      <c r="AF13" s="406"/>
      <c r="AG13" s="406"/>
      <c r="AH13" s="406"/>
      <c r="AI13" s="406"/>
      <c r="AJ13" s="406"/>
    </row>
    <row r="14" spans="1:42" ht="24.95" customHeight="1">
      <c r="A14" s="396"/>
      <c r="B14" s="396"/>
      <c r="C14" s="396"/>
      <c r="D14" s="396"/>
      <c r="E14" s="396"/>
      <c r="F14" s="396"/>
      <c r="G14" s="396"/>
      <c r="H14" s="396"/>
      <c r="I14" s="396"/>
      <c r="J14" s="396"/>
      <c r="K14" s="396"/>
      <c r="L14" s="396"/>
      <c r="M14" s="396"/>
      <c r="N14" s="396"/>
      <c r="O14" s="396"/>
      <c r="P14" s="396"/>
      <c r="Q14" s="396"/>
      <c r="R14" s="396"/>
      <c r="S14" s="396"/>
      <c r="T14" s="396"/>
      <c r="U14" s="396"/>
      <c r="V14" s="396"/>
      <c r="W14" s="396"/>
      <c r="X14" s="396"/>
      <c r="Y14" s="396"/>
      <c r="Z14" s="396"/>
      <c r="AA14" s="396"/>
      <c r="AB14" s="396"/>
      <c r="AC14" s="396"/>
      <c r="AD14" s="396"/>
      <c r="AE14" s="396"/>
      <c r="AF14" s="396"/>
      <c r="AG14" s="396"/>
      <c r="AH14" s="396"/>
      <c r="AI14" s="396"/>
      <c r="AJ14" s="396"/>
    </row>
    <row r="15" spans="1:42" ht="20.100000000000001" customHeight="1">
      <c r="A15" s="397" t="s">
        <v>5</v>
      </c>
    </row>
    <row r="16" spans="1:42" ht="99.95" customHeight="1">
      <c r="A16" s="930" t="s">
        <v>690</v>
      </c>
      <c r="B16" s="931"/>
      <c r="C16" s="931"/>
      <c r="D16" s="931"/>
      <c r="E16" s="931"/>
      <c r="F16" s="931"/>
      <c r="G16" s="931"/>
      <c r="H16" s="931"/>
      <c r="I16" s="931"/>
      <c r="J16" s="931"/>
      <c r="K16" s="931"/>
      <c r="L16" s="931"/>
      <c r="M16" s="931"/>
      <c r="N16" s="931"/>
      <c r="O16" s="931"/>
      <c r="P16" s="931"/>
      <c r="Q16" s="931"/>
      <c r="R16" s="931"/>
      <c r="S16" s="931"/>
      <c r="T16" s="931"/>
      <c r="U16" s="931"/>
      <c r="V16" s="931"/>
      <c r="W16" s="931"/>
      <c r="X16" s="931"/>
      <c r="Y16" s="931"/>
      <c r="Z16" s="931"/>
      <c r="AA16" s="931"/>
      <c r="AB16" s="931"/>
      <c r="AC16" s="931"/>
      <c r="AD16" s="931"/>
      <c r="AE16" s="931"/>
      <c r="AF16" s="931"/>
      <c r="AG16" s="931"/>
      <c r="AH16" s="931"/>
      <c r="AI16" s="931"/>
      <c r="AJ16" s="931"/>
    </row>
    <row r="17" spans="1:36" ht="60" customHeight="1">
      <c r="A17" s="930" t="s">
        <v>479</v>
      </c>
      <c r="B17" s="932"/>
      <c r="C17" s="932"/>
      <c r="D17" s="932"/>
      <c r="E17" s="932"/>
      <c r="F17" s="932"/>
      <c r="G17" s="932"/>
      <c r="H17" s="932"/>
      <c r="I17" s="932"/>
      <c r="J17" s="932"/>
      <c r="K17" s="932"/>
      <c r="L17" s="932"/>
      <c r="M17" s="932"/>
      <c r="N17" s="932"/>
      <c r="O17" s="932"/>
      <c r="P17" s="932"/>
      <c r="Q17" s="932"/>
      <c r="R17" s="932"/>
      <c r="S17" s="932"/>
      <c r="T17" s="932"/>
      <c r="U17" s="932"/>
      <c r="V17" s="932"/>
      <c r="W17" s="932"/>
      <c r="X17" s="932"/>
      <c r="Y17" s="932"/>
      <c r="Z17" s="932"/>
      <c r="AA17" s="932"/>
      <c r="AB17" s="932"/>
      <c r="AC17" s="932"/>
      <c r="AD17" s="932"/>
      <c r="AE17" s="932"/>
      <c r="AF17" s="932"/>
      <c r="AG17" s="932"/>
      <c r="AH17" s="932"/>
      <c r="AI17" s="932"/>
      <c r="AJ17" s="932"/>
    </row>
    <row r="18" spans="1:36" ht="24.95" customHeight="1"/>
    <row r="19" spans="1:36" ht="24.95" customHeight="1">
      <c r="B19" s="397" t="s">
        <v>6</v>
      </c>
    </row>
    <row r="20" spans="1:36" ht="24.95" customHeight="1">
      <c r="C20" s="911" t="str">
        <f>IF(はじめに入力してください!H10="","",はじめに入力してください!H10)</f>
        <v/>
      </c>
      <c r="D20" s="912"/>
      <c r="E20" s="912"/>
      <c r="F20" s="912"/>
      <c r="G20" s="912"/>
      <c r="H20" s="912"/>
      <c r="I20" s="912"/>
      <c r="J20" s="912"/>
      <c r="K20" s="912"/>
      <c r="L20" s="912"/>
      <c r="M20" s="912"/>
      <c r="N20" s="912"/>
      <c r="O20" s="912"/>
      <c r="P20" s="912"/>
      <c r="Q20" s="912"/>
      <c r="R20" s="912"/>
      <c r="S20" s="912"/>
      <c r="T20" s="912"/>
      <c r="U20" s="912"/>
      <c r="V20" s="912"/>
      <c r="W20" s="912"/>
      <c r="X20" s="912"/>
      <c r="Y20" s="912"/>
      <c r="Z20" s="912"/>
      <c r="AA20" s="912"/>
      <c r="AB20" s="912"/>
      <c r="AC20" s="912"/>
      <c r="AD20" s="912"/>
      <c r="AE20" s="912"/>
      <c r="AF20" s="912"/>
      <c r="AG20" s="912"/>
      <c r="AH20" s="912"/>
      <c r="AI20" s="912"/>
    </row>
    <row r="21" spans="1:36" ht="24.95" customHeight="1">
      <c r="C21" s="911" t="str">
        <f>IF(はじめに入力してください!H11="","",はじめに入力してください!H11)</f>
        <v/>
      </c>
      <c r="D21" s="912"/>
      <c r="E21" s="912"/>
      <c r="F21" s="912"/>
      <c r="G21" s="912"/>
      <c r="H21" s="912"/>
      <c r="I21" s="912"/>
      <c r="J21" s="912"/>
      <c r="K21" s="912"/>
      <c r="L21" s="912"/>
      <c r="M21" s="912"/>
      <c r="N21" s="912"/>
      <c r="O21" s="912"/>
      <c r="P21" s="912"/>
      <c r="Q21" s="912"/>
      <c r="R21" s="912"/>
      <c r="S21" s="912"/>
      <c r="T21" s="912"/>
      <c r="U21" s="912"/>
      <c r="V21" s="912"/>
      <c r="W21" s="912"/>
      <c r="X21" s="912"/>
      <c r="Y21" s="912"/>
      <c r="Z21" s="912"/>
      <c r="AA21" s="912"/>
      <c r="AB21" s="912"/>
      <c r="AC21" s="912"/>
      <c r="AD21" s="912"/>
      <c r="AE21" s="912"/>
      <c r="AF21" s="912"/>
      <c r="AG21" s="912"/>
      <c r="AH21" s="912"/>
      <c r="AI21" s="912"/>
    </row>
    <row r="22" spans="1:36" ht="9.9499999999999993" customHeight="1">
      <c r="C22" s="404"/>
      <c r="D22" s="407"/>
      <c r="E22" s="407"/>
      <c r="F22" s="407"/>
      <c r="G22" s="407"/>
      <c r="H22" s="407"/>
      <c r="I22" s="407"/>
      <c r="J22" s="407"/>
      <c r="K22" s="407"/>
      <c r="L22" s="407"/>
      <c r="M22" s="407"/>
      <c r="N22" s="407"/>
      <c r="O22" s="407"/>
      <c r="P22" s="407"/>
      <c r="Q22" s="407"/>
      <c r="R22" s="407"/>
      <c r="S22" s="407"/>
      <c r="T22" s="407"/>
      <c r="U22" s="407"/>
      <c r="V22" s="407"/>
      <c r="W22" s="407"/>
      <c r="X22" s="407"/>
      <c r="Y22" s="407"/>
      <c r="Z22" s="407"/>
      <c r="AA22" s="407"/>
      <c r="AB22" s="407"/>
      <c r="AC22" s="407"/>
      <c r="AD22" s="407"/>
      <c r="AE22" s="407"/>
      <c r="AF22" s="407"/>
      <c r="AG22" s="407"/>
      <c r="AH22" s="407"/>
      <c r="AI22" s="407"/>
    </row>
    <row r="23" spans="1:36" ht="24.95" customHeight="1">
      <c r="B23" s="397" t="s">
        <v>7</v>
      </c>
    </row>
    <row r="24" spans="1:36" ht="24.95" customHeight="1">
      <c r="C24" s="918" t="str">
        <f>IF(別紙!AE27=0,"金円",別紙!AE27)</f>
        <v>金円</v>
      </c>
      <c r="D24" s="919"/>
      <c r="E24" s="919"/>
      <c r="F24" s="919"/>
      <c r="G24" s="919"/>
      <c r="H24" s="919"/>
      <c r="I24" s="919"/>
    </row>
    <row r="25" spans="1:36" ht="9.9499999999999993" customHeight="1">
      <c r="C25" s="402"/>
      <c r="D25" s="408"/>
      <c r="E25" s="408"/>
      <c r="F25" s="408"/>
      <c r="G25" s="408"/>
      <c r="H25" s="408"/>
      <c r="I25" s="408"/>
    </row>
    <row r="26" spans="1:36" ht="24.95" customHeight="1">
      <c r="B26" s="397" t="s">
        <v>8</v>
      </c>
    </row>
    <row r="27" spans="1:36" ht="24.95" customHeight="1">
      <c r="B27" s="397" t="s">
        <v>1286</v>
      </c>
    </row>
    <row r="28" spans="1:36" ht="24.95" customHeight="1">
      <c r="B28" s="397" t="s">
        <v>1287</v>
      </c>
    </row>
    <row r="29" spans="1:36" ht="24.95" customHeight="1">
      <c r="B29" s="397" t="s">
        <v>480</v>
      </c>
    </row>
    <row r="30" spans="1:36" ht="24.95" customHeight="1">
      <c r="B30" s="397" t="s">
        <v>481</v>
      </c>
    </row>
    <row r="31" spans="1:36" ht="24.95" customHeight="1">
      <c r="B31" s="397" t="s">
        <v>40</v>
      </c>
    </row>
    <row r="32" spans="1:36" ht="24.95" customHeight="1"/>
    <row r="33" spans="1:42" ht="24.95" customHeight="1">
      <c r="U33" s="913" t="s">
        <v>9</v>
      </c>
      <c r="V33" s="920"/>
      <c r="W33" s="920"/>
      <c r="X33" s="920"/>
      <c r="Z33" s="911" t="str">
        <f>IF(はじめに入力してください!H14="","",はじめに入力してください!H14)</f>
        <v/>
      </c>
      <c r="AA33" s="912"/>
      <c r="AB33" s="912"/>
      <c r="AC33" s="912"/>
      <c r="AD33" s="912"/>
      <c r="AE33" s="912"/>
      <c r="AF33" s="912"/>
      <c r="AG33" s="912"/>
      <c r="AH33" s="912"/>
      <c r="AI33" s="912"/>
    </row>
    <row r="34" spans="1:42" ht="24.95" customHeight="1">
      <c r="U34" s="913" t="s">
        <v>10</v>
      </c>
      <c r="V34" s="920"/>
      <c r="W34" s="920"/>
      <c r="X34" s="920"/>
      <c r="Z34" s="911" t="str">
        <f>IF(はじめに入力してください!H15="","",はじめに入力してください!H15)</f>
        <v/>
      </c>
      <c r="AA34" s="912"/>
      <c r="AB34" s="912"/>
      <c r="AC34" s="912"/>
      <c r="AD34" s="912"/>
      <c r="AE34" s="912"/>
      <c r="AF34" s="912"/>
      <c r="AG34" s="912"/>
      <c r="AH34" s="912"/>
      <c r="AI34" s="912"/>
    </row>
    <row r="35" spans="1:42" ht="24.95" customHeight="1">
      <c r="U35" s="913" t="s">
        <v>11</v>
      </c>
      <c r="V35" s="920"/>
      <c r="W35" s="920"/>
      <c r="X35" s="920"/>
      <c r="Z35" s="911" t="str">
        <f>IF(はじめに入力してください!O16="×","",はじめに入力してください!AF16)</f>
        <v/>
      </c>
      <c r="AA35" s="912"/>
      <c r="AB35" s="912"/>
      <c r="AC35" s="912"/>
      <c r="AD35" s="912"/>
      <c r="AE35" s="912"/>
      <c r="AF35" s="912"/>
      <c r="AG35" s="912"/>
      <c r="AH35" s="912"/>
      <c r="AI35" s="912"/>
    </row>
    <row r="36" spans="1:42" ht="24.95" customHeight="1">
      <c r="U36" s="913" t="s">
        <v>12</v>
      </c>
      <c r="V36" s="920"/>
      <c r="W36" s="920"/>
      <c r="X36" s="920"/>
      <c r="Z36" s="911" t="str">
        <f>IF(はじめに入力してください!H17="","",はじめに入力してください!H17)</f>
        <v/>
      </c>
      <c r="AA36" s="912"/>
      <c r="AB36" s="912"/>
      <c r="AC36" s="912"/>
      <c r="AD36" s="912"/>
      <c r="AE36" s="912"/>
      <c r="AF36" s="912"/>
      <c r="AG36" s="912"/>
      <c r="AH36" s="912"/>
      <c r="AI36" s="912"/>
    </row>
    <row r="37" spans="1:42" ht="15" customHeight="1"/>
    <row r="38" spans="1:42" ht="35.1" customHeight="1">
      <c r="A38" s="933" t="s">
        <v>452</v>
      </c>
      <c r="B38" s="934"/>
      <c r="C38" s="934"/>
      <c r="D38" s="934"/>
      <c r="E38" s="934"/>
      <c r="F38" s="934"/>
      <c r="G38" s="934"/>
      <c r="H38" s="934"/>
      <c r="I38" s="934"/>
      <c r="J38" s="934"/>
      <c r="K38" s="934"/>
      <c r="L38" s="934"/>
      <c r="M38" s="934"/>
      <c r="N38" s="934"/>
      <c r="O38" s="934"/>
      <c r="P38" s="934"/>
      <c r="Q38" s="934"/>
      <c r="R38" s="934"/>
      <c r="S38" s="934"/>
      <c r="T38" s="934"/>
      <c r="U38" s="934"/>
      <c r="V38" s="934"/>
      <c r="W38" s="934"/>
      <c r="X38" s="934"/>
      <c r="Y38" s="934"/>
      <c r="Z38" s="934"/>
      <c r="AA38" s="934"/>
      <c r="AB38" s="934"/>
      <c r="AC38" s="934"/>
      <c r="AD38" s="934"/>
      <c r="AE38" s="934"/>
      <c r="AF38" s="934"/>
      <c r="AG38" s="934"/>
      <c r="AH38" s="934"/>
      <c r="AI38" s="934"/>
      <c r="AJ38" s="935"/>
    </row>
    <row r="39" spans="1:42" ht="35.1" customHeight="1">
      <c r="A39" s="936"/>
      <c r="B39" s="937"/>
      <c r="C39" s="937"/>
      <c r="D39" s="937"/>
      <c r="E39" s="937"/>
      <c r="F39" s="937"/>
      <c r="G39" s="937"/>
      <c r="H39" s="937"/>
      <c r="I39" s="937"/>
      <c r="J39" s="937"/>
      <c r="K39" s="937"/>
      <c r="L39" s="937"/>
      <c r="M39" s="937"/>
      <c r="N39" s="937"/>
      <c r="O39" s="937"/>
      <c r="P39" s="937"/>
      <c r="Q39" s="937"/>
      <c r="R39" s="937"/>
      <c r="S39" s="937"/>
      <c r="T39" s="937"/>
      <c r="U39" s="937"/>
      <c r="V39" s="937"/>
      <c r="W39" s="937"/>
      <c r="X39" s="937"/>
      <c r="Y39" s="937"/>
      <c r="Z39" s="937"/>
      <c r="AA39" s="937"/>
      <c r="AB39" s="937"/>
      <c r="AC39" s="937"/>
      <c r="AD39" s="937"/>
      <c r="AE39" s="937"/>
      <c r="AF39" s="937"/>
      <c r="AG39" s="937"/>
      <c r="AH39" s="937"/>
      <c r="AI39" s="937"/>
      <c r="AJ39" s="938"/>
    </row>
    <row r="40" spans="1:42" ht="35.1" customHeight="1">
      <c r="A40" s="936"/>
      <c r="B40" s="937"/>
      <c r="C40" s="937"/>
      <c r="D40" s="937"/>
      <c r="E40" s="937"/>
      <c r="F40" s="937"/>
      <c r="G40" s="937"/>
      <c r="H40" s="937"/>
      <c r="I40" s="937"/>
      <c r="J40" s="937"/>
      <c r="K40" s="937"/>
      <c r="L40" s="937"/>
      <c r="M40" s="937"/>
      <c r="N40" s="937"/>
      <c r="O40" s="937"/>
      <c r="P40" s="937"/>
      <c r="Q40" s="937"/>
      <c r="R40" s="937"/>
      <c r="S40" s="937"/>
      <c r="T40" s="937"/>
      <c r="U40" s="937"/>
      <c r="V40" s="937"/>
      <c r="W40" s="937"/>
      <c r="X40" s="937"/>
      <c r="Y40" s="937"/>
      <c r="Z40" s="937"/>
      <c r="AA40" s="937"/>
      <c r="AB40" s="937"/>
      <c r="AC40" s="937"/>
      <c r="AD40" s="937"/>
      <c r="AE40" s="937"/>
      <c r="AF40" s="937"/>
      <c r="AG40" s="937"/>
      <c r="AH40" s="937"/>
      <c r="AI40" s="937"/>
      <c r="AJ40" s="938"/>
    </row>
    <row r="41" spans="1:42" ht="35.1" customHeight="1">
      <c r="A41" s="936"/>
      <c r="B41" s="937"/>
      <c r="C41" s="937"/>
      <c r="D41" s="937"/>
      <c r="E41" s="937"/>
      <c r="F41" s="937"/>
      <c r="G41" s="937"/>
      <c r="H41" s="937"/>
      <c r="I41" s="937"/>
      <c r="J41" s="937"/>
      <c r="K41" s="937"/>
      <c r="L41" s="937"/>
      <c r="M41" s="937"/>
      <c r="N41" s="937"/>
      <c r="O41" s="937"/>
      <c r="P41" s="937"/>
      <c r="Q41" s="937"/>
      <c r="R41" s="937"/>
      <c r="S41" s="937"/>
      <c r="T41" s="937"/>
      <c r="U41" s="937"/>
      <c r="V41" s="937"/>
      <c r="W41" s="937"/>
      <c r="X41" s="937"/>
      <c r="Y41" s="937"/>
      <c r="Z41" s="937"/>
      <c r="AA41" s="937"/>
      <c r="AB41" s="937"/>
      <c r="AC41" s="937"/>
      <c r="AD41" s="937"/>
      <c r="AE41" s="937"/>
      <c r="AF41" s="937"/>
      <c r="AG41" s="937"/>
      <c r="AH41" s="937"/>
      <c r="AI41" s="937"/>
      <c r="AJ41" s="938"/>
    </row>
    <row r="42" spans="1:42" ht="35.1" customHeight="1">
      <c r="A42" s="936"/>
      <c r="B42" s="937"/>
      <c r="C42" s="937"/>
      <c r="D42" s="937"/>
      <c r="E42" s="937"/>
      <c r="F42" s="937"/>
      <c r="G42" s="937"/>
      <c r="H42" s="937"/>
      <c r="I42" s="937"/>
      <c r="J42" s="937"/>
      <c r="K42" s="937"/>
      <c r="L42" s="937"/>
      <c r="M42" s="937"/>
      <c r="N42" s="937"/>
      <c r="O42" s="937"/>
      <c r="P42" s="937"/>
      <c r="Q42" s="937"/>
      <c r="R42" s="937"/>
      <c r="S42" s="937"/>
      <c r="T42" s="937"/>
      <c r="U42" s="937"/>
      <c r="V42" s="937"/>
      <c r="W42" s="937"/>
      <c r="X42" s="937"/>
      <c r="Y42" s="937"/>
      <c r="Z42" s="937"/>
      <c r="AA42" s="937"/>
      <c r="AB42" s="937"/>
      <c r="AC42" s="937"/>
      <c r="AD42" s="937"/>
      <c r="AE42" s="937"/>
      <c r="AF42" s="937"/>
      <c r="AG42" s="937"/>
      <c r="AH42" s="937"/>
      <c r="AI42" s="937"/>
      <c r="AJ42" s="938"/>
    </row>
    <row r="43" spans="1:42" ht="35.1" customHeight="1">
      <c r="A43" s="936"/>
      <c r="B43" s="937"/>
      <c r="C43" s="937"/>
      <c r="D43" s="937"/>
      <c r="E43" s="937"/>
      <c r="F43" s="937"/>
      <c r="G43" s="937"/>
      <c r="H43" s="937"/>
      <c r="I43" s="937"/>
      <c r="J43" s="937"/>
      <c r="K43" s="937"/>
      <c r="L43" s="937"/>
      <c r="M43" s="937"/>
      <c r="N43" s="937"/>
      <c r="O43" s="937"/>
      <c r="P43" s="937"/>
      <c r="Q43" s="937"/>
      <c r="R43" s="937"/>
      <c r="S43" s="937"/>
      <c r="T43" s="937"/>
      <c r="U43" s="937"/>
      <c r="V43" s="937"/>
      <c r="W43" s="937"/>
      <c r="X43" s="937"/>
      <c r="Y43" s="937"/>
      <c r="Z43" s="937"/>
      <c r="AA43" s="937"/>
      <c r="AB43" s="937"/>
      <c r="AC43" s="937"/>
      <c r="AD43" s="937"/>
      <c r="AE43" s="937"/>
      <c r="AF43" s="937"/>
      <c r="AG43" s="937"/>
      <c r="AH43" s="937"/>
      <c r="AI43" s="937"/>
      <c r="AJ43" s="938"/>
    </row>
    <row r="44" spans="1:42" ht="35.1" customHeight="1">
      <c r="A44" s="936"/>
      <c r="B44" s="937"/>
      <c r="C44" s="937"/>
      <c r="D44" s="937"/>
      <c r="E44" s="937"/>
      <c r="F44" s="937"/>
      <c r="G44" s="937"/>
      <c r="H44" s="937"/>
      <c r="I44" s="937"/>
      <c r="J44" s="937"/>
      <c r="K44" s="937"/>
      <c r="L44" s="937"/>
      <c r="M44" s="937"/>
      <c r="N44" s="937"/>
      <c r="O44" s="937"/>
      <c r="P44" s="937"/>
      <c r="Q44" s="937"/>
      <c r="R44" s="937"/>
      <c r="S44" s="937"/>
      <c r="T44" s="937"/>
      <c r="U44" s="937"/>
      <c r="V44" s="937"/>
      <c r="W44" s="937"/>
      <c r="X44" s="937"/>
      <c r="Y44" s="937"/>
      <c r="Z44" s="937"/>
      <c r="AA44" s="937"/>
      <c r="AB44" s="937"/>
      <c r="AC44" s="937"/>
      <c r="AD44" s="937"/>
      <c r="AE44" s="937"/>
      <c r="AF44" s="937"/>
      <c r="AG44" s="937"/>
      <c r="AH44" s="937"/>
      <c r="AI44" s="937"/>
      <c r="AJ44" s="938"/>
    </row>
    <row r="45" spans="1:42" ht="35.1" customHeight="1">
      <c r="A45" s="936"/>
      <c r="B45" s="937"/>
      <c r="C45" s="937"/>
      <c r="D45" s="937"/>
      <c r="E45" s="937"/>
      <c r="F45" s="937"/>
      <c r="G45" s="937"/>
      <c r="H45" s="937"/>
      <c r="I45" s="937"/>
      <c r="J45" s="937"/>
      <c r="K45" s="937"/>
      <c r="L45" s="937"/>
      <c r="M45" s="937"/>
      <c r="N45" s="937"/>
      <c r="O45" s="937"/>
      <c r="P45" s="937"/>
      <c r="Q45" s="937"/>
      <c r="R45" s="937"/>
      <c r="S45" s="937"/>
      <c r="T45" s="937"/>
      <c r="U45" s="937"/>
      <c r="V45" s="937"/>
      <c r="W45" s="937"/>
      <c r="X45" s="937"/>
      <c r="Y45" s="937"/>
      <c r="Z45" s="937"/>
      <c r="AA45" s="937"/>
      <c r="AB45" s="937"/>
      <c r="AC45" s="937"/>
      <c r="AD45" s="937"/>
      <c r="AE45" s="937"/>
      <c r="AF45" s="937"/>
      <c r="AG45" s="937"/>
      <c r="AH45" s="937"/>
      <c r="AI45" s="937"/>
      <c r="AJ45" s="938"/>
    </row>
    <row r="46" spans="1:42" s="409" customFormat="1" ht="35.1" customHeight="1">
      <c r="A46" s="939"/>
      <c r="B46" s="940"/>
      <c r="C46" s="940"/>
      <c r="D46" s="940"/>
      <c r="E46" s="940"/>
      <c r="F46" s="940"/>
      <c r="G46" s="940"/>
      <c r="H46" s="940"/>
      <c r="I46" s="940"/>
      <c r="J46" s="940"/>
      <c r="K46" s="940"/>
      <c r="L46" s="940"/>
      <c r="M46" s="940"/>
      <c r="N46" s="940"/>
      <c r="O46" s="940"/>
      <c r="P46" s="940"/>
      <c r="Q46" s="940"/>
      <c r="R46" s="940"/>
      <c r="S46" s="940"/>
      <c r="T46" s="940"/>
      <c r="U46" s="940"/>
      <c r="V46" s="940"/>
      <c r="W46" s="940"/>
      <c r="X46" s="940"/>
      <c r="Y46" s="940"/>
      <c r="Z46" s="940"/>
      <c r="AA46" s="940"/>
      <c r="AB46" s="940"/>
      <c r="AC46" s="940"/>
      <c r="AD46" s="940"/>
      <c r="AE46" s="940"/>
      <c r="AF46" s="940"/>
      <c r="AG46" s="940"/>
      <c r="AH46" s="940"/>
      <c r="AI46" s="940"/>
      <c r="AJ46" s="941"/>
      <c r="AM46" s="398"/>
      <c r="AN46" s="398"/>
      <c r="AO46" s="398"/>
      <c r="AP46" s="398"/>
    </row>
    <row r="47" spans="1:42" s="409" customFormat="1" ht="15" customHeight="1">
      <c r="A47" s="928"/>
      <c r="B47" s="929"/>
      <c r="C47" s="929"/>
      <c r="D47" s="929"/>
      <c r="E47" s="929"/>
      <c r="F47" s="929"/>
      <c r="G47" s="929"/>
      <c r="H47" s="929"/>
      <c r="I47" s="929"/>
      <c r="J47" s="929"/>
      <c r="K47" s="929"/>
      <c r="L47" s="929"/>
      <c r="M47" s="929"/>
      <c r="N47" s="929"/>
      <c r="O47" s="929"/>
      <c r="P47" s="929"/>
      <c r="Q47" s="929"/>
      <c r="R47" s="929"/>
      <c r="S47" s="929"/>
      <c r="T47" s="929"/>
      <c r="U47" s="929"/>
      <c r="V47" s="929"/>
      <c r="W47" s="929"/>
      <c r="X47" s="929"/>
      <c r="Y47" s="929"/>
      <c r="Z47" s="929"/>
      <c r="AA47" s="929"/>
      <c r="AB47" s="929"/>
      <c r="AC47" s="929"/>
      <c r="AD47" s="929"/>
      <c r="AE47" s="929"/>
      <c r="AF47" s="929"/>
      <c r="AG47" s="929"/>
      <c r="AH47" s="929"/>
      <c r="AI47" s="929"/>
      <c r="AJ47" s="929"/>
      <c r="AM47" s="398"/>
      <c r="AN47" s="398"/>
      <c r="AO47" s="398"/>
      <c r="AP47" s="398"/>
    </row>
    <row r="48" spans="1:42" s="409" customFormat="1" ht="50.1" customHeight="1">
      <c r="A48" s="928"/>
      <c r="B48" s="929"/>
      <c r="C48" s="929"/>
      <c r="D48" s="929"/>
      <c r="E48" s="929"/>
      <c r="F48" s="929"/>
      <c r="G48" s="929"/>
      <c r="H48" s="929"/>
      <c r="I48" s="929"/>
      <c r="J48" s="929"/>
      <c r="K48" s="929"/>
      <c r="L48" s="929"/>
      <c r="M48" s="929"/>
      <c r="N48" s="929"/>
      <c r="O48" s="929"/>
      <c r="P48" s="929"/>
      <c r="Q48" s="929"/>
      <c r="R48" s="929"/>
      <c r="S48" s="929"/>
      <c r="T48" s="929"/>
      <c r="U48" s="929"/>
      <c r="V48" s="929"/>
      <c r="W48" s="929"/>
      <c r="X48" s="929"/>
      <c r="Y48" s="929"/>
      <c r="Z48" s="929"/>
      <c r="AA48" s="929"/>
      <c r="AB48" s="929"/>
      <c r="AC48" s="929"/>
      <c r="AD48" s="929"/>
      <c r="AE48" s="929"/>
      <c r="AF48" s="929"/>
      <c r="AG48" s="929"/>
      <c r="AH48" s="929"/>
      <c r="AI48" s="929"/>
      <c r="AJ48" s="929"/>
      <c r="AM48" s="398"/>
      <c r="AN48" s="398"/>
      <c r="AO48" s="398"/>
      <c r="AP48" s="398"/>
    </row>
    <row r="49" spans="37:42" ht="30" customHeight="1"/>
    <row r="50" spans="37:42" ht="30" customHeight="1">
      <c r="AM50" s="410"/>
      <c r="AN50" s="411"/>
      <c r="AO50" s="411"/>
      <c r="AP50" s="412"/>
    </row>
    <row r="51" spans="37:42" ht="30" customHeight="1">
      <c r="AM51" s="413"/>
      <c r="AN51" s="414"/>
      <c r="AO51" s="414"/>
      <c r="AP51" s="415"/>
    </row>
    <row r="52" spans="37:42" ht="30" customHeight="1">
      <c r="AM52" s="416"/>
      <c r="AN52" s="924" t="str">
        <f>AC3</f>
        <v>令和　年　　月　　日</v>
      </c>
      <c r="AO52" s="925"/>
      <c r="AP52" s="417"/>
    </row>
    <row r="53" spans="37:42" ht="30" customHeight="1">
      <c r="AK53" s="425"/>
      <c r="AM53" s="418"/>
      <c r="AN53" s="924" t="str">
        <f>IF(AK53="","","入院第"&amp;AK53&amp;"号")</f>
        <v/>
      </c>
      <c r="AO53" s="925"/>
      <c r="AP53" s="417"/>
    </row>
    <row r="54" spans="37:42" ht="30" customHeight="1">
      <c r="AM54" s="419"/>
      <c r="AN54" s="420"/>
      <c r="AO54" s="420"/>
      <c r="AP54" s="421"/>
    </row>
    <row r="55" spans="37:42">
      <c r="AM55" s="413"/>
      <c r="AN55" s="414"/>
      <c r="AO55" s="414"/>
      <c r="AP55" s="415"/>
    </row>
    <row r="56" spans="37:42">
      <c r="AM56" s="422"/>
      <c r="AN56" s="423"/>
      <c r="AO56" s="423"/>
      <c r="AP56" s="424"/>
    </row>
  </sheetData>
  <sheetProtection algorithmName="SHA-512" hashValue="LX7MSxWaQg5cgbcGfqcqfHmvac1jVF/a1OgPu93L/f4LNS3hhIDvJ96WxabWHwSUzYzugZoJmJQciXTrcpinMw==" saltValue="c5h8djgNXoTxTvIvB7a8zA==" spinCount="100000" sheet="1" objects="1" scenarios="1"/>
  <mergeCells count="31">
    <mergeCell ref="AM4:AN4"/>
    <mergeCell ref="AO4:AO5"/>
    <mergeCell ref="AN52:AO52"/>
    <mergeCell ref="AN53:AO53"/>
    <mergeCell ref="AC2:AI2"/>
    <mergeCell ref="A47:AJ47"/>
    <mergeCell ref="A48:AJ48"/>
    <mergeCell ref="A16:AJ16"/>
    <mergeCell ref="A17:AJ17"/>
    <mergeCell ref="A38:AJ46"/>
    <mergeCell ref="U36:X36"/>
    <mergeCell ref="Z33:AI33"/>
    <mergeCell ref="Z34:AI34"/>
    <mergeCell ref="Z35:AI35"/>
    <mergeCell ref="Z36:AI36"/>
    <mergeCell ref="AC3:AI3"/>
    <mergeCell ref="C24:I24"/>
    <mergeCell ref="U33:X33"/>
    <mergeCell ref="U34:X34"/>
    <mergeCell ref="U35:X35"/>
    <mergeCell ref="N10:W10"/>
    <mergeCell ref="A12:AJ12"/>
    <mergeCell ref="B4:J4"/>
    <mergeCell ref="C21:AI21"/>
    <mergeCell ref="C20:AI20"/>
    <mergeCell ref="U6:X6"/>
    <mergeCell ref="U7:X7"/>
    <mergeCell ref="U8:X8"/>
    <mergeCell ref="Z6:AJ6"/>
    <mergeCell ref="Z7:AJ7"/>
    <mergeCell ref="Z8:AJ8"/>
  </mergeCells>
  <phoneticPr fontId="9"/>
  <pageMargins left="0.7" right="0.7" top="0.75" bottom="0.75" header="0.3" footer="0.3"/>
  <pageSetup paperSize="9" scale="57" orientation="portrait" r:id="rId1"/>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theme="5" tint="-0.249977111117893"/>
    <pageSetUpPr fitToPage="1"/>
  </sheetPr>
  <dimension ref="A1:AW55"/>
  <sheetViews>
    <sheetView showGridLines="0" view="pageBreakPreview" zoomScale="60" zoomScaleNormal="100" workbookViewId="0">
      <selection activeCell="A18" sqref="A18:XFD18"/>
    </sheetView>
  </sheetViews>
  <sheetFormatPr defaultColWidth="8.625" defaultRowHeight="19.5"/>
  <cols>
    <col min="1" max="36" width="3.625" style="2" customWidth="1"/>
    <col min="37" max="42" width="3.625" style="2" hidden="1" customWidth="1"/>
    <col min="43" max="49" width="3.625" style="2" customWidth="1"/>
    <col min="50" max="16384" width="8.625" style="2"/>
  </cols>
  <sheetData>
    <row r="1" spans="1:49">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row>
    <row r="2" spans="1:49" ht="15" customHeight="1"/>
    <row r="3" spans="1:49" ht="30" customHeight="1">
      <c r="AS3" s="942" t="s">
        <v>1285</v>
      </c>
      <c r="AT3" s="808"/>
      <c r="AU3" s="809"/>
    </row>
    <row r="4" spans="1:49" ht="45" customHeight="1">
      <c r="B4" s="967" t="s">
        <v>13</v>
      </c>
      <c r="C4" s="968"/>
      <c r="D4" s="968"/>
      <c r="E4" s="968"/>
      <c r="F4" s="968"/>
      <c r="G4" s="968"/>
      <c r="H4" s="968"/>
      <c r="I4" s="968"/>
      <c r="J4" s="968"/>
      <c r="K4" s="968"/>
      <c r="L4" s="968"/>
      <c r="M4" s="968"/>
      <c r="N4" s="968"/>
      <c r="O4" s="968"/>
      <c r="P4" s="968"/>
      <c r="Q4" s="968"/>
      <c r="R4" s="968"/>
      <c r="S4" s="968"/>
      <c r="T4" s="968"/>
      <c r="U4" s="968"/>
      <c r="V4" s="968"/>
      <c r="W4" s="968"/>
      <c r="X4" s="968"/>
      <c r="Y4" s="968"/>
      <c r="Z4" s="968"/>
      <c r="AA4" s="968"/>
      <c r="AB4" s="968"/>
      <c r="AC4" s="968"/>
      <c r="AD4" s="968"/>
      <c r="AE4" s="968"/>
      <c r="AF4" s="968"/>
      <c r="AG4" s="968"/>
      <c r="AH4" s="968"/>
      <c r="AI4" s="968"/>
      <c r="AJ4" s="968"/>
      <c r="AK4" s="968"/>
      <c r="AL4" s="968"/>
      <c r="AM4" s="968"/>
      <c r="AN4" s="968"/>
      <c r="AO4" s="968"/>
      <c r="AP4" s="968"/>
      <c r="AQ4" s="968"/>
      <c r="AR4" s="968"/>
      <c r="AS4" s="968"/>
      <c r="AT4" s="968"/>
      <c r="AU4" s="968"/>
      <c r="AV4" s="968"/>
    </row>
    <row r="5" spans="1:49" ht="30" customHeight="1"/>
    <row r="6" spans="1:49" ht="45" customHeight="1">
      <c r="B6" s="977" t="s">
        <v>34</v>
      </c>
      <c r="C6" s="977"/>
      <c r="D6" s="977"/>
      <c r="E6" s="977"/>
      <c r="F6" s="977"/>
      <c r="G6" s="977"/>
      <c r="H6" s="977"/>
      <c r="I6" s="977"/>
      <c r="J6" s="977"/>
      <c r="K6" s="978"/>
      <c r="L6" s="977" t="s">
        <v>33</v>
      </c>
      <c r="M6" s="978"/>
      <c r="N6" s="978"/>
      <c r="O6" s="978"/>
      <c r="P6" s="978"/>
      <c r="Q6" s="978"/>
      <c r="R6" s="978"/>
      <c r="S6" s="977" t="s">
        <v>32</v>
      </c>
      <c r="T6" s="978"/>
      <c r="U6" s="978"/>
      <c r="V6" s="978"/>
      <c r="W6" s="978"/>
      <c r="X6" s="978"/>
      <c r="Y6" s="1025" t="s">
        <v>35</v>
      </c>
      <c r="Z6" s="1026"/>
      <c r="AA6" s="1026"/>
      <c r="AB6" s="1026"/>
      <c r="AC6" s="1026"/>
      <c r="AD6" s="812"/>
      <c r="AE6" s="977" t="s">
        <v>36</v>
      </c>
      <c r="AF6" s="978"/>
      <c r="AG6" s="978"/>
      <c r="AH6" s="978"/>
      <c r="AI6" s="978"/>
      <c r="AJ6" s="978"/>
      <c r="AK6" s="977" t="s">
        <v>38</v>
      </c>
      <c r="AL6" s="978"/>
      <c r="AM6" s="978"/>
      <c r="AN6" s="978"/>
      <c r="AO6" s="978"/>
      <c r="AP6" s="978"/>
      <c r="AQ6" s="969" t="s">
        <v>37</v>
      </c>
      <c r="AR6" s="970"/>
      <c r="AS6" s="970"/>
      <c r="AT6" s="970"/>
      <c r="AU6" s="970"/>
      <c r="AV6" s="970"/>
    </row>
    <row r="7" spans="1:49" ht="45" customHeight="1">
      <c r="B7" s="969" t="s">
        <v>21</v>
      </c>
      <c r="C7" s="969"/>
      <c r="D7" s="969"/>
      <c r="E7" s="969"/>
      <c r="F7" s="969"/>
      <c r="G7" s="969"/>
      <c r="H7" s="969"/>
      <c r="I7" s="969"/>
      <c r="J7" s="969"/>
      <c r="K7" s="970"/>
      <c r="L7" s="981" t="s">
        <v>14</v>
      </c>
      <c r="M7" s="982"/>
      <c r="N7" s="982"/>
      <c r="O7" s="982"/>
      <c r="P7" s="982"/>
      <c r="Q7" s="982"/>
      <c r="R7" s="982"/>
      <c r="S7" s="971">
        <f>経費書!D7</f>
        <v>0</v>
      </c>
      <c r="T7" s="972"/>
      <c r="U7" s="972"/>
      <c r="V7" s="972"/>
      <c r="W7" s="972"/>
      <c r="X7" s="972"/>
      <c r="Y7" s="979">
        <v>0</v>
      </c>
      <c r="Z7" s="980"/>
      <c r="AA7" s="980"/>
      <c r="AB7" s="980"/>
      <c r="AC7" s="980"/>
      <c r="AD7" s="980"/>
      <c r="AE7" s="971">
        <f>S7-Y7</f>
        <v>0</v>
      </c>
      <c r="AF7" s="972"/>
      <c r="AG7" s="972"/>
      <c r="AH7" s="972"/>
      <c r="AI7" s="972"/>
      <c r="AJ7" s="972"/>
      <c r="AK7" s="971"/>
      <c r="AL7" s="972"/>
      <c r="AM7" s="972"/>
      <c r="AN7" s="972"/>
      <c r="AO7" s="972"/>
      <c r="AP7" s="972"/>
      <c r="AQ7" s="958" t="s">
        <v>1288</v>
      </c>
      <c r="AR7" s="959"/>
      <c r="AS7" s="959"/>
      <c r="AT7" s="959"/>
      <c r="AU7" s="959"/>
      <c r="AV7" s="960"/>
    </row>
    <row r="8" spans="1:49" ht="45" customHeight="1">
      <c r="B8" s="970"/>
      <c r="C8" s="970"/>
      <c r="D8" s="970"/>
      <c r="E8" s="970"/>
      <c r="F8" s="970"/>
      <c r="G8" s="970"/>
      <c r="H8" s="970"/>
      <c r="I8" s="970"/>
      <c r="J8" s="970"/>
      <c r="K8" s="970"/>
      <c r="L8" s="981" t="s">
        <v>15</v>
      </c>
      <c r="M8" s="982"/>
      <c r="N8" s="982"/>
      <c r="O8" s="982"/>
      <c r="P8" s="982"/>
      <c r="Q8" s="982"/>
      <c r="R8" s="982"/>
      <c r="S8" s="971">
        <f>経費書!D9</f>
        <v>0</v>
      </c>
      <c r="T8" s="972"/>
      <c r="U8" s="972"/>
      <c r="V8" s="972"/>
      <c r="W8" s="972"/>
      <c r="X8" s="972"/>
      <c r="Y8" s="979">
        <v>0</v>
      </c>
      <c r="Z8" s="980"/>
      <c r="AA8" s="980"/>
      <c r="AB8" s="980"/>
      <c r="AC8" s="980"/>
      <c r="AD8" s="980"/>
      <c r="AE8" s="971">
        <f t="shared" ref="AE8:AE16" si="0">S8-Y8</f>
        <v>0</v>
      </c>
      <c r="AF8" s="972"/>
      <c r="AG8" s="972"/>
      <c r="AH8" s="972"/>
      <c r="AI8" s="972"/>
      <c r="AJ8" s="972"/>
      <c r="AK8" s="971"/>
      <c r="AL8" s="972"/>
      <c r="AM8" s="972"/>
      <c r="AN8" s="972"/>
      <c r="AO8" s="972"/>
      <c r="AP8" s="972"/>
      <c r="AQ8" s="961"/>
      <c r="AR8" s="962"/>
      <c r="AS8" s="962"/>
      <c r="AT8" s="962"/>
      <c r="AU8" s="962"/>
      <c r="AV8" s="963"/>
    </row>
    <row r="9" spans="1:49" ht="45" customHeight="1">
      <c r="B9" s="970"/>
      <c r="C9" s="970"/>
      <c r="D9" s="970"/>
      <c r="E9" s="970"/>
      <c r="F9" s="970"/>
      <c r="G9" s="970"/>
      <c r="H9" s="970"/>
      <c r="I9" s="970"/>
      <c r="J9" s="970"/>
      <c r="K9" s="970"/>
      <c r="L9" s="981" t="s">
        <v>16</v>
      </c>
      <c r="M9" s="982"/>
      <c r="N9" s="982"/>
      <c r="O9" s="982"/>
      <c r="P9" s="982"/>
      <c r="Q9" s="982"/>
      <c r="R9" s="982"/>
      <c r="S9" s="971">
        <f>経費書!D11</f>
        <v>0</v>
      </c>
      <c r="T9" s="972"/>
      <c r="U9" s="972"/>
      <c r="V9" s="972"/>
      <c r="W9" s="972"/>
      <c r="X9" s="972"/>
      <c r="Y9" s="979">
        <v>0</v>
      </c>
      <c r="Z9" s="980"/>
      <c r="AA9" s="980"/>
      <c r="AB9" s="980"/>
      <c r="AC9" s="980"/>
      <c r="AD9" s="980"/>
      <c r="AE9" s="971">
        <f t="shared" si="0"/>
        <v>0</v>
      </c>
      <c r="AF9" s="972"/>
      <c r="AG9" s="972"/>
      <c r="AH9" s="972"/>
      <c r="AI9" s="972"/>
      <c r="AJ9" s="972"/>
      <c r="AK9" s="971"/>
      <c r="AL9" s="972"/>
      <c r="AM9" s="972"/>
      <c r="AN9" s="972"/>
      <c r="AO9" s="972"/>
      <c r="AP9" s="972"/>
      <c r="AQ9" s="961"/>
      <c r="AR9" s="962"/>
      <c r="AS9" s="962"/>
      <c r="AT9" s="962"/>
      <c r="AU9" s="962"/>
      <c r="AV9" s="963"/>
    </row>
    <row r="10" spans="1:49" ht="45" customHeight="1">
      <c r="B10" s="970"/>
      <c r="C10" s="970"/>
      <c r="D10" s="970"/>
      <c r="E10" s="970"/>
      <c r="F10" s="970"/>
      <c r="G10" s="970"/>
      <c r="H10" s="970"/>
      <c r="I10" s="970"/>
      <c r="J10" s="970"/>
      <c r="K10" s="970"/>
      <c r="L10" s="981" t="s">
        <v>17</v>
      </c>
      <c r="M10" s="982"/>
      <c r="N10" s="982"/>
      <c r="O10" s="982"/>
      <c r="P10" s="982"/>
      <c r="Q10" s="982"/>
      <c r="R10" s="982"/>
      <c r="S10" s="971">
        <f>経費書!D13</f>
        <v>0</v>
      </c>
      <c r="T10" s="972"/>
      <c r="U10" s="972"/>
      <c r="V10" s="972"/>
      <c r="W10" s="972"/>
      <c r="X10" s="972"/>
      <c r="Y10" s="979">
        <v>0</v>
      </c>
      <c r="Z10" s="980"/>
      <c r="AA10" s="980"/>
      <c r="AB10" s="980"/>
      <c r="AC10" s="980"/>
      <c r="AD10" s="980"/>
      <c r="AE10" s="971">
        <f t="shared" si="0"/>
        <v>0</v>
      </c>
      <c r="AF10" s="972"/>
      <c r="AG10" s="972"/>
      <c r="AH10" s="972"/>
      <c r="AI10" s="972"/>
      <c r="AJ10" s="972"/>
      <c r="AK10" s="971"/>
      <c r="AL10" s="972"/>
      <c r="AM10" s="972"/>
      <c r="AN10" s="972"/>
      <c r="AO10" s="972"/>
      <c r="AP10" s="972"/>
      <c r="AQ10" s="961"/>
      <c r="AR10" s="962"/>
      <c r="AS10" s="962"/>
      <c r="AT10" s="962"/>
      <c r="AU10" s="962"/>
      <c r="AV10" s="963"/>
    </row>
    <row r="11" spans="1:49" ht="45" customHeight="1">
      <c r="B11" s="970"/>
      <c r="C11" s="970"/>
      <c r="D11" s="970"/>
      <c r="E11" s="970"/>
      <c r="F11" s="970"/>
      <c r="G11" s="970"/>
      <c r="H11" s="970"/>
      <c r="I11" s="970"/>
      <c r="J11" s="970"/>
      <c r="K11" s="970"/>
      <c r="L11" s="981" t="s">
        <v>1336</v>
      </c>
      <c r="M11" s="982"/>
      <c r="N11" s="982"/>
      <c r="O11" s="982"/>
      <c r="P11" s="982"/>
      <c r="Q11" s="982"/>
      <c r="R11" s="982"/>
      <c r="S11" s="971">
        <f>経費書!D15</f>
        <v>0</v>
      </c>
      <c r="T11" s="972"/>
      <c r="U11" s="972"/>
      <c r="V11" s="972"/>
      <c r="W11" s="972"/>
      <c r="X11" s="972"/>
      <c r="Y11" s="979">
        <v>0</v>
      </c>
      <c r="Z11" s="980"/>
      <c r="AA11" s="980"/>
      <c r="AB11" s="980"/>
      <c r="AC11" s="980"/>
      <c r="AD11" s="980"/>
      <c r="AE11" s="971">
        <f>S11-Y11</f>
        <v>0</v>
      </c>
      <c r="AF11" s="972"/>
      <c r="AG11" s="972"/>
      <c r="AH11" s="972"/>
      <c r="AI11" s="972"/>
      <c r="AJ11" s="972"/>
      <c r="AK11" s="559"/>
      <c r="AL11" s="560"/>
      <c r="AM11" s="560"/>
      <c r="AN11" s="560"/>
      <c r="AO11" s="560"/>
      <c r="AP11" s="560"/>
      <c r="AQ11" s="961"/>
      <c r="AR11" s="962"/>
      <c r="AS11" s="962"/>
      <c r="AT11" s="962"/>
      <c r="AU11" s="962"/>
      <c r="AV11" s="963"/>
    </row>
    <row r="12" spans="1:49" ht="45" customHeight="1">
      <c r="B12" s="970"/>
      <c r="C12" s="970"/>
      <c r="D12" s="970"/>
      <c r="E12" s="970"/>
      <c r="F12" s="970"/>
      <c r="G12" s="970"/>
      <c r="H12" s="970"/>
      <c r="I12" s="970"/>
      <c r="J12" s="970"/>
      <c r="K12" s="970"/>
      <c r="L12" s="981" t="s">
        <v>1337</v>
      </c>
      <c r="M12" s="982"/>
      <c r="N12" s="982"/>
      <c r="O12" s="982"/>
      <c r="P12" s="982"/>
      <c r="Q12" s="982"/>
      <c r="R12" s="982"/>
      <c r="S12" s="971">
        <f>経費書!D17</f>
        <v>0</v>
      </c>
      <c r="T12" s="972"/>
      <c r="U12" s="972"/>
      <c r="V12" s="972"/>
      <c r="W12" s="972"/>
      <c r="X12" s="972"/>
      <c r="Y12" s="979">
        <v>0</v>
      </c>
      <c r="Z12" s="980"/>
      <c r="AA12" s="980"/>
      <c r="AB12" s="980"/>
      <c r="AC12" s="980"/>
      <c r="AD12" s="980"/>
      <c r="AE12" s="971">
        <f>S12-Y12</f>
        <v>0</v>
      </c>
      <c r="AF12" s="972"/>
      <c r="AG12" s="972"/>
      <c r="AH12" s="972"/>
      <c r="AI12" s="972"/>
      <c r="AJ12" s="972"/>
      <c r="AK12" s="559"/>
      <c r="AL12" s="560"/>
      <c r="AM12" s="560"/>
      <c r="AN12" s="560"/>
      <c r="AO12" s="560"/>
      <c r="AP12" s="560"/>
      <c r="AQ12" s="961"/>
      <c r="AR12" s="962"/>
      <c r="AS12" s="962"/>
      <c r="AT12" s="962"/>
      <c r="AU12" s="962"/>
      <c r="AV12" s="963"/>
    </row>
    <row r="13" spans="1:49" ht="45" customHeight="1">
      <c r="B13" s="970"/>
      <c r="C13" s="970"/>
      <c r="D13" s="970"/>
      <c r="E13" s="970"/>
      <c r="F13" s="970"/>
      <c r="G13" s="970"/>
      <c r="H13" s="970"/>
      <c r="I13" s="970"/>
      <c r="J13" s="970"/>
      <c r="K13" s="970"/>
      <c r="L13" s="981" t="s">
        <v>18</v>
      </c>
      <c r="M13" s="982"/>
      <c r="N13" s="982"/>
      <c r="O13" s="982"/>
      <c r="P13" s="982"/>
      <c r="Q13" s="982"/>
      <c r="R13" s="982"/>
      <c r="S13" s="971">
        <f>経費書!D19</f>
        <v>0</v>
      </c>
      <c r="T13" s="972"/>
      <c r="U13" s="972"/>
      <c r="V13" s="972"/>
      <c r="W13" s="972"/>
      <c r="X13" s="972"/>
      <c r="Y13" s="979">
        <v>0</v>
      </c>
      <c r="Z13" s="980"/>
      <c r="AA13" s="980"/>
      <c r="AB13" s="980"/>
      <c r="AC13" s="980"/>
      <c r="AD13" s="980"/>
      <c r="AE13" s="971">
        <f t="shared" si="0"/>
        <v>0</v>
      </c>
      <c r="AF13" s="972"/>
      <c r="AG13" s="972"/>
      <c r="AH13" s="972"/>
      <c r="AI13" s="972"/>
      <c r="AJ13" s="972"/>
      <c r="AK13" s="971"/>
      <c r="AL13" s="972"/>
      <c r="AM13" s="972"/>
      <c r="AN13" s="972"/>
      <c r="AO13" s="972"/>
      <c r="AP13" s="972"/>
      <c r="AQ13" s="961"/>
      <c r="AR13" s="962"/>
      <c r="AS13" s="962"/>
      <c r="AT13" s="962"/>
      <c r="AU13" s="962"/>
      <c r="AV13" s="963"/>
    </row>
    <row r="14" spans="1:49" ht="45" customHeight="1">
      <c r="B14" s="970"/>
      <c r="C14" s="970"/>
      <c r="D14" s="970"/>
      <c r="E14" s="970"/>
      <c r="F14" s="970"/>
      <c r="G14" s="970"/>
      <c r="H14" s="970"/>
      <c r="I14" s="970"/>
      <c r="J14" s="970"/>
      <c r="K14" s="970"/>
      <c r="L14" s="981" t="s">
        <v>19</v>
      </c>
      <c r="M14" s="982"/>
      <c r="N14" s="982"/>
      <c r="O14" s="982"/>
      <c r="P14" s="982"/>
      <c r="Q14" s="982"/>
      <c r="R14" s="982"/>
      <c r="S14" s="971">
        <f>経費書!D21</f>
        <v>0</v>
      </c>
      <c r="T14" s="972"/>
      <c r="U14" s="972"/>
      <c r="V14" s="972"/>
      <c r="W14" s="972"/>
      <c r="X14" s="972"/>
      <c r="Y14" s="979">
        <v>0</v>
      </c>
      <c r="Z14" s="980"/>
      <c r="AA14" s="980"/>
      <c r="AB14" s="980"/>
      <c r="AC14" s="980"/>
      <c r="AD14" s="980"/>
      <c r="AE14" s="971">
        <f t="shared" si="0"/>
        <v>0</v>
      </c>
      <c r="AF14" s="972"/>
      <c r="AG14" s="972"/>
      <c r="AH14" s="972"/>
      <c r="AI14" s="972"/>
      <c r="AJ14" s="972"/>
      <c r="AK14" s="971"/>
      <c r="AL14" s="972"/>
      <c r="AM14" s="972"/>
      <c r="AN14" s="972"/>
      <c r="AO14" s="972"/>
      <c r="AP14" s="972"/>
      <c r="AQ14" s="961"/>
      <c r="AR14" s="962"/>
      <c r="AS14" s="962"/>
      <c r="AT14" s="962"/>
      <c r="AU14" s="962"/>
      <c r="AV14" s="963"/>
    </row>
    <row r="15" spans="1:49" ht="45" customHeight="1">
      <c r="B15" s="970"/>
      <c r="C15" s="970"/>
      <c r="D15" s="970"/>
      <c r="E15" s="970"/>
      <c r="F15" s="970"/>
      <c r="G15" s="970"/>
      <c r="H15" s="970"/>
      <c r="I15" s="970"/>
      <c r="J15" s="970"/>
      <c r="K15" s="970"/>
      <c r="L15" s="981" t="s">
        <v>20</v>
      </c>
      <c r="M15" s="982"/>
      <c r="N15" s="982"/>
      <c r="O15" s="982"/>
      <c r="P15" s="982"/>
      <c r="Q15" s="982"/>
      <c r="R15" s="982"/>
      <c r="S15" s="971">
        <f>経費書!D23</f>
        <v>0</v>
      </c>
      <c r="T15" s="972"/>
      <c r="U15" s="972"/>
      <c r="V15" s="972"/>
      <c r="W15" s="972"/>
      <c r="X15" s="972"/>
      <c r="Y15" s="979">
        <v>0</v>
      </c>
      <c r="Z15" s="980"/>
      <c r="AA15" s="980"/>
      <c r="AB15" s="980"/>
      <c r="AC15" s="980"/>
      <c r="AD15" s="980"/>
      <c r="AE15" s="971">
        <f t="shared" si="0"/>
        <v>0</v>
      </c>
      <c r="AF15" s="972"/>
      <c r="AG15" s="972"/>
      <c r="AH15" s="972"/>
      <c r="AI15" s="972"/>
      <c r="AJ15" s="972"/>
      <c r="AK15" s="971"/>
      <c r="AL15" s="972"/>
      <c r="AM15" s="972"/>
      <c r="AN15" s="972"/>
      <c r="AO15" s="972"/>
      <c r="AP15" s="972"/>
      <c r="AQ15" s="961"/>
      <c r="AR15" s="962"/>
      <c r="AS15" s="962"/>
      <c r="AT15" s="962"/>
      <c r="AU15" s="962"/>
      <c r="AV15" s="963"/>
    </row>
    <row r="16" spans="1:49" ht="45" customHeight="1" thickBot="1">
      <c r="B16" s="970"/>
      <c r="C16" s="970"/>
      <c r="D16" s="970"/>
      <c r="E16" s="970"/>
      <c r="F16" s="970"/>
      <c r="G16" s="970"/>
      <c r="H16" s="970"/>
      <c r="I16" s="970"/>
      <c r="J16" s="970"/>
      <c r="K16" s="970"/>
      <c r="L16" s="1027" t="s">
        <v>30</v>
      </c>
      <c r="M16" s="1028"/>
      <c r="N16" s="1028"/>
      <c r="O16" s="1028"/>
      <c r="P16" s="1028"/>
      <c r="Q16" s="1028"/>
      <c r="R16" s="1028"/>
      <c r="S16" s="973">
        <f>経費書!D25</f>
        <v>0</v>
      </c>
      <c r="T16" s="974"/>
      <c r="U16" s="974"/>
      <c r="V16" s="974"/>
      <c r="W16" s="974"/>
      <c r="X16" s="974"/>
      <c r="Y16" s="979">
        <v>0</v>
      </c>
      <c r="Z16" s="980"/>
      <c r="AA16" s="980"/>
      <c r="AB16" s="980"/>
      <c r="AC16" s="980"/>
      <c r="AD16" s="980"/>
      <c r="AE16" s="973">
        <f t="shared" si="0"/>
        <v>0</v>
      </c>
      <c r="AF16" s="974"/>
      <c r="AG16" s="974"/>
      <c r="AH16" s="974"/>
      <c r="AI16" s="974"/>
      <c r="AJ16" s="974"/>
      <c r="AK16" s="973"/>
      <c r="AL16" s="974"/>
      <c r="AM16" s="974"/>
      <c r="AN16" s="974"/>
      <c r="AO16" s="974"/>
      <c r="AP16" s="974"/>
      <c r="AQ16" s="961"/>
      <c r="AR16" s="962"/>
      <c r="AS16" s="962"/>
      <c r="AT16" s="962"/>
      <c r="AU16" s="962"/>
      <c r="AV16" s="963"/>
    </row>
    <row r="17" spans="2:48" ht="45" customHeight="1" thickTop="1" thickBot="1">
      <c r="B17" s="970"/>
      <c r="C17" s="970"/>
      <c r="D17" s="970"/>
      <c r="E17" s="970"/>
      <c r="F17" s="970"/>
      <c r="G17" s="970"/>
      <c r="H17" s="970"/>
      <c r="I17" s="970"/>
      <c r="J17" s="970"/>
      <c r="K17" s="970"/>
      <c r="L17" s="998" t="s">
        <v>31</v>
      </c>
      <c r="M17" s="999"/>
      <c r="N17" s="999"/>
      <c r="O17" s="999"/>
      <c r="P17" s="999"/>
      <c r="Q17" s="999"/>
      <c r="R17" s="999"/>
      <c r="S17" s="975">
        <f>SUM(S7:X16)</f>
        <v>0</v>
      </c>
      <c r="T17" s="976"/>
      <c r="U17" s="976"/>
      <c r="V17" s="976"/>
      <c r="W17" s="976"/>
      <c r="X17" s="976"/>
      <c r="Y17" s="975">
        <f>SUM(Y7:AD16)</f>
        <v>0</v>
      </c>
      <c r="Z17" s="976"/>
      <c r="AA17" s="976"/>
      <c r="AB17" s="976"/>
      <c r="AC17" s="976"/>
      <c r="AD17" s="976"/>
      <c r="AE17" s="975">
        <f>SUM(AE7:AJ16)</f>
        <v>0</v>
      </c>
      <c r="AF17" s="976"/>
      <c r="AG17" s="976"/>
      <c r="AH17" s="976"/>
      <c r="AI17" s="976"/>
      <c r="AJ17" s="976"/>
      <c r="AK17" s="975">
        <f>SUM(AK7:AP16)</f>
        <v>0</v>
      </c>
      <c r="AL17" s="976"/>
      <c r="AM17" s="976"/>
      <c r="AN17" s="976"/>
      <c r="AO17" s="976"/>
      <c r="AP17" s="976"/>
      <c r="AQ17" s="961"/>
      <c r="AR17" s="962"/>
      <c r="AS17" s="962"/>
      <c r="AT17" s="962"/>
      <c r="AU17" s="962"/>
      <c r="AV17" s="963"/>
    </row>
    <row r="18" spans="2:48" ht="45" hidden="1" customHeight="1" thickBot="1">
      <c r="B18" s="943" t="str">
        <f xml:space="preserve">
IF(表紙!$X$2="事前協議","－",
IF(表紙!$X$2="交付申請（２次）","－",
IF(表紙!$X$2="変更申請","－",
IF(表紙!$X$2="実績報告（１次）","感染症対策事業",
IF(表紙!$X$2="実績報告（２次）","－",
IF(表紙!$X$2="交付申請兼実績報告","－"))))))</f>
        <v>－</v>
      </c>
      <c r="C18" s="944"/>
      <c r="D18" s="944"/>
      <c r="E18" s="944"/>
      <c r="F18" s="944"/>
      <c r="G18" s="944"/>
      <c r="H18" s="944"/>
      <c r="I18" s="944"/>
      <c r="J18" s="944"/>
      <c r="K18" s="945"/>
      <c r="L18" s="949" t="str">
        <f xml:space="preserve">
IF(表紙!$X$2="事前協議","－",
IF(表紙!$X$2="交付申請（２次）","－",
IF(表紙!$X$2="変更申請","－",
IF(表紙!$X$2="実績報告（１次）","消毒経費",
IF(表紙!$X$2="実績報告（２次）","－",
IF(表紙!$X$2="交付申請兼実績報告","－"))))))</f>
        <v>－</v>
      </c>
      <c r="M18" s="950"/>
      <c r="N18" s="950"/>
      <c r="O18" s="950"/>
      <c r="P18" s="950"/>
      <c r="Q18" s="950"/>
      <c r="R18" s="951"/>
      <c r="S18" s="952">
        <f xml:space="preserve">
IF(表紙!$X$2="事前協議",0,
IF(表紙!$X$2="交付申請（２次）",0,
IF(表紙!$X$2="変更申請",0,
IF(表紙!$X$2="実績報告（１次）",経費書!D29,
IF(表紙!$X$2="実績報告（２次）",0,
IF(表紙!$X$2="交付申請兼実績報告",0))))))</f>
        <v>0</v>
      </c>
      <c r="T18" s="953"/>
      <c r="U18" s="953"/>
      <c r="V18" s="953"/>
      <c r="W18" s="953"/>
      <c r="X18" s="954"/>
      <c r="Y18" s="955">
        <v>0</v>
      </c>
      <c r="Z18" s="956"/>
      <c r="AA18" s="956"/>
      <c r="AB18" s="956"/>
      <c r="AC18" s="956"/>
      <c r="AD18" s="957"/>
      <c r="AE18" s="946">
        <f>S18-Y18</f>
        <v>0</v>
      </c>
      <c r="AF18" s="947"/>
      <c r="AG18" s="947"/>
      <c r="AH18" s="947"/>
      <c r="AI18" s="947"/>
      <c r="AJ18" s="948"/>
      <c r="AK18" s="210"/>
      <c r="AL18" s="211"/>
      <c r="AM18" s="211"/>
      <c r="AN18" s="211"/>
      <c r="AO18" s="211"/>
      <c r="AP18" s="212"/>
      <c r="AQ18" s="964"/>
      <c r="AR18" s="965"/>
      <c r="AS18" s="965"/>
      <c r="AT18" s="965"/>
      <c r="AU18" s="965"/>
      <c r="AV18" s="966"/>
    </row>
    <row r="19" spans="2:48" ht="45" hidden="1" customHeight="1">
      <c r="B19" s="1011" t="s">
        <v>22</v>
      </c>
      <c r="C19" s="1012"/>
      <c r="D19" s="1012"/>
      <c r="E19" s="1012"/>
      <c r="F19" s="1012"/>
      <c r="G19" s="1012"/>
      <c r="H19" s="1012"/>
      <c r="I19" s="1012"/>
      <c r="J19" s="1012"/>
      <c r="K19" s="1013"/>
      <c r="L19" s="949" t="s">
        <v>23</v>
      </c>
      <c r="M19" s="1023"/>
      <c r="N19" s="1023"/>
      <c r="O19" s="1023"/>
      <c r="P19" s="1023"/>
      <c r="Q19" s="1023"/>
      <c r="R19" s="1024"/>
      <c r="S19" s="946">
        <f>経費書!D31</f>
        <v>0</v>
      </c>
      <c r="T19" s="947"/>
      <c r="U19" s="947"/>
      <c r="V19" s="947"/>
      <c r="W19" s="947"/>
      <c r="X19" s="948"/>
      <c r="Y19" s="983">
        <v>0</v>
      </c>
      <c r="Z19" s="984"/>
      <c r="AA19" s="984"/>
      <c r="AB19" s="984"/>
      <c r="AC19" s="984"/>
      <c r="AD19" s="985"/>
      <c r="AE19" s="946">
        <f>S19-Y19</f>
        <v>0</v>
      </c>
      <c r="AF19" s="947"/>
      <c r="AG19" s="947"/>
      <c r="AH19" s="947"/>
      <c r="AI19" s="947"/>
      <c r="AJ19" s="948"/>
      <c r="AK19" s="946"/>
      <c r="AL19" s="947"/>
      <c r="AM19" s="947"/>
      <c r="AN19" s="947"/>
      <c r="AO19" s="947"/>
      <c r="AP19" s="948"/>
      <c r="AQ19" s="943"/>
      <c r="AR19" s="944"/>
      <c r="AS19" s="944"/>
      <c r="AT19" s="944"/>
      <c r="AU19" s="944"/>
      <c r="AV19" s="945"/>
    </row>
    <row r="20" spans="2:48" ht="45" hidden="1" customHeight="1">
      <c r="B20" s="1014"/>
      <c r="C20" s="1015"/>
      <c r="D20" s="1015"/>
      <c r="E20" s="1015"/>
      <c r="F20" s="1015"/>
      <c r="G20" s="1015"/>
      <c r="H20" s="1015"/>
      <c r="I20" s="1015"/>
      <c r="J20" s="1015"/>
      <c r="K20" s="1016"/>
      <c r="L20" s="992" t="s">
        <v>24</v>
      </c>
      <c r="M20" s="993"/>
      <c r="N20" s="993"/>
      <c r="O20" s="993"/>
      <c r="P20" s="993"/>
      <c r="Q20" s="993"/>
      <c r="R20" s="994"/>
      <c r="S20" s="946">
        <f>経費書!D33</f>
        <v>0</v>
      </c>
      <c r="T20" s="947"/>
      <c r="U20" s="947"/>
      <c r="V20" s="947"/>
      <c r="W20" s="947"/>
      <c r="X20" s="948"/>
      <c r="Y20" s="983">
        <v>0</v>
      </c>
      <c r="Z20" s="984"/>
      <c r="AA20" s="984"/>
      <c r="AB20" s="984"/>
      <c r="AC20" s="984"/>
      <c r="AD20" s="985"/>
      <c r="AE20" s="946">
        <f t="shared" ref="AE20:AE25" si="1">S20-Y20</f>
        <v>0</v>
      </c>
      <c r="AF20" s="947"/>
      <c r="AG20" s="947"/>
      <c r="AH20" s="947"/>
      <c r="AI20" s="947"/>
      <c r="AJ20" s="948"/>
      <c r="AK20" s="946"/>
      <c r="AL20" s="947"/>
      <c r="AM20" s="947"/>
      <c r="AN20" s="947"/>
      <c r="AO20" s="947"/>
      <c r="AP20" s="948"/>
      <c r="AQ20" s="943"/>
      <c r="AR20" s="944"/>
      <c r="AS20" s="944"/>
      <c r="AT20" s="944"/>
      <c r="AU20" s="944"/>
      <c r="AV20" s="945"/>
    </row>
    <row r="21" spans="2:48" ht="45" hidden="1" customHeight="1">
      <c r="B21" s="1014"/>
      <c r="C21" s="1015"/>
      <c r="D21" s="1015"/>
      <c r="E21" s="1015"/>
      <c r="F21" s="1015"/>
      <c r="G21" s="1015"/>
      <c r="H21" s="1015"/>
      <c r="I21" s="1015"/>
      <c r="J21" s="1015"/>
      <c r="K21" s="1016"/>
      <c r="L21" s="992" t="s">
        <v>25</v>
      </c>
      <c r="M21" s="993"/>
      <c r="N21" s="993"/>
      <c r="O21" s="993"/>
      <c r="P21" s="993"/>
      <c r="Q21" s="993"/>
      <c r="R21" s="994"/>
      <c r="S21" s="946">
        <f>経費書!D35</f>
        <v>0</v>
      </c>
      <c r="T21" s="947"/>
      <c r="U21" s="947"/>
      <c r="V21" s="947"/>
      <c r="W21" s="947"/>
      <c r="X21" s="948"/>
      <c r="Y21" s="983">
        <v>0</v>
      </c>
      <c r="Z21" s="984"/>
      <c r="AA21" s="984"/>
      <c r="AB21" s="984"/>
      <c r="AC21" s="984"/>
      <c r="AD21" s="985"/>
      <c r="AE21" s="946">
        <f t="shared" si="1"/>
        <v>0</v>
      </c>
      <c r="AF21" s="947"/>
      <c r="AG21" s="947"/>
      <c r="AH21" s="947"/>
      <c r="AI21" s="947"/>
      <c r="AJ21" s="948"/>
      <c r="AK21" s="946"/>
      <c r="AL21" s="947"/>
      <c r="AM21" s="947"/>
      <c r="AN21" s="947"/>
      <c r="AO21" s="947"/>
      <c r="AP21" s="948"/>
      <c r="AQ21" s="943"/>
      <c r="AR21" s="944"/>
      <c r="AS21" s="944"/>
      <c r="AT21" s="944"/>
      <c r="AU21" s="944"/>
      <c r="AV21" s="945"/>
    </row>
    <row r="22" spans="2:48" ht="45" hidden="1" customHeight="1">
      <c r="B22" s="1014"/>
      <c r="C22" s="1015"/>
      <c r="D22" s="1015"/>
      <c r="E22" s="1015"/>
      <c r="F22" s="1015"/>
      <c r="G22" s="1015"/>
      <c r="H22" s="1015"/>
      <c r="I22" s="1015"/>
      <c r="J22" s="1015"/>
      <c r="K22" s="1016"/>
      <c r="L22" s="992" t="s">
        <v>26</v>
      </c>
      <c r="M22" s="993"/>
      <c r="N22" s="993"/>
      <c r="O22" s="993"/>
      <c r="P22" s="993"/>
      <c r="Q22" s="993"/>
      <c r="R22" s="994"/>
      <c r="S22" s="946">
        <f>経費書!D37</f>
        <v>0</v>
      </c>
      <c r="T22" s="947"/>
      <c r="U22" s="947"/>
      <c r="V22" s="947"/>
      <c r="W22" s="947"/>
      <c r="X22" s="948"/>
      <c r="Y22" s="983">
        <v>0</v>
      </c>
      <c r="Z22" s="984"/>
      <c r="AA22" s="984"/>
      <c r="AB22" s="984"/>
      <c r="AC22" s="984"/>
      <c r="AD22" s="985"/>
      <c r="AE22" s="946">
        <f t="shared" si="1"/>
        <v>0</v>
      </c>
      <c r="AF22" s="947"/>
      <c r="AG22" s="947"/>
      <c r="AH22" s="947"/>
      <c r="AI22" s="947"/>
      <c r="AJ22" s="948"/>
      <c r="AK22" s="946"/>
      <c r="AL22" s="947"/>
      <c r="AM22" s="947"/>
      <c r="AN22" s="947"/>
      <c r="AO22" s="947"/>
      <c r="AP22" s="948"/>
      <c r="AQ22" s="943"/>
      <c r="AR22" s="944"/>
      <c r="AS22" s="944"/>
      <c r="AT22" s="944"/>
      <c r="AU22" s="944"/>
      <c r="AV22" s="945"/>
    </row>
    <row r="23" spans="2:48" ht="45" hidden="1" customHeight="1">
      <c r="B23" s="1014"/>
      <c r="C23" s="1015"/>
      <c r="D23" s="1015"/>
      <c r="E23" s="1015"/>
      <c r="F23" s="1015"/>
      <c r="G23" s="1015"/>
      <c r="H23" s="1015"/>
      <c r="I23" s="1015"/>
      <c r="J23" s="1015"/>
      <c r="K23" s="1016"/>
      <c r="L23" s="992" t="s">
        <v>27</v>
      </c>
      <c r="M23" s="993"/>
      <c r="N23" s="993"/>
      <c r="O23" s="993"/>
      <c r="P23" s="993"/>
      <c r="Q23" s="993"/>
      <c r="R23" s="994"/>
      <c r="S23" s="946">
        <f>経費書!D39</f>
        <v>0</v>
      </c>
      <c r="T23" s="947"/>
      <c r="U23" s="947"/>
      <c r="V23" s="947"/>
      <c r="W23" s="947"/>
      <c r="X23" s="948"/>
      <c r="Y23" s="983">
        <v>0</v>
      </c>
      <c r="Z23" s="984"/>
      <c r="AA23" s="984"/>
      <c r="AB23" s="984"/>
      <c r="AC23" s="984"/>
      <c r="AD23" s="985"/>
      <c r="AE23" s="946">
        <f t="shared" si="1"/>
        <v>0</v>
      </c>
      <c r="AF23" s="947"/>
      <c r="AG23" s="947"/>
      <c r="AH23" s="947"/>
      <c r="AI23" s="947"/>
      <c r="AJ23" s="948"/>
      <c r="AK23" s="946"/>
      <c r="AL23" s="947"/>
      <c r="AM23" s="947"/>
      <c r="AN23" s="947"/>
      <c r="AO23" s="947"/>
      <c r="AP23" s="948"/>
      <c r="AQ23" s="943"/>
      <c r="AR23" s="944"/>
      <c r="AS23" s="944"/>
      <c r="AT23" s="944"/>
      <c r="AU23" s="944"/>
      <c r="AV23" s="945"/>
    </row>
    <row r="24" spans="2:48" ht="45" hidden="1" customHeight="1">
      <c r="B24" s="1014"/>
      <c r="C24" s="1015"/>
      <c r="D24" s="1015"/>
      <c r="E24" s="1015"/>
      <c r="F24" s="1015"/>
      <c r="G24" s="1015"/>
      <c r="H24" s="1015"/>
      <c r="I24" s="1015"/>
      <c r="J24" s="1015"/>
      <c r="K24" s="1016"/>
      <c r="L24" s="992" t="s">
        <v>28</v>
      </c>
      <c r="M24" s="993"/>
      <c r="N24" s="993"/>
      <c r="O24" s="993"/>
      <c r="P24" s="993"/>
      <c r="Q24" s="993"/>
      <c r="R24" s="994"/>
      <c r="S24" s="946">
        <f>経費書!D41</f>
        <v>0</v>
      </c>
      <c r="T24" s="947"/>
      <c r="U24" s="947"/>
      <c r="V24" s="947"/>
      <c r="W24" s="947"/>
      <c r="X24" s="948"/>
      <c r="Y24" s="983">
        <v>0</v>
      </c>
      <c r="Z24" s="984"/>
      <c r="AA24" s="984"/>
      <c r="AB24" s="984"/>
      <c r="AC24" s="984"/>
      <c r="AD24" s="985"/>
      <c r="AE24" s="946">
        <f t="shared" si="1"/>
        <v>0</v>
      </c>
      <c r="AF24" s="947"/>
      <c r="AG24" s="947"/>
      <c r="AH24" s="947"/>
      <c r="AI24" s="947"/>
      <c r="AJ24" s="948"/>
      <c r="AK24" s="946"/>
      <c r="AL24" s="947"/>
      <c r="AM24" s="947"/>
      <c r="AN24" s="947"/>
      <c r="AO24" s="947"/>
      <c r="AP24" s="948"/>
      <c r="AQ24" s="943"/>
      <c r="AR24" s="944"/>
      <c r="AS24" s="944"/>
      <c r="AT24" s="944"/>
      <c r="AU24" s="944"/>
      <c r="AV24" s="945"/>
    </row>
    <row r="25" spans="2:48" ht="45" hidden="1" customHeight="1" thickBot="1">
      <c r="B25" s="1014"/>
      <c r="C25" s="1015"/>
      <c r="D25" s="1015"/>
      <c r="E25" s="1015"/>
      <c r="F25" s="1015"/>
      <c r="G25" s="1015"/>
      <c r="H25" s="1015"/>
      <c r="I25" s="1015"/>
      <c r="J25" s="1015"/>
      <c r="K25" s="1016"/>
      <c r="L25" s="1008" t="s">
        <v>29</v>
      </c>
      <c r="M25" s="1009"/>
      <c r="N25" s="1009"/>
      <c r="O25" s="1009"/>
      <c r="P25" s="1009"/>
      <c r="Q25" s="1009"/>
      <c r="R25" s="1010"/>
      <c r="S25" s="986">
        <f>経費書!D43</f>
        <v>0</v>
      </c>
      <c r="T25" s="987"/>
      <c r="U25" s="987"/>
      <c r="V25" s="987"/>
      <c r="W25" s="987"/>
      <c r="X25" s="988"/>
      <c r="Y25" s="989">
        <v>0</v>
      </c>
      <c r="Z25" s="990"/>
      <c r="AA25" s="990"/>
      <c r="AB25" s="990"/>
      <c r="AC25" s="990"/>
      <c r="AD25" s="991"/>
      <c r="AE25" s="986">
        <f t="shared" si="1"/>
        <v>0</v>
      </c>
      <c r="AF25" s="987"/>
      <c r="AG25" s="987"/>
      <c r="AH25" s="987"/>
      <c r="AI25" s="987"/>
      <c r="AJ25" s="988"/>
      <c r="AK25" s="986"/>
      <c r="AL25" s="987"/>
      <c r="AM25" s="987"/>
      <c r="AN25" s="987"/>
      <c r="AO25" s="987"/>
      <c r="AP25" s="988"/>
      <c r="AQ25" s="1002"/>
      <c r="AR25" s="1003"/>
      <c r="AS25" s="1003"/>
      <c r="AT25" s="1003"/>
      <c r="AU25" s="1003"/>
      <c r="AV25" s="1004"/>
    </row>
    <row r="26" spans="2:48" ht="45" hidden="1" customHeight="1" thickTop="1" thickBot="1">
      <c r="B26" s="1017"/>
      <c r="C26" s="1018"/>
      <c r="D26" s="1018"/>
      <c r="E26" s="1018"/>
      <c r="F26" s="1018"/>
      <c r="G26" s="1018"/>
      <c r="H26" s="1018"/>
      <c r="I26" s="1018"/>
      <c r="J26" s="1018"/>
      <c r="K26" s="1019"/>
      <c r="L26" s="1020" t="s">
        <v>31</v>
      </c>
      <c r="M26" s="1021"/>
      <c r="N26" s="1021"/>
      <c r="O26" s="1021"/>
      <c r="P26" s="1021"/>
      <c r="Q26" s="1021"/>
      <c r="R26" s="1022"/>
      <c r="S26" s="1005">
        <f>SUM(S19:X25)</f>
        <v>0</v>
      </c>
      <c r="T26" s="1006"/>
      <c r="U26" s="1006"/>
      <c r="V26" s="1006"/>
      <c r="W26" s="1006"/>
      <c r="X26" s="1007"/>
      <c r="Y26" s="1005">
        <f>SUM(Y19:AD25)</f>
        <v>0</v>
      </c>
      <c r="Z26" s="1006"/>
      <c r="AA26" s="1006"/>
      <c r="AB26" s="1006"/>
      <c r="AC26" s="1006"/>
      <c r="AD26" s="1007"/>
      <c r="AE26" s="1005">
        <f>SUM(AE19:AJ25)</f>
        <v>0</v>
      </c>
      <c r="AF26" s="1006"/>
      <c r="AG26" s="1006"/>
      <c r="AH26" s="1006"/>
      <c r="AI26" s="1006"/>
      <c r="AJ26" s="1007"/>
      <c r="AK26" s="1005">
        <f>SUM(AK19:AP25)</f>
        <v>0</v>
      </c>
      <c r="AL26" s="1006"/>
      <c r="AM26" s="1006"/>
      <c r="AN26" s="1006"/>
      <c r="AO26" s="1006"/>
      <c r="AP26" s="1007"/>
      <c r="AQ26" s="995"/>
      <c r="AR26" s="996"/>
      <c r="AS26" s="996"/>
      <c r="AT26" s="996"/>
      <c r="AU26" s="996"/>
      <c r="AV26" s="997"/>
    </row>
    <row r="27" spans="2:48" ht="45" customHeight="1" thickTop="1">
      <c r="B27" s="998" t="s">
        <v>39</v>
      </c>
      <c r="C27" s="998"/>
      <c r="D27" s="998"/>
      <c r="E27" s="998"/>
      <c r="F27" s="998"/>
      <c r="G27" s="998"/>
      <c r="H27" s="998"/>
      <c r="I27" s="998"/>
      <c r="J27" s="998"/>
      <c r="K27" s="999"/>
      <c r="L27" s="999"/>
      <c r="M27" s="999"/>
      <c r="N27" s="999"/>
      <c r="O27" s="999"/>
      <c r="P27" s="999"/>
      <c r="Q27" s="999"/>
      <c r="R27" s="999"/>
      <c r="S27" s="975">
        <f>SUM(S17,S18,S26)</f>
        <v>0</v>
      </c>
      <c r="T27" s="976"/>
      <c r="U27" s="976"/>
      <c r="V27" s="976"/>
      <c r="W27" s="976"/>
      <c r="X27" s="976"/>
      <c r="Y27" s="975">
        <f>SUM(Y17,Y18,Y26)</f>
        <v>0</v>
      </c>
      <c r="Z27" s="976"/>
      <c r="AA27" s="976"/>
      <c r="AB27" s="976"/>
      <c r="AC27" s="976"/>
      <c r="AD27" s="976"/>
      <c r="AE27" s="975">
        <f>SUM(AE17,AE18,AE26)</f>
        <v>0</v>
      </c>
      <c r="AF27" s="976"/>
      <c r="AG27" s="976"/>
      <c r="AH27" s="976"/>
      <c r="AI27" s="976"/>
      <c r="AJ27" s="976"/>
      <c r="AK27" s="975">
        <f>SUM(AK17,AK26)</f>
        <v>0</v>
      </c>
      <c r="AL27" s="976"/>
      <c r="AM27" s="976"/>
      <c r="AN27" s="976"/>
      <c r="AO27" s="976"/>
      <c r="AP27" s="976"/>
      <c r="AQ27" s="1000"/>
      <c r="AR27" s="1001"/>
      <c r="AS27" s="1001"/>
      <c r="AT27" s="1001"/>
      <c r="AU27" s="1001"/>
      <c r="AV27" s="1001"/>
    </row>
    <row r="28" spans="2:48" ht="45" customHeight="1"/>
    <row r="29" spans="2:48" ht="45" customHeight="1"/>
    <row r="30" spans="2:48" ht="45" customHeight="1"/>
    <row r="31" spans="2:48" ht="45" customHeight="1"/>
    <row r="32" spans="2:48" ht="45" customHeight="1"/>
    <row r="33" ht="45" customHeight="1"/>
    <row r="34" ht="45" customHeight="1"/>
    <row r="35" ht="30" customHeight="1"/>
    <row r="36" ht="30" customHeight="1"/>
    <row r="37" ht="30" customHeight="1"/>
    <row r="38" ht="30" customHeight="1"/>
    <row r="39" ht="30" customHeight="1"/>
    <row r="40" ht="30" customHeight="1"/>
    <row r="41" ht="30" customHeight="1"/>
    <row r="42" ht="30" customHeight="1"/>
    <row r="43" ht="30" customHeight="1"/>
    <row r="44" ht="30" customHeight="1"/>
    <row r="45" ht="30" customHeight="1"/>
    <row r="46" ht="30" customHeight="1"/>
    <row r="47" ht="30" customHeight="1"/>
    <row r="48" ht="30" customHeight="1"/>
    <row r="49" ht="30" customHeight="1"/>
    <row r="50" ht="30" customHeight="1"/>
    <row r="51" ht="30" customHeight="1"/>
    <row r="52" ht="30" customHeight="1"/>
    <row r="53" ht="30" customHeight="1"/>
    <row r="54" ht="30" customHeight="1"/>
    <row r="55" ht="30" customHeight="1"/>
  </sheetData>
  <sheetProtection algorithmName="SHA-512" hashValue="rigAC0VAJsCQ+HhLbTWJ2uBpZatMytrS8spmu3/7l35r9lo1i0bG225Wbe9XRLmJSg6iI7fGNLnQ1gvPVlanZw==" saltValue="rEXp7wkodDtsHox+zYccOA==" spinCount="100000" sheet="1" objects="1" scenarios="1"/>
  <mergeCells count="124">
    <mergeCell ref="L9:R9"/>
    <mergeCell ref="L10:R10"/>
    <mergeCell ref="L13:R13"/>
    <mergeCell ref="L7:R7"/>
    <mergeCell ref="L14:R14"/>
    <mergeCell ref="B6:K6"/>
    <mergeCell ref="L6:R6"/>
    <mergeCell ref="S6:X6"/>
    <mergeCell ref="B7:K17"/>
    <mergeCell ref="L17:R17"/>
    <mergeCell ref="L15:R15"/>
    <mergeCell ref="L16:R16"/>
    <mergeCell ref="S16:X16"/>
    <mergeCell ref="S17:X17"/>
    <mergeCell ref="S7:X7"/>
    <mergeCell ref="S8:X8"/>
    <mergeCell ref="S14:X14"/>
    <mergeCell ref="S9:X9"/>
    <mergeCell ref="S10:X10"/>
    <mergeCell ref="L11:R11"/>
    <mergeCell ref="L12:R12"/>
    <mergeCell ref="S15:X15"/>
    <mergeCell ref="Y6:AD6"/>
    <mergeCell ref="AE6:AJ6"/>
    <mergeCell ref="S13:X13"/>
    <mergeCell ref="AE7:AJ7"/>
    <mergeCell ref="Y7:AD7"/>
    <mergeCell ref="Y8:AD8"/>
    <mergeCell ref="Y13:AD13"/>
    <mergeCell ref="AE13:AJ13"/>
    <mergeCell ref="Y14:AD14"/>
    <mergeCell ref="AE14:AJ14"/>
    <mergeCell ref="Y9:AD9"/>
    <mergeCell ref="AE9:AJ9"/>
    <mergeCell ref="Y10:AD10"/>
    <mergeCell ref="AE8:AJ8"/>
    <mergeCell ref="S11:X11"/>
    <mergeCell ref="Y11:AD11"/>
    <mergeCell ref="AE11:AJ11"/>
    <mergeCell ref="S12:X12"/>
    <mergeCell ref="Y12:AD12"/>
    <mergeCell ref="AE12:AJ12"/>
    <mergeCell ref="B27:R27"/>
    <mergeCell ref="S27:X27"/>
    <mergeCell ref="Y27:AD27"/>
    <mergeCell ref="AE27:AJ27"/>
    <mergeCell ref="AK27:AP27"/>
    <mergeCell ref="AQ27:AV27"/>
    <mergeCell ref="AQ20:AV20"/>
    <mergeCell ref="AQ21:AV21"/>
    <mergeCell ref="AQ22:AV22"/>
    <mergeCell ref="AQ23:AV23"/>
    <mergeCell ref="AQ24:AV24"/>
    <mergeCell ref="AQ25:AV25"/>
    <mergeCell ref="AK25:AP25"/>
    <mergeCell ref="AK26:AP26"/>
    <mergeCell ref="S26:X26"/>
    <mergeCell ref="Y26:AD26"/>
    <mergeCell ref="AE26:AJ26"/>
    <mergeCell ref="S24:X24"/>
    <mergeCell ref="L24:R24"/>
    <mergeCell ref="L25:R25"/>
    <mergeCell ref="B19:K26"/>
    <mergeCell ref="L26:R26"/>
    <mergeCell ref="L19:R19"/>
    <mergeCell ref="AK22:AP22"/>
    <mergeCell ref="AK23:AP23"/>
    <mergeCell ref="AK24:AP24"/>
    <mergeCell ref="AK20:AP20"/>
    <mergeCell ref="AK21:AP21"/>
    <mergeCell ref="AE23:AJ23"/>
    <mergeCell ref="Y23:AD23"/>
    <mergeCell ref="S23:X23"/>
    <mergeCell ref="AQ26:AV26"/>
    <mergeCell ref="Y17:AD17"/>
    <mergeCell ref="AE17:AJ17"/>
    <mergeCell ref="Y15:AD15"/>
    <mergeCell ref="AE15:AJ15"/>
    <mergeCell ref="AE10:AJ10"/>
    <mergeCell ref="Y24:AD24"/>
    <mergeCell ref="AE24:AJ24"/>
    <mergeCell ref="S25:X25"/>
    <mergeCell ref="Y25:AD25"/>
    <mergeCell ref="AE25:AJ25"/>
    <mergeCell ref="L22:R22"/>
    <mergeCell ref="L21:R21"/>
    <mergeCell ref="L20:R20"/>
    <mergeCell ref="AE19:AJ19"/>
    <mergeCell ref="Y19:AD19"/>
    <mergeCell ref="S19:X19"/>
    <mergeCell ref="L23:R23"/>
    <mergeCell ref="AE21:AJ21"/>
    <mergeCell ref="Y21:AD21"/>
    <mergeCell ref="S21:X21"/>
    <mergeCell ref="AE20:AJ20"/>
    <mergeCell ref="Y20:AD20"/>
    <mergeCell ref="S20:X20"/>
    <mergeCell ref="AE22:AJ22"/>
    <mergeCell ref="Y22:AD22"/>
    <mergeCell ref="S22:X22"/>
    <mergeCell ref="AS3:AU3"/>
    <mergeCell ref="AQ19:AV19"/>
    <mergeCell ref="AK19:AP19"/>
    <mergeCell ref="B18:K18"/>
    <mergeCell ref="L18:R18"/>
    <mergeCell ref="S18:X18"/>
    <mergeCell ref="Y18:AD18"/>
    <mergeCell ref="AE18:AJ18"/>
    <mergeCell ref="AQ7:AV18"/>
    <mergeCell ref="B4:AV4"/>
    <mergeCell ref="AQ6:AV6"/>
    <mergeCell ref="AK15:AP15"/>
    <mergeCell ref="AK16:AP16"/>
    <mergeCell ref="AK17:AP17"/>
    <mergeCell ref="AK6:AP6"/>
    <mergeCell ref="AK7:AP7"/>
    <mergeCell ref="AK8:AP8"/>
    <mergeCell ref="AK9:AP9"/>
    <mergeCell ref="AK10:AP10"/>
    <mergeCell ref="AK13:AP13"/>
    <mergeCell ref="AK14:AP14"/>
    <mergeCell ref="Y16:AD16"/>
    <mergeCell ref="AE16:AJ16"/>
    <mergeCell ref="L8:R8"/>
  </mergeCells>
  <phoneticPr fontId="9"/>
  <pageMargins left="0.7" right="0.7" top="0.75" bottom="0.75" header="0.3" footer="0.3"/>
  <pageSetup paperSize="9" scale="51"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A2ECEB-4274-4BEB-9A6C-E5BDD71C508C}">
  <sheetPr>
    <tabColor rgb="FFFFC000"/>
    <pageSetUpPr fitToPage="1"/>
  </sheetPr>
  <dimension ref="A1:CC170"/>
  <sheetViews>
    <sheetView showGridLines="0" view="pageBreakPreview" topLeftCell="A53" zoomScale="60" zoomScaleNormal="100" workbookViewId="0">
      <selection activeCell="BI13" sqref="BI13"/>
    </sheetView>
  </sheetViews>
  <sheetFormatPr defaultRowHeight="18"/>
  <cols>
    <col min="1" max="51" width="3.625" style="223" customWidth="1"/>
    <col min="52" max="52" width="10.625" style="223" customWidth="1"/>
    <col min="53" max="55" width="10.625" style="385" hidden="1" customWidth="1"/>
    <col min="56" max="56" width="10.625" style="225" hidden="1" customWidth="1"/>
    <col min="57" max="57" width="10.625" style="226" hidden="1" customWidth="1"/>
    <col min="58" max="58" width="10.625" style="385" hidden="1" customWidth="1"/>
    <col min="59" max="59" width="10.625" style="227" customWidth="1"/>
    <col min="60" max="67" width="10.625" style="385" customWidth="1"/>
    <col min="68" max="68" width="9" style="385"/>
    <col min="69" max="69" width="11.75" style="385" bestFit="1" customWidth="1"/>
    <col min="70" max="16384" width="9" style="385"/>
  </cols>
  <sheetData>
    <row r="1" spans="1:65">
      <c r="AZ1" s="224" t="str">
        <f>AZ14</f>
        <v>○</v>
      </c>
    </row>
    <row r="2" spans="1:65" ht="24">
      <c r="A2" s="1352" t="s">
        <v>1177</v>
      </c>
      <c r="B2" s="1353"/>
      <c r="C2" s="1353"/>
      <c r="D2" s="1353"/>
      <c r="E2" s="1353"/>
      <c r="F2" s="1353"/>
      <c r="G2" s="1353"/>
      <c r="H2" s="1353"/>
      <c r="I2" s="1353"/>
      <c r="J2" s="1353"/>
      <c r="K2" s="1353"/>
      <c r="L2" s="1353"/>
      <c r="M2" s="1353"/>
      <c r="N2" s="1353"/>
      <c r="O2" s="1353"/>
      <c r="P2" s="1353"/>
      <c r="Q2" s="1353"/>
      <c r="R2" s="1353"/>
      <c r="S2" s="1353"/>
      <c r="T2" s="1353"/>
      <c r="U2" s="1353"/>
      <c r="V2" s="1353"/>
      <c r="W2" s="1353"/>
      <c r="X2" s="1353"/>
      <c r="Y2" s="1353"/>
      <c r="Z2" s="1353"/>
      <c r="AA2" s="1353"/>
      <c r="AB2" s="1353"/>
      <c r="AC2" s="1353"/>
      <c r="AD2" s="1353"/>
      <c r="AE2" s="1353"/>
      <c r="AF2" s="1353"/>
      <c r="AG2" s="1353"/>
      <c r="AH2" s="1353"/>
      <c r="AI2" s="1353"/>
      <c r="AJ2" s="1353"/>
      <c r="AK2" s="1353"/>
      <c r="AL2" s="1353"/>
      <c r="AM2" s="1353"/>
      <c r="AN2" s="1353"/>
      <c r="AO2" s="1353"/>
      <c r="AP2" s="1353"/>
      <c r="AQ2" s="1353"/>
      <c r="AR2" s="1353"/>
      <c r="AS2" s="1353"/>
      <c r="AT2" s="1353"/>
      <c r="AU2" s="1353"/>
      <c r="AV2" s="1353"/>
      <c r="AW2" s="1353"/>
      <c r="AX2" s="1353"/>
      <c r="AY2" s="1353"/>
      <c r="AZ2" s="224" t="str">
        <f>AZ30</f>
        <v>○</v>
      </c>
      <c r="BA2" s="378"/>
      <c r="BB2" s="378"/>
      <c r="BC2" s="378"/>
      <c r="BD2" s="378"/>
      <c r="BE2" s="378"/>
      <c r="BF2" s="378"/>
      <c r="BG2" s="378"/>
      <c r="BH2" s="378"/>
      <c r="BI2" s="378"/>
      <c r="BJ2" s="378"/>
      <c r="BK2" s="378"/>
      <c r="BL2" s="378"/>
      <c r="BM2" s="378"/>
    </row>
    <row r="3" spans="1:65">
      <c r="AZ3" s="224" t="str">
        <f>AZ44</f>
        <v>○</v>
      </c>
      <c r="BB3" s="223"/>
      <c r="BC3" s="223"/>
      <c r="BD3" s="223"/>
      <c r="BE3" s="223"/>
      <c r="BF3" s="223"/>
      <c r="BG3" s="223"/>
    </row>
    <row r="4" spans="1:65" ht="24" customHeight="1">
      <c r="B4" s="1211" t="s">
        <v>1041</v>
      </c>
      <c r="C4" s="1212"/>
      <c r="D4" s="1212"/>
      <c r="E4" s="1212"/>
      <c r="F4" s="1212"/>
      <c r="G4" s="1212"/>
      <c r="H4" s="1212"/>
      <c r="I4" s="1212"/>
      <c r="J4" s="1212"/>
      <c r="K4" s="1212"/>
      <c r="L4" s="1212"/>
      <c r="M4" s="1212"/>
      <c r="N4" s="1212"/>
      <c r="O4" s="1212"/>
      <c r="P4" s="1212"/>
      <c r="Q4" s="1212"/>
      <c r="R4" s="1212"/>
      <c r="S4" s="1212"/>
      <c r="T4" s="1212"/>
      <c r="U4" s="1212"/>
      <c r="V4" s="1212"/>
      <c r="W4" s="1212"/>
      <c r="X4" s="1212"/>
      <c r="Y4" s="1212"/>
      <c r="Z4" s="1212"/>
      <c r="AA4" s="1212"/>
      <c r="AB4" s="1212"/>
      <c r="AC4" s="1212"/>
      <c r="AD4" s="1212"/>
      <c r="AE4" s="1212"/>
      <c r="AF4" s="1212"/>
      <c r="AG4" s="1212"/>
      <c r="AH4" s="1212"/>
      <c r="AI4" s="1212"/>
      <c r="AJ4" s="1212"/>
      <c r="AK4" s="1212"/>
      <c r="AL4" s="1212"/>
      <c r="AM4" s="1212"/>
      <c r="AN4" s="1212"/>
      <c r="AO4" s="1212"/>
      <c r="AP4" s="1212"/>
      <c r="AQ4" s="1212"/>
      <c r="AR4" s="1212"/>
      <c r="AS4" s="1212"/>
      <c r="AT4" s="1212"/>
      <c r="AU4" s="1212"/>
      <c r="AV4" s="1212"/>
      <c r="AW4" s="1212"/>
      <c r="AX4" s="1212"/>
      <c r="AZ4" s="224" t="str">
        <f>AZ66</f>
        <v>○</v>
      </c>
      <c r="BD4" s="385"/>
      <c r="BE4" s="385"/>
      <c r="BG4" s="385"/>
    </row>
    <row r="5" spans="1:65" ht="24" customHeight="1" thickBot="1">
      <c r="B5" s="1209" t="s">
        <v>1235</v>
      </c>
      <c r="C5" s="1210"/>
      <c r="D5" s="1210"/>
      <c r="E5" s="1210"/>
      <c r="F5" s="1210"/>
      <c r="G5" s="1210"/>
      <c r="H5" s="1210"/>
      <c r="I5" s="1210"/>
      <c r="J5" s="1210"/>
      <c r="K5" s="1210"/>
      <c r="L5" s="1210"/>
      <c r="M5" s="1210"/>
      <c r="N5" s="1210"/>
      <c r="O5" s="1210"/>
      <c r="P5" s="1210"/>
      <c r="Q5" s="1210"/>
      <c r="R5" s="1210"/>
      <c r="S5" s="1210"/>
      <c r="T5" s="1210"/>
      <c r="U5" s="1210"/>
      <c r="V5" s="1210"/>
      <c r="W5" s="1210"/>
      <c r="X5" s="1210"/>
      <c r="Y5" s="1210"/>
      <c r="Z5" s="1210"/>
      <c r="AA5" s="1210"/>
      <c r="AB5" s="1210"/>
      <c r="AC5" s="1210"/>
      <c r="AD5" s="1210"/>
      <c r="AE5" s="1210"/>
      <c r="AF5" s="1210"/>
      <c r="AG5" s="1210"/>
      <c r="AH5" s="1210"/>
      <c r="AI5" s="1210"/>
      <c r="AJ5" s="1210"/>
      <c r="AK5" s="1210"/>
      <c r="AL5" s="1210"/>
      <c r="AM5" s="1210"/>
      <c r="AN5" s="1210"/>
      <c r="AO5" s="1210"/>
      <c r="AP5" s="1210"/>
      <c r="AQ5" s="1210"/>
      <c r="AR5" s="1210"/>
      <c r="AS5" s="1210"/>
      <c r="AT5" s="1210"/>
      <c r="AU5" s="1210"/>
      <c r="AV5" s="1210"/>
      <c r="AW5" s="1210"/>
      <c r="AX5" s="1210"/>
      <c r="AZ5" s="385"/>
      <c r="BD5" s="385"/>
      <c r="BE5" s="385"/>
      <c r="BG5" s="385"/>
    </row>
    <row r="6" spans="1:65" ht="24" customHeight="1" thickTop="1" thickBot="1">
      <c r="B6" s="1354" t="s">
        <v>1042</v>
      </c>
      <c r="C6" s="1355"/>
      <c r="D6" s="1355"/>
      <c r="E6" s="1355"/>
      <c r="F6" s="1355"/>
      <c r="G6" s="1355"/>
      <c r="H6" s="1355"/>
      <c r="I6" s="1355"/>
      <c r="J6" s="1355"/>
      <c r="K6" s="1355"/>
      <c r="L6" s="1355"/>
      <c r="M6" s="1355"/>
      <c r="N6" s="1355"/>
      <c r="O6" s="1355"/>
      <c r="P6" s="1355"/>
      <c r="Q6" s="1355"/>
      <c r="R6" s="1355"/>
      <c r="S6" s="1355"/>
      <c r="T6" s="1355"/>
      <c r="U6" s="1355"/>
      <c r="V6" s="1355"/>
      <c r="W6" s="1355"/>
      <c r="X6" s="1355"/>
      <c r="Y6" s="1355"/>
      <c r="Z6" s="1355"/>
      <c r="AA6" s="1355"/>
      <c r="AB6" s="1355"/>
      <c r="AC6" s="1355"/>
      <c r="AD6" s="1355"/>
      <c r="AE6" s="1355"/>
      <c r="AF6" s="1355"/>
      <c r="AG6" s="1355"/>
      <c r="AH6" s="1355"/>
      <c r="AI6" s="1355"/>
      <c r="AJ6" s="1355"/>
      <c r="AK6" s="1355"/>
      <c r="AL6" s="1355"/>
      <c r="AM6" s="1355"/>
      <c r="AN6" s="1355"/>
      <c r="AO6" s="1355"/>
      <c r="AP6" s="1355"/>
      <c r="AQ6" s="1355"/>
      <c r="AR6" s="1355"/>
      <c r="AS6" s="1355"/>
      <c r="AT6" s="1355"/>
      <c r="AU6" s="1355"/>
      <c r="AV6" s="1355"/>
      <c r="AW6" s="1355"/>
      <c r="AX6" s="1356"/>
      <c r="AZ6" s="385"/>
      <c r="BD6" s="385"/>
      <c r="BE6" s="385"/>
      <c r="BG6" s="385"/>
    </row>
    <row r="7" spans="1:65" s="229" customFormat="1" ht="48" hidden="1" customHeight="1" thickTop="1" thickBot="1">
      <c r="A7" s="228"/>
      <c r="B7" s="1357" t="s">
        <v>1178</v>
      </c>
      <c r="C7" s="1358"/>
      <c r="D7" s="1358"/>
      <c r="E7" s="1358"/>
      <c r="F7" s="1358"/>
      <c r="G7" s="1358"/>
      <c r="H7" s="1358"/>
      <c r="I7" s="1358"/>
      <c r="J7" s="1358"/>
      <c r="K7" s="1358"/>
      <c r="L7" s="1358"/>
      <c r="M7" s="1358"/>
      <c r="N7" s="1358"/>
      <c r="O7" s="1358"/>
      <c r="P7" s="1358"/>
      <c r="Q7" s="1358"/>
      <c r="R7" s="1358"/>
      <c r="S7" s="1358"/>
      <c r="T7" s="1358"/>
      <c r="U7" s="1358"/>
      <c r="V7" s="1358"/>
      <c r="W7" s="1358"/>
      <c r="X7" s="1358"/>
      <c r="Y7" s="1358"/>
      <c r="Z7" s="1358"/>
      <c r="AA7" s="1358"/>
      <c r="AB7" s="1358"/>
      <c r="AC7" s="1358"/>
      <c r="AD7" s="1358"/>
      <c r="AE7" s="1358"/>
      <c r="AF7" s="1358"/>
      <c r="AG7" s="1358"/>
      <c r="AH7" s="1358"/>
      <c r="AI7" s="1358"/>
      <c r="AJ7" s="1358"/>
      <c r="AK7" s="1358"/>
      <c r="AL7" s="1358"/>
      <c r="AM7" s="1358"/>
      <c r="AN7" s="1358"/>
      <c r="AO7" s="1358"/>
      <c r="AP7" s="1358"/>
      <c r="AQ7" s="1358"/>
      <c r="AR7" s="1358"/>
      <c r="AS7" s="1358"/>
      <c r="AT7" s="1358"/>
      <c r="AU7" s="1358"/>
      <c r="AV7" s="1358"/>
      <c r="AW7" s="1358"/>
      <c r="AX7" s="1359"/>
      <c r="AY7" s="228"/>
    </row>
    <row r="8" spans="1:65" ht="24" customHeight="1" thickTop="1">
      <c r="B8" s="1209" t="s">
        <v>1179</v>
      </c>
      <c r="C8" s="1210"/>
      <c r="D8" s="1210"/>
      <c r="E8" s="1210"/>
      <c r="F8" s="1210"/>
      <c r="G8" s="1210"/>
      <c r="H8" s="1210"/>
      <c r="I8" s="1210"/>
      <c r="J8" s="1210"/>
      <c r="K8" s="1210"/>
      <c r="L8" s="1210"/>
      <c r="M8" s="1210"/>
      <c r="N8" s="1210"/>
      <c r="O8" s="1210"/>
      <c r="P8" s="1210"/>
      <c r="Q8" s="1210"/>
      <c r="R8" s="1210"/>
      <c r="S8" s="1210"/>
      <c r="T8" s="1210"/>
      <c r="U8" s="1210"/>
      <c r="V8" s="1210"/>
      <c r="W8" s="1210"/>
      <c r="X8" s="1210"/>
      <c r="Y8" s="1210"/>
      <c r="Z8" s="1210"/>
      <c r="AA8" s="1210"/>
      <c r="AB8" s="1210"/>
      <c r="AC8" s="1210"/>
      <c r="AD8" s="1210"/>
      <c r="AE8" s="1210"/>
      <c r="AF8" s="1210"/>
      <c r="AG8" s="1210"/>
      <c r="AH8" s="1210"/>
      <c r="AI8" s="1210"/>
      <c r="AJ8" s="1210"/>
      <c r="AK8" s="1210"/>
      <c r="AL8" s="1210"/>
      <c r="AM8" s="1210"/>
      <c r="AN8" s="1210"/>
      <c r="AO8" s="1210"/>
      <c r="AP8" s="1210"/>
      <c r="AQ8" s="1210"/>
      <c r="AR8" s="1210"/>
      <c r="AS8" s="1210"/>
      <c r="AT8" s="1210"/>
      <c r="AU8" s="1210"/>
      <c r="AV8" s="1210"/>
      <c r="AW8" s="1210"/>
      <c r="AX8" s="1210"/>
      <c r="AZ8" s="385"/>
      <c r="BD8" s="385"/>
      <c r="BE8" s="385"/>
      <c r="BF8" s="230"/>
      <c r="BG8" s="385"/>
    </row>
    <row r="9" spans="1:65" ht="24" customHeight="1">
      <c r="B9" s="1209" t="s">
        <v>1043</v>
      </c>
      <c r="C9" s="1210"/>
      <c r="D9" s="1210"/>
      <c r="E9" s="1210"/>
      <c r="F9" s="1210"/>
      <c r="G9" s="1210"/>
      <c r="H9" s="1210"/>
      <c r="I9" s="1210"/>
      <c r="J9" s="1210"/>
      <c r="K9" s="1210"/>
      <c r="L9" s="1210"/>
      <c r="M9" s="1210"/>
      <c r="N9" s="1210"/>
      <c r="O9" s="1210"/>
      <c r="P9" s="1210"/>
      <c r="Q9" s="1210"/>
      <c r="R9" s="1210"/>
      <c r="S9" s="1210"/>
      <c r="T9" s="1210"/>
      <c r="U9" s="1210"/>
      <c r="V9" s="1210"/>
      <c r="W9" s="1210"/>
      <c r="X9" s="1210"/>
      <c r="Y9" s="1210"/>
      <c r="Z9" s="1210"/>
      <c r="AA9" s="1210"/>
      <c r="AB9" s="1210"/>
      <c r="AC9" s="1210"/>
      <c r="AD9" s="1210"/>
      <c r="AE9" s="1210"/>
      <c r="AF9" s="1210"/>
      <c r="AG9" s="1210"/>
      <c r="AH9" s="1210"/>
      <c r="AI9" s="1210"/>
      <c r="AJ9" s="1210"/>
      <c r="AK9" s="1210"/>
      <c r="AL9" s="1210"/>
      <c r="AM9" s="1210"/>
      <c r="AN9" s="1210"/>
      <c r="AO9" s="1210"/>
      <c r="AP9" s="1210"/>
      <c r="AQ9" s="1210"/>
      <c r="AR9" s="1210"/>
      <c r="AS9" s="1210"/>
      <c r="AT9" s="1210"/>
      <c r="AU9" s="1210"/>
      <c r="AV9" s="1210"/>
      <c r="AW9" s="1210"/>
      <c r="AX9" s="1210"/>
      <c r="AZ9" s="385"/>
      <c r="BD9" s="385"/>
      <c r="BE9" s="385"/>
      <c r="BG9" s="385"/>
    </row>
    <row r="10" spans="1:65" ht="24" customHeight="1">
      <c r="B10" s="1211" t="s">
        <v>1180</v>
      </c>
      <c r="C10" s="1212"/>
      <c r="D10" s="1212"/>
      <c r="E10" s="1212"/>
      <c r="F10" s="1212"/>
      <c r="G10" s="1212"/>
      <c r="H10" s="1212"/>
      <c r="I10" s="1212"/>
      <c r="J10" s="1212"/>
      <c r="K10" s="1212"/>
      <c r="L10" s="1212"/>
      <c r="M10" s="1212"/>
      <c r="N10" s="1212"/>
      <c r="O10" s="1212"/>
      <c r="P10" s="1212"/>
      <c r="Q10" s="1212"/>
      <c r="R10" s="1212"/>
      <c r="S10" s="1212"/>
      <c r="T10" s="1212"/>
      <c r="U10" s="1212"/>
      <c r="V10" s="1212"/>
      <c r="W10" s="1212"/>
      <c r="X10" s="1212"/>
      <c r="Y10" s="1212"/>
      <c r="Z10" s="1212"/>
      <c r="AA10" s="1212"/>
      <c r="AB10" s="1212"/>
      <c r="AC10" s="1212"/>
      <c r="AD10" s="1212"/>
      <c r="AE10" s="1212"/>
      <c r="AF10" s="1212"/>
      <c r="AG10" s="1212"/>
      <c r="AH10" s="1212"/>
      <c r="AI10" s="1212"/>
      <c r="AJ10" s="1212"/>
      <c r="AK10" s="1212"/>
      <c r="AL10" s="1212"/>
      <c r="AM10" s="1212"/>
      <c r="AN10" s="1212"/>
      <c r="AO10" s="1212"/>
      <c r="AP10" s="1212"/>
      <c r="AQ10" s="1212"/>
      <c r="AR10" s="1212"/>
      <c r="AS10" s="1212"/>
      <c r="AT10" s="1212"/>
      <c r="AU10" s="1212"/>
      <c r="AV10" s="1210"/>
      <c r="AW10" s="1210"/>
      <c r="AX10" s="1210"/>
      <c r="AZ10" s="385"/>
      <c r="BD10" s="385"/>
      <c r="BE10" s="385"/>
      <c r="BG10" s="385"/>
    </row>
    <row r="11" spans="1:65" ht="24" customHeight="1">
      <c r="B11" s="1212"/>
      <c r="C11" s="1212"/>
      <c r="D11" s="1212"/>
      <c r="E11" s="1212"/>
      <c r="F11" s="1212"/>
      <c r="G11" s="1212"/>
      <c r="H11" s="1212"/>
      <c r="I11" s="1212"/>
      <c r="J11" s="1212"/>
      <c r="K11" s="1212"/>
      <c r="L11" s="1212"/>
      <c r="M11" s="1212"/>
      <c r="N11" s="1212"/>
      <c r="O11" s="1212"/>
      <c r="P11" s="1212"/>
      <c r="Q11" s="1212"/>
      <c r="R11" s="1212"/>
      <c r="S11" s="1212"/>
      <c r="T11" s="1212"/>
      <c r="U11" s="1212"/>
      <c r="V11" s="1212"/>
      <c r="W11" s="1212"/>
      <c r="X11" s="1212"/>
      <c r="Y11" s="1212"/>
      <c r="Z11" s="1212"/>
      <c r="AA11" s="1212"/>
      <c r="AB11" s="1212"/>
      <c r="AC11" s="1212"/>
      <c r="AD11" s="1212"/>
      <c r="AE11" s="1212"/>
      <c r="AF11" s="1212"/>
      <c r="AG11" s="1212"/>
      <c r="AH11" s="1212"/>
      <c r="AI11" s="1212"/>
      <c r="AJ11" s="1212"/>
      <c r="AK11" s="1212"/>
      <c r="AL11" s="1212"/>
      <c r="AM11" s="1212"/>
      <c r="AN11" s="1212"/>
      <c r="AO11" s="1212"/>
      <c r="AP11" s="1212"/>
      <c r="AQ11" s="1212"/>
      <c r="AR11" s="1212"/>
      <c r="AS11" s="1212"/>
      <c r="AT11" s="1212"/>
      <c r="AU11" s="1212"/>
      <c r="AV11" s="1210"/>
      <c r="AW11" s="1210"/>
      <c r="AX11" s="1210"/>
      <c r="AZ11" s="385"/>
      <c r="BD11" s="385"/>
      <c r="BE11" s="385"/>
      <c r="BG11" s="385"/>
    </row>
    <row r="12" spans="1:65" s="229" customFormat="1" ht="48" customHeight="1">
      <c r="A12" s="228"/>
      <c r="B12" s="1211" t="s">
        <v>1044</v>
      </c>
      <c r="C12" s="1212"/>
      <c r="D12" s="1212"/>
      <c r="E12" s="1212"/>
      <c r="F12" s="1212"/>
      <c r="G12" s="1212"/>
      <c r="H12" s="1212"/>
      <c r="I12" s="1212"/>
      <c r="J12" s="1212"/>
      <c r="K12" s="1212"/>
      <c r="L12" s="1212"/>
      <c r="M12" s="1212"/>
      <c r="N12" s="1212"/>
      <c r="O12" s="1212"/>
      <c r="P12" s="1212"/>
      <c r="Q12" s="1212"/>
      <c r="R12" s="1212"/>
      <c r="S12" s="1212"/>
      <c r="T12" s="1212"/>
      <c r="U12" s="1212"/>
      <c r="V12" s="1212"/>
      <c r="W12" s="1212"/>
      <c r="X12" s="1212"/>
      <c r="Y12" s="1212"/>
      <c r="Z12" s="1212"/>
      <c r="AA12" s="1212"/>
      <c r="AB12" s="1212"/>
      <c r="AC12" s="1212"/>
      <c r="AD12" s="1212"/>
      <c r="AE12" s="1212"/>
      <c r="AF12" s="1212"/>
      <c r="AG12" s="1212"/>
      <c r="AH12" s="1212"/>
      <c r="AI12" s="1212"/>
      <c r="AJ12" s="1212"/>
      <c r="AK12" s="1212"/>
      <c r="AL12" s="1212"/>
      <c r="AM12" s="1212"/>
      <c r="AN12" s="1212"/>
      <c r="AO12" s="1212"/>
      <c r="AP12" s="1212"/>
      <c r="AQ12" s="1212"/>
      <c r="AR12" s="1212"/>
      <c r="AS12" s="1212"/>
      <c r="AT12" s="1212"/>
      <c r="AU12" s="1212"/>
      <c r="AV12" s="1212"/>
      <c r="AW12" s="1212"/>
      <c r="AX12" s="1212"/>
      <c r="AY12" s="228"/>
    </row>
    <row r="13" spans="1:65">
      <c r="BB13" s="223"/>
      <c r="BC13" s="223"/>
      <c r="BD13" s="223"/>
      <c r="BE13" s="223"/>
      <c r="BF13" s="223"/>
      <c r="BG13" s="223"/>
    </row>
    <row r="14" spans="1:65" ht="45" customHeight="1">
      <c r="B14" s="1351" t="str">
        <f>"１．勤務体制　　【総合判定】"&amp;AZ14&amp;CHAR(10)&amp;
"「３．配置情報」に入力いただく勤務時間数の目安情報として、コロナ病棟または病床を有する病棟における看護配置の割合を入力してください。"</f>
        <v>１．勤務体制　　【総合判定】○
「３．配置情報」に入力いただく勤務時間数の目安情報として、コロナ病棟または病床を有する病棟における看護配置の割合を入力してください。</v>
      </c>
      <c r="C14" s="1351"/>
      <c r="D14" s="1351"/>
      <c r="E14" s="1351"/>
      <c r="F14" s="1351"/>
      <c r="G14" s="1351"/>
      <c r="H14" s="1351"/>
      <c r="I14" s="1351"/>
      <c r="J14" s="1351"/>
      <c r="K14" s="1351"/>
      <c r="L14" s="1351"/>
      <c r="M14" s="1351"/>
      <c r="N14" s="1351"/>
      <c r="O14" s="1351"/>
      <c r="P14" s="1351"/>
      <c r="Q14" s="1351"/>
      <c r="R14" s="1351"/>
      <c r="S14" s="1351"/>
      <c r="T14" s="1351"/>
      <c r="U14" s="1351"/>
      <c r="V14" s="1351"/>
      <c r="W14" s="1351"/>
      <c r="X14" s="1351"/>
      <c r="Y14" s="1351"/>
      <c r="Z14" s="1351"/>
      <c r="AA14" s="1351"/>
      <c r="AB14" s="1351"/>
      <c r="AC14" s="1351"/>
      <c r="AD14" s="1351"/>
      <c r="AE14" s="1351"/>
      <c r="AF14" s="1351"/>
      <c r="AG14" s="1351"/>
      <c r="AH14" s="1351"/>
      <c r="AI14" s="1351"/>
      <c r="AJ14" s="1351"/>
      <c r="AK14" s="1351"/>
      <c r="AL14" s="1351"/>
      <c r="AM14" s="1351"/>
      <c r="AN14" s="1351"/>
      <c r="AO14" s="1351"/>
      <c r="AP14" s="1351"/>
      <c r="AQ14" s="1351"/>
      <c r="AR14" s="1351"/>
      <c r="AS14" s="1351"/>
      <c r="AT14" s="1351"/>
      <c r="AU14" s="1351"/>
      <c r="AV14" s="1351"/>
      <c r="AW14" s="1351"/>
      <c r="AX14" s="1351"/>
      <c r="AY14" s="1351"/>
      <c r="AZ14" s="387" t="str">
        <f>IF(SUM(COUNTA(G18),COUNTA(L18))=2,"○","×")</f>
        <v>○</v>
      </c>
      <c r="BB14" s="223"/>
      <c r="BC14" s="231"/>
      <c r="BD14" s="223"/>
      <c r="BE14" s="223"/>
      <c r="BF14" s="223"/>
      <c r="BG14" s="223"/>
    </row>
    <row r="15" spans="1:65" s="232" customFormat="1" ht="18.75" customHeight="1">
      <c r="A15" s="223"/>
      <c r="B15" s="223"/>
      <c r="C15" s="223"/>
      <c r="D15" s="223"/>
      <c r="E15" s="223"/>
      <c r="F15" s="223"/>
      <c r="G15" s="223"/>
      <c r="H15" s="223"/>
      <c r="I15" s="223"/>
      <c r="J15" s="223"/>
      <c r="K15" s="223"/>
      <c r="L15" s="223"/>
      <c r="M15" s="223"/>
      <c r="N15" s="223"/>
      <c r="O15" s="223"/>
      <c r="P15" s="223"/>
      <c r="Q15" s="223"/>
      <c r="R15" s="223"/>
      <c r="S15" s="223"/>
      <c r="T15" s="223"/>
      <c r="U15" s="223"/>
      <c r="V15" s="223"/>
      <c r="W15" s="223"/>
      <c r="X15" s="223"/>
      <c r="Y15" s="223"/>
      <c r="Z15" s="223"/>
      <c r="AA15" s="223"/>
      <c r="AB15" s="223"/>
      <c r="AC15" s="223"/>
      <c r="AD15" s="223"/>
      <c r="AE15" s="223"/>
      <c r="AF15" s="223"/>
      <c r="AG15" s="223"/>
      <c r="AH15" s="223"/>
      <c r="AI15" s="223"/>
      <c r="AJ15" s="223"/>
      <c r="AK15" s="223"/>
      <c r="AL15" s="223"/>
      <c r="AM15" s="223"/>
      <c r="AN15" s="223"/>
      <c r="AO15" s="223"/>
      <c r="AP15" s="223"/>
      <c r="AQ15" s="223"/>
      <c r="AR15" s="223"/>
      <c r="AS15" s="223"/>
      <c r="AT15" s="223"/>
      <c r="AU15" s="223"/>
      <c r="AV15" s="223"/>
      <c r="AW15" s="223"/>
      <c r="AX15" s="223"/>
      <c r="AY15" s="223"/>
      <c r="BA15" s="233"/>
      <c r="BB15" s="382"/>
      <c r="BC15" s="382"/>
      <c r="BD15" s="383"/>
      <c r="BE15" s="223"/>
      <c r="BF15" s="223"/>
      <c r="BG15" s="223"/>
    </row>
    <row r="16" spans="1:65" s="232" customFormat="1" ht="18.75" customHeight="1">
      <c r="A16" s="223"/>
      <c r="B16" s="1029" t="s">
        <v>1184</v>
      </c>
      <c r="C16" s="908"/>
      <c r="D16" s="908"/>
      <c r="E16" s="908"/>
      <c r="F16" s="1030"/>
      <c r="G16" s="1029" t="s">
        <v>1185</v>
      </c>
      <c r="H16" s="908"/>
      <c r="I16" s="908"/>
      <c r="J16" s="908"/>
      <c r="K16" s="1030"/>
      <c r="L16" s="1029" t="s">
        <v>1186</v>
      </c>
      <c r="M16" s="908"/>
      <c r="N16" s="908"/>
      <c r="O16" s="908"/>
      <c r="P16" s="1030"/>
      <c r="Q16" s="234"/>
      <c r="R16" s="234"/>
      <c r="S16" s="234"/>
      <c r="T16" s="234"/>
      <c r="U16" s="234"/>
      <c r="V16" s="234"/>
      <c r="W16" s="234"/>
      <c r="X16" s="234"/>
      <c r="Y16" s="234"/>
      <c r="Z16" s="234"/>
      <c r="AA16" s="234"/>
      <c r="AB16" s="234"/>
      <c r="AC16" s="234"/>
      <c r="AD16" s="234"/>
      <c r="AE16" s="234"/>
      <c r="AF16" s="234"/>
      <c r="AG16" s="234"/>
      <c r="AH16" s="234"/>
      <c r="AI16" s="234"/>
      <c r="AJ16" s="234"/>
      <c r="AK16" s="234"/>
      <c r="AL16" s="234"/>
      <c r="AM16" s="234"/>
      <c r="AN16" s="234"/>
      <c r="AO16" s="234"/>
      <c r="AP16" s="234"/>
      <c r="AQ16" s="234"/>
      <c r="AR16" s="234"/>
      <c r="AS16" s="234"/>
      <c r="AT16" s="234"/>
      <c r="AU16" s="234"/>
      <c r="AV16" s="234"/>
      <c r="AW16" s="234"/>
      <c r="AX16" s="234"/>
      <c r="AY16" s="223"/>
      <c r="BA16" s="233"/>
      <c r="BB16" s="382"/>
      <c r="BC16" s="382"/>
      <c r="BD16" s="383"/>
      <c r="BE16" s="223"/>
      <c r="BF16" s="223"/>
      <c r="BG16" s="223"/>
    </row>
    <row r="17" spans="1:79" s="232" customFormat="1" ht="18.75" customHeight="1">
      <c r="A17" s="223"/>
      <c r="B17" s="908"/>
      <c r="C17" s="908"/>
      <c r="D17" s="908"/>
      <c r="E17" s="908"/>
      <c r="F17" s="1030"/>
      <c r="G17" s="908"/>
      <c r="H17" s="908"/>
      <c r="I17" s="908"/>
      <c r="J17" s="908"/>
      <c r="K17" s="1030"/>
      <c r="L17" s="908"/>
      <c r="M17" s="908"/>
      <c r="N17" s="908"/>
      <c r="O17" s="908"/>
      <c r="P17" s="1030"/>
      <c r="Q17" s="394"/>
      <c r="R17" s="394"/>
      <c r="S17" s="394"/>
      <c r="T17" s="394"/>
      <c r="U17" s="394"/>
      <c r="V17" s="394"/>
      <c r="W17" s="394"/>
      <c r="X17" s="394"/>
      <c r="Y17" s="394"/>
      <c r="Z17" s="394"/>
      <c r="AA17" s="394"/>
      <c r="AB17" s="394"/>
      <c r="AC17" s="394"/>
      <c r="AD17" s="394"/>
      <c r="AE17" s="394"/>
      <c r="AF17" s="394"/>
      <c r="AG17" s="394"/>
      <c r="AH17" s="394"/>
      <c r="AI17" s="394"/>
      <c r="AJ17" s="394"/>
      <c r="AK17" s="394"/>
      <c r="AL17" s="394"/>
      <c r="AM17" s="394"/>
      <c r="AN17" s="394"/>
      <c r="AO17" s="394"/>
      <c r="AP17" s="394"/>
      <c r="AQ17" s="394"/>
      <c r="AR17" s="394"/>
      <c r="AS17" s="394"/>
      <c r="AT17" s="394"/>
      <c r="AU17" s="394"/>
      <c r="AV17" s="394"/>
      <c r="AW17" s="394"/>
      <c r="AX17" s="394"/>
      <c r="AY17" s="223"/>
      <c r="BB17" s="223"/>
      <c r="BC17" s="231"/>
      <c r="BD17" s="223"/>
      <c r="BE17" s="223"/>
      <c r="BF17" s="223"/>
      <c r="BG17" s="223"/>
    </row>
    <row r="18" spans="1:79" s="232" customFormat="1" ht="18.75" customHeight="1">
      <c r="A18" s="223"/>
      <c r="B18" s="1029" t="s">
        <v>1183</v>
      </c>
      <c r="C18" s="1030"/>
      <c r="D18" s="1030"/>
      <c r="E18" s="1030"/>
      <c r="F18" s="1030"/>
      <c r="G18" s="1031">
        <v>7</v>
      </c>
      <c r="H18" s="1032"/>
      <c r="I18" s="1036" t="s">
        <v>1187</v>
      </c>
      <c r="J18" s="1034">
        <v>1</v>
      </c>
      <c r="K18" s="908"/>
      <c r="L18" s="1031">
        <v>7</v>
      </c>
      <c r="M18" s="1032"/>
      <c r="N18" s="1036" t="s">
        <v>1187</v>
      </c>
      <c r="O18" s="1034">
        <v>1</v>
      </c>
      <c r="P18" s="908"/>
      <c r="Q18" s="223"/>
      <c r="R18" s="223"/>
      <c r="S18" s="223"/>
      <c r="T18" s="223"/>
      <c r="U18" s="223"/>
      <c r="V18" s="223"/>
      <c r="W18" s="223"/>
      <c r="X18" s="223"/>
      <c r="Y18" s="223"/>
      <c r="Z18" s="223"/>
      <c r="AA18" s="223"/>
      <c r="AB18" s="223"/>
      <c r="AC18" s="223"/>
      <c r="AD18" s="223"/>
      <c r="AE18" s="223"/>
      <c r="AF18" s="223"/>
      <c r="AG18" s="223"/>
      <c r="AH18" s="223"/>
      <c r="AI18" s="223"/>
      <c r="AJ18" s="223"/>
      <c r="AK18" s="223"/>
      <c r="AL18" s="223"/>
      <c r="AM18" s="223"/>
      <c r="AN18" s="223"/>
      <c r="AO18" s="223"/>
      <c r="AP18" s="223"/>
      <c r="AQ18" s="223"/>
      <c r="AR18" s="223"/>
      <c r="AS18" s="223"/>
      <c r="AT18" s="223"/>
      <c r="AU18" s="223"/>
      <c r="AV18" s="223"/>
      <c r="AW18" s="223"/>
      <c r="AX18" s="223"/>
      <c r="AY18" s="223"/>
      <c r="BA18" s="233"/>
      <c r="BB18" s="382"/>
      <c r="BC18" s="382"/>
      <c r="BD18" s="382"/>
      <c r="BE18" s="383"/>
      <c r="BF18" s="223"/>
      <c r="BG18" s="223"/>
    </row>
    <row r="19" spans="1:79" ht="18.75" customHeight="1">
      <c r="B19" s="1030"/>
      <c r="C19" s="1030"/>
      <c r="D19" s="1030"/>
      <c r="E19" s="1030"/>
      <c r="F19" s="1030"/>
      <c r="G19" s="1033"/>
      <c r="H19" s="1032"/>
      <c r="I19" s="1037"/>
      <c r="J19" s="1035"/>
      <c r="K19" s="908"/>
      <c r="L19" s="1033"/>
      <c r="M19" s="1032"/>
      <c r="N19" s="1037"/>
      <c r="O19" s="1035"/>
      <c r="P19" s="908"/>
      <c r="Q19" s="381"/>
      <c r="R19" s="381"/>
      <c r="S19" s="381"/>
      <c r="T19" s="381"/>
      <c r="U19" s="381"/>
      <c r="V19" s="381"/>
      <c r="W19" s="381"/>
      <c r="X19" s="381"/>
      <c r="Y19" s="381"/>
      <c r="Z19" s="381"/>
      <c r="AA19" s="381"/>
      <c r="AB19" s="381"/>
      <c r="AC19" s="381"/>
      <c r="AD19" s="381"/>
      <c r="AE19" s="381"/>
      <c r="AF19" s="381"/>
      <c r="AG19" s="381"/>
      <c r="AH19" s="381"/>
      <c r="AI19" s="381"/>
      <c r="AJ19" s="381"/>
      <c r="AK19" s="381"/>
      <c r="AL19" s="381"/>
      <c r="AM19" s="381"/>
      <c r="AN19" s="381"/>
      <c r="AO19" s="381"/>
      <c r="AP19" s="381"/>
      <c r="AQ19" s="381"/>
      <c r="AR19" s="381"/>
      <c r="AS19" s="381"/>
      <c r="AT19" s="381"/>
      <c r="AU19" s="381"/>
      <c r="AV19" s="381"/>
      <c r="AW19" s="381"/>
      <c r="AX19" s="381"/>
      <c r="AY19" s="380"/>
      <c r="AZ19" s="385"/>
      <c r="BA19" s="1348" t="s">
        <v>1047</v>
      </c>
      <c r="BB19" s="1349"/>
      <c r="BC19" s="1349"/>
      <c r="BD19" s="1349"/>
      <c r="BE19" s="1350"/>
      <c r="BF19" s="223"/>
      <c r="BG19" s="223"/>
    </row>
    <row r="20" spans="1:79" ht="24" hidden="1">
      <c r="B20" s="380"/>
      <c r="C20" s="381"/>
      <c r="D20" s="381"/>
      <c r="E20" s="381"/>
      <c r="F20" s="381"/>
      <c r="G20" s="381"/>
      <c r="H20" s="381"/>
      <c r="I20" s="381"/>
      <c r="J20" s="381"/>
      <c r="K20" s="381"/>
      <c r="L20" s="381"/>
      <c r="M20" s="381"/>
      <c r="N20" s="381"/>
      <c r="O20" s="381"/>
      <c r="P20" s="381"/>
      <c r="Q20" s="381"/>
      <c r="R20" s="381"/>
      <c r="S20" s="381"/>
      <c r="T20" s="381"/>
      <c r="U20" s="381"/>
      <c r="V20" s="381"/>
      <c r="W20" s="381"/>
      <c r="X20" s="381"/>
      <c r="Y20" s="381"/>
      <c r="Z20" s="381"/>
      <c r="AA20" s="381"/>
      <c r="AB20" s="381"/>
      <c r="AC20" s="381"/>
      <c r="AD20" s="381"/>
      <c r="AE20" s="381"/>
      <c r="AF20" s="381"/>
      <c r="AG20" s="381"/>
      <c r="AH20" s="381"/>
      <c r="AI20" s="381"/>
      <c r="AJ20" s="381"/>
      <c r="AK20" s="381"/>
      <c r="AL20" s="381"/>
      <c r="AM20" s="381"/>
      <c r="AN20" s="381"/>
      <c r="AO20" s="381"/>
      <c r="AP20" s="381"/>
      <c r="AQ20" s="381"/>
      <c r="AR20" s="381"/>
      <c r="AS20" s="381"/>
      <c r="AT20" s="381"/>
      <c r="AU20" s="381"/>
      <c r="AV20" s="381"/>
      <c r="AW20" s="381"/>
      <c r="AX20" s="381"/>
      <c r="AY20" s="235"/>
      <c r="AZ20" s="385"/>
      <c r="BA20" s="1348" t="s">
        <v>1051</v>
      </c>
      <c r="BB20" s="1349"/>
      <c r="BC20" s="1349"/>
      <c r="BD20" s="1349"/>
      <c r="BE20" s="1350"/>
      <c r="BG20" s="385"/>
    </row>
    <row r="21" spans="1:79" ht="24" hidden="1">
      <c r="B21" s="380"/>
      <c r="C21" s="381"/>
      <c r="D21" s="381"/>
      <c r="E21" s="381"/>
      <c r="F21" s="381"/>
      <c r="G21" s="381"/>
      <c r="H21" s="381"/>
      <c r="I21" s="381"/>
      <c r="J21" s="381"/>
      <c r="K21" s="381"/>
      <c r="L21" s="381"/>
      <c r="M21" s="381"/>
      <c r="N21" s="381"/>
      <c r="O21" s="381"/>
      <c r="P21" s="381"/>
      <c r="Q21" s="381"/>
      <c r="R21" s="381"/>
      <c r="S21" s="381"/>
      <c r="T21" s="381"/>
      <c r="U21" s="381"/>
      <c r="V21" s="381"/>
      <c r="W21" s="381"/>
      <c r="X21" s="381"/>
      <c r="Y21" s="381"/>
      <c r="Z21" s="381"/>
      <c r="AA21" s="381"/>
      <c r="AB21" s="381"/>
      <c r="AC21" s="381"/>
      <c r="AD21" s="381"/>
      <c r="AE21" s="381"/>
      <c r="AF21" s="381"/>
      <c r="AG21" s="381"/>
      <c r="AH21" s="381"/>
      <c r="AI21" s="381"/>
      <c r="AJ21" s="381"/>
      <c r="AK21" s="381"/>
      <c r="AL21" s="381"/>
      <c r="AM21" s="381"/>
      <c r="AN21" s="381"/>
      <c r="AO21" s="381"/>
      <c r="AP21" s="381"/>
      <c r="AQ21" s="381"/>
      <c r="AR21" s="381"/>
      <c r="AS21" s="381"/>
      <c r="AT21" s="381"/>
      <c r="AU21" s="381"/>
      <c r="AV21" s="381"/>
      <c r="AW21" s="381"/>
      <c r="AX21" s="381"/>
      <c r="AY21" s="235"/>
      <c r="AZ21" s="385"/>
      <c r="BB21" s="223"/>
      <c r="BC21" s="231"/>
      <c r="BD21" s="385"/>
      <c r="BE21" s="385"/>
      <c r="BG21" s="385"/>
    </row>
    <row r="22" spans="1:79" ht="24" hidden="1">
      <c r="B22" s="380"/>
      <c r="C22" s="381"/>
      <c r="D22" s="381"/>
      <c r="E22" s="381"/>
      <c r="F22" s="381"/>
      <c r="G22" s="381"/>
      <c r="H22" s="381"/>
      <c r="I22" s="381"/>
      <c r="J22" s="381"/>
      <c r="K22" s="381"/>
      <c r="L22" s="381"/>
      <c r="M22" s="381"/>
      <c r="N22" s="381"/>
      <c r="O22" s="381"/>
      <c r="P22" s="381"/>
      <c r="Q22" s="381"/>
      <c r="R22" s="381"/>
      <c r="S22" s="381"/>
      <c r="T22" s="381"/>
      <c r="U22" s="381"/>
      <c r="V22" s="381"/>
      <c r="W22" s="381"/>
      <c r="X22" s="381"/>
      <c r="Y22" s="381"/>
      <c r="Z22" s="381"/>
      <c r="AA22" s="381"/>
      <c r="AB22" s="381"/>
      <c r="AC22" s="381"/>
      <c r="AD22" s="381"/>
      <c r="AE22" s="381"/>
      <c r="AF22" s="381"/>
      <c r="AG22" s="381"/>
      <c r="AH22" s="381"/>
      <c r="AI22" s="381"/>
      <c r="AJ22" s="381"/>
      <c r="AK22" s="381"/>
      <c r="AL22" s="381"/>
      <c r="AM22" s="381"/>
      <c r="AN22" s="381"/>
      <c r="AO22" s="381"/>
      <c r="AP22" s="381"/>
      <c r="AQ22" s="381"/>
      <c r="AR22" s="381"/>
      <c r="AS22" s="381"/>
      <c r="AT22" s="381"/>
      <c r="AU22" s="381"/>
      <c r="AV22" s="381"/>
      <c r="AW22" s="381"/>
      <c r="AX22" s="381"/>
      <c r="BA22" s="236" t="str">
        <f t="shared" ref="BA22:BA28" si="0">TEXT(H22&amp;":"&amp;J22,"hh:mm")</f>
        <v>:</v>
      </c>
      <c r="BB22" s="236" t="str">
        <f t="shared" ref="BB22:BB28" si="1">TEXT(L22&amp;":"&amp;N22,"hh:mm")</f>
        <v>:</v>
      </c>
      <c r="BC22" s="236" t="str">
        <f t="shared" ref="BC22:BC28" si="2">TEXT(O22&amp;":"&amp;Q22,"hh:mm")</f>
        <v>:</v>
      </c>
      <c r="BD22" s="236" t="str">
        <f t="shared" ref="BD22:BD28" si="3">TEXT(S22&amp;":"&amp;U22,"hh:mm")</f>
        <v>:</v>
      </c>
      <c r="BE22" s="236" t="str">
        <f t="shared" ref="BE22:BE28" si="4">TEXT(V22&amp;":"&amp;X22,"hh:mm")</f>
        <v>:</v>
      </c>
      <c r="BF22" s="236" t="str">
        <f t="shared" ref="BF22:BF28" si="5">TEXT(Z22&amp;":"&amp;AB22,"hh:mm")</f>
        <v>:</v>
      </c>
      <c r="BG22" s="385"/>
    </row>
    <row r="23" spans="1:79" ht="24" hidden="1">
      <c r="B23" s="380"/>
      <c r="C23" s="381"/>
      <c r="D23" s="381"/>
      <c r="E23" s="381"/>
      <c r="F23" s="381"/>
      <c r="G23" s="381"/>
      <c r="H23" s="381"/>
      <c r="I23" s="381"/>
      <c r="J23" s="381"/>
      <c r="K23" s="381"/>
      <c r="L23" s="381"/>
      <c r="M23" s="381"/>
      <c r="N23" s="381"/>
      <c r="O23" s="381"/>
      <c r="P23" s="381"/>
      <c r="Q23" s="381"/>
      <c r="R23" s="381"/>
      <c r="S23" s="381"/>
      <c r="T23" s="381"/>
      <c r="U23" s="381"/>
      <c r="V23" s="381"/>
      <c r="W23" s="381"/>
      <c r="X23" s="381"/>
      <c r="Y23" s="381"/>
      <c r="Z23" s="381"/>
      <c r="AA23" s="381"/>
      <c r="AB23" s="381"/>
      <c r="AC23" s="381"/>
      <c r="AD23" s="381"/>
      <c r="AE23" s="381"/>
      <c r="AF23" s="381"/>
      <c r="AG23" s="381"/>
      <c r="AH23" s="381"/>
      <c r="AI23" s="381"/>
      <c r="AJ23" s="381"/>
      <c r="AK23" s="381"/>
      <c r="AL23" s="381"/>
      <c r="AM23" s="381"/>
      <c r="AN23" s="381"/>
      <c r="AO23" s="381"/>
      <c r="AP23" s="381"/>
      <c r="AQ23" s="381"/>
      <c r="AR23" s="381"/>
      <c r="AS23" s="381"/>
      <c r="AT23" s="381"/>
      <c r="AU23" s="381"/>
      <c r="AV23" s="381"/>
      <c r="AW23" s="381"/>
      <c r="AX23" s="381"/>
      <c r="BA23" s="236" t="str">
        <f t="shared" si="0"/>
        <v>:</v>
      </c>
      <c r="BB23" s="236" t="str">
        <f t="shared" si="1"/>
        <v>:</v>
      </c>
      <c r="BC23" s="236" t="str">
        <f t="shared" si="2"/>
        <v>:</v>
      </c>
      <c r="BD23" s="236" t="str">
        <f t="shared" si="3"/>
        <v>:</v>
      </c>
      <c r="BE23" s="236" t="str">
        <f t="shared" si="4"/>
        <v>:</v>
      </c>
      <c r="BF23" s="236" t="str">
        <f t="shared" si="5"/>
        <v>:</v>
      </c>
      <c r="BG23" s="223"/>
    </row>
    <row r="24" spans="1:79" ht="24" hidden="1">
      <c r="B24" s="380"/>
      <c r="C24" s="381"/>
      <c r="D24" s="381"/>
      <c r="E24" s="381"/>
      <c r="F24" s="381"/>
      <c r="G24" s="381"/>
      <c r="H24" s="381"/>
      <c r="I24" s="381"/>
      <c r="J24" s="381"/>
      <c r="K24" s="381"/>
      <c r="L24" s="381"/>
      <c r="M24" s="381"/>
      <c r="N24" s="381"/>
      <c r="O24" s="381"/>
      <c r="P24" s="381"/>
      <c r="Q24" s="381"/>
      <c r="R24" s="381"/>
      <c r="S24" s="381"/>
      <c r="T24" s="381"/>
      <c r="U24" s="381"/>
      <c r="V24" s="381"/>
      <c r="W24" s="381"/>
      <c r="X24" s="381"/>
      <c r="Y24" s="381"/>
      <c r="Z24" s="381"/>
      <c r="AA24" s="381"/>
      <c r="AB24" s="381"/>
      <c r="AC24" s="381"/>
      <c r="AD24" s="381"/>
      <c r="AE24" s="381"/>
      <c r="AF24" s="381"/>
      <c r="AG24" s="381"/>
      <c r="AH24" s="381"/>
      <c r="AI24" s="381"/>
      <c r="AJ24" s="381"/>
      <c r="AK24" s="381"/>
      <c r="AL24" s="381"/>
      <c r="AM24" s="381"/>
      <c r="AN24" s="381"/>
      <c r="AO24" s="381"/>
      <c r="AP24" s="381"/>
      <c r="AQ24" s="381"/>
      <c r="AR24" s="381"/>
      <c r="AS24" s="381"/>
      <c r="AT24" s="381"/>
      <c r="AU24" s="381"/>
      <c r="AV24" s="381"/>
      <c r="AW24" s="381"/>
      <c r="AX24" s="381"/>
      <c r="BA24" s="236" t="str">
        <f t="shared" si="0"/>
        <v>:</v>
      </c>
      <c r="BB24" s="236" t="str">
        <f t="shared" si="1"/>
        <v>:</v>
      </c>
      <c r="BC24" s="236" t="str">
        <f t="shared" si="2"/>
        <v>:</v>
      </c>
      <c r="BD24" s="236" t="str">
        <f t="shared" si="3"/>
        <v>:</v>
      </c>
      <c r="BE24" s="236" t="str">
        <f t="shared" si="4"/>
        <v>:</v>
      </c>
      <c r="BF24" s="236" t="str">
        <f t="shared" si="5"/>
        <v>:</v>
      </c>
      <c r="BG24" s="223"/>
    </row>
    <row r="25" spans="1:79" ht="24" hidden="1">
      <c r="B25" s="380"/>
      <c r="C25" s="381"/>
      <c r="D25" s="381"/>
      <c r="E25" s="381"/>
      <c r="F25" s="381"/>
      <c r="G25" s="381"/>
      <c r="H25" s="381"/>
      <c r="I25" s="381"/>
      <c r="J25" s="381"/>
      <c r="K25" s="381"/>
      <c r="L25" s="381"/>
      <c r="M25" s="381"/>
      <c r="N25" s="381"/>
      <c r="O25" s="381"/>
      <c r="P25" s="381"/>
      <c r="Q25" s="381"/>
      <c r="R25" s="381"/>
      <c r="S25" s="381"/>
      <c r="T25" s="381"/>
      <c r="U25" s="381"/>
      <c r="V25" s="381"/>
      <c r="W25" s="381"/>
      <c r="X25" s="381"/>
      <c r="Y25" s="381"/>
      <c r="Z25" s="381"/>
      <c r="AA25" s="381"/>
      <c r="AB25" s="381"/>
      <c r="AC25" s="381"/>
      <c r="AD25" s="381"/>
      <c r="AE25" s="381"/>
      <c r="AF25" s="381"/>
      <c r="AG25" s="381"/>
      <c r="AH25" s="381"/>
      <c r="AI25" s="381"/>
      <c r="AJ25" s="381"/>
      <c r="AK25" s="381"/>
      <c r="AL25" s="381"/>
      <c r="AM25" s="381"/>
      <c r="AN25" s="381"/>
      <c r="AO25" s="381"/>
      <c r="AP25" s="381"/>
      <c r="AQ25" s="381"/>
      <c r="AR25" s="381"/>
      <c r="AS25" s="381"/>
      <c r="AT25" s="381"/>
      <c r="AU25" s="381"/>
      <c r="AV25" s="381"/>
      <c r="AW25" s="381"/>
      <c r="AX25" s="381"/>
      <c r="BA25" s="236" t="str">
        <f t="shared" si="0"/>
        <v>:</v>
      </c>
      <c r="BB25" s="236" t="str">
        <f t="shared" si="1"/>
        <v>:</v>
      </c>
      <c r="BC25" s="236" t="str">
        <f t="shared" si="2"/>
        <v>:</v>
      </c>
      <c r="BD25" s="236" t="str">
        <f t="shared" si="3"/>
        <v>:</v>
      </c>
      <c r="BE25" s="236" t="str">
        <f t="shared" si="4"/>
        <v>:</v>
      </c>
      <c r="BF25" s="236" t="str">
        <f t="shared" si="5"/>
        <v>:</v>
      </c>
      <c r="BG25" s="223"/>
    </row>
    <row r="26" spans="1:79" ht="24" hidden="1">
      <c r="B26" s="380"/>
      <c r="C26" s="381"/>
      <c r="D26" s="381"/>
      <c r="E26" s="381"/>
      <c r="F26" s="381"/>
      <c r="G26" s="381"/>
      <c r="H26" s="381"/>
      <c r="I26" s="381"/>
      <c r="J26" s="381"/>
      <c r="K26" s="381"/>
      <c r="L26" s="381"/>
      <c r="M26" s="381"/>
      <c r="N26" s="381"/>
      <c r="O26" s="381"/>
      <c r="P26" s="381"/>
      <c r="Q26" s="381"/>
      <c r="R26" s="381"/>
      <c r="S26" s="381"/>
      <c r="T26" s="381"/>
      <c r="U26" s="381"/>
      <c r="V26" s="381"/>
      <c r="W26" s="381"/>
      <c r="X26" s="381"/>
      <c r="Y26" s="381"/>
      <c r="Z26" s="381"/>
      <c r="AA26" s="381"/>
      <c r="AB26" s="381"/>
      <c r="AC26" s="381"/>
      <c r="AD26" s="381"/>
      <c r="AE26" s="381"/>
      <c r="AF26" s="381"/>
      <c r="AG26" s="381"/>
      <c r="AH26" s="381"/>
      <c r="AI26" s="381"/>
      <c r="AJ26" s="381"/>
      <c r="AK26" s="381"/>
      <c r="AL26" s="381"/>
      <c r="AM26" s="381"/>
      <c r="AN26" s="381"/>
      <c r="AO26" s="381"/>
      <c r="AP26" s="381"/>
      <c r="AQ26" s="381"/>
      <c r="AR26" s="381"/>
      <c r="AS26" s="381"/>
      <c r="AT26" s="381"/>
      <c r="AU26" s="381"/>
      <c r="AV26" s="381"/>
      <c r="AW26" s="381"/>
      <c r="AX26" s="381"/>
      <c r="AY26" s="379"/>
      <c r="BA26" s="236" t="str">
        <f t="shared" si="0"/>
        <v>:</v>
      </c>
      <c r="BB26" s="236" t="str">
        <f t="shared" si="1"/>
        <v>:</v>
      </c>
      <c r="BC26" s="236" t="str">
        <f t="shared" si="2"/>
        <v>:</v>
      </c>
      <c r="BD26" s="236" t="str">
        <f t="shared" si="3"/>
        <v>:</v>
      </c>
      <c r="BE26" s="236" t="str">
        <f t="shared" si="4"/>
        <v>:</v>
      </c>
      <c r="BF26" s="236" t="str">
        <f t="shared" si="5"/>
        <v>:</v>
      </c>
      <c r="BG26" s="223"/>
    </row>
    <row r="27" spans="1:79" ht="24" hidden="1">
      <c r="B27" s="1287"/>
      <c r="C27" s="1347"/>
      <c r="D27" s="1347"/>
      <c r="E27" s="1347"/>
      <c r="F27" s="1347"/>
      <c r="G27" s="1347"/>
      <c r="H27" s="1347"/>
      <c r="I27" s="1347"/>
      <c r="J27" s="1347"/>
      <c r="K27" s="1347"/>
      <c r="L27" s="1347"/>
      <c r="M27" s="1347"/>
      <c r="N27" s="1347"/>
      <c r="O27" s="1347"/>
      <c r="P27" s="1347"/>
      <c r="Q27" s="1347"/>
      <c r="R27" s="1347"/>
      <c r="S27" s="1347"/>
      <c r="T27" s="1347"/>
      <c r="U27" s="1347"/>
      <c r="V27" s="1347"/>
      <c r="W27" s="1347"/>
      <c r="X27" s="1347"/>
      <c r="Y27" s="1347"/>
      <c r="Z27" s="1347"/>
      <c r="AA27" s="1347"/>
      <c r="AB27" s="1347"/>
      <c r="AC27" s="1347"/>
      <c r="AD27" s="1347"/>
      <c r="AE27" s="1347"/>
      <c r="AF27" s="1347"/>
      <c r="AG27" s="1347"/>
      <c r="AH27" s="1347"/>
      <c r="AI27" s="1347"/>
      <c r="AJ27" s="1347"/>
      <c r="AK27" s="1347"/>
      <c r="AL27" s="1347"/>
      <c r="AM27" s="1347"/>
      <c r="AN27" s="1347"/>
      <c r="AO27" s="1347"/>
      <c r="AP27" s="1347"/>
      <c r="AQ27" s="1347"/>
      <c r="AR27" s="1347"/>
      <c r="AS27" s="1347"/>
      <c r="AT27" s="1347"/>
      <c r="AU27" s="1347"/>
      <c r="AV27" s="1347"/>
      <c r="AW27" s="1347"/>
      <c r="AX27" s="1347"/>
      <c r="BA27" s="236" t="str">
        <f t="shared" si="0"/>
        <v>:</v>
      </c>
      <c r="BB27" s="236" t="str">
        <f t="shared" si="1"/>
        <v>:</v>
      </c>
      <c r="BC27" s="236" t="str">
        <f t="shared" si="2"/>
        <v>:</v>
      </c>
      <c r="BD27" s="236" t="str">
        <f t="shared" si="3"/>
        <v>:</v>
      </c>
      <c r="BE27" s="236" t="str">
        <f t="shared" si="4"/>
        <v>:</v>
      </c>
      <c r="BF27" s="236" t="str">
        <f t="shared" si="5"/>
        <v>:</v>
      </c>
      <c r="BG27" s="223"/>
    </row>
    <row r="28" spans="1:79" ht="24" hidden="1">
      <c r="B28" s="1287"/>
      <c r="C28" s="1347"/>
      <c r="D28" s="1347"/>
      <c r="E28" s="1347"/>
      <c r="F28" s="1347"/>
      <c r="G28" s="1347"/>
      <c r="H28" s="1347"/>
      <c r="I28" s="1347"/>
      <c r="J28" s="1347"/>
      <c r="K28" s="1347"/>
      <c r="L28" s="1347"/>
      <c r="M28" s="1347"/>
      <c r="N28" s="1347"/>
      <c r="O28" s="1347"/>
      <c r="P28" s="1347"/>
      <c r="Q28" s="1347"/>
      <c r="R28" s="1347"/>
      <c r="S28" s="1347"/>
      <c r="T28" s="1347"/>
      <c r="U28" s="1347"/>
      <c r="V28" s="1347"/>
      <c r="W28" s="1347"/>
      <c r="X28" s="1347"/>
      <c r="Y28" s="1347"/>
      <c r="Z28" s="1347"/>
      <c r="AA28" s="1347"/>
      <c r="AB28" s="1347"/>
      <c r="AC28" s="1347"/>
      <c r="AD28" s="1347"/>
      <c r="AE28" s="1347"/>
      <c r="AF28" s="1347"/>
      <c r="AG28" s="1347"/>
      <c r="AH28" s="1347"/>
      <c r="AI28" s="1347"/>
      <c r="AJ28" s="1347"/>
      <c r="AK28" s="1347"/>
      <c r="AL28" s="1347"/>
      <c r="AM28" s="1347"/>
      <c r="AN28" s="1347"/>
      <c r="AO28" s="1347"/>
      <c r="AP28" s="1347"/>
      <c r="AQ28" s="1347"/>
      <c r="AR28" s="1347"/>
      <c r="AS28" s="1347"/>
      <c r="AT28" s="1347"/>
      <c r="AU28" s="1347"/>
      <c r="AV28" s="1347"/>
      <c r="AW28" s="1347"/>
      <c r="AX28" s="1347"/>
      <c r="BA28" s="236" t="str">
        <f t="shared" si="0"/>
        <v>:</v>
      </c>
      <c r="BB28" s="236" t="str">
        <f t="shared" si="1"/>
        <v>:</v>
      </c>
      <c r="BC28" s="236" t="str">
        <f t="shared" si="2"/>
        <v>:</v>
      </c>
      <c r="BD28" s="236" t="str">
        <f t="shared" si="3"/>
        <v>:</v>
      </c>
      <c r="BE28" s="236" t="str">
        <f t="shared" si="4"/>
        <v>:</v>
      </c>
      <c r="BF28" s="236" t="str">
        <f t="shared" si="5"/>
        <v>:</v>
      </c>
      <c r="BG28" s="223"/>
    </row>
    <row r="29" spans="1:79">
      <c r="BB29" s="230"/>
      <c r="BC29" s="237"/>
      <c r="CA29" s="238"/>
    </row>
    <row r="30" spans="1:79" ht="45" customHeight="1" thickBot="1">
      <c r="B30" s="1335" t="str">
        <f>"２．職員情報　　【総合判定】"&amp;AZ30&amp;IF(AZ30="×","（医師及び看護要員の氏名をそれぞれ１名以上ずつ所定の欄に入力してください。）","")</f>
        <v>２．職員情報　　【総合判定】○</v>
      </c>
      <c r="C30" s="1207"/>
      <c r="D30" s="1207"/>
      <c r="E30" s="1207"/>
      <c r="F30" s="1207"/>
      <c r="G30" s="1207"/>
      <c r="H30" s="1207"/>
      <c r="I30" s="1207"/>
      <c r="J30" s="1207"/>
      <c r="K30" s="1207"/>
      <c r="L30" s="1207"/>
      <c r="M30" s="1207"/>
      <c r="N30" s="1207"/>
      <c r="O30" s="1207"/>
      <c r="P30" s="1207"/>
      <c r="Q30" s="1207"/>
      <c r="R30" s="1207"/>
      <c r="S30" s="1207"/>
      <c r="T30" s="1207"/>
      <c r="U30" s="1207"/>
      <c r="V30" s="1207"/>
      <c r="W30" s="1207"/>
      <c r="X30" s="1207"/>
      <c r="Y30" s="1207"/>
      <c r="Z30" s="1207"/>
      <c r="AA30" s="1207"/>
      <c r="AB30" s="1207"/>
      <c r="AC30" s="1207"/>
      <c r="AD30" s="1207"/>
      <c r="AE30" s="1207"/>
      <c r="AF30" s="1207"/>
      <c r="AG30" s="1207"/>
      <c r="AH30" s="1207"/>
      <c r="AI30" s="1207"/>
      <c r="AJ30" s="1207"/>
      <c r="AK30" s="1207"/>
      <c r="AL30" s="1207"/>
      <c r="AM30" s="1207"/>
      <c r="AN30" s="1207"/>
      <c r="AO30" s="1207"/>
      <c r="AP30" s="1207"/>
      <c r="AQ30" s="1207"/>
      <c r="AR30" s="1207"/>
      <c r="AS30" s="1207"/>
      <c r="AT30" s="1207"/>
      <c r="AU30" s="1207"/>
      <c r="AV30" s="1207"/>
      <c r="AW30" s="1207"/>
      <c r="AX30" s="1207"/>
      <c r="AY30" s="1207"/>
      <c r="AZ30" s="387" t="str">
        <f>IF(AND(AS32&gt;0,AS35&gt;0),"○","×")</f>
        <v>○</v>
      </c>
      <c r="CA30" s="238"/>
    </row>
    <row r="31" spans="1:79" ht="25.5" thickTop="1" thickBot="1">
      <c r="B31" s="1336" t="s">
        <v>1069</v>
      </c>
      <c r="C31" s="1337"/>
      <c r="D31" s="1337"/>
      <c r="E31" s="1338" t="s">
        <v>1070</v>
      </c>
      <c r="F31" s="1339"/>
      <c r="G31" s="1339"/>
      <c r="H31" s="1339"/>
      <c r="I31" s="1339"/>
      <c r="J31" s="1339"/>
      <c r="K31" s="1339"/>
      <c r="L31" s="1339"/>
      <c r="M31" s="1339"/>
      <c r="N31" s="1339"/>
      <c r="O31" s="1339"/>
      <c r="P31" s="1339"/>
      <c r="Q31" s="1339"/>
      <c r="R31" s="1339"/>
      <c r="S31" s="1339"/>
      <c r="T31" s="1339"/>
      <c r="U31" s="1339"/>
      <c r="V31" s="1339"/>
      <c r="W31" s="1339"/>
      <c r="X31" s="1339"/>
      <c r="Y31" s="1339"/>
      <c r="Z31" s="1339"/>
      <c r="AA31" s="1339"/>
      <c r="AB31" s="1339"/>
      <c r="AC31" s="1339"/>
      <c r="AD31" s="1339"/>
      <c r="AE31" s="1339"/>
      <c r="AF31" s="1339"/>
      <c r="AG31" s="1339"/>
      <c r="AH31" s="1339"/>
      <c r="AI31" s="1339"/>
      <c r="AJ31" s="1339"/>
      <c r="AK31" s="1339"/>
      <c r="AL31" s="1339"/>
      <c r="AM31" s="1339"/>
      <c r="AN31" s="1339"/>
      <c r="AO31" s="1339"/>
      <c r="AP31" s="1339"/>
      <c r="AQ31" s="1339"/>
      <c r="AR31" s="1339"/>
      <c r="AS31" s="1340" t="s">
        <v>514</v>
      </c>
      <c r="AT31" s="1341"/>
      <c r="AU31" s="1341"/>
      <c r="AV31" s="1341"/>
      <c r="AW31" s="1342" t="s">
        <v>100</v>
      </c>
      <c r="AX31" s="1343"/>
      <c r="AY31" s="379"/>
      <c r="AZ31" s="1344" t="s">
        <v>1071</v>
      </c>
      <c r="BA31" s="1345"/>
      <c r="BB31" s="1345"/>
      <c r="BC31" s="1345"/>
      <c r="BD31" s="1345"/>
      <c r="BE31" s="1345"/>
      <c r="BF31" s="1345"/>
      <c r="BG31" s="1345"/>
      <c r="BH31" s="1345"/>
      <c r="BI31" s="1345"/>
      <c r="BJ31" s="1345"/>
      <c r="BK31" s="1345"/>
      <c r="BL31" s="1345"/>
      <c r="BM31" s="1345"/>
      <c r="BN31" s="1345"/>
      <c r="BO31" s="1345"/>
      <c r="BP31" s="1346"/>
      <c r="CA31" s="238"/>
    </row>
    <row r="32" spans="1:79" ht="24">
      <c r="B32" s="1289" t="s">
        <v>1072</v>
      </c>
      <c r="C32" s="1290"/>
      <c r="D32" s="1290"/>
      <c r="E32" s="1296" t="s">
        <v>1073</v>
      </c>
      <c r="F32" s="1297"/>
      <c r="G32" s="1297"/>
      <c r="H32" s="1298"/>
      <c r="I32" s="1299" t="s">
        <v>1233</v>
      </c>
      <c r="J32" s="1300"/>
      <c r="K32" s="1300"/>
      <c r="L32" s="1301"/>
      <c r="M32" s="1299"/>
      <c r="N32" s="1300"/>
      <c r="O32" s="1300"/>
      <c r="P32" s="1301"/>
      <c r="Q32" s="1299"/>
      <c r="R32" s="1300"/>
      <c r="S32" s="1300"/>
      <c r="T32" s="1301"/>
      <c r="U32" s="1299"/>
      <c r="V32" s="1300"/>
      <c r="W32" s="1300"/>
      <c r="X32" s="1301"/>
      <c r="Y32" s="1299"/>
      <c r="Z32" s="1300"/>
      <c r="AA32" s="1300"/>
      <c r="AB32" s="1301"/>
      <c r="AC32" s="1299"/>
      <c r="AD32" s="1300"/>
      <c r="AE32" s="1300"/>
      <c r="AF32" s="1301"/>
      <c r="AG32" s="1299"/>
      <c r="AH32" s="1300"/>
      <c r="AI32" s="1300"/>
      <c r="AJ32" s="1301"/>
      <c r="AK32" s="1299"/>
      <c r="AL32" s="1300"/>
      <c r="AM32" s="1300"/>
      <c r="AN32" s="1301"/>
      <c r="AO32" s="1299"/>
      <c r="AP32" s="1300"/>
      <c r="AQ32" s="1300"/>
      <c r="AR32" s="1301"/>
      <c r="AS32" s="1327">
        <f>IF(BR32="",COUNTA(E32:AR34)-1,BR32)</f>
        <v>1</v>
      </c>
      <c r="AT32" s="1328"/>
      <c r="AU32" s="1328"/>
      <c r="AV32" s="1328"/>
      <c r="AW32" s="1333" t="str">
        <f>IF(AS32&gt;0,"○","×")</f>
        <v>○</v>
      </c>
      <c r="AX32" s="1334"/>
      <c r="AY32" s="384"/>
      <c r="AZ32" s="1323" t="str">
        <f xml:space="preserve">
IF(AW32="×",
"【要修正】医師の氏名を１名以上記入してください。"
&amp;CHAR(10)&amp;CHAR(10)&amp;
"　　　　　また、１つの欄に姓と名を併せて入力してください。",
"適切に入力がされました。"
)</f>
        <v>適切に入力がされました。</v>
      </c>
      <c r="BA32" s="1324"/>
      <c r="BB32" s="1324"/>
      <c r="BC32" s="1324"/>
      <c r="BD32" s="1324"/>
      <c r="BE32" s="1324"/>
      <c r="BF32" s="1324"/>
      <c r="BG32" s="1324"/>
      <c r="BH32" s="1324"/>
      <c r="BI32" s="1324"/>
      <c r="BJ32" s="1324"/>
      <c r="BK32" s="1324"/>
      <c r="BL32" s="1324"/>
      <c r="BM32" s="1324"/>
      <c r="BN32" s="1324"/>
      <c r="BO32" s="1324"/>
      <c r="BP32" s="1325"/>
      <c r="BR32" s="445"/>
      <c r="BS32" s="385" t="s">
        <v>1302</v>
      </c>
      <c r="CA32" s="238"/>
    </row>
    <row r="33" spans="2:79" ht="24">
      <c r="B33" s="1291"/>
      <c r="C33" s="1292"/>
      <c r="D33" s="1292"/>
      <c r="E33" s="1302"/>
      <c r="F33" s="1303"/>
      <c r="G33" s="1303"/>
      <c r="H33" s="1304"/>
      <c r="I33" s="1302"/>
      <c r="J33" s="1303"/>
      <c r="K33" s="1303"/>
      <c r="L33" s="1304"/>
      <c r="M33" s="1302"/>
      <c r="N33" s="1303"/>
      <c r="O33" s="1303"/>
      <c r="P33" s="1304"/>
      <c r="Q33" s="1302"/>
      <c r="R33" s="1303"/>
      <c r="S33" s="1303"/>
      <c r="T33" s="1304"/>
      <c r="U33" s="1302"/>
      <c r="V33" s="1303"/>
      <c r="W33" s="1303"/>
      <c r="X33" s="1304"/>
      <c r="Y33" s="1302"/>
      <c r="Z33" s="1303"/>
      <c r="AA33" s="1303"/>
      <c r="AB33" s="1304"/>
      <c r="AC33" s="1302"/>
      <c r="AD33" s="1303"/>
      <c r="AE33" s="1303"/>
      <c r="AF33" s="1304"/>
      <c r="AG33" s="1302"/>
      <c r="AH33" s="1303"/>
      <c r="AI33" s="1303"/>
      <c r="AJ33" s="1304"/>
      <c r="AK33" s="1302"/>
      <c r="AL33" s="1303"/>
      <c r="AM33" s="1303"/>
      <c r="AN33" s="1304"/>
      <c r="AO33" s="1302"/>
      <c r="AP33" s="1303"/>
      <c r="AQ33" s="1303"/>
      <c r="AR33" s="1304"/>
      <c r="AS33" s="1329"/>
      <c r="AT33" s="1330"/>
      <c r="AU33" s="1330"/>
      <c r="AV33" s="1330"/>
      <c r="AW33" s="1319"/>
      <c r="AX33" s="1320"/>
      <c r="AY33" s="384"/>
      <c r="AZ33" s="1326"/>
      <c r="BA33" s="1324"/>
      <c r="BB33" s="1324"/>
      <c r="BC33" s="1324"/>
      <c r="BD33" s="1324"/>
      <c r="BE33" s="1324"/>
      <c r="BF33" s="1324"/>
      <c r="BG33" s="1324"/>
      <c r="BH33" s="1324"/>
      <c r="BI33" s="1324"/>
      <c r="BJ33" s="1324"/>
      <c r="BK33" s="1324"/>
      <c r="BL33" s="1324"/>
      <c r="BM33" s="1324"/>
      <c r="BN33" s="1324"/>
      <c r="BO33" s="1324"/>
      <c r="BP33" s="1325"/>
      <c r="CA33" s="238"/>
    </row>
    <row r="34" spans="2:79" ht="24.75" thickBot="1">
      <c r="B34" s="1294"/>
      <c r="C34" s="1295"/>
      <c r="D34" s="1295"/>
      <c r="E34" s="1284"/>
      <c r="F34" s="1285"/>
      <c r="G34" s="1285"/>
      <c r="H34" s="1286"/>
      <c r="I34" s="1284"/>
      <c r="J34" s="1285"/>
      <c r="K34" s="1285"/>
      <c r="L34" s="1286"/>
      <c r="M34" s="1284"/>
      <c r="N34" s="1285"/>
      <c r="O34" s="1285"/>
      <c r="P34" s="1286"/>
      <c r="Q34" s="1284"/>
      <c r="R34" s="1285"/>
      <c r="S34" s="1285"/>
      <c r="T34" s="1286"/>
      <c r="U34" s="1284"/>
      <c r="V34" s="1285"/>
      <c r="W34" s="1285"/>
      <c r="X34" s="1286"/>
      <c r="Y34" s="1284"/>
      <c r="Z34" s="1285"/>
      <c r="AA34" s="1285"/>
      <c r="AB34" s="1286"/>
      <c r="AC34" s="1284"/>
      <c r="AD34" s="1285"/>
      <c r="AE34" s="1285"/>
      <c r="AF34" s="1286"/>
      <c r="AG34" s="1284"/>
      <c r="AH34" s="1285"/>
      <c r="AI34" s="1285"/>
      <c r="AJ34" s="1286"/>
      <c r="AK34" s="1284"/>
      <c r="AL34" s="1285"/>
      <c r="AM34" s="1285"/>
      <c r="AN34" s="1286"/>
      <c r="AO34" s="1284"/>
      <c r="AP34" s="1285"/>
      <c r="AQ34" s="1285"/>
      <c r="AR34" s="1286"/>
      <c r="AS34" s="1331"/>
      <c r="AT34" s="1332"/>
      <c r="AU34" s="1332"/>
      <c r="AV34" s="1332"/>
      <c r="AW34" s="1319"/>
      <c r="AX34" s="1320"/>
      <c r="AY34" s="384"/>
      <c r="AZ34" s="1326"/>
      <c r="BA34" s="1324"/>
      <c r="BB34" s="1324"/>
      <c r="BC34" s="1324"/>
      <c r="BD34" s="1324"/>
      <c r="BE34" s="1324"/>
      <c r="BF34" s="1324"/>
      <c r="BG34" s="1324"/>
      <c r="BH34" s="1324"/>
      <c r="BI34" s="1324"/>
      <c r="BJ34" s="1324"/>
      <c r="BK34" s="1324"/>
      <c r="BL34" s="1324"/>
      <c r="BM34" s="1324"/>
      <c r="BN34" s="1324"/>
      <c r="BO34" s="1324"/>
      <c r="BP34" s="1325"/>
      <c r="CA34" s="238"/>
    </row>
    <row r="35" spans="2:79" ht="24">
      <c r="B35" s="1289" t="s">
        <v>1305</v>
      </c>
      <c r="C35" s="1290"/>
      <c r="D35" s="1290"/>
      <c r="E35" s="1296" t="s">
        <v>1074</v>
      </c>
      <c r="F35" s="1297"/>
      <c r="G35" s="1297"/>
      <c r="H35" s="1298"/>
      <c r="I35" s="1299" t="s">
        <v>1232</v>
      </c>
      <c r="J35" s="1300"/>
      <c r="K35" s="1300"/>
      <c r="L35" s="1301"/>
      <c r="M35" s="1299" t="s">
        <v>1233</v>
      </c>
      <c r="N35" s="1300"/>
      <c r="O35" s="1300"/>
      <c r="P35" s="1301"/>
      <c r="Q35" s="1299"/>
      <c r="R35" s="1300"/>
      <c r="S35" s="1300"/>
      <c r="T35" s="1301"/>
      <c r="U35" s="1299"/>
      <c r="V35" s="1300"/>
      <c r="W35" s="1300"/>
      <c r="X35" s="1301"/>
      <c r="Y35" s="1299"/>
      <c r="Z35" s="1300"/>
      <c r="AA35" s="1300"/>
      <c r="AB35" s="1301"/>
      <c r="AC35" s="1299"/>
      <c r="AD35" s="1300"/>
      <c r="AE35" s="1300"/>
      <c r="AF35" s="1301"/>
      <c r="AG35" s="1299"/>
      <c r="AH35" s="1300"/>
      <c r="AI35" s="1300"/>
      <c r="AJ35" s="1301"/>
      <c r="AK35" s="1299"/>
      <c r="AL35" s="1300"/>
      <c r="AM35" s="1300"/>
      <c r="AN35" s="1301"/>
      <c r="AO35" s="1299"/>
      <c r="AP35" s="1300"/>
      <c r="AQ35" s="1300"/>
      <c r="AR35" s="1301"/>
      <c r="AS35" s="1327">
        <f>IF(BR35="",COUNTA(E35:AR42)-1,BR35)</f>
        <v>2</v>
      </c>
      <c r="AT35" s="1328"/>
      <c r="AU35" s="1328"/>
      <c r="AV35" s="1328"/>
      <c r="AW35" s="1317" t="str">
        <f>IF(AS35&gt;0,"○","×")</f>
        <v>○</v>
      </c>
      <c r="AX35" s="1318"/>
      <c r="AY35" s="384"/>
      <c r="AZ35" s="1323" t="str">
        <f>IF(AW35="×",
"【要修正】看護要員の氏名を１名以上記入してください。"
&amp;CHAR(10)&amp;CHAR(10)&amp;
"　　　　　また、１つの欄に姓と名を併せて入力してください。",
"適切に入力がされました。")</f>
        <v>適切に入力がされました。</v>
      </c>
      <c r="BA35" s="1324"/>
      <c r="BB35" s="1324"/>
      <c r="BC35" s="1324"/>
      <c r="BD35" s="1324"/>
      <c r="BE35" s="1324"/>
      <c r="BF35" s="1324"/>
      <c r="BG35" s="1324"/>
      <c r="BH35" s="1324"/>
      <c r="BI35" s="1324"/>
      <c r="BJ35" s="1324"/>
      <c r="BK35" s="1324"/>
      <c r="BL35" s="1324"/>
      <c r="BM35" s="1324"/>
      <c r="BN35" s="1324"/>
      <c r="BO35" s="1324"/>
      <c r="BP35" s="1325"/>
      <c r="BR35" s="445"/>
      <c r="BS35" s="385" t="s">
        <v>1306</v>
      </c>
      <c r="CA35" s="238"/>
    </row>
    <row r="36" spans="2:79" ht="24">
      <c r="B36" s="1291"/>
      <c r="C36" s="1292"/>
      <c r="D36" s="1292"/>
      <c r="E36" s="1302"/>
      <c r="F36" s="1303"/>
      <c r="G36" s="1303"/>
      <c r="H36" s="1304"/>
      <c r="I36" s="1302"/>
      <c r="J36" s="1303"/>
      <c r="K36" s="1303"/>
      <c r="L36" s="1304"/>
      <c r="M36" s="1302"/>
      <c r="N36" s="1303"/>
      <c r="O36" s="1303"/>
      <c r="P36" s="1304"/>
      <c r="Q36" s="1302"/>
      <c r="R36" s="1303"/>
      <c r="S36" s="1303"/>
      <c r="T36" s="1304"/>
      <c r="U36" s="1302"/>
      <c r="V36" s="1303"/>
      <c r="W36" s="1303"/>
      <c r="X36" s="1304"/>
      <c r="Y36" s="1302"/>
      <c r="Z36" s="1303"/>
      <c r="AA36" s="1303"/>
      <c r="AB36" s="1304"/>
      <c r="AC36" s="1302"/>
      <c r="AD36" s="1303"/>
      <c r="AE36" s="1303"/>
      <c r="AF36" s="1304"/>
      <c r="AG36" s="1302"/>
      <c r="AH36" s="1303"/>
      <c r="AI36" s="1303"/>
      <c r="AJ36" s="1304"/>
      <c r="AK36" s="1302"/>
      <c r="AL36" s="1303"/>
      <c r="AM36" s="1303"/>
      <c r="AN36" s="1304"/>
      <c r="AO36" s="1302"/>
      <c r="AP36" s="1303"/>
      <c r="AQ36" s="1303"/>
      <c r="AR36" s="1304"/>
      <c r="AS36" s="1329"/>
      <c r="AT36" s="1330"/>
      <c r="AU36" s="1330"/>
      <c r="AV36" s="1330"/>
      <c r="AW36" s="1319"/>
      <c r="AX36" s="1320"/>
      <c r="AY36" s="384"/>
      <c r="AZ36" s="1326"/>
      <c r="BA36" s="1324"/>
      <c r="BB36" s="1324"/>
      <c r="BC36" s="1324"/>
      <c r="BD36" s="1324"/>
      <c r="BE36" s="1324"/>
      <c r="BF36" s="1324"/>
      <c r="BG36" s="1324"/>
      <c r="BH36" s="1324"/>
      <c r="BI36" s="1324"/>
      <c r="BJ36" s="1324"/>
      <c r="BK36" s="1324"/>
      <c r="BL36" s="1324"/>
      <c r="BM36" s="1324"/>
      <c r="BN36" s="1324"/>
      <c r="BO36" s="1324"/>
      <c r="BP36" s="1325"/>
      <c r="CA36" s="238"/>
    </row>
    <row r="37" spans="2:79" ht="24">
      <c r="B37" s="1291"/>
      <c r="C37" s="1292"/>
      <c r="D37" s="1292"/>
      <c r="E37" s="1302"/>
      <c r="F37" s="1303"/>
      <c r="G37" s="1303"/>
      <c r="H37" s="1304"/>
      <c r="I37" s="1302"/>
      <c r="J37" s="1303"/>
      <c r="K37" s="1303"/>
      <c r="L37" s="1304"/>
      <c r="M37" s="1302"/>
      <c r="N37" s="1303"/>
      <c r="O37" s="1303"/>
      <c r="P37" s="1304"/>
      <c r="Q37" s="1302"/>
      <c r="R37" s="1303"/>
      <c r="S37" s="1303"/>
      <c r="T37" s="1304"/>
      <c r="U37" s="1302"/>
      <c r="V37" s="1303"/>
      <c r="W37" s="1303"/>
      <c r="X37" s="1304"/>
      <c r="Y37" s="1302"/>
      <c r="Z37" s="1303"/>
      <c r="AA37" s="1303"/>
      <c r="AB37" s="1304"/>
      <c r="AC37" s="1302"/>
      <c r="AD37" s="1303"/>
      <c r="AE37" s="1303"/>
      <c r="AF37" s="1304"/>
      <c r="AG37" s="1302"/>
      <c r="AH37" s="1303"/>
      <c r="AI37" s="1303"/>
      <c r="AJ37" s="1304"/>
      <c r="AK37" s="1302"/>
      <c r="AL37" s="1303"/>
      <c r="AM37" s="1303"/>
      <c r="AN37" s="1304"/>
      <c r="AO37" s="1302"/>
      <c r="AP37" s="1303"/>
      <c r="AQ37" s="1303"/>
      <c r="AR37" s="1304"/>
      <c r="AS37" s="1329"/>
      <c r="AT37" s="1330"/>
      <c r="AU37" s="1330"/>
      <c r="AV37" s="1330"/>
      <c r="AW37" s="1319"/>
      <c r="AX37" s="1320"/>
      <c r="AY37" s="384"/>
      <c r="AZ37" s="1326"/>
      <c r="BA37" s="1324"/>
      <c r="BB37" s="1324"/>
      <c r="BC37" s="1324"/>
      <c r="BD37" s="1324"/>
      <c r="BE37" s="1324"/>
      <c r="BF37" s="1324"/>
      <c r="BG37" s="1324"/>
      <c r="BH37" s="1324"/>
      <c r="BI37" s="1324"/>
      <c r="BJ37" s="1324"/>
      <c r="BK37" s="1324"/>
      <c r="BL37" s="1324"/>
      <c r="BM37" s="1324"/>
      <c r="BN37" s="1324"/>
      <c r="BO37" s="1324"/>
      <c r="BP37" s="1325"/>
      <c r="CA37" s="238"/>
    </row>
    <row r="38" spans="2:79" ht="24">
      <c r="B38" s="1291"/>
      <c r="C38" s="1292"/>
      <c r="D38" s="1292"/>
      <c r="E38" s="1302"/>
      <c r="F38" s="1303"/>
      <c r="G38" s="1303"/>
      <c r="H38" s="1304"/>
      <c r="I38" s="1302"/>
      <c r="J38" s="1303"/>
      <c r="K38" s="1303"/>
      <c r="L38" s="1304"/>
      <c r="M38" s="1302"/>
      <c r="N38" s="1303"/>
      <c r="O38" s="1303"/>
      <c r="P38" s="1304"/>
      <c r="Q38" s="1302"/>
      <c r="R38" s="1303"/>
      <c r="S38" s="1303"/>
      <c r="T38" s="1304"/>
      <c r="U38" s="1302"/>
      <c r="V38" s="1303"/>
      <c r="W38" s="1303"/>
      <c r="X38" s="1304"/>
      <c r="Y38" s="1302"/>
      <c r="Z38" s="1303"/>
      <c r="AA38" s="1303"/>
      <c r="AB38" s="1304"/>
      <c r="AC38" s="1302"/>
      <c r="AD38" s="1303"/>
      <c r="AE38" s="1303"/>
      <c r="AF38" s="1304"/>
      <c r="AG38" s="1302"/>
      <c r="AH38" s="1303"/>
      <c r="AI38" s="1303"/>
      <c r="AJ38" s="1304"/>
      <c r="AK38" s="1302"/>
      <c r="AL38" s="1303"/>
      <c r="AM38" s="1303"/>
      <c r="AN38" s="1304"/>
      <c r="AO38" s="1302"/>
      <c r="AP38" s="1303"/>
      <c r="AQ38" s="1303"/>
      <c r="AR38" s="1304"/>
      <c r="AS38" s="1329"/>
      <c r="AT38" s="1330"/>
      <c r="AU38" s="1330"/>
      <c r="AV38" s="1330"/>
      <c r="AW38" s="1319"/>
      <c r="AX38" s="1320"/>
      <c r="AY38" s="384"/>
      <c r="AZ38" s="1326"/>
      <c r="BA38" s="1324"/>
      <c r="BB38" s="1324"/>
      <c r="BC38" s="1324"/>
      <c r="BD38" s="1324"/>
      <c r="BE38" s="1324"/>
      <c r="BF38" s="1324"/>
      <c r="BG38" s="1324"/>
      <c r="BH38" s="1324"/>
      <c r="BI38" s="1324"/>
      <c r="BJ38" s="1324"/>
      <c r="BK38" s="1324"/>
      <c r="BL38" s="1324"/>
      <c r="BM38" s="1324"/>
      <c r="BN38" s="1324"/>
      <c r="BO38" s="1324"/>
      <c r="BP38" s="1325"/>
      <c r="CA38" s="238"/>
    </row>
    <row r="39" spans="2:79" ht="24">
      <c r="B39" s="1291"/>
      <c r="C39" s="1292"/>
      <c r="D39" s="1292"/>
      <c r="E39" s="1302"/>
      <c r="F39" s="1303"/>
      <c r="G39" s="1303"/>
      <c r="H39" s="1304"/>
      <c r="I39" s="1302"/>
      <c r="J39" s="1303"/>
      <c r="K39" s="1303"/>
      <c r="L39" s="1304"/>
      <c r="M39" s="1302"/>
      <c r="N39" s="1303"/>
      <c r="O39" s="1303"/>
      <c r="P39" s="1304"/>
      <c r="Q39" s="1302"/>
      <c r="R39" s="1303"/>
      <c r="S39" s="1303"/>
      <c r="T39" s="1304"/>
      <c r="U39" s="1302"/>
      <c r="V39" s="1303"/>
      <c r="W39" s="1303"/>
      <c r="X39" s="1304"/>
      <c r="Y39" s="1302"/>
      <c r="Z39" s="1303"/>
      <c r="AA39" s="1303"/>
      <c r="AB39" s="1304"/>
      <c r="AC39" s="1302"/>
      <c r="AD39" s="1303"/>
      <c r="AE39" s="1303"/>
      <c r="AF39" s="1304"/>
      <c r="AG39" s="1302"/>
      <c r="AH39" s="1303"/>
      <c r="AI39" s="1303"/>
      <c r="AJ39" s="1304"/>
      <c r="AK39" s="1302"/>
      <c r="AL39" s="1303"/>
      <c r="AM39" s="1303"/>
      <c r="AN39" s="1304"/>
      <c r="AO39" s="1302"/>
      <c r="AP39" s="1303"/>
      <c r="AQ39" s="1303"/>
      <c r="AR39" s="1304"/>
      <c r="AS39" s="1329"/>
      <c r="AT39" s="1330"/>
      <c r="AU39" s="1330"/>
      <c r="AV39" s="1330"/>
      <c r="AW39" s="1319"/>
      <c r="AX39" s="1320"/>
      <c r="AY39" s="384"/>
      <c r="AZ39" s="1326"/>
      <c r="BA39" s="1324"/>
      <c r="BB39" s="1324"/>
      <c r="BC39" s="1324"/>
      <c r="BD39" s="1324"/>
      <c r="BE39" s="1324"/>
      <c r="BF39" s="1324"/>
      <c r="BG39" s="1324"/>
      <c r="BH39" s="1324"/>
      <c r="BI39" s="1324"/>
      <c r="BJ39" s="1324"/>
      <c r="BK39" s="1324"/>
      <c r="BL39" s="1324"/>
      <c r="BM39" s="1324"/>
      <c r="BN39" s="1324"/>
      <c r="BO39" s="1324"/>
      <c r="BP39" s="1325"/>
      <c r="CA39" s="238"/>
    </row>
    <row r="40" spans="2:79" ht="24">
      <c r="B40" s="1291"/>
      <c r="C40" s="1292"/>
      <c r="D40" s="1292"/>
      <c r="E40" s="1302"/>
      <c r="F40" s="1303"/>
      <c r="G40" s="1303"/>
      <c r="H40" s="1304"/>
      <c r="I40" s="1302"/>
      <c r="J40" s="1303"/>
      <c r="K40" s="1303"/>
      <c r="L40" s="1304"/>
      <c r="M40" s="1302"/>
      <c r="N40" s="1303"/>
      <c r="O40" s="1303"/>
      <c r="P40" s="1304"/>
      <c r="Q40" s="1302"/>
      <c r="R40" s="1303"/>
      <c r="S40" s="1303"/>
      <c r="T40" s="1304"/>
      <c r="U40" s="1302"/>
      <c r="V40" s="1303"/>
      <c r="W40" s="1303"/>
      <c r="X40" s="1304"/>
      <c r="Y40" s="1302"/>
      <c r="Z40" s="1303"/>
      <c r="AA40" s="1303"/>
      <c r="AB40" s="1304"/>
      <c r="AC40" s="1302"/>
      <c r="AD40" s="1303"/>
      <c r="AE40" s="1303"/>
      <c r="AF40" s="1304"/>
      <c r="AG40" s="1302"/>
      <c r="AH40" s="1303"/>
      <c r="AI40" s="1303"/>
      <c r="AJ40" s="1304"/>
      <c r="AK40" s="1302"/>
      <c r="AL40" s="1303"/>
      <c r="AM40" s="1303"/>
      <c r="AN40" s="1304"/>
      <c r="AO40" s="1302"/>
      <c r="AP40" s="1303"/>
      <c r="AQ40" s="1303"/>
      <c r="AR40" s="1304"/>
      <c r="AS40" s="1329"/>
      <c r="AT40" s="1330"/>
      <c r="AU40" s="1330"/>
      <c r="AV40" s="1330"/>
      <c r="AW40" s="1319"/>
      <c r="AX40" s="1320"/>
      <c r="AY40" s="384"/>
      <c r="AZ40" s="1326"/>
      <c r="BA40" s="1324"/>
      <c r="BB40" s="1324"/>
      <c r="BC40" s="1324"/>
      <c r="BD40" s="1324"/>
      <c r="BE40" s="1324"/>
      <c r="BF40" s="1324"/>
      <c r="BG40" s="1324"/>
      <c r="BH40" s="1324"/>
      <c r="BI40" s="1324"/>
      <c r="BJ40" s="1324"/>
      <c r="BK40" s="1324"/>
      <c r="BL40" s="1324"/>
      <c r="BM40" s="1324"/>
      <c r="BN40" s="1324"/>
      <c r="BO40" s="1324"/>
      <c r="BP40" s="1325"/>
      <c r="CA40" s="238"/>
    </row>
    <row r="41" spans="2:79" ht="24">
      <c r="B41" s="1293"/>
      <c r="C41" s="1292"/>
      <c r="D41" s="1292"/>
      <c r="E41" s="1302"/>
      <c r="F41" s="1315"/>
      <c r="G41" s="1315"/>
      <c r="H41" s="1316"/>
      <c r="I41" s="1302"/>
      <c r="J41" s="1315"/>
      <c r="K41" s="1315"/>
      <c r="L41" s="1316"/>
      <c r="M41" s="1302"/>
      <c r="N41" s="1315"/>
      <c r="O41" s="1315"/>
      <c r="P41" s="1316"/>
      <c r="Q41" s="1302"/>
      <c r="R41" s="1315"/>
      <c r="S41" s="1315"/>
      <c r="T41" s="1316"/>
      <c r="U41" s="1302"/>
      <c r="V41" s="1315"/>
      <c r="W41" s="1315"/>
      <c r="X41" s="1316"/>
      <c r="Y41" s="1302"/>
      <c r="Z41" s="1315"/>
      <c r="AA41" s="1315"/>
      <c r="AB41" s="1316"/>
      <c r="AC41" s="1302"/>
      <c r="AD41" s="1315"/>
      <c r="AE41" s="1315"/>
      <c r="AF41" s="1316"/>
      <c r="AG41" s="1302"/>
      <c r="AH41" s="1315"/>
      <c r="AI41" s="1315"/>
      <c r="AJ41" s="1316"/>
      <c r="AK41" s="1302"/>
      <c r="AL41" s="1315"/>
      <c r="AM41" s="1315"/>
      <c r="AN41" s="1316"/>
      <c r="AO41" s="1302"/>
      <c r="AP41" s="1315"/>
      <c r="AQ41" s="1315"/>
      <c r="AR41" s="1316"/>
      <c r="AS41" s="1329"/>
      <c r="AT41" s="1330"/>
      <c r="AU41" s="1330"/>
      <c r="AV41" s="1330"/>
      <c r="AW41" s="1319"/>
      <c r="AX41" s="1320"/>
      <c r="AY41" s="384"/>
      <c r="AZ41" s="1326"/>
      <c r="BA41" s="1324"/>
      <c r="BB41" s="1324"/>
      <c r="BC41" s="1324"/>
      <c r="BD41" s="1324"/>
      <c r="BE41" s="1324"/>
      <c r="BF41" s="1324"/>
      <c r="BG41" s="1324"/>
      <c r="BH41" s="1324"/>
      <c r="BI41" s="1324"/>
      <c r="BJ41" s="1324"/>
      <c r="BK41" s="1324"/>
      <c r="BL41" s="1324"/>
      <c r="BM41" s="1324"/>
      <c r="BN41" s="1324"/>
      <c r="BO41" s="1324"/>
      <c r="BP41" s="1325"/>
      <c r="CA41" s="238"/>
    </row>
    <row r="42" spans="2:79" ht="24.75" thickBot="1">
      <c r="B42" s="1294"/>
      <c r="C42" s="1295"/>
      <c r="D42" s="1295"/>
      <c r="E42" s="1284"/>
      <c r="F42" s="1285"/>
      <c r="G42" s="1285"/>
      <c r="H42" s="1286"/>
      <c r="I42" s="1284"/>
      <c r="J42" s="1285"/>
      <c r="K42" s="1285"/>
      <c r="L42" s="1286"/>
      <c r="M42" s="1284"/>
      <c r="N42" s="1285"/>
      <c r="O42" s="1285"/>
      <c r="P42" s="1286"/>
      <c r="Q42" s="1284"/>
      <c r="R42" s="1285"/>
      <c r="S42" s="1285"/>
      <c r="T42" s="1286"/>
      <c r="U42" s="1284"/>
      <c r="V42" s="1285"/>
      <c r="W42" s="1285"/>
      <c r="X42" s="1286"/>
      <c r="Y42" s="1284"/>
      <c r="Z42" s="1285"/>
      <c r="AA42" s="1285"/>
      <c r="AB42" s="1286"/>
      <c r="AC42" s="1284"/>
      <c r="AD42" s="1285"/>
      <c r="AE42" s="1285"/>
      <c r="AF42" s="1286"/>
      <c r="AG42" s="1284"/>
      <c r="AH42" s="1285"/>
      <c r="AI42" s="1285"/>
      <c r="AJ42" s="1286"/>
      <c r="AK42" s="1284"/>
      <c r="AL42" s="1285"/>
      <c r="AM42" s="1285"/>
      <c r="AN42" s="1286"/>
      <c r="AO42" s="1284"/>
      <c r="AP42" s="1285"/>
      <c r="AQ42" s="1285"/>
      <c r="AR42" s="1286"/>
      <c r="AS42" s="1331"/>
      <c r="AT42" s="1332"/>
      <c r="AU42" s="1332"/>
      <c r="AV42" s="1332"/>
      <c r="AW42" s="1321"/>
      <c r="AX42" s="1322"/>
      <c r="AY42" s="384"/>
      <c r="AZ42" s="1326"/>
      <c r="BA42" s="1324"/>
      <c r="BB42" s="1324"/>
      <c r="BC42" s="1324"/>
      <c r="BD42" s="1324"/>
      <c r="BE42" s="1324"/>
      <c r="BF42" s="1324"/>
      <c r="BG42" s="1324"/>
      <c r="BH42" s="1324"/>
      <c r="BI42" s="1324"/>
      <c r="BJ42" s="1324"/>
      <c r="BK42" s="1324"/>
      <c r="BL42" s="1324"/>
      <c r="BM42" s="1324"/>
      <c r="BN42" s="1324"/>
      <c r="BO42" s="1324"/>
      <c r="BP42" s="1325"/>
      <c r="CA42" s="238"/>
    </row>
    <row r="43" spans="2:79">
      <c r="AP43" s="385"/>
      <c r="AQ43" s="385"/>
      <c r="AR43" s="385"/>
      <c r="AS43" s="385"/>
      <c r="AT43" s="385"/>
      <c r="AU43" s="385"/>
      <c r="AV43" s="385"/>
      <c r="AW43" s="385"/>
      <c r="AX43" s="385"/>
      <c r="AY43" s="385"/>
      <c r="AZ43" s="385"/>
      <c r="BD43" s="385"/>
      <c r="BE43" s="385"/>
      <c r="BG43" s="385"/>
    </row>
    <row r="44" spans="2:79" s="386" customFormat="1" ht="45" customHeight="1">
      <c r="B44" s="1206" t="str">
        <f>"３．配置情報（コロナ患者入院対応を行う職員分のみ入力すること）　【総合判定】"&amp;AZ44&amp;IF(AZ44="×","（空欄及び赤表示の欄がないようにしてください。）","")</f>
        <v>３．配置情報（コロナ患者入院対応を行う職員分のみ入力すること）　【総合判定】○</v>
      </c>
      <c r="C44" s="1207"/>
      <c r="D44" s="1207"/>
      <c r="E44" s="1207"/>
      <c r="F44" s="1207"/>
      <c r="G44" s="1207"/>
      <c r="H44" s="1207"/>
      <c r="I44" s="1207"/>
      <c r="J44" s="1207"/>
      <c r="K44" s="1207"/>
      <c r="L44" s="1207"/>
      <c r="M44" s="1207"/>
      <c r="N44" s="1207"/>
      <c r="O44" s="1207"/>
      <c r="P44" s="1207"/>
      <c r="Q44" s="1207"/>
      <c r="R44" s="1207"/>
      <c r="S44" s="1207"/>
      <c r="T44" s="1207"/>
      <c r="U44" s="1207"/>
      <c r="V44" s="1207"/>
      <c r="W44" s="1207"/>
      <c r="X44" s="1207"/>
      <c r="Y44" s="1207"/>
      <c r="Z44" s="1207"/>
      <c r="AA44" s="1207"/>
      <c r="AB44" s="1207"/>
      <c r="AC44" s="1207"/>
      <c r="AD44" s="1207"/>
      <c r="AE44" s="1207"/>
      <c r="AF44" s="1207"/>
      <c r="AG44" s="1207"/>
      <c r="AH44" s="1207"/>
      <c r="AI44" s="1207"/>
      <c r="AJ44" s="1207"/>
      <c r="AK44" s="1207"/>
      <c r="AL44" s="1207"/>
      <c r="AM44" s="1207"/>
      <c r="AN44" s="1207"/>
      <c r="AO44" s="1207"/>
      <c r="AP44" s="1207"/>
      <c r="AQ44" s="1207"/>
      <c r="AR44" s="1207"/>
      <c r="AS44" s="1207"/>
      <c r="AT44" s="1207"/>
      <c r="AU44" s="1207"/>
      <c r="AV44" s="1207"/>
      <c r="AW44" s="1207"/>
      <c r="AX44" s="1207"/>
      <c r="AY44" s="1207"/>
      <c r="AZ44" s="239" t="str">
        <f>IF(COUNTIF(AX52:AX64,"○")=2,"○","×")</f>
        <v>○</v>
      </c>
      <c r="BD44" s="239"/>
      <c r="BE44" s="239"/>
      <c r="BF44" s="239"/>
      <c r="BG44" s="239"/>
    </row>
    <row r="45" spans="2:79" ht="48" customHeight="1">
      <c r="B45" s="1287" t="s">
        <v>1199</v>
      </c>
      <c r="C45" s="1288"/>
      <c r="D45" s="1288"/>
      <c r="E45" s="1288"/>
      <c r="F45" s="1288"/>
      <c r="G45" s="1288"/>
      <c r="H45" s="1288"/>
      <c r="I45" s="1288"/>
      <c r="J45" s="1288"/>
      <c r="K45" s="1288"/>
      <c r="L45" s="1288"/>
      <c r="M45" s="1288"/>
      <c r="N45" s="1288"/>
      <c r="O45" s="1288"/>
      <c r="P45" s="1288"/>
      <c r="Q45" s="1288"/>
      <c r="R45" s="1288"/>
      <c r="S45" s="1288"/>
      <c r="T45" s="1288"/>
      <c r="U45" s="1288"/>
      <c r="V45" s="1288"/>
      <c r="W45" s="1288"/>
      <c r="X45" s="1288"/>
      <c r="Y45" s="1288"/>
      <c r="Z45" s="1288"/>
      <c r="AA45" s="1288"/>
      <c r="AB45" s="1288"/>
      <c r="AC45" s="1288"/>
      <c r="AD45" s="1288"/>
      <c r="AE45" s="1288"/>
      <c r="AF45" s="1288"/>
      <c r="AG45" s="1288"/>
      <c r="AH45" s="1288"/>
      <c r="AI45" s="1288"/>
      <c r="AJ45" s="1288"/>
      <c r="AK45" s="1288"/>
      <c r="AL45" s="1288"/>
      <c r="AM45" s="1288"/>
      <c r="AN45" s="1288"/>
      <c r="AO45" s="1288"/>
      <c r="AP45" s="1288"/>
      <c r="AQ45" s="1288"/>
      <c r="AR45" s="1288"/>
      <c r="AS45" s="1288"/>
      <c r="AT45" s="1288"/>
      <c r="AU45" s="1288"/>
      <c r="AV45" s="1288"/>
      <c r="AW45" s="1288"/>
      <c r="AX45" s="240"/>
      <c r="BD45" s="223"/>
      <c r="BE45" s="223"/>
      <c r="BF45" s="223"/>
      <c r="BG45" s="223"/>
    </row>
    <row r="46" spans="2:79" ht="48" customHeight="1">
      <c r="B46" s="1211" t="s">
        <v>1182</v>
      </c>
      <c r="C46" s="1212"/>
      <c r="D46" s="1212"/>
      <c r="E46" s="1212"/>
      <c r="F46" s="1212"/>
      <c r="G46" s="1212"/>
      <c r="H46" s="1212"/>
      <c r="I46" s="1212"/>
      <c r="J46" s="1212"/>
      <c r="K46" s="1212"/>
      <c r="L46" s="1212"/>
      <c r="M46" s="1212"/>
      <c r="N46" s="1212"/>
      <c r="O46" s="1212"/>
      <c r="P46" s="1212"/>
      <c r="Q46" s="1212"/>
      <c r="R46" s="1212"/>
      <c r="S46" s="1212"/>
      <c r="T46" s="1212"/>
      <c r="U46" s="1212"/>
      <c r="V46" s="1212"/>
      <c r="W46" s="1212"/>
      <c r="X46" s="1212"/>
      <c r="Y46" s="1212"/>
      <c r="Z46" s="1212"/>
      <c r="AA46" s="1212"/>
      <c r="AB46" s="1212"/>
      <c r="AC46" s="1212"/>
      <c r="AD46" s="1212"/>
      <c r="AE46" s="1212"/>
      <c r="AF46" s="1212"/>
      <c r="AG46" s="1212"/>
      <c r="AH46" s="1212"/>
      <c r="AI46" s="1212"/>
      <c r="AJ46" s="1212"/>
      <c r="AK46" s="1212"/>
      <c r="AL46" s="1212"/>
      <c r="AM46" s="1212"/>
      <c r="AN46" s="1212"/>
      <c r="AO46" s="1212"/>
      <c r="AP46" s="1212"/>
      <c r="AQ46" s="1212"/>
      <c r="AR46" s="1212"/>
      <c r="AS46" s="1212"/>
      <c r="AT46" s="1212"/>
      <c r="AU46" s="1212"/>
      <c r="AV46" s="1212"/>
      <c r="AW46" s="1212"/>
      <c r="AX46" s="240"/>
      <c r="BD46" s="223"/>
      <c r="BE46" s="223"/>
      <c r="BF46" s="223"/>
      <c r="BG46" s="223"/>
    </row>
    <row r="47" spans="2:79" ht="48" customHeight="1" thickBot="1">
      <c r="B47" s="1211" t="s">
        <v>1075</v>
      </c>
      <c r="C47" s="1210"/>
      <c r="D47" s="1210"/>
      <c r="E47" s="1210"/>
      <c r="F47" s="1210"/>
      <c r="G47" s="1210"/>
      <c r="H47" s="1210"/>
      <c r="I47" s="1210"/>
      <c r="J47" s="1210"/>
      <c r="K47" s="1210"/>
      <c r="L47" s="1210"/>
      <c r="M47" s="1210"/>
      <c r="N47" s="1210"/>
      <c r="O47" s="1210"/>
      <c r="P47" s="1210"/>
      <c r="Q47" s="1210"/>
      <c r="R47" s="1210"/>
      <c r="S47" s="1210"/>
      <c r="T47" s="1210"/>
      <c r="U47" s="1210"/>
      <c r="V47" s="1210"/>
      <c r="W47" s="1210"/>
      <c r="X47" s="1210"/>
      <c r="Y47" s="1210"/>
      <c r="Z47" s="1210"/>
      <c r="AA47" s="1210"/>
      <c r="AB47" s="1210"/>
      <c r="AC47" s="1210"/>
      <c r="AD47" s="1210"/>
      <c r="AE47" s="1210"/>
      <c r="AF47" s="1210"/>
      <c r="AG47" s="1210"/>
      <c r="AH47" s="1210"/>
      <c r="AI47" s="1210"/>
      <c r="AJ47" s="1210"/>
      <c r="AK47" s="1210"/>
      <c r="AL47" s="1210"/>
      <c r="AM47" s="1210"/>
      <c r="AN47" s="1210"/>
      <c r="AO47" s="1210"/>
      <c r="AP47" s="1210"/>
      <c r="AQ47" s="1210"/>
      <c r="AR47" s="1210"/>
      <c r="AS47" s="1210"/>
      <c r="AT47" s="1210"/>
      <c r="AU47" s="1210"/>
      <c r="AV47" s="1210"/>
      <c r="AW47" s="1210"/>
      <c r="AX47" s="1210"/>
      <c r="BD47" s="223"/>
      <c r="BE47" s="223"/>
      <c r="BF47" s="223"/>
      <c r="BG47" s="223"/>
    </row>
    <row r="48" spans="2:79" ht="24.75" thickTop="1">
      <c r="B48" s="1305" t="s">
        <v>1220</v>
      </c>
      <c r="C48" s="1306"/>
      <c r="D48" s="1306"/>
      <c r="E48" s="1306"/>
      <c r="F48" s="1306"/>
      <c r="G48" s="1306"/>
      <c r="H48" s="1306"/>
      <c r="I48" s="1307"/>
      <c r="J48" s="1289" t="s">
        <v>1076</v>
      </c>
      <c r="K48" s="1290"/>
      <c r="L48" s="1290"/>
      <c r="M48" s="1290"/>
      <c r="N48" s="1290"/>
      <c r="O48" s="1290"/>
      <c r="P48" s="1290"/>
      <c r="Q48" s="1290"/>
      <c r="R48" s="1290"/>
      <c r="S48" s="1290"/>
      <c r="T48" s="1290"/>
      <c r="U48" s="1290"/>
      <c r="V48" s="1290"/>
      <c r="W48" s="1290"/>
      <c r="X48" s="1290"/>
      <c r="Y48" s="1290"/>
      <c r="Z48" s="1290"/>
      <c r="AA48" s="1290"/>
      <c r="AB48" s="1290"/>
      <c r="AC48" s="1290"/>
      <c r="AD48" s="1290"/>
      <c r="AE48" s="1290"/>
      <c r="AF48" s="1290"/>
      <c r="AG48" s="1290"/>
      <c r="AH48" s="1290"/>
      <c r="AI48" s="1290"/>
      <c r="AJ48" s="1290"/>
      <c r="AK48" s="1290"/>
      <c r="AL48" s="1290"/>
      <c r="AM48" s="1314"/>
      <c r="AN48" s="1289" t="s">
        <v>1077</v>
      </c>
      <c r="AO48" s="1290"/>
      <c r="AP48" s="1290"/>
      <c r="AQ48" s="1290"/>
      <c r="AR48" s="1290"/>
      <c r="AS48" s="1290"/>
      <c r="AT48" s="1384"/>
      <c r="AU48" s="1360" t="s">
        <v>1078</v>
      </c>
      <c r="AV48" s="1361"/>
      <c r="AW48" s="1362"/>
      <c r="AX48" s="1385" t="s">
        <v>100</v>
      </c>
      <c r="AY48" s="384"/>
      <c r="AZ48" s="1280" t="s">
        <v>1071</v>
      </c>
      <c r="BA48" s="1281"/>
      <c r="BB48" s="1281"/>
      <c r="BC48" s="1281"/>
      <c r="BD48" s="1281"/>
      <c r="BE48" s="1281"/>
      <c r="BF48" s="1281"/>
      <c r="BG48" s="1281"/>
      <c r="BH48" s="1281"/>
      <c r="BI48" s="1281"/>
      <c r="BJ48" s="1281"/>
      <c r="BK48" s="1281"/>
      <c r="BL48" s="1281"/>
      <c r="BM48" s="1281"/>
      <c r="BN48" s="1281"/>
      <c r="BO48" s="1281"/>
      <c r="BP48" s="1281"/>
    </row>
    <row r="49" spans="2:69" ht="18" customHeight="1">
      <c r="B49" s="1308"/>
      <c r="C49" s="1309"/>
      <c r="D49" s="1309"/>
      <c r="E49" s="1309"/>
      <c r="F49" s="1309"/>
      <c r="G49" s="1309"/>
      <c r="H49" s="1309"/>
      <c r="I49" s="1310"/>
      <c r="J49" s="241">
        <v>1</v>
      </c>
      <c r="K49" s="375">
        <v>2</v>
      </c>
      <c r="L49" s="375">
        <v>3</v>
      </c>
      <c r="M49" s="375">
        <v>4</v>
      </c>
      <c r="N49" s="375">
        <v>5</v>
      </c>
      <c r="O49" s="375">
        <v>6</v>
      </c>
      <c r="P49" s="375">
        <v>7</v>
      </c>
      <c r="Q49" s="375">
        <v>8</v>
      </c>
      <c r="R49" s="375">
        <v>9</v>
      </c>
      <c r="S49" s="375">
        <v>10</v>
      </c>
      <c r="T49" s="375">
        <v>11</v>
      </c>
      <c r="U49" s="375">
        <v>12</v>
      </c>
      <c r="V49" s="375">
        <v>13</v>
      </c>
      <c r="W49" s="375">
        <v>14</v>
      </c>
      <c r="X49" s="375">
        <v>15</v>
      </c>
      <c r="Y49" s="375">
        <v>16</v>
      </c>
      <c r="Z49" s="375">
        <v>17</v>
      </c>
      <c r="AA49" s="375">
        <v>18</v>
      </c>
      <c r="AB49" s="375">
        <v>19</v>
      </c>
      <c r="AC49" s="375">
        <v>20</v>
      </c>
      <c r="AD49" s="375">
        <v>21</v>
      </c>
      <c r="AE49" s="375">
        <v>22</v>
      </c>
      <c r="AF49" s="375">
        <v>23</v>
      </c>
      <c r="AG49" s="375">
        <v>24</v>
      </c>
      <c r="AH49" s="375">
        <v>25</v>
      </c>
      <c r="AI49" s="375">
        <v>26</v>
      </c>
      <c r="AJ49" s="375">
        <v>27</v>
      </c>
      <c r="AK49" s="375">
        <v>28</v>
      </c>
      <c r="AL49" s="375">
        <v>29</v>
      </c>
      <c r="AM49" s="242">
        <v>30</v>
      </c>
      <c r="AN49" s="241">
        <v>1</v>
      </c>
      <c r="AO49" s="375">
        <v>2</v>
      </c>
      <c r="AP49" s="375">
        <v>3</v>
      </c>
      <c r="AQ49" s="375">
        <v>4</v>
      </c>
      <c r="AR49" s="375">
        <v>5</v>
      </c>
      <c r="AS49" s="375">
        <v>6</v>
      </c>
      <c r="AT49" s="243">
        <v>7</v>
      </c>
      <c r="AU49" s="1363"/>
      <c r="AV49" s="1364"/>
      <c r="AW49" s="1365"/>
      <c r="AX49" s="1386"/>
      <c r="AY49" s="384"/>
      <c r="AZ49" s="1281"/>
      <c r="BA49" s="1281"/>
      <c r="BB49" s="1281"/>
      <c r="BC49" s="1281"/>
      <c r="BD49" s="1281"/>
      <c r="BE49" s="1281"/>
      <c r="BF49" s="1281"/>
      <c r="BG49" s="1281"/>
      <c r="BH49" s="1281"/>
      <c r="BI49" s="1281"/>
      <c r="BJ49" s="1281"/>
      <c r="BK49" s="1281"/>
      <c r="BL49" s="1281"/>
      <c r="BM49" s="1281"/>
      <c r="BN49" s="1281"/>
      <c r="BO49" s="1281"/>
      <c r="BP49" s="1281"/>
    </row>
    <row r="50" spans="2:69" ht="18" customHeight="1" thickBot="1">
      <c r="B50" s="1308"/>
      <c r="C50" s="1309"/>
      <c r="D50" s="1309"/>
      <c r="E50" s="1309"/>
      <c r="F50" s="1309"/>
      <c r="G50" s="1309"/>
      <c r="H50" s="1309"/>
      <c r="I50" s="1310"/>
      <c r="J50" s="244" t="s">
        <v>1079</v>
      </c>
      <c r="K50" s="245" t="s">
        <v>81</v>
      </c>
      <c r="L50" s="245" t="s">
        <v>69</v>
      </c>
      <c r="M50" s="245" t="s">
        <v>1057</v>
      </c>
      <c r="N50" s="245" t="s">
        <v>1060</v>
      </c>
      <c r="O50" s="245" t="s">
        <v>1062</v>
      </c>
      <c r="P50" s="245" t="s">
        <v>1064</v>
      </c>
      <c r="Q50" s="245" t="s">
        <v>1066</v>
      </c>
      <c r="R50" s="245" t="s">
        <v>70</v>
      </c>
      <c r="S50" s="245" t="s">
        <v>69</v>
      </c>
      <c r="T50" s="245" t="s">
        <v>1057</v>
      </c>
      <c r="U50" s="245" t="s">
        <v>1060</v>
      </c>
      <c r="V50" s="245" t="s">
        <v>1062</v>
      </c>
      <c r="W50" s="245" t="s">
        <v>1064</v>
      </c>
      <c r="X50" s="245" t="s">
        <v>1066</v>
      </c>
      <c r="Y50" s="245" t="s">
        <v>70</v>
      </c>
      <c r="Z50" s="245" t="s">
        <v>69</v>
      </c>
      <c r="AA50" s="245" t="s">
        <v>1057</v>
      </c>
      <c r="AB50" s="245" t="s">
        <v>1060</v>
      </c>
      <c r="AC50" s="245" t="s">
        <v>1062</v>
      </c>
      <c r="AD50" s="245" t="s">
        <v>1064</v>
      </c>
      <c r="AE50" s="245" t="s">
        <v>1066</v>
      </c>
      <c r="AF50" s="245" t="s">
        <v>70</v>
      </c>
      <c r="AG50" s="245" t="s">
        <v>69</v>
      </c>
      <c r="AH50" s="245" t="s">
        <v>1057</v>
      </c>
      <c r="AI50" s="245" t="s">
        <v>1060</v>
      </c>
      <c r="AJ50" s="245" t="s">
        <v>1062</v>
      </c>
      <c r="AK50" s="245" t="s">
        <v>1064</v>
      </c>
      <c r="AL50" s="245" t="s">
        <v>1066</v>
      </c>
      <c r="AM50" s="246" t="s">
        <v>81</v>
      </c>
      <c r="AN50" s="244" t="s">
        <v>1055</v>
      </c>
      <c r="AO50" s="245" t="s">
        <v>1080</v>
      </c>
      <c r="AP50" s="245" t="s">
        <v>1060</v>
      </c>
      <c r="AQ50" s="245" t="s">
        <v>1062</v>
      </c>
      <c r="AR50" s="245" t="s">
        <v>1064</v>
      </c>
      <c r="AS50" s="245" t="s">
        <v>1066</v>
      </c>
      <c r="AT50" s="247" t="s">
        <v>81</v>
      </c>
      <c r="AU50" s="1366">
        <f>IF(AX52="○",COUNTIF(J52:AT52,"&gt;0"),"×")</f>
        <v>29</v>
      </c>
      <c r="AV50" s="1367"/>
      <c r="AW50" s="1368"/>
      <c r="AX50" s="1386"/>
      <c r="AY50" s="384"/>
      <c r="AZ50" s="1281"/>
      <c r="BA50" s="1281"/>
      <c r="BB50" s="1281"/>
      <c r="BC50" s="1281"/>
      <c r="BD50" s="1281"/>
      <c r="BE50" s="1281"/>
      <c r="BF50" s="1281"/>
      <c r="BG50" s="1281"/>
      <c r="BH50" s="1281"/>
      <c r="BI50" s="1281"/>
      <c r="BJ50" s="1281"/>
      <c r="BK50" s="1281"/>
      <c r="BL50" s="1281"/>
      <c r="BM50" s="1281"/>
      <c r="BN50" s="1281"/>
      <c r="BO50" s="1281"/>
      <c r="BP50" s="1281"/>
    </row>
    <row r="51" spans="2:69" ht="24.75" hidden="1" thickBot="1">
      <c r="B51" s="1311"/>
      <c r="C51" s="1312"/>
      <c r="D51" s="1312"/>
      <c r="E51" s="1312"/>
      <c r="F51" s="1312"/>
      <c r="G51" s="1312"/>
      <c r="H51" s="1312"/>
      <c r="I51" s="1313"/>
      <c r="J51" s="248"/>
      <c r="K51" s="249"/>
      <c r="L51" s="249"/>
      <c r="M51" s="249"/>
      <c r="N51" s="249"/>
      <c r="O51" s="249"/>
      <c r="P51" s="249"/>
      <c r="Q51" s="249"/>
      <c r="R51" s="249"/>
      <c r="S51" s="249"/>
      <c r="T51" s="249"/>
      <c r="U51" s="249"/>
      <c r="V51" s="249"/>
      <c r="W51" s="249"/>
      <c r="X51" s="249"/>
      <c r="Y51" s="249"/>
      <c r="Z51" s="249"/>
      <c r="AA51" s="249"/>
      <c r="AB51" s="249"/>
      <c r="AC51" s="249"/>
      <c r="AD51" s="249"/>
      <c r="AE51" s="249"/>
      <c r="AF51" s="249"/>
      <c r="AG51" s="249"/>
      <c r="AH51" s="249"/>
      <c r="AI51" s="249"/>
      <c r="AJ51" s="249"/>
      <c r="AK51" s="249"/>
      <c r="AL51" s="249"/>
      <c r="AM51" s="250"/>
      <c r="AN51" s="248"/>
      <c r="AO51" s="249"/>
      <c r="AP51" s="249"/>
      <c r="AQ51" s="249"/>
      <c r="AR51" s="249"/>
      <c r="AS51" s="249"/>
      <c r="AT51" s="251"/>
      <c r="AU51" s="1282"/>
      <c r="AV51" s="1283"/>
      <c r="AW51" s="1283"/>
      <c r="AX51" s="252" t="s">
        <v>1081</v>
      </c>
      <c r="AY51" s="384"/>
      <c r="AZ51" s="1163" t="s">
        <v>1081</v>
      </c>
      <c r="BA51" s="1270"/>
      <c r="BB51" s="1270"/>
      <c r="BC51" s="1270"/>
      <c r="BD51" s="1270"/>
      <c r="BE51" s="1270"/>
      <c r="BF51" s="1270"/>
      <c r="BG51" s="1270"/>
      <c r="BH51" s="1270"/>
      <c r="BI51" s="1270"/>
      <c r="BJ51" s="1270"/>
      <c r="BK51" s="1270"/>
      <c r="BL51" s="1270"/>
      <c r="BM51" s="1270"/>
      <c r="BN51" s="1270"/>
      <c r="BO51" s="1270"/>
      <c r="BP51" s="1270"/>
    </row>
    <row r="52" spans="2:69" ht="24.75" thickTop="1">
      <c r="B52" s="1266" t="s">
        <v>1181</v>
      </c>
      <c r="C52" s="1267"/>
      <c r="D52" s="1267"/>
      <c r="E52" s="1267"/>
      <c r="F52" s="1267"/>
      <c r="G52" s="1267"/>
      <c r="H52" s="1267"/>
      <c r="I52" s="1267"/>
      <c r="J52" s="289">
        <v>4</v>
      </c>
      <c r="K52" s="290">
        <v>5</v>
      </c>
      <c r="L52" s="290">
        <v>5</v>
      </c>
      <c r="M52" s="290">
        <v>4</v>
      </c>
      <c r="N52" s="290">
        <v>2</v>
      </c>
      <c r="O52" s="290">
        <v>2</v>
      </c>
      <c r="P52" s="290">
        <v>1</v>
      </c>
      <c r="Q52" s="290">
        <v>0</v>
      </c>
      <c r="R52" s="290">
        <v>2</v>
      </c>
      <c r="S52" s="290">
        <v>2</v>
      </c>
      <c r="T52" s="290">
        <v>2</v>
      </c>
      <c r="U52" s="290">
        <v>3</v>
      </c>
      <c r="V52" s="290">
        <v>0</v>
      </c>
      <c r="W52" s="290">
        <v>2</v>
      </c>
      <c r="X52" s="290">
        <v>2</v>
      </c>
      <c r="Y52" s="290">
        <v>2</v>
      </c>
      <c r="Z52" s="290">
        <v>2</v>
      </c>
      <c r="AA52" s="290">
        <v>1</v>
      </c>
      <c r="AB52" s="290">
        <v>0</v>
      </c>
      <c r="AC52" s="290">
        <v>0</v>
      </c>
      <c r="AD52" s="290">
        <v>0</v>
      </c>
      <c r="AE52" s="290">
        <v>2</v>
      </c>
      <c r="AF52" s="290">
        <v>2</v>
      </c>
      <c r="AG52" s="290">
        <v>1</v>
      </c>
      <c r="AH52" s="290">
        <v>0</v>
      </c>
      <c r="AI52" s="290">
        <v>2</v>
      </c>
      <c r="AJ52" s="290">
        <v>0</v>
      </c>
      <c r="AK52" s="290">
        <v>2</v>
      </c>
      <c r="AL52" s="290">
        <v>0</v>
      </c>
      <c r="AM52" s="291">
        <v>1</v>
      </c>
      <c r="AN52" s="289">
        <v>1</v>
      </c>
      <c r="AO52" s="290">
        <v>2</v>
      </c>
      <c r="AP52" s="290">
        <v>2</v>
      </c>
      <c r="AQ52" s="290">
        <v>1</v>
      </c>
      <c r="AR52" s="290">
        <v>2</v>
      </c>
      <c r="AS52" s="290">
        <v>2</v>
      </c>
      <c r="AT52" s="292">
        <v>2</v>
      </c>
      <c r="AU52" s="1268">
        <f>IF(AX52="○",SUM(J52:AT52),"×")</f>
        <v>63</v>
      </c>
      <c r="AV52" s="1269"/>
      <c r="AW52" s="1269"/>
      <c r="AX52" s="1250" t="str">
        <f>IF(COUNTIF(J54:AT54,"○")=37,"○","×")</f>
        <v>○</v>
      </c>
      <c r="AY52" s="384"/>
      <c r="AZ52" s="1264" t="s">
        <v>1082</v>
      </c>
      <c r="BA52" s="1270"/>
      <c r="BB52" s="1270"/>
      <c r="BC52" s="1270"/>
      <c r="BD52" s="1270"/>
      <c r="BE52" s="1270"/>
      <c r="BF52" s="1270"/>
      <c r="BG52" s="1270"/>
      <c r="BH52" s="1270"/>
      <c r="BI52" s="1270"/>
      <c r="BJ52" s="1270"/>
      <c r="BK52" s="1270"/>
      <c r="BL52" s="1270"/>
      <c r="BM52" s="1270"/>
      <c r="BN52" s="1270"/>
      <c r="BO52" s="1270"/>
      <c r="BP52" s="1270"/>
    </row>
    <row r="53" spans="2:69" ht="24">
      <c r="B53" s="1271" t="s">
        <v>1083</v>
      </c>
      <c r="C53" s="1272"/>
      <c r="D53" s="1272"/>
      <c r="E53" s="1272"/>
      <c r="F53" s="1272"/>
      <c r="G53" s="1272"/>
      <c r="H53" s="1272"/>
      <c r="I53" s="1272"/>
      <c r="J53" s="293">
        <v>4</v>
      </c>
      <c r="K53" s="294">
        <v>2</v>
      </c>
      <c r="L53" s="294">
        <v>1</v>
      </c>
      <c r="M53" s="294">
        <v>3</v>
      </c>
      <c r="N53" s="294">
        <v>1</v>
      </c>
      <c r="O53" s="294">
        <v>2</v>
      </c>
      <c r="P53" s="294">
        <v>1</v>
      </c>
      <c r="Q53" s="294">
        <v>0</v>
      </c>
      <c r="R53" s="294">
        <v>1</v>
      </c>
      <c r="S53" s="294">
        <v>1</v>
      </c>
      <c r="T53" s="294">
        <v>0</v>
      </c>
      <c r="U53" s="294">
        <v>3</v>
      </c>
      <c r="V53" s="294">
        <v>0</v>
      </c>
      <c r="W53" s="294">
        <v>1</v>
      </c>
      <c r="X53" s="294">
        <v>1</v>
      </c>
      <c r="Y53" s="294">
        <v>1</v>
      </c>
      <c r="Z53" s="294">
        <v>1</v>
      </c>
      <c r="AA53" s="294">
        <v>1</v>
      </c>
      <c r="AB53" s="294">
        <v>0</v>
      </c>
      <c r="AC53" s="294">
        <v>0</v>
      </c>
      <c r="AD53" s="294">
        <v>0</v>
      </c>
      <c r="AE53" s="294">
        <v>2</v>
      </c>
      <c r="AF53" s="294">
        <v>2</v>
      </c>
      <c r="AG53" s="294">
        <v>0</v>
      </c>
      <c r="AH53" s="294">
        <v>0</v>
      </c>
      <c r="AI53" s="294">
        <v>0</v>
      </c>
      <c r="AJ53" s="294">
        <v>0</v>
      </c>
      <c r="AK53" s="294">
        <v>0</v>
      </c>
      <c r="AL53" s="294">
        <v>0</v>
      </c>
      <c r="AM53" s="295">
        <v>1</v>
      </c>
      <c r="AN53" s="293">
        <v>0</v>
      </c>
      <c r="AO53" s="294">
        <v>0</v>
      </c>
      <c r="AP53" s="294">
        <v>0</v>
      </c>
      <c r="AQ53" s="294">
        <v>1</v>
      </c>
      <c r="AR53" s="294">
        <v>1</v>
      </c>
      <c r="AS53" s="294">
        <v>0</v>
      </c>
      <c r="AT53" s="296">
        <v>1</v>
      </c>
      <c r="AU53" s="1273">
        <f>IF(AX52="○",SUM(J53:AT53),"×")</f>
        <v>32</v>
      </c>
      <c r="AV53" s="1274"/>
      <c r="AW53" s="1274"/>
      <c r="AX53" s="1251"/>
      <c r="AY53" s="384"/>
      <c r="AZ53" s="1226" t="s">
        <v>1084</v>
      </c>
      <c r="BA53" s="1232"/>
      <c r="BB53" s="1232"/>
      <c r="BC53" s="1232"/>
      <c r="BD53" s="1232"/>
      <c r="BE53" s="1232"/>
      <c r="BF53" s="1232"/>
      <c r="BG53" s="1232"/>
      <c r="BH53" s="1232"/>
      <c r="BI53" s="1232"/>
      <c r="BJ53" s="1232"/>
      <c r="BK53" s="1232"/>
      <c r="BL53" s="1232"/>
      <c r="BM53" s="1232"/>
      <c r="BN53" s="1232"/>
      <c r="BO53" s="1232"/>
      <c r="BP53" s="1232"/>
    </row>
    <row r="54" spans="2:69" ht="24.75" thickBot="1">
      <c r="B54" s="1275" t="s">
        <v>100</v>
      </c>
      <c r="C54" s="1276"/>
      <c r="D54" s="1276"/>
      <c r="E54" s="1276"/>
      <c r="F54" s="1276"/>
      <c r="G54" s="1276"/>
      <c r="H54" s="1276"/>
      <c r="I54" s="1276"/>
      <c r="J54" s="253" t="str">
        <f xml:space="preserve">
IF(AND(AND(COUNTA(J52:J53)=2,J52&gt;=J53)),"○",
IF(AND(OR(COUNTA(J52:J53)&lt;&gt;2,J52&lt;J53)),"×",
IF(AND(AND(OR(J52=0,J52=""),OR(J53=0,J53=""))),"○",
IF(AND(OR(J52&lt;&gt;0,J52&lt;&gt;"",J53&lt;&gt;0,J53&lt;&gt;"")),"×"))))</f>
        <v>○</v>
      </c>
      <c r="K54" s="254" t="str">
        <f t="shared" ref="K54:AT54" si="6" xml:space="preserve">
IF(AND(AND(COUNTA(K52:K53)=2,K52&gt;=K53)),"○",
IF(AND(OR(COUNTA(K52:K53)&lt;&gt;2,K52&lt;K53)),"×",
IF(AND(AND(OR(K52=0,K52=""),OR(K53=0,K53=""))),"○",
IF(AND(OR(K52&lt;&gt;0,K52&lt;&gt;"",K53&lt;&gt;0,K53&lt;&gt;"")),"×"))))</f>
        <v>○</v>
      </c>
      <c r="L54" s="254" t="str">
        <f t="shared" si="6"/>
        <v>○</v>
      </c>
      <c r="M54" s="254" t="str">
        <f t="shared" si="6"/>
        <v>○</v>
      </c>
      <c r="N54" s="254" t="str">
        <f t="shared" si="6"/>
        <v>○</v>
      </c>
      <c r="O54" s="254" t="str">
        <f t="shared" si="6"/>
        <v>○</v>
      </c>
      <c r="P54" s="254" t="str">
        <f t="shared" si="6"/>
        <v>○</v>
      </c>
      <c r="Q54" s="254" t="str">
        <f t="shared" si="6"/>
        <v>○</v>
      </c>
      <c r="R54" s="254" t="str">
        <f t="shared" si="6"/>
        <v>○</v>
      </c>
      <c r="S54" s="254" t="str">
        <f t="shared" si="6"/>
        <v>○</v>
      </c>
      <c r="T54" s="254" t="str">
        <f t="shared" si="6"/>
        <v>○</v>
      </c>
      <c r="U54" s="254" t="str">
        <f t="shared" si="6"/>
        <v>○</v>
      </c>
      <c r="V54" s="254" t="str">
        <f t="shared" si="6"/>
        <v>○</v>
      </c>
      <c r="W54" s="254" t="str">
        <f t="shared" si="6"/>
        <v>○</v>
      </c>
      <c r="X54" s="254" t="str">
        <f t="shared" si="6"/>
        <v>○</v>
      </c>
      <c r="Y54" s="254" t="str">
        <f t="shared" si="6"/>
        <v>○</v>
      </c>
      <c r="Z54" s="254" t="str">
        <f t="shared" si="6"/>
        <v>○</v>
      </c>
      <c r="AA54" s="254" t="str">
        <f t="shared" si="6"/>
        <v>○</v>
      </c>
      <c r="AB54" s="254" t="str">
        <f t="shared" si="6"/>
        <v>○</v>
      </c>
      <c r="AC54" s="254" t="str">
        <f t="shared" si="6"/>
        <v>○</v>
      </c>
      <c r="AD54" s="254" t="str">
        <f t="shared" si="6"/>
        <v>○</v>
      </c>
      <c r="AE54" s="254" t="str">
        <f t="shared" si="6"/>
        <v>○</v>
      </c>
      <c r="AF54" s="254" t="str">
        <f t="shared" si="6"/>
        <v>○</v>
      </c>
      <c r="AG54" s="254" t="str">
        <f t="shared" si="6"/>
        <v>○</v>
      </c>
      <c r="AH54" s="254" t="str">
        <f t="shared" si="6"/>
        <v>○</v>
      </c>
      <c r="AI54" s="254" t="str">
        <f t="shared" si="6"/>
        <v>○</v>
      </c>
      <c r="AJ54" s="254" t="str">
        <f t="shared" si="6"/>
        <v>○</v>
      </c>
      <c r="AK54" s="254" t="str">
        <f t="shared" si="6"/>
        <v>○</v>
      </c>
      <c r="AL54" s="254" t="str">
        <f t="shared" si="6"/>
        <v>○</v>
      </c>
      <c r="AM54" s="255" t="str">
        <f t="shared" si="6"/>
        <v>○</v>
      </c>
      <c r="AN54" s="253" t="str">
        <f xml:space="preserve">
IF(AND(AND(COUNTA(AN52:AN53)=2,AN52&gt;=AN53)),"○",
IF(AND(OR(COUNTA(AN52:AN53)&lt;&gt;2,AN52&lt;AN53)),"×",
IF(AND(AND(OR(AN52=0,AN52=""),OR(AN53=0,AN53=""))),"○",
IF(AND(OR(AN52&lt;&gt;0,AN52&lt;&gt;"",AN53&lt;&gt;0,AN53&lt;&gt;"")),"×"))))</f>
        <v>○</v>
      </c>
      <c r="AO54" s="254" t="str">
        <f t="shared" si="6"/>
        <v>○</v>
      </c>
      <c r="AP54" s="254" t="str">
        <f t="shared" si="6"/>
        <v>○</v>
      </c>
      <c r="AQ54" s="254" t="str">
        <f t="shared" si="6"/>
        <v>○</v>
      </c>
      <c r="AR54" s="254" t="str">
        <f t="shared" si="6"/>
        <v>○</v>
      </c>
      <c r="AS54" s="254" t="str">
        <f t="shared" si="6"/>
        <v>○</v>
      </c>
      <c r="AT54" s="256" t="str">
        <f t="shared" si="6"/>
        <v>○</v>
      </c>
      <c r="AU54" s="1277" t="s">
        <v>1081</v>
      </c>
      <c r="AV54" s="1278"/>
      <c r="AW54" s="1279"/>
      <c r="AX54" s="1252"/>
      <c r="AY54" s="384"/>
      <c r="AZ54" s="1239" t="str">
        <f>IF(AX52="○","適切に入力されました。",IF(AX52="×","【要修正】全ての判定欄が「○」になっているか確認してください。(グレー以外は全て入力。赤表示欄がないように。)"))</f>
        <v>適切に入力されました。</v>
      </c>
      <c r="BA54" s="1240"/>
      <c r="BB54" s="1240"/>
      <c r="BC54" s="1240"/>
      <c r="BD54" s="1240"/>
      <c r="BE54" s="1240"/>
      <c r="BF54" s="1240"/>
      <c r="BG54" s="1240"/>
      <c r="BH54" s="1240"/>
      <c r="BI54" s="1240"/>
      <c r="BJ54" s="1240"/>
      <c r="BK54" s="1240"/>
      <c r="BL54" s="1240"/>
      <c r="BM54" s="1240"/>
      <c r="BN54" s="1240"/>
      <c r="BO54" s="1240"/>
      <c r="BP54" s="1241"/>
    </row>
    <row r="55" spans="2:69" ht="18.75" hidden="1" thickTop="1">
      <c r="BA55" s="223"/>
      <c r="BB55" s="223"/>
      <c r="BC55" s="223"/>
      <c r="BD55" s="223"/>
      <c r="BE55" s="223"/>
      <c r="BF55" s="223"/>
      <c r="BG55" s="223"/>
      <c r="BH55" s="223"/>
      <c r="BI55" s="223"/>
      <c r="BJ55" s="223"/>
      <c r="BK55" s="223"/>
      <c r="BL55" s="223"/>
      <c r="BM55" s="223"/>
      <c r="BN55" s="223"/>
      <c r="BO55" s="223"/>
      <c r="BP55" s="223"/>
      <c r="BQ55" s="223"/>
    </row>
    <row r="56" spans="2:69" ht="25.5" thickTop="1" thickBot="1">
      <c r="B56" s="1259" t="s">
        <v>1085</v>
      </c>
      <c r="C56" s="1260"/>
      <c r="D56" s="1260"/>
      <c r="E56" s="1260"/>
      <c r="F56" s="1260"/>
      <c r="G56" s="1260"/>
      <c r="H56" s="1260"/>
      <c r="I56" s="1261"/>
      <c r="J56" s="257">
        <f>IFERROR(ROUNDDOWN(J63/24,1),0)</f>
        <v>0.7</v>
      </c>
      <c r="K56" s="258">
        <f>IFERROR(ROUNDDOWN(K63/24,1),0)</f>
        <v>0.7</v>
      </c>
      <c r="L56" s="258">
        <f t="shared" ref="L56:AT56" si="7">IFERROR(ROUNDDOWN(L63/24,1),0)</f>
        <v>0.7</v>
      </c>
      <c r="M56" s="258">
        <f t="shared" si="7"/>
        <v>0.5</v>
      </c>
      <c r="N56" s="258">
        <f t="shared" si="7"/>
        <v>0.2</v>
      </c>
      <c r="O56" s="258">
        <f t="shared" si="7"/>
        <v>0.2</v>
      </c>
      <c r="P56" s="258">
        <f t="shared" si="7"/>
        <v>0.1</v>
      </c>
      <c r="Q56" s="258">
        <f t="shared" si="7"/>
        <v>0</v>
      </c>
      <c r="R56" s="258">
        <f t="shared" si="7"/>
        <v>0.2</v>
      </c>
      <c r="S56" s="258">
        <f t="shared" si="7"/>
        <v>0.2</v>
      </c>
      <c r="T56" s="258">
        <f t="shared" si="7"/>
        <v>0.2</v>
      </c>
      <c r="U56" s="258">
        <f t="shared" si="7"/>
        <v>0.4</v>
      </c>
      <c r="V56" s="258">
        <f t="shared" si="7"/>
        <v>0</v>
      </c>
      <c r="W56" s="258">
        <f t="shared" si="7"/>
        <v>0.2</v>
      </c>
      <c r="X56" s="258">
        <f t="shared" si="7"/>
        <v>0.2</v>
      </c>
      <c r="Y56" s="258">
        <f t="shared" si="7"/>
        <v>0.2</v>
      </c>
      <c r="Z56" s="258">
        <f t="shared" si="7"/>
        <v>0.2</v>
      </c>
      <c r="AA56" s="258">
        <f t="shared" si="7"/>
        <v>0.1</v>
      </c>
      <c r="AB56" s="258">
        <f t="shared" si="7"/>
        <v>0</v>
      </c>
      <c r="AC56" s="258">
        <f t="shared" si="7"/>
        <v>0</v>
      </c>
      <c r="AD56" s="258">
        <f t="shared" si="7"/>
        <v>0</v>
      </c>
      <c r="AE56" s="258">
        <f t="shared" si="7"/>
        <v>0.2</v>
      </c>
      <c r="AF56" s="258">
        <f t="shared" si="7"/>
        <v>0.2</v>
      </c>
      <c r="AG56" s="258">
        <f t="shared" si="7"/>
        <v>0.1</v>
      </c>
      <c r="AH56" s="258">
        <f t="shared" si="7"/>
        <v>0</v>
      </c>
      <c r="AI56" s="258">
        <f t="shared" si="7"/>
        <v>0.2</v>
      </c>
      <c r="AJ56" s="258">
        <f t="shared" si="7"/>
        <v>0</v>
      </c>
      <c r="AK56" s="258">
        <f t="shared" si="7"/>
        <v>0.2</v>
      </c>
      <c r="AL56" s="258">
        <f t="shared" si="7"/>
        <v>0</v>
      </c>
      <c r="AM56" s="259">
        <f t="shared" si="7"/>
        <v>0.1</v>
      </c>
      <c r="AN56" s="257">
        <f>IFERROR(ROUNDDOWN(AN63/24,1),0)</f>
        <v>0.1</v>
      </c>
      <c r="AO56" s="258">
        <f t="shared" si="7"/>
        <v>0.2</v>
      </c>
      <c r="AP56" s="258">
        <f t="shared" si="7"/>
        <v>0.2</v>
      </c>
      <c r="AQ56" s="258">
        <f t="shared" si="7"/>
        <v>0.1</v>
      </c>
      <c r="AR56" s="258">
        <f t="shared" si="7"/>
        <v>0.2</v>
      </c>
      <c r="AS56" s="258">
        <f t="shared" si="7"/>
        <v>0.2</v>
      </c>
      <c r="AT56" s="260">
        <f t="shared" si="7"/>
        <v>0.2</v>
      </c>
      <c r="AU56" s="1262">
        <f>IF(COUNTIF(AX52:AX64,"○")=2,ROUNDDOWN(SUM(J56:AT56)/(COUNTA(J50:AT50)-COUNTIF(J52:AT52,0)),1),"×")</f>
        <v>0.2</v>
      </c>
      <c r="AV56" s="1263"/>
      <c r="AW56" s="1263"/>
      <c r="AX56" s="261" t="s">
        <v>1081</v>
      </c>
      <c r="AY56" s="384"/>
      <c r="AZ56" s="1264" t="s">
        <v>1213</v>
      </c>
      <c r="BA56" s="1265"/>
      <c r="BB56" s="1265"/>
      <c r="BC56" s="1265"/>
      <c r="BD56" s="1265"/>
      <c r="BE56" s="1265"/>
      <c r="BF56" s="1265"/>
      <c r="BG56" s="1265"/>
      <c r="BH56" s="1265"/>
      <c r="BI56" s="1265"/>
      <c r="BJ56" s="1265"/>
      <c r="BK56" s="1265"/>
      <c r="BL56" s="1265"/>
      <c r="BM56" s="1265"/>
      <c r="BN56" s="1265"/>
      <c r="BO56" s="1265"/>
      <c r="BP56" s="1265"/>
    </row>
    <row r="57" spans="2:69" ht="19.5" hidden="1" thickTop="1">
      <c r="AY57" s="384"/>
      <c r="AZ57" s="384"/>
      <c r="BA57" s="384"/>
      <c r="BB57" s="384"/>
      <c r="BC57" s="384"/>
      <c r="BD57" s="384"/>
      <c r="BE57" s="384"/>
      <c r="BF57" s="384"/>
      <c r="BG57" s="384"/>
      <c r="BH57" s="384"/>
      <c r="BI57" s="384"/>
      <c r="BJ57" s="384"/>
      <c r="BK57" s="384"/>
      <c r="BL57" s="384"/>
      <c r="BM57" s="384"/>
      <c r="BN57" s="384"/>
      <c r="BO57" s="384"/>
      <c r="BP57" s="384"/>
    </row>
    <row r="58" spans="2:69" ht="18.75" hidden="1">
      <c r="AY58" s="384"/>
      <c r="AZ58" s="384"/>
      <c r="BA58" s="384"/>
      <c r="BB58" s="384"/>
      <c r="BC58" s="384"/>
      <c r="BD58" s="384"/>
      <c r="BE58" s="384"/>
      <c r="BF58" s="384"/>
      <c r="BG58" s="384"/>
      <c r="BH58" s="384"/>
      <c r="BI58" s="384"/>
      <c r="BJ58" s="384"/>
      <c r="BK58" s="384"/>
      <c r="BL58" s="384"/>
      <c r="BM58" s="384"/>
      <c r="BN58" s="384"/>
      <c r="BO58" s="384"/>
      <c r="BP58" s="384"/>
    </row>
    <row r="59" spans="2:69" ht="18.75" hidden="1">
      <c r="AY59" s="384"/>
      <c r="AZ59" s="384"/>
      <c r="BA59" s="384"/>
      <c r="BB59" s="384"/>
      <c r="BC59" s="384"/>
      <c r="BD59" s="384"/>
      <c r="BE59" s="384"/>
      <c r="BF59" s="384"/>
      <c r="BG59" s="384"/>
      <c r="BH59" s="384"/>
      <c r="BI59" s="384"/>
      <c r="BJ59" s="384"/>
      <c r="BK59" s="384"/>
      <c r="BL59" s="384"/>
      <c r="BM59" s="384"/>
      <c r="BN59" s="384"/>
      <c r="BO59" s="384"/>
      <c r="BP59" s="384"/>
    </row>
    <row r="60" spans="2:69" ht="19.5" hidden="1" thickBot="1">
      <c r="AY60" s="384"/>
      <c r="AZ60" s="384"/>
      <c r="BA60" s="384"/>
      <c r="BB60" s="384"/>
      <c r="BC60" s="384"/>
      <c r="BD60" s="384"/>
      <c r="BE60" s="384"/>
      <c r="BF60" s="384"/>
      <c r="BG60" s="384"/>
      <c r="BH60" s="384"/>
      <c r="BI60" s="384"/>
      <c r="BJ60" s="384"/>
      <c r="BK60" s="384"/>
      <c r="BL60" s="384"/>
      <c r="BM60" s="384"/>
      <c r="BN60" s="384"/>
      <c r="BO60" s="384"/>
      <c r="BP60" s="384"/>
    </row>
    <row r="61" spans="2:69" ht="24.75" thickTop="1">
      <c r="B61" s="1242" t="s">
        <v>1307</v>
      </c>
      <c r="C61" s="1243"/>
      <c r="D61" s="1243"/>
      <c r="E61" s="1243"/>
      <c r="F61" s="1246" t="s">
        <v>1086</v>
      </c>
      <c r="G61" s="1246"/>
      <c r="H61" s="1246"/>
      <c r="I61" s="1247"/>
      <c r="J61" s="297">
        <v>1</v>
      </c>
      <c r="K61" s="298">
        <v>1</v>
      </c>
      <c r="L61" s="298">
        <v>0</v>
      </c>
      <c r="M61" s="298">
        <v>1</v>
      </c>
      <c r="N61" s="298">
        <v>1</v>
      </c>
      <c r="O61" s="298">
        <v>1</v>
      </c>
      <c r="P61" s="298">
        <v>1</v>
      </c>
      <c r="Q61" s="298">
        <v>1</v>
      </c>
      <c r="R61" s="298">
        <v>1</v>
      </c>
      <c r="S61" s="298">
        <v>1</v>
      </c>
      <c r="T61" s="298">
        <v>1</v>
      </c>
      <c r="U61" s="298">
        <v>1</v>
      </c>
      <c r="V61" s="298">
        <v>1</v>
      </c>
      <c r="W61" s="298">
        <v>1</v>
      </c>
      <c r="X61" s="298">
        <v>1</v>
      </c>
      <c r="Y61" s="298">
        <v>1</v>
      </c>
      <c r="Z61" s="298">
        <v>1</v>
      </c>
      <c r="AA61" s="298">
        <v>1</v>
      </c>
      <c r="AB61" s="298">
        <v>1</v>
      </c>
      <c r="AC61" s="298">
        <v>1</v>
      </c>
      <c r="AD61" s="298">
        <v>1</v>
      </c>
      <c r="AE61" s="298">
        <v>1</v>
      </c>
      <c r="AF61" s="298">
        <v>1</v>
      </c>
      <c r="AG61" s="298">
        <v>1</v>
      </c>
      <c r="AH61" s="298">
        <v>1</v>
      </c>
      <c r="AI61" s="298">
        <v>1</v>
      </c>
      <c r="AJ61" s="298">
        <v>1</v>
      </c>
      <c r="AK61" s="298">
        <v>1</v>
      </c>
      <c r="AL61" s="298">
        <v>1</v>
      </c>
      <c r="AM61" s="299">
        <v>1</v>
      </c>
      <c r="AN61" s="297">
        <v>1</v>
      </c>
      <c r="AO61" s="298">
        <v>1</v>
      </c>
      <c r="AP61" s="298">
        <v>1</v>
      </c>
      <c r="AQ61" s="298">
        <v>1</v>
      </c>
      <c r="AR61" s="298">
        <v>1</v>
      </c>
      <c r="AS61" s="298">
        <v>1</v>
      </c>
      <c r="AT61" s="300">
        <v>1</v>
      </c>
      <c r="AU61" s="1248" t="s">
        <v>1081</v>
      </c>
      <c r="AV61" s="1249"/>
      <c r="AW61" s="1249"/>
      <c r="AX61" s="1250" t="str">
        <f>IF(COUNTIF(J64:AT64,"○")=37,"○","×")</f>
        <v>○</v>
      </c>
      <c r="AY61" s="384"/>
      <c r="AZ61" s="1253" t="str">
        <f>"「２」で入力の看護要員数("&amp;AS35&amp;"名)の範囲内。休診日（グレーのセル）以外は全て入力（０の場合は０）"</f>
        <v>「２」で入力の看護要員数(2名)の範囲内。休診日（グレーのセル）以外は全て入力（０の場合は０）</v>
      </c>
      <c r="BA61" s="1254"/>
      <c r="BB61" s="1254"/>
      <c r="BC61" s="1254"/>
      <c r="BD61" s="1254"/>
      <c r="BE61" s="1254"/>
      <c r="BF61" s="1254"/>
      <c r="BG61" s="1254"/>
      <c r="BH61" s="1254"/>
      <c r="BI61" s="1254"/>
      <c r="BJ61" s="1254"/>
      <c r="BK61" s="1254"/>
      <c r="BL61" s="1254"/>
      <c r="BM61" s="1254"/>
      <c r="BN61" s="1254"/>
      <c r="BO61" s="1254"/>
      <c r="BP61" s="1254"/>
    </row>
    <row r="62" spans="2:69" ht="24">
      <c r="B62" s="1244"/>
      <c r="C62" s="1245"/>
      <c r="D62" s="1245"/>
      <c r="E62" s="1245"/>
      <c r="F62" s="1255" t="s">
        <v>1188</v>
      </c>
      <c r="G62" s="1255"/>
      <c r="H62" s="1255"/>
      <c r="I62" s="1256"/>
      <c r="J62" s="262">
        <f t="shared" ref="J62:AM62" si="8">IF(OR(J54="×",$AZ$14="×"),0,IFERROR(ROUNDUP(J52/$G$18*24,1),0))</f>
        <v>13.799999999999999</v>
      </c>
      <c r="K62" s="263">
        <f t="shared" si="8"/>
        <v>17.200000000000003</v>
      </c>
      <c r="L62" s="263">
        <f t="shared" si="8"/>
        <v>17.200000000000003</v>
      </c>
      <c r="M62" s="263">
        <f t="shared" si="8"/>
        <v>13.799999999999999</v>
      </c>
      <c r="N62" s="263">
        <f t="shared" si="8"/>
        <v>6.8999999999999995</v>
      </c>
      <c r="O62" s="263">
        <f t="shared" si="8"/>
        <v>6.8999999999999995</v>
      </c>
      <c r="P62" s="263">
        <f t="shared" si="8"/>
        <v>3.5</v>
      </c>
      <c r="Q62" s="263">
        <f t="shared" si="8"/>
        <v>0</v>
      </c>
      <c r="R62" s="263">
        <f t="shared" si="8"/>
        <v>6.8999999999999995</v>
      </c>
      <c r="S62" s="263">
        <f t="shared" si="8"/>
        <v>6.8999999999999995</v>
      </c>
      <c r="T62" s="263">
        <f t="shared" si="8"/>
        <v>6.8999999999999995</v>
      </c>
      <c r="U62" s="263">
        <f t="shared" si="8"/>
        <v>10.299999999999999</v>
      </c>
      <c r="V62" s="263">
        <f t="shared" si="8"/>
        <v>0</v>
      </c>
      <c r="W62" s="263">
        <f t="shared" si="8"/>
        <v>6.8999999999999995</v>
      </c>
      <c r="X62" s="263">
        <f t="shared" si="8"/>
        <v>6.8999999999999995</v>
      </c>
      <c r="Y62" s="263">
        <f t="shared" si="8"/>
        <v>6.8999999999999995</v>
      </c>
      <c r="Z62" s="263">
        <f t="shared" si="8"/>
        <v>6.8999999999999995</v>
      </c>
      <c r="AA62" s="263">
        <f t="shared" si="8"/>
        <v>3.5</v>
      </c>
      <c r="AB62" s="263">
        <f t="shared" si="8"/>
        <v>0</v>
      </c>
      <c r="AC62" s="263">
        <f t="shared" si="8"/>
        <v>0</v>
      </c>
      <c r="AD62" s="263">
        <f t="shared" si="8"/>
        <v>0</v>
      </c>
      <c r="AE62" s="263">
        <f t="shared" si="8"/>
        <v>6.8999999999999995</v>
      </c>
      <c r="AF62" s="263">
        <f t="shared" si="8"/>
        <v>6.8999999999999995</v>
      </c>
      <c r="AG62" s="263">
        <f t="shared" si="8"/>
        <v>3.5</v>
      </c>
      <c r="AH62" s="263">
        <f t="shared" si="8"/>
        <v>0</v>
      </c>
      <c r="AI62" s="263">
        <f t="shared" si="8"/>
        <v>6.8999999999999995</v>
      </c>
      <c r="AJ62" s="263">
        <f t="shared" si="8"/>
        <v>0</v>
      </c>
      <c r="AK62" s="263">
        <f t="shared" si="8"/>
        <v>6.8999999999999995</v>
      </c>
      <c r="AL62" s="263">
        <f t="shared" si="8"/>
        <v>0</v>
      </c>
      <c r="AM62" s="264">
        <f t="shared" si="8"/>
        <v>3.5</v>
      </c>
      <c r="AN62" s="265">
        <f t="shared" ref="AN62:AT62" si="9">IF(OR(AN54="×",$AZ$14="×"),0,IFERROR(ROUNDUP(AN52/$L$18*24,1),0))</f>
        <v>3.5</v>
      </c>
      <c r="AO62" s="263">
        <f t="shared" si="9"/>
        <v>6.8999999999999995</v>
      </c>
      <c r="AP62" s="263">
        <f t="shared" si="9"/>
        <v>6.8999999999999995</v>
      </c>
      <c r="AQ62" s="263">
        <f t="shared" si="9"/>
        <v>3.5</v>
      </c>
      <c r="AR62" s="263">
        <f t="shared" si="9"/>
        <v>6.8999999999999995</v>
      </c>
      <c r="AS62" s="263">
        <f t="shared" si="9"/>
        <v>6.8999999999999995</v>
      </c>
      <c r="AT62" s="266">
        <f t="shared" si="9"/>
        <v>6.8999999999999995</v>
      </c>
      <c r="AU62" s="1224" t="s">
        <v>1081</v>
      </c>
      <c r="AV62" s="1225"/>
      <c r="AW62" s="1225"/>
      <c r="AX62" s="1251"/>
      <c r="AY62" s="384"/>
      <c r="AZ62" s="1226" t="s">
        <v>1212</v>
      </c>
      <c r="BA62" s="1227"/>
      <c r="BB62" s="1227"/>
      <c r="BC62" s="1227"/>
      <c r="BD62" s="1227"/>
      <c r="BE62" s="1227"/>
      <c r="BF62" s="1227"/>
      <c r="BG62" s="1227"/>
      <c r="BH62" s="1227"/>
      <c r="BI62" s="1227"/>
      <c r="BJ62" s="1227"/>
      <c r="BK62" s="1227"/>
      <c r="BL62" s="1227"/>
      <c r="BM62" s="1227"/>
      <c r="BN62" s="1227"/>
      <c r="BO62" s="1227"/>
      <c r="BP62" s="1227"/>
    </row>
    <row r="63" spans="2:69" ht="24.75" thickBot="1">
      <c r="B63" s="1164"/>
      <c r="C63" s="1164"/>
      <c r="D63" s="1164"/>
      <c r="E63" s="1164"/>
      <c r="F63" s="1228" t="s">
        <v>1087</v>
      </c>
      <c r="G63" s="1228"/>
      <c r="H63" s="1228"/>
      <c r="I63" s="1229"/>
      <c r="J63" s="301">
        <v>17.2</v>
      </c>
      <c r="K63" s="302">
        <v>18</v>
      </c>
      <c r="L63" s="302">
        <v>18</v>
      </c>
      <c r="M63" s="302">
        <v>14</v>
      </c>
      <c r="N63" s="302">
        <v>7</v>
      </c>
      <c r="O63" s="302">
        <v>7</v>
      </c>
      <c r="P63" s="302">
        <v>4</v>
      </c>
      <c r="Q63" s="302">
        <v>0</v>
      </c>
      <c r="R63" s="302">
        <v>7</v>
      </c>
      <c r="S63" s="302">
        <v>7</v>
      </c>
      <c r="T63" s="302">
        <v>7</v>
      </c>
      <c r="U63" s="302">
        <v>11</v>
      </c>
      <c r="V63" s="302">
        <v>0</v>
      </c>
      <c r="W63" s="302">
        <v>7</v>
      </c>
      <c r="X63" s="302">
        <v>7</v>
      </c>
      <c r="Y63" s="302">
        <v>7</v>
      </c>
      <c r="Z63" s="302">
        <v>7</v>
      </c>
      <c r="AA63" s="302">
        <v>4</v>
      </c>
      <c r="AB63" s="302">
        <v>0</v>
      </c>
      <c r="AC63" s="302">
        <v>0</v>
      </c>
      <c r="AD63" s="302">
        <v>0</v>
      </c>
      <c r="AE63" s="302">
        <v>7</v>
      </c>
      <c r="AF63" s="302">
        <v>7</v>
      </c>
      <c r="AG63" s="302">
        <v>4</v>
      </c>
      <c r="AH63" s="302">
        <v>0</v>
      </c>
      <c r="AI63" s="302">
        <v>7</v>
      </c>
      <c r="AJ63" s="302">
        <v>0</v>
      </c>
      <c r="AK63" s="302">
        <v>7</v>
      </c>
      <c r="AL63" s="302">
        <v>0</v>
      </c>
      <c r="AM63" s="303">
        <v>4</v>
      </c>
      <c r="AN63" s="301">
        <v>4</v>
      </c>
      <c r="AO63" s="302">
        <v>7</v>
      </c>
      <c r="AP63" s="302">
        <v>7</v>
      </c>
      <c r="AQ63" s="302">
        <v>4</v>
      </c>
      <c r="AR63" s="302">
        <v>7</v>
      </c>
      <c r="AS63" s="302">
        <v>7</v>
      </c>
      <c r="AT63" s="304">
        <v>7</v>
      </c>
      <c r="AU63" s="1230">
        <f>IFERROR(ROUNDDOWN(SUM(J63:AT63)/COUNTA(J50:AT50),1),0)</f>
        <v>6.1</v>
      </c>
      <c r="AV63" s="1231"/>
      <c r="AW63" s="1231"/>
      <c r="AX63" s="1251"/>
      <c r="AY63" s="267"/>
      <c r="AZ63" s="1226" t="s">
        <v>1088</v>
      </c>
      <c r="BA63" s="1232"/>
      <c r="BB63" s="1232"/>
      <c r="BC63" s="1232"/>
      <c r="BD63" s="1232"/>
      <c r="BE63" s="1232"/>
      <c r="BF63" s="1232"/>
      <c r="BG63" s="1232"/>
      <c r="BH63" s="1232"/>
      <c r="BI63" s="1232"/>
      <c r="BJ63" s="1232"/>
      <c r="BK63" s="1232"/>
      <c r="BL63" s="1232"/>
      <c r="BM63" s="1232"/>
      <c r="BN63" s="1232"/>
      <c r="BO63" s="1232"/>
      <c r="BP63" s="1232"/>
    </row>
    <row r="64" spans="2:69" ht="24.75" thickBot="1">
      <c r="B64" s="1233" t="s">
        <v>100</v>
      </c>
      <c r="C64" s="1234"/>
      <c r="D64" s="1234"/>
      <c r="E64" s="1234"/>
      <c r="F64" s="1234"/>
      <c r="G64" s="1234"/>
      <c r="H64" s="1234"/>
      <c r="I64" s="1235"/>
      <c r="J64" s="268" t="str">
        <f t="shared" ref="J64:AK64" si="10" xml:space="preserve">
IF(COUNTA(J61,J63)&lt;&gt;2,"×",
IF(AND(J62=0,J63&lt;&gt;0),"×",
IF(AND(COUNTA(J61,J63)=2,J61&lt;=SUM($AS$32:$AV$42),J63&gt;=J62),"○",
IF(AND(COUNTA(J61,J63)=2,OR(J61&gt;SUM($AS$32:$AV$42),J63&lt;J62)),"×"))))</f>
        <v>○</v>
      </c>
      <c r="K64" s="269" t="str">
        <f t="shared" si="10"/>
        <v>○</v>
      </c>
      <c r="L64" s="269" t="str">
        <f t="shared" si="10"/>
        <v>○</v>
      </c>
      <c r="M64" s="269" t="str">
        <f t="shared" si="10"/>
        <v>○</v>
      </c>
      <c r="N64" s="269" t="str">
        <f t="shared" si="10"/>
        <v>○</v>
      </c>
      <c r="O64" s="269" t="str">
        <f t="shared" si="10"/>
        <v>○</v>
      </c>
      <c r="P64" s="269" t="str">
        <f t="shared" si="10"/>
        <v>○</v>
      </c>
      <c r="Q64" s="269" t="str">
        <f t="shared" si="10"/>
        <v>○</v>
      </c>
      <c r="R64" s="269" t="str">
        <f t="shared" si="10"/>
        <v>○</v>
      </c>
      <c r="S64" s="269" t="str">
        <f t="shared" si="10"/>
        <v>○</v>
      </c>
      <c r="T64" s="269" t="str">
        <f t="shared" si="10"/>
        <v>○</v>
      </c>
      <c r="U64" s="269" t="str">
        <f t="shared" si="10"/>
        <v>○</v>
      </c>
      <c r="V64" s="269" t="str">
        <f t="shared" si="10"/>
        <v>○</v>
      </c>
      <c r="W64" s="269" t="str">
        <f t="shared" si="10"/>
        <v>○</v>
      </c>
      <c r="X64" s="269" t="str">
        <f t="shared" si="10"/>
        <v>○</v>
      </c>
      <c r="Y64" s="269" t="str">
        <f t="shared" si="10"/>
        <v>○</v>
      </c>
      <c r="Z64" s="269" t="str">
        <f t="shared" si="10"/>
        <v>○</v>
      </c>
      <c r="AA64" s="269" t="str">
        <f t="shared" si="10"/>
        <v>○</v>
      </c>
      <c r="AB64" s="269" t="str">
        <f t="shared" si="10"/>
        <v>○</v>
      </c>
      <c r="AC64" s="269" t="str">
        <f t="shared" si="10"/>
        <v>○</v>
      </c>
      <c r="AD64" s="269" t="str">
        <f t="shared" si="10"/>
        <v>○</v>
      </c>
      <c r="AE64" s="269" t="str">
        <f t="shared" si="10"/>
        <v>○</v>
      </c>
      <c r="AF64" s="269" t="str">
        <f t="shared" si="10"/>
        <v>○</v>
      </c>
      <c r="AG64" s="269" t="str">
        <f t="shared" si="10"/>
        <v>○</v>
      </c>
      <c r="AH64" s="269" t="str">
        <f t="shared" si="10"/>
        <v>○</v>
      </c>
      <c r="AI64" s="269" t="str">
        <f t="shared" si="10"/>
        <v>○</v>
      </c>
      <c r="AJ64" s="269" t="str">
        <f t="shared" si="10"/>
        <v>○</v>
      </c>
      <c r="AK64" s="269" t="str">
        <f t="shared" si="10"/>
        <v>○</v>
      </c>
      <c r="AL64" s="269" t="str">
        <f t="shared" ref="AL64:AT64" si="11" xml:space="preserve">
IF(COUNTA(AL61,AL63)&lt;&gt;2,"×",
IF(AND(AL62=0,AL63&lt;&gt;0),"×",
IF(AND(COUNTA(AL61,AL63)=2,AL61&lt;=SUM($AS$32:$AV$42),AL63&gt;=AL62),"○",
IF(AND(COUNTA(AL61,AL63)=2,OR(AL61&gt;SUM($AS$32:$AV$42),AL63&lt;AL62)),"×"))))</f>
        <v>○</v>
      </c>
      <c r="AM64" s="270" t="str">
        <f t="shared" si="11"/>
        <v>○</v>
      </c>
      <c r="AN64" s="271" t="str">
        <f t="shared" si="11"/>
        <v>○</v>
      </c>
      <c r="AO64" s="269" t="str">
        <f t="shared" si="11"/>
        <v>○</v>
      </c>
      <c r="AP64" s="269" t="str">
        <f t="shared" si="11"/>
        <v>○</v>
      </c>
      <c r="AQ64" s="269" t="str">
        <f t="shared" si="11"/>
        <v>○</v>
      </c>
      <c r="AR64" s="269" t="str">
        <f t="shared" si="11"/>
        <v>○</v>
      </c>
      <c r="AS64" s="269" t="str">
        <f t="shared" si="11"/>
        <v>○</v>
      </c>
      <c r="AT64" s="269" t="str">
        <f t="shared" si="11"/>
        <v>○</v>
      </c>
      <c r="AU64" s="1236" t="s">
        <v>1081</v>
      </c>
      <c r="AV64" s="1237"/>
      <c r="AW64" s="1238"/>
      <c r="AX64" s="1252"/>
      <c r="AY64" s="267"/>
      <c r="AZ64" s="1239" t="str">
        <f>IF(AX61="○","適切に入力されました。",IF(AX61="×","【要修正】全ての判定欄が「○」になっているか確認してください。(グレー以外は全て入力。赤表示欄がないように。)"))</f>
        <v>適切に入力されました。</v>
      </c>
      <c r="BA64" s="1240"/>
      <c r="BB64" s="1240"/>
      <c r="BC64" s="1240"/>
      <c r="BD64" s="1240"/>
      <c r="BE64" s="1240"/>
      <c r="BF64" s="1240"/>
      <c r="BG64" s="1240"/>
      <c r="BH64" s="1240"/>
      <c r="BI64" s="1240"/>
      <c r="BJ64" s="1240"/>
      <c r="BK64" s="1240"/>
      <c r="BL64" s="1240"/>
      <c r="BM64" s="1240"/>
      <c r="BN64" s="1240"/>
      <c r="BO64" s="1240"/>
      <c r="BP64" s="1241"/>
    </row>
    <row r="65" spans="2:79" ht="19.5" thickTop="1">
      <c r="B65" s="1257" t="s">
        <v>1269</v>
      </c>
      <c r="C65" s="1258"/>
      <c r="D65" s="1258"/>
      <c r="E65" s="1258"/>
      <c r="F65" s="1258"/>
      <c r="G65" s="1258"/>
      <c r="H65" s="1258"/>
      <c r="I65" s="1258"/>
      <c r="J65" s="1258"/>
      <c r="K65" s="1258"/>
      <c r="L65" s="1258"/>
      <c r="M65" s="1258"/>
      <c r="N65" s="1258"/>
      <c r="O65" s="1258"/>
      <c r="P65" s="1258"/>
      <c r="Q65" s="1258"/>
      <c r="R65" s="1258"/>
      <c r="S65" s="1258"/>
      <c r="T65" s="1258"/>
      <c r="U65" s="1258"/>
      <c r="V65" s="1258"/>
      <c r="W65" s="1258"/>
      <c r="X65" s="1258"/>
      <c r="Y65" s="1258"/>
      <c r="Z65" s="1258"/>
      <c r="AA65" s="1258"/>
      <c r="AB65" s="1258"/>
      <c r="AC65" s="1258"/>
      <c r="AD65" s="1258"/>
      <c r="AE65" s="1258"/>
      <c r="AF65" s="1258"/>
      <c r="AG65" s="1258"/>
      <c r="AH65" s="1258"/>
      <c r="AI65" s="1258"/>
      <c r="AJ65" s="1258"/>
      <c r="AK65" s="1258"/>
      <c r="AL65" s="1258"/>
      <c r="AM65" s="1258"/>
      <c r="AN65" s="1258"/>
      <c r="AO65" s="1258"/>
      <c r="AP65" s="1258"/>
      <c r="AQ65" s="1258"/>
      <c r="AR65" s="1258"/>
      <c r="AS65" s="1258"/>
      <c r="AT65" s="1258"/>
      <c r="AU65" s="1258"/>
      <c r="AV65" s="1258"/>
      <c r="AW65" s="1258"/>
      <c r="AX65" s="1258"/>
      <c r="AZ65" s="225"/>
      <c r="BA65" s="1160"/>
      <c r="BB65" s="1160"/>
      <c r="BC65" s="1160"/>
      <c r="BD65" s="272"/>
      <c r="BF65" s="273"/>
      <c r="BG65" s="226"/>
      <c r="BH65" s="274"/>
      <c r="BI65" s="274"/>
      <c r="BJ65" s="275"/>
      <c r="BK65" s="274"/>
      <c r="BL65" s="274"/>
      <c r="BM65" s="226"/>
    </row>
    <row r="66" spans="2:79" s="386" customFormat="1" ht="45" customHeight="1">
      <c r="B66" s="1206" t="str">
        <f>"４．入院患者あたり対応人数及び品目毎の平均着脱使用枚数　【総合判定】"&amp;AZ66&amp;IF(AZ66="×","（空欄及び赤表示の欄がないようにしてください。）","")</f>
        <v>４．入院患者あたり対応人数及び品目毎の平均着脱使用枚数　【総合判定】○</v>
      </c>
      <c r="C66" s="1207"/>
      <c r="D66" s="1207"/>
      <c r="E66" s="1207"/>
      <c r="F66" s="1207"/>
      <c r="G66" s="1207"/>
      <c r="H66" s="1207"/>
      <c r="I66" s="1207"/>
      <c r="J66" s="1207"/>
      <c r="K66" s="1207"/>
      <c r="L66" s="1207"/>
      <c r="M66" s="1207"/>
      <c r="N66" s="1207"/>
      <c r="O66" s="1207"/>
      <c r="P66" s="1207"/>
      <c r="Q66" s="1207"/>
      <c r="R66" s="1207"/>
      <c r="S66" s="1207"/>
      <c r="T66" s="1207"/>
      <c r="U66" s="1207"/>
      <c r="V66" s="1207"/>
      <c r="W66" s="1207"/>
      <c r="X66" s="1207"/>
      <c r="Y66" s="1207"/>
      <c r="Z66" s="1207"/>
      <c r="AA66" s="1207"/>
      <c r="AB66" s="1207"/>
      <c r="AC66" s="1207"/>
      <c r="AD66" s="1207"/>
      <c r="AE66" s="1207"/>
      <c r="AF66" s="1207"/>
      <c r="AG66" s="1207"/>
      <c r="AH66" s="1207"/>
      <c r="AI66" s="1207"/>
      <c r="AJ66" s="1207"/>
      <c r="AK66" s="1207"/>
      <c r="AL66" s="1207"/>
      <c r="AM66" s="1207"/>
      <c r="AN66" s="1207"/>
      <c r="AO66" s="1207"/>
      <c r="AP66" s="1207"/>
      <c r="AQ66" s="1207"/>
      <c r="AR66" s="1207"/>
      <c r="AS66" s="1207"/>
      <c r="AT66" s="1207"/>
      <c r="AU66" s="1207"/>
      <c r="AV66" s="1207"/>
      <c r="AW66" s="1207"/>
      <c r="AX66" s="1207"/>
      <c r="AY66" s="1207"/>
      <c r="AZ66" s="239" t="str">
        <f>IF(SUM(COUNTIF(T76,"○"),COUNTIF(AD83:AE121,"○"))=14,"○","×")</f>
        <v>○</v>
      </c>
      <c r="BA66" s="1208"/>
      <c r="BB66" s="1208"/>
      <c r="BC66" s="1208"/>
      <c r="BD66" s="276"/>
      <c r="BE66" s="277"/>
      <c r="BF66" s="278"/>
      <c r="BG66" s="277"/>
      <c r="BH66" s="279"/>
      <c r="BI66" s="279"/>
      <c r="BJ66" s="280"/>
      <c r="BK66" s="279"/>
      <c r="BL66" s="279"/>
      <c r="BM66" s="277"/>
    </row>
    <row r="67" spans="2:79" ht="24">
      <c r="B67" s="1209" t="s">
        <v>1192</v>
      </c>
      <c r="C67" s="1210"/>
      <c r="D67" s="1210"/>
      <c r="E67" s="1210"/>
      <c r="F67" s="1210"/>
      <c r="G67" s="1210"/>
      <c r="H67" s="1210"/>
      <c r="I67" s="1210"/>
      <c r="J67" s="1210"/>
      <c r="K67" s="1210"/>
      <c r="L67" s="1210"/>
      <c r="M67" s="1210"/>
      <c r="N67" s="1210"/>
      <c r="O67" s="1210"/>
      <c r="P67" s="1210"/>
      <c r="Q67" s="1210"/>
      <c r="R67" s="1210"/>
      <c r="S67" s="1210"/>
      <c r="T67" s="1210"/>
      <c r="U67" s="1210"/>
      <c r="V67" s="1210"/>
      <c r="W67" s="1210"/>
      <c r="X67" s="1210"/>
      <c r="Y67" s="1210"/>
      <c r="Z67" s="1210"/>
      <c r="AA67" s="1210"/>
      <c r="AB67" s="1210"/>
      <c r="AC67" s="1210"/>
      <c r="AD67" s="1210"/>
      <c r="AE67" s="1210"/>
      <c r="AF67" s="1210"/>
      <c r="AG67" s="1210"/>
      <c r="AH67" s="1210"/>
      <c r="AI67" s="1210"/>
      <c r="AJ67" s="1210"/>
      <c r="AK67" s="1210"/>
      <c r="AL67" s="1210"/>
      <c r="AM67" s="1210"/>
      <c r="AN67" s="1210"/>
      <c r="AO67" s="1210"/>
      <c r="AP67" s="1210"/>
      <c r="AQ67" s="1210"/>
      <c r="AR67" s="1210"/>
      <c r="AS67" s="1210"/>
      <c r="AT67" s="1210"/>
      <c r="AU67" s="1210"/>
      <c r="AV67" s="1210"/>
      <c r="AW67" s="1210"/>
      <c r="AX67" s="1210"/>
      <c r="AZ67" s="225"/>
      <c r="BD67" s="272"/>
      <c r="BF67" s="273"/>
      <c r="BG67" s="226"/>
      <c r="BH67" s="274"/>
      <c r="BI67" s="274"/>
      <c r="BJ67" s="275"/>
      <c r="BK67" s="274"/>
      <c r="BL67" s="274"/>
      <c r="BM67" s="226"/>
    </row>
    <row r="68" spans="2:79" ht="48" customHeight="1">
      <c r="B68" s="1211" t="s">
        <v>1189</v>
      </c>
      <c r="C68" s="1212"/>
      <c r="D68" s="1212"/>
      <c r="E68" s="1212"/>
      <c r="F68" s="1212"/>
      <c r="G68" s="1212"/>
      <c r="H68" s="1212"/>
      <c r="I68" s="1212"/>
      <c r="J68" s="1212"/>
      <c r="K68" s="1212"/>
      <c r="L68" s="1212"/>
      <c r="M68" s="1212"/>
      <c r="N68" s="1212"/>
      <c r="O68" s="1212"/>
      <c r="P68" s="1212"/>
      <c r="Q68" s="1212"/>
      <c r="R68" s="1212"/>
      <c r="S68" s="1212"/>
      <c r="T68" s="1212"/>
      <c r="U68" s="1212"/>
      <c r="V68" s="1212"/>
      <c r="W68" s="1212"/>
      <c r="X68" s="1212"/>
      <c r="Y68" s="1212"/>
      <c r="Z68" s="1212"/>
      <c r="AA68" s="1212"/>
      <c r="AB68" s="1212"/>
      <c r="AC68" s="1212"/>
      <c r="AD68" s="1212"/>
      <c r="AE68" s="1212"/>
      <c r="AF68" s="1212"/>
      <c r="AG68" s="1212"/>
      <c r="AH68" s="1212"/>
      <c r="AI68" s="1212"/>
      <c r="AJ68" s="1212"/>
      <c r="AK68" s="1212"/>
      <c r="AL68" s="1212"/>
      <c r="AM68" s="1212"/>
      <c r="AN68" s="1212"/>
      <c r="AO68" s="1212"/>
      <c r="AP68" s="1212"/>
      <c r="AQ68" s="1212"/>
      <c r="AR68" s="1212"/>
      <c r="AS68" s="1212"/>
      <c r="AT68" s="1212"/>
      <c r="AU68" s="1212"/>
      <c r="AV68" s="1212"/>
      <c r="AW68" s="1212"/>
      <c r="AX68" s="1212"/>
      <c r="AZ68" s="225"/>
      <c r="BD68" s="272"/>
      <c r="BF68" s="273"/>
      <c r="BG68" s="226"/>
      <c r="BH68" s="274"/>
      <c r="BI68" s="274"/>
      <c r="BJ68" s="275"/>
      <c r="BK68" s="274"/>
      <c r="BL68" s="274"/>
      <c r="BM68" s="226"/>
    </row>
    <row r="69" spans="2:79" ht="15" customHeight="1" thickBot="1">
      <c r="B69" s="385"/>
      <c r="C69" s="385"/>
      <c r="D69" s="385"/>
      <c r="E69" s="385"/>
      <c r="F69" s="385"/>
      <c r="G69" s="385"/>
      <c r="H69" s="385"/>
      <c r="I69" s="385"/>
      <c r="J69" s="385"/>
      <c r="K69" s="385"/>
      <c r="L69" s="385"/>
      <c r="M69" s="385"/>
      <c r="N69" s="385"/>
      <c r="O69" s="385"/>
      <c r="P69" s="385"/>
      <c r="Q69" s="385"/>
      <c r="R69" s="385"/>
      <c r="S69" s="385"/>
      <c r="T69" s="385"/>
      <c r="U69" s="385"/>
      <c r="V69" s="385"/>
      <c r="W69" s="385"/>
      <c r="X69" s="385"/>
      <c r="Y69" s="385"/>
      <c r="Z69" s="385"/>
      <c r="AA69" s="385"/>
      <c r="AB69" s="385"/>
      <c r="AC69" s="385"/>
      <c r="AD69" s="385"/>
      <c r="AE69" s="385"/>
      <c r="AF69" s="385"/>
      <c r="AG69" s="385"/>
      <c r="AH69" s="385"/>
      <c r="AI69" s="385"/>
      <c r="AJ69" s="385"/>
      <c r="AK69" s="385"/>
      <c r="AL69" s="385"/>
      <c r="AM69" s="385"/>
      <c r="AN69" s="385"/>
      <c r="AO69" s="385"/>
      <c r="CA69" s="238"/>
    </row>
    <row r="70" spans="2:79" ht="24" customHeight="1" thickTop="1">
      <c r="B70" s="1213" t="s">
        <v>1278</v>
      </c>
      <c r="C70" s="1214"/>
      <c r="D70" s="1214"/>
      <c r="E70" s="1214"/>
      <c r="F70" s="1214"/>
      <c r="G70" s="1214"/>
      <c r="H70" s="1214"/>
      <c r="I70" s="1214"/>
      <c r="J70" s="1214"/>
      <c r="K70" s="1214"/>
      <c r="L70" s="1214"/>
      <c r="M70" s="1214"/>
      <c r="N70" s="1214"/>
      <c r="O70" s="1214"/>
      <c r="P70" s="1214"/>
      <c r="Q70" s="1214"/>
      <c r="R70" s="1214"/>
      <c r="S70" s="1214"/>
      <c r="T70" s="1214"/>
      <c r="U70" s="1214"/>
      <c r="V70" s="1214"/>
      <c r="W70" s="1214"/>
      <c r="X70" s="1214"/>
      <c r="Y70" s="1214"/>
      <c r="Z70" s="1214"/>
      <c r="AA70" s="1214"/>
      <c r="AB70" s="1214"/>
      <c r="AC70" s="1214"/>
      <c r="AD70" s="1214"/>
      <c r="AE70" s="1214"/>
      <c r="AF70" s="1214"/>
      <c r="AG70" s="1214"/>
      <c r="AH70" s="1214"/>
      <c r="AI70" s="1214"/>
      <c r="AJ70" s="1214"/>
      <c r="AK70" s="1214"/>
      <c r="AL70" s="1214"/>
      <c r="AM70" s="1214"/>
      <c r="AN70" s="1214"/>
      <c r="AO70" s="1214"/>
      <c r="AP70" s="1214"/>
      <c r="AQ70" s="1214"/>
      <c r="AR70" s="1214"/>
      <c r="AS70" s="1214"/>
      <c r="AT70" s="1214"/>
      <c r="AU70" s="1214"/>
      <c r="AV70" s="1214"/>
      <c r="AW70" s="1215"/>
      <c r="AX70" s="1216"/>
      <c r="AY70" s="385"/>
      <c r="AZ70" s="385"/>
      <c r="BD70" s="385"/>
      <c r="BE70" s="385"/>
      <c r="BG70" s="385"/>
    </row>
    <row r="71" spans="2:79" ht="24" customHeight="1">
      <c r="B71" s="1217"/>
      <c r="C71" s="1218"/>
      <c r="D71" s="1218"/>
      <c r="E71" s="1218"/>
      <c r="F71" s="1218"/>
      <c r="G71" s="1218"/>
      <c r="H71" s="1218"/>
      <c r="I71" s="1218"/>
      <c r="J71" s="1218"/>
      <c r="K71" s="1218"/>
      <c r="L71" s="1218"/>
      <c r="M71" s="1218"/>
      <c r="N71" s="1218"/>
      <c r="O71" s="1218"/>
      <c r="P71" s="1218"/>
      <c r="Q71" s="1218"/>
      <c r="R71" s="1218"/>
      <c r="S71" s="1218"/>
      <c r="T71" s="1218"/>
      <c r="U71" s="1218"/>
      <c r="V71" s="1218"/>
      <c r="W71" s="1218"/>
      <c r="X71" s="1218"/>
      <c r="Y71" s="1218"/>
      <c r="Z71" s="1218"/>
      <c r="AA71" s="1218"/>
      <c r="AB71" s="1218"/>
      <c r="AC71" s="1218"/>
      <c r="AD71" s="1218"/>
      <c r="AE71" s="1218"/>
      <c r="AF71" s="1218"/>
      <c r="AG71" s="1218"/>
      <c r="AH71" s="1218"/>
      <c r="AI71" s="1218"/>
      <c r="AJ71" s="1218"/>
      <c r="AK71" s="1218"/>
      <c r="AL71" s="1218"/>
      <c r="AM71" s="1218"/>
      <c r="AN71" s="1218"/>
      <c r="AO71" s="1218"/>
      <c r="AP71" s="1218"/>
      <c r="AQ71" s="1218"/>
      <c r="AR71" s="1218"/>
      <c r="AS71" s="1218"/>
      <c r="AT71" s="1218"/>
      <c r="AU71" s="1218"/>
      <c r="AV71" s="1218"/>
      <c r="AW71" s="1207"/>
      <c r="AX71" s="1219"/>
      <c r="AY71" s="385"/>
      <c r="AZ71" s="385"/>
      <c r="BD71" s="385"/>
      <c r="BE71" s="385"/>
      <c r="BG71" s="385"/>
    </row>
    <row r="72" spans="2:79" ht="24" customHeight="1">
      <c r="B72" s="1217"/>
      <c r="C72" s="1218"/>
      <c r="D72" s="1218"/>
      <c r="E72" s="1218"/>
      <c r="F72" s="1218"/>
      <c r="G72" s="1218"/>
      <c r="H72" s="1218"/>
      <c r="I72" s="1218"/>
      <c r="J72" s="1218"/>
      <c r="K72" s="1218"/>
      <c r="L72" s="1218"/>
      <c r="M72" s="1218"/>
      <c r="N72" s="1218"/>
      <c r="O72" s="1218"/>
      <c r="P72" s="1218"/>
      <c r="Q72" s="1218"/>
      <c r="R72" s="1218"/>
      <c r="S72" s="1218"/>
      <c r="T72" s="1218"/>
      <c r="U72" s="1218"/>
      <c r="V72" s="1218"/>
      <c r="W72" s="1218"/>
      <c r="X72" s="1218"/>
      <c r="Y72" s="1218"/>
      <c r="Z72" s="1218"/>
      <c r="AA72" s="1218"/>
      <c r="AB72" s="1218"/>
      <c r="AC72" s="1218"/>
      <c r="AD72" s="1218"/>
      <c r="AE72" s="1218"/>
      <c r="AF72" s="1218"/>
      <c r="AG72" s="1218"/>
      <c r="AH72" s="1218"/>
      <c r="AI72" s="1218"/>
      <c r="AJ72" s="1218"/>
      <c r="AK72" s="1218"/>
      <c r="AL72" s="1218"/>
      <c r="AM72" s="1218"/>
      <c r="AN72" s="1218"/>
      <c r="AO72" s="1218"/>
      <c r="AP72" s="1218"/>
      <c r="AQ72" s="1218"/>
      <c r="AR72" s="1218"/>
      <c r="AS72" s="1218"/>
      <c r="AT72" s="1218"/>
      <c r="AU72" s="1218"/>
      <c r="AV72" s="1218"/>
      <c r="AW72" s="1207"/>
      <c r="AX72" s="1219"/>
      <c r="AZ72" s="225"/>
      <c r="BA72" s="1160"/>
      <c r="BB72" s="1160"/>
      <c r="BC72" s="1160"/>
      <c r="BD72" s="272"/>
      <c r="BF72" s="273"/>
      <c r="BG72" s="226"/>
      <c r="BH72" s="274"/>
      <c r="BI72" s="274"/>
      <c r="BJ72" s="275"/>
      <c r="BK72" s="274"/>
      <c r="BL72" s="274"/>
      <c r="BM72" s="226"/>
      <c r="CA72" s="238"/>
    </row>
    <row r="73" spans="2:79" ht="24" customHeight="1" thickBot="1">
      <c r="B73" s="1220"/>
      <c r="C73" s="1221"/>
      <c r="D73" s="1221"/>
      <c r="E73" s="1221"/>
      <c r="F73" s="1221"/>
      <c r="G73" s="1221"/>
      <c r="H73" s="1221"/>
      <c r="I73" s="1221"/>
      <c r="J73" s="1221"/>
      <c r="K73" s="1221"/>
      <c r="L73" s="1221"/>
      <c r="M73" s="1221"/>
      <c r="N73" s="1221"/>
      <c r="O73" s="1221"/>
      <c r="P73" s="1221"/>
      <c r="Q73" s="1221"/>
      <c r="R73" s="1221"/>
      <c r="S73" s="1221"/>
      <c r="T73" s="1221"/>
      <c r="U73" s="1221"/>
      <c r="V73" s="1221"/>
      <c r="W73" s="1221"/>
      <c r="X73" s="1221"/>
      <c r="Y73" s="1221"/>
      <c r="Z73" s="1221"/>
      <c r="AA73" s="1221"/>
      <c r="AB73" s="1221"/>
      <c r="AC73" s="1221"/>
      <c r="AD73" s="1221"/>
      <c r="AE73" s="1221"/>
      <c r="AF73" s="1221"/>
      <c r="AG73" s="1221"/>
      <c r="AH73" s="1221"/>
      <c r="AI73" s="1221"/>
      <c r="AJ73" s="1221"/>
      <c r="AK73" s="1221"/>
      <c r="AL73" s="1221"/>
      <c r="AM73" s="1221"/>
      <c r="AN73" s="1221"/>
      <c r="AO73" s="1221"/>
      <c r="AP73" s="1221"/>
      <c r="AQ73" s="1221"/>
      <c r="AR73" s="1221"/>
      <c r="AS73" s="1221"/>
      <c r="AT73" s="1221"/>
      <c r="AU73" s="1221"/>
      <c r="AV73" s="1221"/>
      <c r="AW73" s="1222"/>
      <c r="AX73" s="1223"/>
      <c r="AZ73" s="225"/>
      <c r="BA73" s="1160"/>
      <c r="BB73" s="1160"/>
      <c r="BC73" s="1160"/>
      <c r="BD73" s="272"/>
      <c r="BF73" s="273"/>
      <c r="BG73" s="226"/>
      <c r="BH73" s="274"/>
      <c r="BI73" s="274"/>
      <c r="BJ73" s="275"/>
      <c r="BK73" s="274"/>
      <c r="BL73" s="274"/>
      <c r="BM73" s="226"/>
      <c r="CA73" s="238"/>
    </row>
    <row r="74" spans="2:79" ht="15" customHeight="1" thickTop="1" thickBot="1">
      <c r="B74" s="385"/>
      <c r="C74" s="385"/>
      <c r="D74" s="385"/>
      <c r="E74" s="385"/>
      <c r="F74" s="385"/>
      <c r="G74" s="385"/>
      <c r="H74" s="385"/>
      <c r="I74" s="385"/>
      <c r="J74" s="385"/>
      <c r="K74" s="385"/>
      <c r="L74" s="385"/>
      <c r="M74" s="385"/>
      <c r="N74" s="385"/>
      <c r="O74" s="385"/>
      <c r="P74" s="385"/>
      <c r="Q74" s="385"/>
      <c r="R74" s="385"/>
      <c r="S74" s="385"/>
      <c r="T74" s="385"/>
      <c r="U74" s="385"/>
      <c r="V74" s="385"/>
      <c r="W74" s="385"/>
      <c r="X74" s="385"/>
      <c r="Y74" s="385"/>
      <c r="Z74" s="385"/>
      <c r="AA74" s="385"/>
      <c r="AB74" s="385"/>
      <c r="AC74" s="385"/>
      <c r="AD74" s="385"/>
      <c r="AE74" s="385"/>
      <c r="AF74" s="385"/>
      <c r="AG74" s="385"/>
      <c r="AH74" s="385"/>
      <c r="AI74" s="385"/>
      <c r="AJ74" s="385"/>
      <c r="AK74" s="385"/>
      <c r="AL74" s="385"/>
      <c r="AM74" s="385"/>
      <c r="AN74" s="385"/>
      <c r="AO74" s="385"/>
      <c r="AZ74" s="225"/>
      <c r="BA74" s="1160"/>
      <c r="BB74" s="1160"/>
      <c r="BC74" s="1160"/>
      <c r="BD74" s="272"/>
      <c r="BF74" s="273"/>
      <c r="BG74" s="226"/>
      <c r="BH74" s="274"/>
      <c r="BI74" s="274"/>
      <c r="BJ74" s="275"/>
      <c r="BK74" s="274"/>
      <c r="BL74" s="274"/>
      <c r="BM74" s="226"/>
      <c r="CA74" s="238"/>
    </row>
    <row r="75" spans="2:79" ht="24" customHeight="1" thickTop="1">
      <c r="B75" s="1163" t="s">
        <v>1190</v>
      </c>
      <c r="C75" s="1369"/>
      <c r="D75" s="1369"/>
      <c r="E75" s="1369"/>
      <c r="F75" s="1369"/>
      <c r="G75" s="1369"/>
      <c r="H75" s="1163" t="s">
        <v>1234</v>
      </c>
      <c r="I75" s="1030"/>
      <c r="J75" s="1030"/>
      <c r="K75" s="1030"/>
      <c r="L75" s="1030"/>
      <c r="M75" s="1030"/>
      <c r="N75" s="1163" t="s">
        <v>1193</v>
      </c>
      <c r="O75" s="1374"/>
      <c r="P75" s="1374"/>
      <c r="Q75" s="1374"/>
      <c r="R75" s="1374"/>
      <c r="S75" s="1375"/>
      <c r="T75" s="1161" t="s">
        <v>100</v>
      </c>
      <c r="U75" s="1162"/>
      <c r="V75" s="385"/>
      <c r="W75" s="385"/>
      <c r="X75" s="1163" t="s">
        <v>1089</v>
      </c>
      <c r="Y75" s="1164"/>
      <c r="Z75" s="1164"/>
      <c r="AA75" s="1164"/>
      <c r="AB75" s="1164"/>
      <c r="AC75" s="1163" t="s">
        <v>1090</v>
      </c>
      <c r="AD75" s="1164"/>
      <c r="AE75" s="1164"/>
      <c r="AF75" s="1164"/>
      <c r="AG75" s="1164"/>
      <c r="AH75" s="385"/>
      <c r="AI75" s="1165" t="str">
        <f>"補助対象期間中の患者数("&amp;X76&amp;"人、N95・ハイラックマスクは"&amp;AC76&amp;"人)＊患者１名あたり平均対応員数(計"&amp;N76&amp;"人)＊品目毎の患者１名あたり使用数で算出されます。"</f>
        <v>補助対象期間中の患者数(63人、N95・ハイラックマスクは32人)＊患者１名あたり平均対応員数(計8人)＊品目毎の患者１名あたり使用数で算出されます。</v>
      </c>
      <c r="AJ75" s="1166"/>
      <c r="AK75" s="1166"/>
      <c r="AL75" s="1166"/>
      <c r="AM75" s="1166"/>
      <c r="AN75" s="1166"/>
      <c r="AO75" s="1166"/>
      <c r="AP75" s="1166"/>
      <c r="AQ75" s="1166"/>
      <c r="AR75" s="1166"/>
      <c r="AS75" s="1166"/>
      <c r="AT75" s="1166"/>
      <c r="AU75" s="1166"/>
      <c r="AV75" s="1166"/>
      <c r="AW75" s="1166"/>
      <c r="AX75" s="1167"/>
      <c r="AZ75" s="225"/>
      <c r="BD75" s="272"/>
      <c r="BF75" s="273"/>
      <c r="BG75" s="226"/>
      <c r="BH75" s="274"/>
      <c r="BI75" s="274"/>
      <c r="BJ75" s="275"/>
      <c r="BK75" s="274"/>
      <c r="BL75" s="274"/>
      <c r="BM75" s="226"/>
      <c r="CA75" s="238"/>
    </row>
    <row r="76" spans="2:79" ht="24" customHeight="1">
      <c r="B76" s="1370">
        <v>4</v>
      </c>
      <c r="C76" s="1371"/>
      <c r="D76" s="1371"/>
      <c r="E76" s="1371"/>
      <c r="F76" s="1371"/>
      <c r="G76" s="1371"/>
      <c r="H76" s="1372">
        <v>2</v>
      </c>
      <c r="I76" s="1373"/>
      <c r="J76" s="1373"/>
      <c r="K76" s="1373"/>
      <c r="L76" s="1373"/>
      <c r="M76" s="1373"/>
      <c r="N76" s="1376">
        <f>SUM(B76*H76)</f>
        <v>8</v>
      </c>
      <c r="O76" s="1377"/>
      <c r="P76" s="1377"/>
      <c r="Q76" s="1377"/>
      <c r="R76" s="1377"/>
      <c r="S76" s="1378"/>
      <c r="T76" s="1183" t="str">
        <f>IF(COUNTA(B76:M77)&lt;2,"×","○")</f>
        <v>○</v>
      </c>
      <c r="U76" s="1184"/>
      <c r="V76" s="385"/>
      <c r="W76" s="385"/>
      <c r="X76" s="1187">
        <f>AU52</f>
        <v>63</v>
      </c>
      <c r="Y76" s="1188"/>
      <c r="Z76" s="1188"/>
      <c r="AA76" s="1188"/>
      <c r="AB76" s="1188"/>
      <c r="AC76" s="1187">
        <f>AU53</f>
        <v>32</v>
      </c>
      <c r="AD76" s="1188"/>
      <c r="AE76" s="1188"/>
      <c r="AF76" s="1188"/>
      <c r="AG76" s="1188"/>
      <c r="AH76" s="385"/>
      <c r="AI76" s="1168"/>
      <c r="AJ76" s="1169"/>
      <c r="AK76" s="1169"/>
      <c r="AL76" s="1169"/>
      <c r="AM76" s="1169"/>
      <c r="AN76" s="1169"/>
      <c r="AO76" s="1169"/>
      <c r="AP76" s="1169"/>
      <c r="AQ76" s="1169"/>
      <c r="AR76" s="1169"/>
      <c r="AS76" s="1169"/>
      <c r="AT76" s="1169"/>
      <c r="AU76" s="1169"/>
      <c r="AV76" s="1169"/>
      <c r="AW76" s="1169"/>
      <c r="AX76" s="1170"/>
      <c r="AZ76" s="225"/>
      <c r="BD76" s="272"/>
      <c r="BF76" s="273"/>
      <c r="BG76" s="226"/>
      <c r="BH76" s="274"/>
      <c r="BI76" s="274"/>
      <c r="BJ76" s="275"/>
      <c r="BK76" s="274"/>
      <c r="BL76" s="274"/>
      <c r="BM76" s="226"/>
      <c r="CA76" s="238"/>
    </row>
    <row r="77" spans="2:79" ht="24" customHeight="1" thickBot="1">
      <c r="B77" s="1371"/>
      <c r="C77" s="1371"/>
      <c r="D77" s="1371"/>
      <c r="E77" s="1371"/>
      <c r="F77" s="1371"/>
      <c r="G77" s="1371"/>
      <c r="H77" s="1373"/>
      <c r="I77" s="1373"/>
      <c r="J77" s="1373"/>
      <c r="K77" s="1373"/>
      <c r="L77" s="1373"/>
      <c r="M77" s="1373"/>
      <c r="N77" s="1377"/>
      <c r="O77" s="1377"/>
      <c r="P77" s="1377"/>
      <c r="Q77" s="1377"/>
      <c r="R77" s="1377"/>
      <c r="S77" s="1378"/>
      <c r="T77" s="1185"/>
      <c r="U77" s="1186"/>
      <c r="V77" s="385"/>
      <c r="W77" s="385"/>
      <c r="X77" s="1188"/>
      <c r="Y77" s="1188"/>
      <c r="Z77" s="1188"/>
      <c r="AA77" s="1188"/>
      <c r="AB77" s="1188"/>
      <c r="AC77" s="1188"/>
      <c r="AD77" s="1188"/>
      <c r="AE77" s="1188"/>
      <c r="AF77" s="1188"/>
      <c r="AG77" s="1188"/>
      <c r="AH77" s="385"/>
      <c r="AI77" s="1171"/>
      <c r="AJ77" s="1172"/>
      <c r="AK77" s="1172"/>
      <c r="AL77" s="1172"/>
      <c r="AM77" s="1172"/>
      <c r="AN77" s="1172"/>
      <c r="AO77" s="1172"/>
      <c r="AP77" s="1172"/>
      <c r="AQ77" s="1172"/>
      <c r="AR77" s="1172"/>
      <c r="AS77" s="1172"/>
      <c r="AT77" s="1172"/>
      <c r="AU77" s="1172"/>
      <c r="AV77" s="1172"/>
      <c r="AW77" s="1172"/>
      <c r="AX77" s="1173"/>
      <c r="AZ77" s="225"/>
      <c r="BD77" s="272"/>
      <c r="BF77" s="273"/>
      <c r="BG77" s="226"/>
      <c r="BH77" s="274"/>
      <c r="BI77" s="274"/>
      <c r="BJ77" s="275"/>
      <c r="BK77" s="274"/>
      <c r="BL77" s="274"/>
      <c r="BM77" s="226"/>
      <c r="CA77" s="238"/>
    </row>
    <row r="78" spans="2:79" ht="15" customHeight="1" thickTop="1" thickBot="1">
      <c r="B78" s="385"/>
      <c r="C78" s="385"/>
      <c r="D78" s="385"/>
      <c r="E78" s="385"/>
      <c r="F78" s="281"/>
      <c r="G78" s="281"/>
      <c r="H78" s="281"/>
      <c r="I78" s="281"/>
      <c r="J78" s="281"/>
      <c r="K78" s="281"/>
      <c r="L78" s="281"/>
      <c r="M78" s="281"/>
      <c r="N78" s="281"/>
      <c r="O78" s="281"/>
      <c r="P78" s="281"/>
      <c r="AI78" s="385"/>
      <c r="AJ78" s="385"/>
      <c r="AK78" s="385"/>
      <c r="AL78" s="385"/>
      <c r="AM78" s="385"/>
      <c r="AN78" s="385"/>
      <c r="AO78" s="385"/>
      <c r="CA78" s="238"/>
    </row>
    <row r="79" spans="2:79" ht="18" customHeight="1" thickTop="1">
      <c r="B79" s="1131" t="s">
        <v>1091</v>
      </c>
      <c r="C79" s="1379"/>
      <c r="D79" s="1379"/>
      <c r="E79" s="1379"/>
      <c r="F79" s="1379"/>
      <c r="G79" s="1379"/>
      <c r="H79" s="1379"/>
      <c r="I79" s="1379"/>
      <c r="J79" s="1379"/>
      <c r="K79" s="1379"/>
      <c r="L79" s="1379"/>
      <c r="M79" s="1379"/>
      <c r="N79" s="1192" t="s">
        <v>1194</v>
      </c>
      <c r="O79" s="1193"/>
      <c r="P79" s="1193"/>
      <c r="Q79" s="1193"/>
      <c r="R79" s="1193"/>
      <c r="S79" s="1193"/>
      <c r="T79" s="1193"/>
      <c r="U79" s="1193"/>
      <c r="V79" s="1193"/>
      <c r="W79" s="1193"/>
      <c r="X79" s="1193"/>
      <c r="Y79" s="1193"/>
      <c r="Z79" s="1194"/>
      <c r="AA79" s="1194"/>
      <c r="AB79" s="1194"/>
      <c r="AC79" s="1195"/>
      <c r="AD79" s="1189" t="s">
        <v>100</v>
      </c>
      <c r="AE79" s="1190"/>
      <c r="AF79" s="1174" t="s">
        <v>61</v>
      </c>
      <c r="AG79" s="1174"/>
      <c r="AH79" s="1174"/>
      <c r="AI79" s="1174"/>
      <c r="AJ79" s="1174"/>
      <c r="AK79" s="1174"/>
      <c r="AL79" s="1174"/>
      <c r="AM79" s="1174"/>
      <c r="AN79" s="1174"/>
      <c r="AO79" s="1174"/>
      <c r="AP79" s="1175"/>
      <c r="AQ79" s="1175"/>
      <c r="AR79" s="1175"/>
      <c r="AS79" s="1175"/>
      <c r="AT79" s="1175"/>
      <c r="AU79" s="1175"/>
      <c r="AV79" s="1175"/>
      <c r="AW79" s="1175"/>
      <c r="AX79" s="1176"/>
    </row>
    <row r="80" spans="2:79" ht="18" customHeight="1" thickBot="1">
      <c r="B80" s="1129"/>
      <c r="C80" s="1380"/>
      <c r="D80" s="1380"/>
      <c r="E80" s="1380"/>
      <c r="F80" s="1380"/>
      <c r="G80" s="1380"/>
      <c r="H80" s="1380"/>
      <c r="I80" s="1380"/>
      <c r="J80" s="1380"/>
      <c r="K80" s="1380"/>
      <c r="L80" s="1380"/>
      <c r="M80" s="1380"/>
      <c r="N80" s="1196"/>
      <c r="O80" s="1197"/>
      <c r="P80" s="1197"/>
      <c r="Q80" s="1197"/>
      <c r="R80" s="1197"/>
      <c r="S80" s="1197"/>
      <c r="T80" s="1197"/>
      <c r="U80" s="1197"/>
      <c r="V80" s="1197"/>
      <c r="W80" s="1197"/>
      <c r="X80" s="1197"/>
      <c r="Y80" s="1197"/>
      <c r="Z80" s="1198"/>
      <c r="AA80" s="1198"/>
      <c r="AB80" s="1198"/>
      <c r="AC80" s="1199"/>
      <c r="AD80" s="1095"/>
      <c r="AE80" s="1191"/>
      <c r="AF80" s="1174"/>
      <c r="AG80" s="1174"/>
      <c r="AH80" s="1174"/>
      <c r="AI80" s="1174"/>
      <c r="AJ80" s="1174"/>
      <c r="AK80" s="1174"/>
      <c r="AL80" s="1174"/>
      <c r="AM80" s="1174"/>
      <c r="AN80" s="1174"/>
      <c r="AO80" s="1174"/>
      <c r="AP80" s="1175"/>
      <c r="AQ80" s="1175"/>
      <c r="AR80" s="1175"/>
      <c r="AS80" s="1175"/>
      <c r="AT80" s="1175"/>
      <c r="AU80" s="1175"/>
      <c r="AV80" s="1175"/>
      <c r="AW80" s="1175"/>
      <c r="AX80" s="1176"/>
    </row>
    <row r="81" spans="2:81" ht="18.75" customHeight="1" thickTop="1">
      <c r="B81" s="1381"/>
      <c r="C81" s="1380"/>
      <c r="D81" s="1380"/>
      <c r="E81" s="1380"/>
      <c r="F81" s="1380"/>
      <c r="G81" s="1380"/>
      <c r="H81" s="1380"/>
      <c r="I81" s="1380"/>
      <c r="J81" s="1380"/>
      <c r="K81" s="1380"/>
      <c r="L81" s="1380"/>
      <c r="M81" s="1380"/>
      <c r="N81" s="1177" t="s">
        <v>1198</v>
      </c>
      <c r="O81" s="1178"/>
      <c r="P81" s="1178"/>
      <c r="Q81" s="1179"/>
      <c r="R81" s="1129" t="s">
        <v>1195</v>
      </c>
      <c r="S81" s="1178"/>
      <c r="T81" s="1178"/>
      <c r="U81" s="1179"/>
      <c r="V81" s="1177" t="s">
        <v>1196</v>
      </c>
      <c r="W81" s="1178"/>
      <c r="X81" s="1178"/>
      <c r="Y81" s="1179"/>
      <c r="Z81" s="1200" t="s">
        <v>1197</v>
      </c>
      <c r="AA81" s="1201"/>
      <c r="AB81" s="1201"/>
      <c r="AC81" s="1202"/>
      <c r="AD81" s="1042"/>
      <c r="AE81" s="1191"/>
      <c r="AF81" s="1174"/>
      <c r="AG81" s="1174"/>
      <c r="AH81" s="1174"/>
      <c r="AI81" s="1174"/>
      <c r="AJ81" s="1174"/>
      <c r="AK81" s="1174"/>
      <c r="AL81" s="1174"/>
      <c r="AM81" s="1174"/>
      <c r="AN81" s="1174"/>
      <c r="AO81" s="1174"/>
      <c r="AP81" s="1175"/>
      <c r="AQ81" s="1175"/>
      <c r="AR81" s="1175"/>
      <c r="AS81" s="1175"/>
      <c r="AT81" s="1175"/>
      <c r="AU81" s="1175"/>
      <c r="AV81" s="1175"/>
      <c r="AW81" s="1175"/>
      <c r="AX81" s="1176"/>
    </row>
    <row r="82" spans="2:81" ht="18.75" customHeight="1">
      <c r="B82" s="1382"/>
      <c r="C82" s="1383"/>
      <c r="D82" s="1383"/>
      <c r="E82" s="1383"/>
      <c r="F82" s="1383"/>
      <c r="G82" s="1383"/>
      <c r="H82" s="1383"/>
      <c r="I82" s="1383"/>
      <c r="J82" s="1383"/>
      <c r="K82" s="1383"/>
      <c r="L82" s="1383"/>
      <c r="M82" s="1383"/>
      <c r="N82" s="1180"/>
      <c r="O82" s="1181"/>
      <c r="P82" s="1181"/>
      <c r="Q82" s="1182"/>
      <c r="R82" s="1180"/>
      <c r="S82" s="1181"/>
      <c r="T82" s="1181"/>
      <c r="U82" s="1182"/>
      <c r="V82" s="1180"/>
      <c r="W82" s="1181"/>
      <c r="X82" s="1181"/>
      <c r="Y82" s="1182"/>
      <c r="Z82" s="1203"/>
      <c r="AA82" s="1204"/>
      <c r="AB82" s="1204"/>
      <c r="AC82" s="1205"/>
      <c r="AD82" s="1042"/>
      <c r="AE82" s="1191"/>
      <c r="AF82" s="1174"/>
      <c r="AG82" s="1174"/>
      <c r="AH82" s="1174"/>
      <c r="AI82" s="1174"/>
      <c r="AJ82" s="1174"/>
      <c r="AK82" s="1174"/>
      <c r="AL82" s="1174"/>
      <c r="AM82" s="1174"/>
      <c r="AN82" s="1174"/>
      <c r="AO82" s="1174"/>
      <c r="AP82" s="1175"/>
      <c r="AQ82" s="1175"/>
      <c r="AR82" s="1175"/>
      <c r="AS82" s="1175"/>
      <c r="AT82" s="1175"/>
      <c r="AU82" s="1175"/>
      <c r="AV82" s="1175"/>
      <c r="AW82" s="1175"/>
      <c r="AX82" s="1176"/>
    </row>
    <row r="83" spans="2:81" ht="18" customHeight="1">
      <c r="B83" s="1131" t="s">
        <v>474</v>
      </c>
      <c r="C83" s="1108"/>
      <c r="D83" s="1108"/>
      <c r="E83" s="1109"/>
      <c r="F83" s="1091" t="s">
        <v>1092</v>
      </c>
      <c r="G83" s="1108"/>
      <c r="H83" s="1108"/>
      <c r="I83" s="1108"/>
      <c r="J83" s="1108"/>
      <c r="K83" s="1108"/>
      <c r="L83" s="1108"/>
      <c r="M83" s="1109"/>
      <c r="N83" s="1116">
        <v>3</v>
      </c>
      <c r="O83" s="1117"/>
      <c r="P83" s="1117"/>
      <c r="Q83" s="1117"/>
      <c r="R83" s="1118">
        <f>$X$76</f>
        <v>63</v>
      </c>
      <c r="S83" s="1119"/>
      <c r="T83" s="1119"/>
      <c r="U83" s="1119"/>
      <c r="V83" s="1120">
        <f>$N$76</f>
        <v>8</v>
      </c>
      <c r="W83" s="1121"/>
      <c r="X83" s="1121"/>
      <c r="Y83" s="1121"/>
      <c r="Z83" s="1122">
        <f>IFERROR(N83*R83*V83,"要修正"&amp;CHAR(10)&amp;"表示不可")</f>
        <v>1512</v>
      </c>
      <c r="AA83" s="1123"/>
      <c r="AB83" s="1123"/>
      <c r="AC83" s="1124"/>
      <c r="AD83" s="1095" t="str">
        <f>IF(COUNTA(N83:U85)=2,"○","×")</f>
        <v>○</v>
      </c>
      <c r="AE83" s="1096"/>
      <c r="AF83" s="1099" t="str">
        <f xml:space="preserve">
IF(COUNTA(N83:U85)&lt;2,"各職種の使用数を入力してください。(０の場合は０を入力)",
IF(AND(COUNTA(N83:U85)=2,N83&lt;=2),"適切に入力されました。",
IF(AND(COUNTA(N83:U85)=2,N83&gt;2),"患者１人あたりスタッフ１名が２枚を超える使用量が入力されているため、着脱を行う手順及び手順毎の数量を下段の欄に記入してください。")))</f>
        <v>患者１人あたりスタッフ１名が２枚を超える使用量が入力されているため、着脱を行う手順及び手順毎の数量を下段の欄に記入してください。</v>
      </c>
      <c r="AG83" s="1100"/>
      <c r="AH83" s="1100"/>
      <c r="AI83" s="1100"/>
      <c r="AJ83" s="1100"/>
      <c r="AK83" s="1100"/>
      <c r="AL83" s="1100"/>
      <c r="AM83" s="1100"/>
      <c r="AN83" s="1100"/>
      <c r="AO83" s="1100"/>
      <c r="AP83" s="1101"/>
      <c r="AQ83" s="1102"/>
      <c r="AR83" s="1102"/>
      <c r="AS83" s="1102"/>
      <c r="AT83" s="1102"/>
      <c r="AU83" s="1102"/>
      <c r="AV83" s="1102"/>
      <c r="AW83" s="1102"/>
      <c r="AX83" s="1103"/>
    </row>
    <row r="84" spans="2:81" ht="18" customHeight="1">
      <c r="B84" s="1110"/>
      <c r="C84" s="1111"/>
      <c r="D84" s="1111"/>
      <c r="E84" s="1112"/>
      <c r="F84" s="1110"/>
      <c r="G84" s="1111"/>
      <c r="H84" s="1111"/>
      <c r="I84" s="1111"/>
      <c r="J84" s="1111"/>
      <c r="K84" s="1111"/>
      <c r="L84" s="1111"/>
      <c r="M84" s="1112"/>
      <c r="N84" s="1154"/>
      <c r="O84" s="1155"/>
      <c r="P84" s="1155"/>
      <c r="Q84" s="1156"/>
      <c r="R84" s="1144"/>
      <c r="S84" s="1145"/>
      <c r="T84" s="1145"/>
      <c r="U84" s="1146"/>
      <c r="V84" s="1120"/>
      <c r="W84" s="1121"/>
      <c r="X84" s="1121"/>
      <c r="Y84" s="1121"/>
      <c r="Z84" s="1122"/>
      <c r="AA84" s="1123"/>
      <c r="AB84" s="1123"/>
      <c r="AC84" s="1124"/>
      <c r="AD84" s="1095"/>
      <c r="AE84" s="1096"/>
      <c r="AF84" s="1099"/>
      <c r="AG84" s="1100"/>
      <c r="AH84" s="1100"/>
      <c r="AI84" s="1100"/>
      <c r="AJ84" s="1100"/>
      <c r="AK84" s="1100"/>
      <c r="AL84" s="1100"/>
      <c r="AM84" s="1100"/>
      <c r="AN84" s="1100"/>
      <c r="AO84" s="1100"/>
      <c r="AP84" s="1101"/>
      <c r="AQ84" s="1102"/>
      <c r="AR84" s="1102"/>
      <c r="AS84" s="1102"/>
      <c r="AT84" s="1102"/>
      <c r="AU84" s="1102"/>
      <c r="AV84" s="1102"/>
      <c r="AW84" s="1102"/>
      <c r="AX84" s="1103"/>
    </row>
    <row r="85" spans="2:81" ht="18" customHeight="1">
      <c r="B85" s="1110"/>
      <c r="C85" s="1111"/>
      <c r="D85" s="1111"/>
      <c r="E85" s="1112"/>
      <c r="F85" s="1113"/>
      <c r="G85" s="1114"/>
      <c r="H85" s="1114"/>
      <c r="I85" s="1114"/>
      <c r="J85" s="1114"/>
      <c r="K85" s="1114"/>
      <c r="L85" s="1114"/>
      <c r="M85" s="1115"/>
      <c r="N85" s="1157"/>
      <c r="O85" s="1158"/>
      <c r="P85" s="1158"/>
      <c r="Q85" s="1159"/>
      <c r="R85" s="1147"/>
      <c r="S85" s="1148"/>
      <c r="T85" s="1148"/>
      <c r="U85" s="1149"/>
      <c r="V85" s="1121"/>
      <c r="W85" s="1121"/>
      <c r="X85" s="1121"/>
      <c r="Y85" s="1121"/>
      <c r="Z85" s="1123"/>
      <c r="AA85" s="1123"/>
      <c r="AB85" s="1123"/>
      <c r="AC85" s="1124"/>
      <c r="AD85" s="1130"/>
      <c r="AE85" s="1096"/>
      <c r="AF85" s="1100"/>
      <c r="AG85" s="1100"/>
      <c r="AH85" s="1100"/>
      <c r="AI85" s="1100"/>
      <c r="AJ85" s="1100"/>
      <c r="AK85" s="1100"/>
      <c r="AL85" s="1100"/>
      <c r="AM85" s="1100"/>
      <c r="AN85" s="1100"/>
      <c r="AO85" s="1100"/>
      <c r="AP85" s="1101"/>
      <c r="AQ85" s="1102"/>
      <c r="AR85" s="1102"/>
      <c r="AS85" s="1102"/>
      <c r="AT85" s="1102"/>
      <c r="AU85" s="1102"/>
      <c r="AV85" s="1102"/>
      <c r="AW85" s="1102"/>
      <c r="AX85" s="1103"/>
    </row>
    <row r="86" spans="2:81" ht="18" customHeight="1">
      <c r="B86" s="1110"/>
      <c r="C86" s="1111"/>
      <c r="D86" s="1111"/>
      <c r="E86" s="1112"/>
      <c r="F86" s="1091" t="s">
        <v>1093</v>
      </c>
      <c r="G86" s="1108"/>
      <c r="H86" s="1108"/>
      <c r="I86" s="1108"/>
      <c r="J86" s="1108"/>
      <c r="K86" s="1108"/>
      <c r="L86" s="1108"/>
      <c r="M86" s="1109"/>
      <c r="N86" s="1151">
        <v>3</v>
      </c>
      <c r="O86" s="1152"/>
      <c r="P86" s="1152"/>
      <c r="Q86" s="1153"/>
      <c r="R86" s="1141">
        <f>$X$76</f>
        <v>63</v>
      </c>
      <c r="S86" s="1142"/>
      <c r="T86" s="1142"/>
      <c r="U86" s="1143"/>
      <c r="V86" s="1120">
        <f>$N$76</f>
        <v>8</v>
      </c>
      <c r="W86" s="1121"/>
      <c r="X86" s="1121"/>
      <c r="Y86" s="1121"/>
      <c r="Z86" s="1122">
        <f>IFERROR(N86*R86*V86,"要修正"&amp;CHAR(10)&amp;"表示不可")</f>
        <v>1512</v>
      </c>
      <c r="AA86" s="1123"/>
      <c r="AB86" s="1123"/>
      <c r="AC86" s="1124"/>
      <c r="AD86" s="1095" t="str">
        <f>IF(COUNTA(N86:U88)=2,"○","×")</f>
        <v>○</v>
      </c>
      <c r="AE86" s="1096"/>
      <c r="AF86" s="1099" t="str">
        <f xml:space="preserve">
IF(COUNTA(N86:U88)&lt;2,"各職種の使用数を入力してください。(０の場合は０を入力)",
IF(AND(COUNTA(N86:U88)=2,N86&lt;=2),"適切に入力されました。",
IF(AND(COUNTA(N86:U88)=2,N86&gt;2),"患者１人あたりスタッフ１名が２枚を超える使用量が入力されているため、着脱を行う手順及び手順毎の数量を下段の欄に記入してください。")))</f>
        <v>患者１人あたりスタッフ１名が２枚を超える使用量が入力されているため、着脱を行う手順及び手順毎の数量を下段の欄に記入してください。</v>
      </c>
      <c r="AG86" s="1100"/>
      <c r="AH86" s="1100"/>
      <c r="AI86" s="1100"/>
      <c r="AJ86" s="1100"/>
      <c r="AK86" s="1100"/>
      <c r="AL86" s="1100"/>
      <c r="AM86" s="1100"/>
      <c r="AN86" s="1100"/>
      <c r="AO86" s="1100"/>
      <c r="AP86" s="1101"/>
      <c r="AQ86" s="1102"/>
      <c r="AR86" s="1102"/>
      <c r="AS86" s="1102"/>
      <c r="AT86" s="1102"/>
      <c r="AU86" s="1102"/>
      <c r="AV86" s="1102"/>
      <c r="AW86" s="1102"/>
      <c r="AX86" s="1103"/>
    </row>
    <row r="87" spans="2:81" ht="18" customHeight="1">
      <c r="B87" s="1110"/>
      <c r="C87" s="1111"/>
      <c r="D87" s="1111"/>
      <c r="E87" s="1112"/>
      <c r="F87" s="1110"/>
      <c r="G87" s="1111"/>
      <c r="H87" s="1111"/>
      <c r="I87" s="1111"/>
      <c r="J87" s="1111"/>
      <c r="K87" s="1111"/>
      <c r="L87" s="1111"/>
      <c r="M87" s="1112"/>
      <c r="N87" s="1154"/>
      <c r="O87" s="1155"/>
      <c r="P87" s="1155"/>
      <c r="Q87" s="1156"/>
      <c r="R87" s="1144"/>
      <c r="S87" s="1145"/>
      <c r="T87" s="1145"/>
      <c r="U87" s="1146"/>
      <c r="V87" s="1120"/>
      <c r="W87" s="1121"/>
      <c r="X87" s="1121"/>
      <c r="Y87" s="1121"/>
      <c r="Z87" s="1122"/>
      <c r="AA87" s="1123"/>
      <c r="AB87" s="1123"/>
      <c r="AC87" s="1124"/>
      <c r="AD87" s="1095"/>
      <c r="AE87" s="1096"/>
      <c r="AF87" s="1099"/>
      <c r="AG87" s="1100"/>
      <c r="AH87" s="1100"/>
      <c r="AI87" s="1100"/>
      <c r="AJ87" s="1100"/>
      <c r="AK87" s="1100"/>
      <c r="AL87" s="1100"/>
      <c r="AM87" s="1100"/>
      <c r="AN87" s="1100"/>
      <c r="AO87" s="1100"/>
      <c r="AP87" s="1101"/>
      <c r="AQ87" s="1102"/>
      <c r="AR87" s="1102"/>
      <c r="AS87" s="1102"/>
      <c r="AT87" s="1102"/>
      <c r="AU87" s="1102"/>
      <c r="AV87" s="1102"/>
      <c r="AW87" s="1102"/>
      <c r="AX87" s="1103"/>
    </row>
    <row r="88" spans="2:81" ht="18" customHeight="1">
      <c r="B88" s="1110"/>
      <c r="C88" s="1111"/>
      <c r="D88" s="1111"/>
      <c r="E88" s="1112"/>
      <c r="F88" s="1113"/>
      <c r="G88" s="1114"/>
      <c r="H88" s="1114"/>
      <c r="I88" s="1114"/>
      <c r="J88" s="1114"/>
      <c r="K88" s="1114"/>
      <c r="L88" s="1114"/>
      <c r="M88" s="1115"/>
      <c r="N88" s="1157"/>
      <c r="O88" s="1158"/>
      <c r="P88" s="1158"/>
      <c r="Q88" s="1159"/>
      <c r="R88" s="1147"/>
      <c r="S88" s="1148"/>
      <c r="T88" s="1148"/>
      <c r="U88" s="1149"/>
      <c r="V88" s="1121"/>
      <c r="W88" s="1121"/>
      <c r="X88" s="1121"/>
      <c r="Y88" s="1121"/>
      <c r="Z88" s="1123"/>
      <c r="AA88" s="1123"/>
      <c r="AB88" s="1123"/>
      <c r="AC88" s="1124"/>
      <c r="AD88" s="1130"/>
      <c r="AE88" s="1096"/>
      <c r="AF88" s="1100"/>
      <c r="AG88" s="1100"/>
      <c r="AH88" s="1100"/>
      <c r="AI88" s="1100"/>
      <c r="AJ88" s="1100"/>
      <c r="AK88" s="1100"/>
      <c r="AL88" s="1100"/>
      <c r="AM88" s="1100"/>
      <c r="AN88" s="1100"/>
      <c r="AO88" s="1100"/>
      <c r="AP88" s="1101"/>
      <c r="AQ88" s="1102"/>
      <c r="AR88" s="1102"/>
      <c r="AS88" s="1102"/>
      <c r="AT88" s="1102"/>
      <c r="AU88" s="1102"/>
      <c r="AV88" s="1102"/>
      <c r="AW88" s="1102"/>
      <c r="AX88" s="1103"/>
      <c r="CC88" s="223"/>
    </row>
    <row r="89" spans="2:81" ht="18" customHeight="1">
      <c r="B89" s="1110"/>
      <c r="C89" s="1111"/>
      <c r="D89" s="1111"/>
      <c r="E89" s="1112"/>
      <c r="F89" s="1125" t="s">
        <v>1094</v>
      </c>
      <c r="G89" s="1108"/>
      <c r="H89" s="1108"/>
      <c r="I89" s="1108"/>
      <c r="J89" s="1108"/>
      <c r="K89" s="1108"/>
      <c r="L89" s="1108"/>
      <c r="M89" s="1109"/>
      <c r="N89" s="1151">
        <v>3</v>
      </c>
      <c r="O89" s="1152"/>
      <c r="P89" s="1152"/>
      <c r="Q89" s="1153"/>
      <c r="R89" s="1141">
        <f>AC76</f>
        <v>32</v>
      </c>
      <c r="S89" s="1142"/>
      <c r="T89" s="1142"/>
      <c r="U89" s="1143"/>
      <c r="V89" s="1120">
        <f>$N$76</f>
        <v>8</v>
      </c>
      <c r="W89" s="1121"/>
      <c r="X89" s="1121"/>
      <c r="Y89" s="1121"/>
      <c r="Z89" s="1122">
        <f>IFERROR(N89*R89*V89,"要修正"&amp;CHAR(10)&amp;"表示不可")</f>
        <v>768</v>
      </c>
      <c r="AA89" s="1123"/>
      <c r="AB89" s="1123"/>
      <c r="AC89" s="1124"/>
      <c r="AD89" s="1095" t="str">
        <f>IF(COUNTA(N89:U91)=2,"○","×")</f>
        <v>○</v>
      </c>
      <c r="AE89" s="1096"/>
      <c r="AF89" s="1099" t="str">
        <f xml:space="preserve">
IF(COUNTA(N89:U91)&lt;2,"各職種の使用数を入力してください。(０の場合は０を入力)",
IF(AND(COUNTA(N89:U91)=2,N89&lt;=2),"適切に入力されました。",
IF(AND(COUNTA(N89:U91)=2,N89&gt;2),"患者１人あたりスタッフ１名が２枚を超える使用量が入力されているため、着脱を行う手順及び手順毎の数量を下段の欄に記入してください。")))</f>
        <v>患者１人あたりスタッフ１名が２枚を超える使用量が入力されているため、着脱を行う手順及び手順毎の数量を下段の欄に記入してください。</v>
      </c>
      <c r="AG89" s="1100"/>
      <c r="AH89" s="1100"/>
      <c r="AI89" s="1100"/>
      <c r="AJ89" s="1100"/>
      <c r="AK89" s="1100"/>
      <c r="AL89" s="1100"/>
      <c r="AM89" s="1100"/>
      <c r="AN89" s="1100"/>
      <c r="AO89" s="1100"/>
      <c r="AP89" s="1101"/>
      <c r="AQ89" s="1102"/>
      <c r="AR89" s="1102"/>
      <c r="AS89" s="1102"/>
      <c r="AT89" s="1102"/>
      <c r="AU89" s="1102"/>
      <c r="AV89" s="1102"/>
      <c r="AW89" s="1102"/>
      <c r="AX89" s="1103"/>
    </row>
    <row r="90" spans="2:81" ht="18" customHeight="1">
      <c r="B90" s="1110"/>
      <c r="C90" s="1111"/>
      <c r="D90" s="1111"/>
      <c r="E90" s="1112"/>
      <c r="F90" s="1110"/>
      <c r="G90" s="1111"/>
      <c r="H90" s="1111"/>
      <c r="I90" s="1111"/>
      <c r="J90" s="1111"/>
      <c r="K90" s="1111"/>
      <c r="L90" s="1111"/>
      <c r="M90" s="1112"/>
      <c r="N90" s="1154"/>
      <c r="O90" s="1155"/>
      <c r="P90" s="1155"/>
      <c r="Q90" s="1156"/>
      <c r="R90" s="1144"/>
      <c r="S90" s="1145"/>
      <c r="T90" s="1145"/>
      <c r="U90" s="1146"/>
      <c r="V90" s="1120"/>
      <c r="W90" s="1121"/>
      <c r="X90" s="1121"/>
      <c r="Y90" s="1121"/>
      <c r="Z90" s="1122"/>
      <c r="AA90" s="1123"/>
      <c r="AB90" s="1123"/>
      <c r="AC90" s="1124"/>
      <c r="AD90" s="1095"/>
      <c r="AE90" s="1096"/>
      <c r="AF90" s="1099"/>
      <c r="AG90" s="1100"/>
      <c r="AH90" s="1100"/>
      <c r="AI90" s="1100"/>
      <c r="AJ90" s="1100"/>
      <c r="AK90" s="1100"/>
      <c r="AL90" s="1100"/>
      <c r="AM90" s="1100"/>
      <c r="AN90" s="1100"/>
      <c r="AO90" s="1100"/>
      <c r="AP90" s="1101"/>
      <c r="AQ90" s="1102"/>
      <c r="AR90" s="1102"/>
      <c r="AS90" s="1102"/>
      <c r="AT90" s="1102"/>
      <c r="AU90" s="1102"/>
      <c r="AV90" s="1102"/>
      <c r="AW90" s="1102"/>
      <c r="AX90" s="1103"/>
    </row>
    <row r="91" spans="2:81" ht="18.75" customHeight="1">
      <c r="B91" s="1113"/>
      <c r="C91" s="1114"/>
      <c r="D91" s="1114"/>
      <c r="E91" s="1115"/>
      <c r="F91" s="1113"/>
      <c r="G91" s="1114"/>
      <c r="H91" s="1114"/>
      <c r="I91" s="1114"/>
      <c r="J91" s="1114"/>
      <c r="K91" s="1114"/>
      <c r="L91" s="1114"/>
      <c r="M91" s="1115"/>
      <c r="N91" s="1157"/>
      <c r="O91" s="1158"/>
      <c r="P91" s="1158"/>
      <c r="Q91" s="1159"/>
      <c r="R91" s="1147"/>
      <c r="S91" s="1148"/>
      <c r="T91" s="1148"/>
      <c r="U91" s="1149"/>
      <c r="V91" s="1121"/>
      <c r="W91" s="1121"/>
      <c r="X91" s="1121"/>
      <c r="Y91" s="1121"/>
      <c r="Z91" s="1123"/>
      <c r="AA91" s="1123"/>
      <c r="AB91" s="1123"/>
      <c r="AC91" s="1124"/>
      <c r="AD91" s="1130"/>
      <c r="AE91" s="1096"/>
      <c r="AF91" s="1100"/>
      <c r="AG91" s="1100"/>
      <c r="AH91" s="1100"/>
      <c r="AI91" s="1100"/>
      <c r="AJ91" s="1100"/>
      <c r="AK91" s="1100"/>
      <c r="AL91" s="1100"/>
      <c r="AM91" s="1100"/>
      <c r="AN91" s="1100"/>
      <c r="AO91" s="1100"/>
      <c r="AP91" s="1101"/>
      <c r="AQ91" s="1102"/>
      <c r="AR91" s="1102"/>
      <c r="AS91" s="1102"/>
      <c r="AT91" s="1102"/>
      <c r="AU91" s="1102"/>
      <c r="AV91" s="1102"/>
      <c r="AW91" s="1102"/>
      <c r="AX91" s="1103"/>
    </row>
    <row r="92" spans="2:81" ht="18.75" customHeight="1">
      <c r="B92" s="1107" t="s">
        <v>476</v>
      </c>
      <c r="C92" s="1108"/>
      <c r="D92" s="1108"/>
      <c r="E92" s="1108"/>
      <c r="F92" s="1108"/>
      <c r="G92" s="1108"/>
      <c r="H92" s="1108"/>
      <c r="I92" s="1108"/>
      <c r="J92" s="1108"/>
      <c r="K92" s="1108"/>
      <c r="L92" s="1108"/>
      <c r="M92" s="1108"/>
      <c r="N92" s="1132">
        <v>2</v>
      </c>
      <c r="O92" s="1133"/>
      <c r="P92" s="1133"/>
      <c r="Q92" s="1134"/>
      <c r="R92" s="1141">
        <f>$X$76</f>
        <v>63</v>
      </c>
      <c r="S92" s="1142"/>
      <c r="T92" s="1142"/>
      <c r="U92" s="1143"/>
      <c r="V92" s="1120">
        <f>$N$76</f>
        <v>8</v>
      </c>
      <c r="W92" s="1121"/>
      <c r="X92" s="1121"/>
      <c r="Y92" s="1121"/>
      <c r="Z92" s="1150">
        <f>IFERROR(N92*R92*V92,"要修正"&amp;CHAR(10)&amp;"表示不可")</f>
        <v>1008</v>
      </c>
      <c r="AA92" s="1123"/>
      <c r="AB92" s="1123"/>
      <c r="AC92" s="1124"/>
      <c r="AD92" s="1095" t="str">
        <f>IF(COUNTA(N92:U94)=2,"○","×")</f>
        <v>○</v>
      </c>
      <c r="AE92" s="1096"/>
      <c r="AF92" s="1099" t="str">
        <f xml:space="preserve">
IF(COUNTA(N92:U94)&lt;2,"各職種の使用数を入力してください。(０の場合は０を入力)",
IF(AND(COUNTA(N92:U94)=2,N92&lt;=1),"適切に入力されました。",
IF(AND(COUNTA(N92:U94)=2,N92&gt;1),"患者１人あたりスタッフ１名が１着を超える使用量が入力されているため、着脱を行う手順及び手順毎の数量を下段の欄に記入してください。")))</f>
        <v>患者１人あたりスタッフ１名が１着を超える使用量が入力されているため、着脱を行う手順及び手順毎の数量を下段の欄に記入してください。</v>
      </c>
      <c r="AG92" s="1100"/>
      <c r="AH92" s="1100"/>
      <c r="AI92" s="1100"/>
      <c r="AJ92" s="1100"/>
      <c r="AK92" s="1100"/>
      <c r="AL92" s="1100"/>
      <c r="AM92" s="1100"/>
      <c r="AN92" s="1100"/>
      <c r="AO92" s="1100"/>
      <c r="AP92" s="1101"/>
      <c r="AQ92" s="1102"/>
      <c r="AR92" s="1102"/>
      <c r="AS92" s="1102"/>
      <c r="AT92" s="1102"/>
      <c r="AU92" s="1102"/>
      <c r="AV92" s="1102"/>
      <c r="AW92" s="1102"/>
      <c r="AX92" s="1103"/>
    </row>
    <row r="93" spans="2:81" ht="18.75" customHeight="1">
      <c r="B93" s="1129"/>
      <c r="C93" s="1111"/>
      <c r="D93" s="1111"/>
      <c r="E93" s="1111"/>
      <c r="F93" s="1111"/>
      <c r="G93" s="1111"/>
      <c r="H93" s="1111"/>
      <c r="I93" s="1111"/>
      <c r="J93" s="1111"/>
      <c r="K93" s="1111"/>
      <c r="L93" s="1111"/>
      <c r="M93" s="1111"/>
      <c r="N93" s="1135"/>
      <c r="O93" s="1136"/>
      <c r="P93" s="1136"/>
      <c r="Q93" s="1137"/>
      <c r="R93" s="1144"/>
      <c r="S93" s="1145"/>
      <c r="T93" s="1145"/>
      <c r="U93" s="1146"/>
      <c r="V93" s="1120"/>
      <c r="W93" s="1121"/>
      <c r="X93" s="1121"/>
      <c r="Y93" s="1121"/>
      <c r="Z93" s="1150"/>
      <c r="AA93" s="1123"/>
      <c r="AB93" s="1123"/>
      <c r="AC93" s="1124"/>
      <c r="AD93" s="1095"/>
      <c r="AE93" s="1096"/>
      <c r="AF93" s="1099"/>
      <c r="AG93" s="1100"/>
      <c r="AH93" s="1100"/>
      <c r="AI93" s="1100"/>
      <c r="AJ93" s="1100"/>
      <c r="AK93" s="1100"/>
      <c r="AL93" s="1100"/>
      <c r="AM93" s="1100"/>
      <c r="AN93" s="1100"/>
      <c r="AO93" s="1100"/>
      <c r="AP93" s="1101"/>
      <c r="AQ93" s="1102"/>
      <c r="AR93" s="1102"/>
      <c r="AS93" s="1102"/>
      <c r="AT93" s="1102"/>
      <c r="AU93" s="1102"/>
      <c r="AV93" s="1102"/>
      <c r="AW93" s="1102"/>
      <c r="AX93" s="1103"/>
    </row>
    <row r="94" spans="2:81" ht="18" customHeight="1">
      <c r="B94" s="1113"/>
      <c r="C94" s="1114"/>
      <c r="D94" s="1114"/>
      <c r="E94" s="1114"/>
      <c r="F94" s="1114"/>
      <c r="G94" s="1114"/>
      <c r="H94" s="1114"/>
      <c r="I94" s="1114"/>
      <c r="J94" s="1114"/>
      <c r="K94" s="1114"/>
      <c r="L94" s="1114"/>
      <c r="M94" s="1114"/>
      <c r="N94" s="1138"/>
      <c r="O94" s="1139"/>
      <c r="P94" s="1139"/>
      <c r="Q94" s="1140"/>
      <c r="R94" s="1147"/>
      <c r="S94" s="1148"/>
      <c r="T94" s="1148"/>
      <c r="U94" s="1149"/>
      <c r="V94" s="1121"/>
      <c r="W94" s="1121"/>
      <c r="X94" s="1121"/>
      <c r="Y94" s="1121"/>
      <c r="Z94" s="1123"/>
      <c r="AA94" s="1123"/>
      <c r="AB94" s="1123"/>
      <c r="AC94" s="1124"/>
      <c r="AD94" s="1130"/>
      <c r="AE94" s="1096"/>
      <c r="AF94" s="1100"/>
      <c r="AG94" s="1100"/>
      <c r="AH94" s="1100"/>
      <c r="AI94" s="1100"/>
      <c r="AJ94" s="1100"/>
      <c r="AK94" s="1100"/>
      <c r="AL94" s="1100"/>
      <c r="AM94" s="1100"/>
      <c r="AN94" s="1100"/>
      <c r="AO94" s="1100"/>
      <c r="AP94" s="1101"/>
      <c r="AQ94" s="1102"/>
      <c r="AR94" s="1102"/>
      <c r="AS94" s="1102"/>
      <c r="AT94" s="1102"/>
      <c r="AU94" s="1102"/>
      <c r="AV94" s="1102"/>
      <c r="AW94" s="1102"/>
      <c r="AX94" s="1103"/>
    </row>
    <row r="95" spans="2:81" ht="18" customHeight="1">
      <c r="B95" s="1107" t="s">
        <v>477</v>
      </c>
      <c r="C95" s="1108"/>
      <c r="D95" s="1108"/>
      <c r="E95" s="1108"/>
      <c r="F95" s="1108"/>
      <c r="G95" s="1108"/>
      <c r="H95" s="1108"/>
      <c r="I95" s="1108"/>
      <c r="J95" s="1108"/>
      <c r="K95" s="1108"/>
      <c r="L95" s="1108"/>
      <c r="M95" s="1108"/>
      <c r="N95" s="1116">
        <v>9</v>
      </c>
      <c r="O95" s="1117"/>
      <c r="P95" s="1117"/>
      <c r="Q95" s="1117"/>
      <c r="R95" s="1118">
        <f>$X$76</f>
        <v>63</v>
      </c>
      <c r="S95" s="1119"/>
      <c r="T95" s="1119"/>
      <c r="U95" s="1119"/>
      <c r="V95" s="1120">
        <f>$N$76</f>
        <v>8</v>
      </c>
      <c r="W95" s="1121"/>
      <c r="X95" s="1121"/>
      <c r="Y95" s="1121"/>
      <c r="Z95" s="1122">
        <f>IFERROR(N95*R95*V95,"要修正"&amp;CHAR(10)&amp;"表示不可")</f>
        <v>4536</v>
      </c>
      <c r="AA95" s="1123"/>
      <c r="AB95" s="1123"/>
      <c r="AC95" s="1124"/>
      <c r="AD95" s="1095" t="str">
        <f>IF(COUNTA(N95:U97)=2,"○","×")</f>
        <v>○</v>
      </c>
      <c r="AE95" s="1096"/>
      <c r="AF95" s="1099" t="str">
        <f xml:space="preserve">
IF(COUNTA(N95:U97)&lt;2,"各職種の使用数を入力してください。(０の場合は０を入力)",
IF(AND(COUNTA(N95:U97)=2,N95&lt;=8),"適切に入力されました。",
IF(AND(COUNTA(N95:U97)=2,N95&gt;8),"患者１人あたりスタッフ１名が４双(8枚)を超える使用量が入力されているため、着脱を行う手順及び手順毎の数量を下段の欄に記入してください。")))</f>
        <v>患者１人あたりスタッフ１名が４双(8枚)を超える使用量が入力されているため、着脱を行う手順及び手順毎の数量を下段の欄に記入してください。</v>
      </c>
      <c r="AG95" s="1100"/>
      <c r="AH95" s="1100"/>
      <c r="AI95" s="1100"/>
      <c r="AJ95" s="1100"/>
      <c r="AK95" s="1100"/>
      <c r="AL95" s="1100"/>
      <c r="AM95" s="1100"/>
      <c r="AN95" s="1100"/>
      <c r="AO95" s="1100"/>
      <c r="AP95" s="1101"/>
      <c r="AQ95" s="1102"/>
      <c r="AR95" s="1102"/>
      <c r="AS95" s="1102"/>
      <c r="AT95" s="1102"/>
      <c r="AU95" s="1102"/>
      <c r="AV95" s="1102"/>
      <c r="AW95" s="1102"/>
      <c r="AX95" s="1103"/>
    </row>
    <row r="96" spans="2:81" ht="18" customHeight="1">
      <c r="B96" s="1129"/>
      <c r="C96" s="1111"/>
      <c r="D96" s="1111"/>
      <c r="E96" s="1111"/>
      <c r="F96" s="1111"/>
      <c r="G96" s="1111"/>
      <c r="H96" s="1111"/>
      <c r="I96" s="1111"/>
      <c r="J96" s="1111"/>
      <c r="K96" s="1111"/>
      <c r="L96" s="1111"/>
      <c r="M96" s="1111"/>
      <c r="N96" s="1116"/>
      <c r="O96" s="1117"/>
      <c r="P96" s="1117"/>
      <c r="Q96" s="1117"/>
      <c r="R96" s="1118"/>
      <c r="S96" s="1119"/>
      <c r="T96" s="1119"/>
      <c r="U96" s="1119"/>
      <c r="V96" s="1120"/>
      <c r="W96" s="1121"/>
      <c r="X96" s="1121"/>
      <c r="Y96" s="1121"/>
      <c r="Z96" s="1122"/>
      <c r="AA96" s="1123"/>
      <c r="AB96" s="1123"/>
      <c r="AC96" s="1124"/>
      <c r="AD96" s="1095"/>
      <c r="AE96" s="1096"/>
      <c r="AF96" s="1099"/>
      <c r="AG96" s="1100"/>
      <c r="AH96" s="1100"/>
      <c r="AI96" s="1100"/>
      <c r="AJ96" s="1100"/>
      <c r="AK96" s="1100"/>
      <c r="AL96" s="1100"/>
      <c r="AM96" s="1100"/>
      <c r="AN96" s="1100"/>
      <c r="AO96" s="1100"/>
      <c r="AP96" s="1101"/>
      <c r="AQ96" s="1102"/>
      <c r="AR96" s="1102"/>
      <c r="AS96" s="1102"/>
      <c r="AT96" s="1102"/>
      <c r="AU96" s="1102"/>
      <c r="AV96" s="1102"/>
      <c r="AW96" s="1102"/>
      <c r="AX96" s="1103"/>
    </row>
    <row r="97" spans="2:50" ht="18" customHeight="1">
      <c r="B97" s="1113"/>
      <c r="C97" s="1114"/>
      <c r="D97" s="1114"/>
      <c r="E97" s="1114"/>
      <c r="F97" s="1114"/>
      <c r="G97" s="1114"/>
      <c r="H97" s="1114"/>
      <c r="I97" s="1114"/>
      <c r="J97" s="1114"/>
      <c r="K97" s="1114"/>
      <c r="L97" s="1114"/>
      <c r="M97" s="1114"/>
      <c r="N97" s="1117"/>
      <c r="O97" s="1117"/>
      <c r="P97" s="1117"/>
      <c r="Q97" s="1117"/>
      <c r="R97" s="1119"/>
      <c r="S97" s="1119"/>
      <c r="T97" s="1119"/>
      <c r="U97" s="1119"/>
      <c r="V97" s="1121"/>
      <c r="W97" s="1121"/>
      <c r="X97" s="1121"/>
      <c r="Y97" s="1121"/>
      <c r="Z97" s="1123"/>
      <c r="AA97" s="1123"/>
      <c r="AB97" s="1123"/>
      <c r="AC97" s="1124"/>
      <c r="AD97" s="1130"/>
      <c r="AE97" s="1096"/>
      <c r="AF97" s="1100"/>
      <c r="AG97" s="1100"/>
      <c r="AH97" s="1100"/>
      <c r="AI97" s="1100"/>
      <c r="AJ97" s="1100"/>
      <c r="AK97" s="1100"/>
      <c r="AL97" s="1100"/>
      <c r="AM97" s="1100"/>
      <c r="AN97" s="1100"/>
      <c r="AO97" s="1100"/>
      <c r="AP97" s="1101"/>
      <c r="AQ97" s="1102"/>
      <c r="AR97" s="1102"/>
      <c r="AS97" s="1102"/>
      <c r="AT97" s="1102"/>
      <c r="AU97" s="1102"/>
      <c r="AV97" s="1102"/>
      <c r="AW97" s="1102"/>
      <c r="AX97" s="1103"/>
    </row>
    <row r="98" spans="2:50" ht="18" customHeight="1">
      <c r="B98" s="1131" t="s">
        <v>475</v>
      </c>
      <c r="C98" s="1108"/>
      <c r="D98" s="1108"/>
      <c r="E98" s="1109"/>
      <c r="F98" s="1125" t="s">
        <v>1095</v>
      </c>
      <c r="G98" s="1108"/>
      <c r="H98" s="1108"/>
      <c r="I98" s="1108"/>
      <c r="J98" s="1108"/>
      <c r="K98" s="1108"/>
      <c r="L98" s="1108"/>
      <c r="M98" s="1109"/>
      <c r="N98" s="1126">
        <v>1</v>
      </c>
      <c r="O98" s="1127"/>
      <c r="P98" s="1127"/>
      <c r="Q98" s="1127"/>
      <c r="R98" s="1118">
        <f>$X$76</f>
        <v>63</v>
      </c>
      <c r="S98" s="1119"/>
      <c r="T98" s="1119"/>
      <c r="U98" s="1119"/>
      <c r="V98" s="1120">
        <f>$N$76</f>
        <v>8</v>
      </c>
      <c r="W98" s="1121"/>
      <c r="X98" s="1121"/>
      <c r="Y98" s="1121"/>
      <c r="Z98" s="1128">
        <f>IFERROR(N98*R98*V98,"要修正"&amp;CHAR(10)&amp;"表示不可")</f>
        <v>504</v>
      </c>
      <c r="AA98" s="1123"/>
      <c r="AB98" s="1123"/>
      <c r="AC98" s="1124"/>
      <c r="AD98" s="1095" t="str">
        <f>IF(COUNTA(N98:U100)=2,"○","×")</f>
        <v>○</v>
      </c>
      <c r="AE98" s="1096"/>
      <c r="AF98" s="1099" t="str">
        <f xml:space="preserve">
IF(COUNTA(N98:U100)&lt;2,"各職種の使用数を入力してください。(０の場合は０を入力)",
IF(AND(COUNTA(N98:U100)=2,N98&lt;=0.5),"適切に入力されました。",
IF(AND(COUNTA(N98:U100)=2,N98&gt;0.5),"リユーサブル品の使い捨てに近い使用のため、着脱を行う手順及び手順毎の数量を下段の欄に記入してください。")))</f>
        <v>リユーサブル品の使い捨てに近い使用のため、着脱を行う手順及び手順毎の数量を下段の欄に記入してください。</v>
      </c>
      <c r="AG98" s="1100"/>
      <c r="AH98" s="1100"/>
      <c r="AI98" s="1100"/>
      <c r="AJ98" s="1100"/>
      <c r="AK98" s="1100"/>
      <c r="AL98" s="1100"/>
      <c r="AM98" s="1100"/>
      <c r="AN98" s="1100"/>
      <c r="AO98" s="1100"/>
      <c r="AP98" s="1101"/>
      <c r="AQ98" s="1102"/>
      <c r="AR98" s="1102"/>
      <c r="AS98" s="1102"/>
      <c r="AT98" s="1102"/>
      <c r="AU98" s="1102"/>
      <c r="AV98" s="1102"/>
      <c r="AW98" s="1102"/>
      <c r="AX98" s="1103"/>
    </row>
    <row r="99" spans="2:50" ht="18" customHeight="1">
      <c r="B99" s="1110"/>
      <c r="C99" s="1111"/>
      <c r="D99" s="1111"/>
      <c r="E99" s="1112"/>
      <c r="F99" s="1110"/>
      <c r="G99" s="1111"/>
      <c r="H99" s="1111"/>
      <c r="I99" s="1111"/>
      <c r="J99" s="1111"/>
      <c r="K99" s="1111"/>
      <c r="L99" s="1111"/>
      <c r="M99" s="1112"/>
      <c r="N99" s="1126"/>
      <c r="O99" s="1127"/>
      <c r="P99" s="1127"/>
      <c r="Q99" s="1127"/>
      <c r="R99" s="1118"/>
      <c r="S99" s="1119"/>
      <c r="T99" s="1119"/>
      <c r="U99" s="1119"/>
      <c r="V99" s="1120"/>
      <c r="W99" s="1121"/>
      <c r="X99" s="1121"/>
      <c r="Y99" s="1121"/>
      <c r="Z99" s="1128"/>
      <c r="AA99" s="1123"/>
      <c r="AB99" s="1123"/>
      <c r="AC99" s="1124"/>
      <c r="AD99" s="1095"/>
      <c r="AE99" s="1096"/>
      <c r="AF99" s="1099"/>
      <c r="AG99" s="1100"/>
      <c r="AH99" s="1100"/>
      <c r="AI99" s="1100"/>
      <c r="AJ99" s="1100"/>
      <c r="AK99" s="1100"/>
      <c r="AL99" s="1100"/>
      <c r="AM99" s="1100"/>
      <c r="AN99" s="1100"/>
      <c r="AO99" s="1100"/>
      <c r="AP99" s="1101"/>
      <c r="AQ99" s="1102"/>
      <c r="AR99" s="1102"/>
      <c r="AS99" s="1102"/>
      <c r="AT99" s="1102"/>
      <c r="AU99" s="1102"/>
      <c r="AV99" s="1102"/>
      <c r="AW99" s="1102"/>
      <c r="AX99" s="1103"/>
    </row>
    <row r="100" spans="2:50" ht="18" customHeight="1">
      <c r="B100" s="1110"/>
      <c r="C100" s="1111"/>
      <c r="D100" s="1111"/>
      <c r="E100" s="1112"/>
      <c r="F100" s="1113"/>
      <c r="G100" s="1114"/>
      <c r="H100" s="1114"/>
      <c r="I100" s="1114"/>
      <c r="J100" s="1114"/>
      <c r="K100" s="1114"/>
      <c r="L100" s="1114"/>
      <c r="M100" s="1115"/>
      <c r="N100" s="1127"/>
      <c r="O100" s="1127"/>
      <c r="P100" s="1127"/>
      <c r="Q100" s="1127"/>
      <c r="R100" s="1119"/>
      <c r="S100" s="1119"/>
      <c r="T100" s="1119"/>
      <c r="U100" s="1119"/>
      <c r="V100" s="1121"/>
      <c r="W100" s="1121"/>
      <c r="X100" s="1121"/>
      <c r="Y100" s="1121"/>
      <c r="Z100" s="1123"/>
      <c r="AA100" s="1123"/>
      <c r="AB100" s="1123"/>
      <c r="AC100" s="1124"/>
      <c r="AD100" s="1130"/>
      <c r="AE100" s="1096"/>
      <c r="AF100" s="1100"/>
      <c r="AG100" s="1100"/>
      <c r="AH100" s="1100"/>
      <c r="AI100" s="1100"/>
      <c r="AJ100" s="1100"/>
      <c r="AK100" s="1100"/>
      <c r="AL100" s="1100"/>
      <c r="AM100" s="1100"/>
      <c r="AN100" s="1100"/>
      <c r="AO100" s="1100"/>
      <c r="AP100" s="1101"/>
      <c r="AQ100" s="1102"/>
      <c r="AR100" s="1102"/>
      <c r="AS100" s="1102"/>
      <c r="AT100" s="1102"/>
      <c r="AU100" s="1102"/>
      <c r="AV100" s="1102"/>
      <c r="AW100" s="1102"/>
      <c r="AX100" s="1103"/>
    </row>
    <row r="101" spans="2:50" ht="18" customHeight="1">
      <c r="B101" s="1110"/>
      <c r="C101" s="1111"/>
      <c r="D101" s="1111"/>
      <c r="E101" s="1112"/>
      <c r="F101" s="1125" t="s">
        <v>1096</v>
      </c>
      <c r="G101" s="1108"/>
      <c r="H101" s="1108"/>
      <c r="I101" s="1108"/>
      <c r="J101" s="1108"/>
      <c r="K101" s="1108"/>
      <c r="L101" s="1108"/>
      <c r="M101" s="1109"/>
      <c r="N101" s="1126">
        <v>1</v>
      </c>
      <c r="O101" s="1127"/>
      <c r="P101" s="1127"/>
      <c r="Q101" s="1127"/>
      <c r="R101" s="1118">
        <f>$X$76</f>
        <v>63</v>
      </c>
      <c r="S101" s="1119"/>
      <c r="T101" s="1119"/>
      <c r="U101" s="1119"/>
      <c r="V101" s="1120">
        <f>$N$76</f>
        <v>8</v>
      </c>
      <c r="W101" s="1121"/>
      <c r="X101" s="1121"/>
      <c r="Y101" s="1121"/>
      <c r="Z101" s="1128">
        <f>IFERROR(N101*R101*V101,"要修正"&amp;CHAR(10)&amp;"表示不可")</f>
        <v>504</v>
      </c>
      <c r="AA101" s="1123"/>
      <c r="AB101" s="1123"/>
      <c r="AC101" s="1124"/>
      <c r="AD101" s="1095" t="str">
        <f>IF(COUNTA(N101:U103)=2,"○","×")</f>
        <v>○</v>
      </c>
      <c r="AE101" s="1096"/>
      <c r="AF101" s="1099" t="str">
        <f xml:space="preserve">
IF(COUNTA(N101:U103)&lt;2,"各職種の使用数を入力してください。(０の場合は０を入力)",
IF(AND(COUNTA(N101:U103)=2,N101&lt;=0.5),"適切に入力されました。",
IF(AND(COUNTA(N101:U103)=2,N101&gt;0.5),"リユーサブル品の使い捨てに近い使用のため、着脱を行う手順及び手順毎の数量を下段の欄に記入してください。")))</f>
        <v>リユーサブル品の使い捨てに近い使用のため、着脱を行う手順及び手順毎の数量を下段の欄に記入してください。</v>
      </c>
      <c r="AG101" s="1100"/>
      <c r="AH101" s="1100"/>
      <c r="AI101" s="1100"/>
      <c r="AJ101" s="1100"/>
      <c r="AK101" s="1100"/>
      <c r="AL101" s="1100"/>
      <c r="AM101" s="1100"/>
      <c r="AN101" s="1100"/>
      <c r="AO101" s="1100"/>
      <c r="AP101" s="1101"/>
      <c r="AQ101" s="1102"/>
      <c r="AR101" s="1102"/>
      <c r="AS101" s="1102"/>
      <c r="AT101" s="1102"/>
      <c r="AU101" s="1102"/>
      <c r="AV101" s="1102"/>
      <c r="AW101" s="1102"/>
      <c r="AX101" s="1103"/>
    </row>
    <row r="102" spans="2:50" ht="18" customHeight="1">
      <c r="B102" s="1110"/>
      <c r="C102" s="1111"/>
      <c r="D102" s="1111"/>
      <c r="E102" s="1112"/>
      <c r="F102" s="1110"/>
      <c r="G102" s="1111"/>
      <c r="H102" s="1111"/>
      <c r="I102" s="1111"/>
      <c r="J102" s="1111"/>
      <c r="K102" s="1111"/>
      <c r="L102" s="1111"/>
      <c r="M102" s="1112"/>
      <c r="N102" s="1126"/>
      <c r="O102" s="1127"/>
      <c r="P102" s="1127"/>
      <c r="Q102" s="1127"/>
      <c r="R102" s="1118"/>
      <c r="S102" s="1119"/>
      <c r="T102" s="1119"/>
      <c r="U102" s="1119"/>
      <c r="V102" s="1120"/>
      <c r="W102" s="1121"/>
      <c r="X102" s="1121"/>
      <c r="Y102" s="1121"/>
      <c r="Z102" s="1128"/>
      <c r="AA102" s="1123"/>
      <c r="AB102" s="1123"/>
      <c r="AC102" s="1124"/>
      <c r="AD102" s="1095"/>
      <c r="AE102" s="1096"/>
      <c r="AF102" s="1099"/>
      <c r="AG102" s="1100"/>
      <c r="AH102" s="1100"/>
      <c r="AI102" s="1100"/>
      <c r="AJ102" s="1100"/>
      <c r="AK102" s="1100"/>
      <c r="AL102" s="1100"/>
      <c r="AM102" s="1100"/>
      <c r="AN102" s="1100"/>
      <c r="AO102" s="1100"/>
      <c r="AP102" s="1101"/>
      <c r="AQ102" s="1102"/>
      <c r="AR102" s="1102"/>
      <c r="AS102" s="1102"/>
      <c r="AT102" s="1102"/>
      <c r="AU102" s="1102"/>
      <c r="AV102" s="1102"/>
      <c r="AW102" s="1102"/>
      <c r="AX102" s="1103"/>
    </row>
    <row r="103" spans="2:50" ht="18" customHeight="1">
      <c r="B103" s="1110"/>
      <c r="C103" s="1111"/>
      <c r="D103" s="1111"/>
      <c r="E103" s="1112"/>
      <c r="F103" s="1113"/>
      <c r="G103" s="1114"/>
      <c r="H103" s="1114"/>
      <c r="I103" s="1114"/>
      <c r="J103" s="1114"/>
      <c r="K103" s="1114"/>
      <c r="L103" s="1114"/>
      <c r="M103" s="1115"/>
      <c r="N103" s="1127"/>
      <c r="O103" s="1127"/>
      <c r="P103" s="1127"/>
      <c r="Q103" s="1127"/>
      <c r="R103" s="1119"/>
      <c r="S103" s="1119"/>
      <c r="T103" s="1119"/>
      <c r="U103" s="1119"/>
      <c r="V103" s="1121"/>
      <c r="W103" s="1121"/>
      <c r="X103" s="1121"/>
      <c r="Y103" s="1121"/>
      <c r="Z103" s="1123"/>
      <c r="AA103" s="1123"/>
      <c r="AB103" s="1123"/>
      <c r="AC103" s="1124"/>
      <c r="AD103" s="1130"/>
      <c r="AE103" s="1096"/>
      <c r="AF103" s="1100"/>
      <c r="AG103" s="1100"/>
      <c r="AH103" s="1100"/>
      <c r="AI103" s="1100"/>
      <c r="AJ103" s="1100"/>
      <c r="AK103" s="1100"/>
      <c r="AL103" s="1100"/>
      <c r="AM103" s="1100"/>
      <c r="AN103" s="1100"/>
      <c r="AO103" s="1100"/>
      <c r="AP103" s="1101"/>
      <c r="AQ103" s="1102"/>
      <c r="AR103" s="1102"/>
      <c r="AS103" s="1102"/>
      <c r="AT103" s="1102"/>
      <c r="AU103" s="1102"/>
      <c r="AV103" s="1102"/>
      <c r="AW103" s="1102"/>
      <c r="AX103" s="1103"/>
    </row>
    <row r="104" spans="2:50" ht="18" customHeight="1">
      <c r="B104" s="1110"/>
      <c r="C104" s="1111"/>
      <c r="D104" s="1111"/>
      <c r="E104" s="1112"/>
      <c r="F104" s="1091" t="s">
        <v>1097</v>
      </c>
      <c r="G104" s="1108"/>
      <c r="H104" s="1108"/>
      <c r="I104" s="1108"/>
      <c r="J104" s="1108"/>
      <c r="K104" s="1108"/>
      <c r="L104" s="1108"/>
      <c r="M104" s="1109"/>
      <c r="N104" s="1126">
        <v>2</v>
      </c>
      <c r="O104" s="1127"/>
      <c r="P104" s="1127"/>
      <c r="Q104" s="1127"/>
      <c r="R104" s="1118">
        <f>$X$76</f>
        <v>63</v>
      </c>
      <c r="S104" s="1119"/>
      <c r="T104" s="1119"/>
      <c r="U104" s="1119"/>
      <c r="V104" s="1120">
        <f>$N$76</f>
        <v>8</v>
      </c>
      <c r="W104" s="1121"/>
      <c r="X104" s="1121"/>
      <c r="Y104" s="1121"/>
      <c r="Z104" s="1128">
        <f>IFERROR(N104*R104*V104,"要修正"&amp;CHAR(10)&amp;"表示不可")</f>
        <v>1008</v>
      </c>
      <c r="AA104" s="1123"/>
      <c r="AB104" s="1123"/>
      <c r="AC104" s="1124"/>
      <c r="AD104" s="1095" t="str">
        <f>IF(COUNTA(N104:U106)=2,"○","×")</f>
        <v>○</v>
      </c>
      <c r="AE104" s="1096"/>
      <c r="AF104" s="1099" t="str">
        <f xml:space="preserve">
IF(COUNTA(N104:U106)&lt;2,"各職種の使用数を入力してください。(０の場合は０を入力)",
IF(AND(COUNTA(N104:U106)=2,N104&lt;=1),"適切に入力されました。",
IF(AND(COUNTA(N104:U106)=2,N104&gt;1),"患者１人あたりスタッフ１名が１個を超える使用量が入力されているため、着脱を行う手順及び手順毎の数量を下段の欄に記入してください。")))</f>
        <v>患者１人あたりスタッフ１名が１個を超える使用量が入力されているため、着脱を行う手順及び手順毎の数量を下段の欄に記入してください。</v>
      </c>
      <c r="AG104" s="1100"/>
      <c r="AH104" s="1100"/>
      <c r="AI104" s="1100"/>
      <c r="AJ104" s="1100"/>
      <c r="AK104" s="1100"/>
      <c r="AL104" s="1100"/>
      <c r="AM104" s="1100"/>
      <c r="AN104" s="1100"/>
      <c r="AO104" s="1100"/>
      <c r="AP104" s="1101"/>
      <c r="AQ104" s="1102"/>
      <c r="AR104" s="1102"/>
      <c r="AS104" s="1102"/>
      <c r="AT104" s="1102"/>
      <c r="AU104" s="1102"/>
      <c r="AV104" s="1102"/>
      <c r="AW104" s="1102"/>
      <c r="AX104" s="1103"/>
    </row>
    <row r="105" spans="2:50" ht="18" customHeight="1">
      <c r="B105" s="1110"/>
      <c r="C105" s="1111"/>
      <c r="D105" s="1111"/>
      <c r="E105" s="1112"/>
      <c r="F105" s="1110"/>
      <c r="G105" s="1111"/>
      <c r="H105" s="1111"/>
      <c r="I105" s="1111"/>
      <c r="J105" s="1111"/>
      <c r="K105" s="1111"/>
      <c r="L105" s="1111"/>
      <c r="M105" s="1112"/>
      <c r="N105" s="1126"/>
      <c r="O105" s="1127"/>
      <c r="P105" s="1127"/>
      <c r="Q105" s="1127"/>
      <c r="R105" s="1118"/>
      <c r="S105" s="1119"/>
      <c r="T105" s="1119"/>
      <c r="U105" s="1119"/>
      <c r="V105" s="1120"/>
      <c r="W105" s="1121"/>
      <c r="X105" s="1121"/>
      <c r="Y105" s="1121"/>
      <c r="Z105" s="1128"/>
      <c r="AA105" s="1123"/>
      <c r="AB105" s="1123"/>
      <c r="AC105" s="1124"/>
      <c r="AD105" s="1095"/>
      <c r="AE105" s="1096"/>
      <c r="AF105" s="1099"/>
      <c r="AG105" s="1100"/>
      <c r="AH105" s="1100"/>
      <c r="AI105" s="1100"/>
      <c r="AJ105" s="1100"/>
      <c r="AK105" s="1100"/>
      <c r="AL105" s="1100"/>
      <c r="AM105" s="1100"/>
      <c r="AN105" s="1100"/>
      <c r="AO105" s="1100"/>
      <c r="AP105" s="1101"/>
      <c r="AQ105" s="1102"/>
      <c r="AR105" s="1102"/>
      <c r="AS105" s="1102"/>
      <c r="AT105" s="1102"/>
      <c r="AU105" s="1102"/>
      <c r="AV105" s="1102"/>
      <c r="AW105" s="1102"/>
      <c r="AX105" s="1103"/>
    </row>
    <row r="106" spans="2:50" ht="18" customHeight="1">
      <c r="B106" s="1113"/>
      <c r="C106" s="1114"/>
      <c r="D106" s="1114"/>
      <c r="E106" s="1115"/>
      <c r="F106" s="1113"/>
      <c r="G106" s="1114"/>
      <c r="H106" s="1114"/>
      <c r="I106" s="1114"/>
      <c r="J106" s="1114"/>
      <c r="K106" s="1114"/>
      <c r="L106" s="1114"/>
      <c r="M106" s="1115"/>
      <c r="N106" s="1127"/>
      <c r="O106" s="1127"/>
      <c r="P106" s="1127"/>
      <c r="Q106" s="1127"/>
      <c r="R106" s="1119"/>
      <c r="S106" s="1119"/>
      <c r="T106" s="1119"/>
      <c r="U106" s="1119"/>
      <c r="V106" s="1121"/>
      <c r="W106" s="1121"/>
      <c r="X106" s="1121"/>
      <c r="Y106" s="1121"/>
      <c r="Z106" s="1123"/>
      <c r="AA106" s="1123"/>
      <c r="AB106" s="1123"/>
      <c r="AC106" s="1124"/>
      <c r="AD106" s="1130"/>
      <c r="AE106" s="1096"/>
      <c r="AF106" s="1100"/>
      <c r="AG106" s="1100"/>
      <c r="AH106" s="1100"/>
      <c r="AI106" s="1100"/>
      <c r="AJ106" s="1100"/>
      <c r="AK106" s="1100"/>
      <c r="AL106" s="1100"/>
      <c r="AM106" s="1100"/>
      <c r="AN106" s="1100"/>
      <c r="AO106" s="1100"/>
      <c r="AP106" s="1101"/>
      <c r="AQ106" s="1102"/>
      <c r="AR106" s="1102"/>
      <c r="AS106" s="1102"/>
      <c r="AT106" s="1102"/>
      <c r="AU106" s="1102"/>
      <c r="AV106" s="1102"/>
      <c r="AW106" s="1102"/>
      <c r="AX106" s="1103"/>
    </row>
    <row r="107" spans="2:50" ht="18" customHeight="1">
      <c r="B107" s="1107" t="s">
        <v>478</v>
      </c>
      <c r="C107" s="1108"/>
      <c r="D107" s="1108"/>
      <c r="E107" s="1108"/>
      <c r="F107" s="1108"/>
      <c r="G107" s="1108"/>
      <c r="H107" s="1108"/>
      <c r="I107" s="1108"/>
      <c r="J107" s="1108"/>
      <c r="K107" s="1108"/>
      <c r="L107" s="1108"/>
      <c r="M107" s="1108"/>
      <c r="N107" s="1116">
        <v>2</v>
      </c>
      <c r="O107" s="1117"/>
      <c r="P107" s="1117"/>
      <c r="Q107" s="1117"/>
      <c r="R107" s="1118">
        <f>$X$76</f>
        <v>63</v>
      </c>
      <c r="S107" s="1119"/>
      <c r="T107" s="1119"/>
      <c r="U107" s="1119"/>
      <c r="V107" s="1120">
        <f>$N$76</f>
        <v>8</v>
      </c>
      <c r="W107" s="1121"/>
      <c r="X107" s="1121"/>
      <c r="Y107" s="1121"/>
      <c r="Z107" s="1122">
        <f>IFERROR(N107*R107*V107,"要修正"&amp;CHAR(10)&amp;"表示不可")</f>
        <v>1008</v>
      </c>
      <c r="AA107" s="1123"/>
      <c r="AB107" s="1123"/>
      <c r="AC107" s="1124"/>
      <c r="AD107" s="1095" t="str">
        <f>IF(COUNTA(N107:U109)=2,"○","×")</f>
        <v>○</v>
      </c>
      <c r="AE107" s="1096"/>
      <c r="AF107" s="1099" t="str">
        <f xml:space="preserve">
IF(COUNTA(N107:U109)&lt;2,"各職種の使用数を入力してください。(０の場合は０を入力)",
IF(AND(COUNTA(N107:U109)=2,N107&lt;=1),"適切に入力されました。",
IF(AND(COUNTA(N107:U109)=2,N107&gt;1),"患者１人あたりスタッフ１名が１枚を超える使用量が入力されているため、着脱を行う手順及び手順毎の数量を下段の欄に記入してください。")))</f>
        <v>患者１人あたりスタッフ１名が１枚を超える使用量が入力されているため、着脱を行う手順及び手順毎の数量を下段の欄に記入してください。</v>
      </c>
      <c r="AG107" s="1100"/>
      <c r="AH107" s="1100"/>
      <c r="AI107" s="1100"/>
      <c r="AJ107" s="1100"/>
      <c r="AK107" s="1100"/>
      <c r="AL107" s="1100"/>
      <c r="AM107" s="1100"/>
      <c r="AN107" s="1100"/>
      <c r="AO107" s="1100"/>
      <c r="AP107" s="1101"/>
      <c r="AQ107" s="1102"/>
      <c r="AR107" s="1102"/>
      <c r="AS107" s="1102"/>
      <c r="AT107" s="1102"/>
      <c r="AU107" s="1102"/>
      <c r="AV107" s="1102"/>
      <c r="AW107" s="1102"/>
      <c r="AX107" s="1103"/>
    </row>
    <row r="108" spans="2:50" ht="18" customHeight="1">
      <c r="B108" s="1129"/>
      <c r="C108" s="1111"/>
      <c r="D108" s="1111"/>
      <c r="E108" s="1111"/>
      <c r="F108" s="1111"/>
      <c r="G108" s="1111"/>
      <c r="H108" s="1111"/>
      <c r="I108" s="1111"/>
      <c r="J108" s="1111"/>
      <c r="K108" s="1111"/>
      <c r="L108" s="1111"/>
      <c r="M108" s="1111"/>
      <c r="N108" s="1116"/>
      <c r="O108" s="1117"/>
      <c r="P108" s="1117"/>
      <c r="Q108" s="1117"/>
      <c r="R108" s="1118"/>
      <c r="S108" s="1119"/>
      <c r="T108" s="1119"/>
      <c r="U108" s="1119"/>
      <c r="V108" s="1120"/>
      <c r="W108" s="1121"/>
      <c r="X108" s="1121"/>
      <c r="Y108" s="1121"/>
      <c r="Z108" s="1122"/>
      <c r="AA108" s="1123"/>
      <c r="AB108" s="1123"/>
      <c r="AC108" s="1124"/>
      <c r="AD108" s="1095"/>
      <c r="AE108" s="1096"/>
      <c r="AF108" s="1099"/>
      <c r="AG108" s="1100"/>
      <c r="AH108" s="1100"/>
      <c r="AI108" s="1100"/>
      <c r="AJ108" s="1100"/>
      <c r="AK108" s="1100"/>
      <c r="AL108" s="1100"/>
      <c r="AM108" s="1100"/>
      <c r="AN108" s="1100"/>
      <c r="AO108" s="1100"/>
      <c r="AP108" s="1101"/>
      <c r="AQ108" s="1102"/>
      <c r="AR108" s="1102"/>
      <c r="AS108" s="1102"/>
      <c r="AT108" s="1102"/>
      <c r="AU108" s="1102"/>
      <c r="AV108" s="1102"/>
      <c r="AW108" s="1102"/>
      <c r="AX108" s="1103"/>
    </row>
    <row r="109" spans="2:50" ht="18" customHeight="1">
      <c r="B109" s="1113"/>
      <c r="C109" s="1114"/>
      <c r="D109" s="1114"/>
      <c r="E109" s="1114"/>
      <c r="F109" s="1114"/>
      <c r="G109" s="1114"/>
      <c r="H109" s="1114"/>
      <c r="I109" s="1114"/>
      <c r="J109" s="1114"/>
      <c r="K109" s="1114"/>
      <c r="L109" s="1114"/>
      <c r="M109" s="1114"/>
      <c r="N109" s="1117"/>
      <c r="O109" s="1117"/>
      <c r="P109" s="1117"/>
      <c r="Q109" s="1117"/>
      <c r="R109" s="1119"/>
      <c r="S109" s="1119"/>
      <c r="T109" s="1119"/>
      <c r="U109" s="1119"/>
      <c r="V109" s="1121"/>
      <c r="W109" s="1121"/>
      <c r="X109" s="1121"/>
      <c r="Y109" s="1121"/>
      <c r="Z109" s="1123"/>
      <c r="AA109" s="1123"/>
      <c r="AB109" s="1123"/>
      <c r="AC109" s="1124"/>
      <c r="AD109" s="1130"/>
      <c r="AE109" s="1096"/>
      <c r="AF109" s="1100"/>
      <c r="AG109" s="1100"/>
      <c r="AH109" s="1100"/>
      <c r="AI109" s="1100"/>
      <c r="AJ109" s="1100"/>
      <c r="AK109" s="1100"/>
      <c r="AL109" s="1100"/>
      <c r="AM109" s="1100"/>
      <c r="AN109" s="1100"/>
      <c r="AO109" s="1100"/>
      <c r="AP109" s="1101"/>
      <c r="AQ109" s="1102"/>
      <c r="AR109" s="1102"/>
      <c r="AS109" s="1102"/>
      <c r="AT109" s="1102"/>
      <c r="AU109" s="1102"/>
      <c r="AV109" s="1102"/>
      <c r="AW109" s="1102"/>
      <c r="AX109" s="1103"/>
    </row>
    <row r="110" spans="2:50" ht="18" customHeight="1">
      <c r="B110" s="1107" t="s">
        <v>1098</v>
      </c>
      <c r="C110" s="1108"/>
      <c r="D110" s="1108"/>
      <c r="E110" s="1109"/>
      <c r="F110" s="1091" t="s">
        <v>1099</v>
      </c>
      <c r="G110" s="1108"/>
      <c r="H110" s="1108"/>
      <c r="I110" s="1108"/>
      <c r="J110" s="1108"/>
      <c r="K110" s="1108"/>
      <c r="L110" s="1108"/>
      <c r="M110" s="1109"/>
      <c r="N110" s="1116">
        <v>2</v>
      </c>
      <c r="O110" s="1117"/>
      <c r="P110" s="1117"/>
      <c r="Q110" s="1117"/>
      <c r="R110" s="1118">
        <f>$X$76</f>
        <v>63</v>
      </c>
      <c r="S110" s="1119"/>
      <c r="T110" s="1119"/>
      <c r="U110" s="1119"/>
      <c r="V110" s="1120">
        <f>$N$76</f>
        <v>8</v>
      </c>
      <c r="W110" s="1121"/>
      <c r="X110" s="1121"/>
      <c r="Y110" s="1121"/>
      <c r="Z110" s="1122">
        <f>IFERROR(N110*R110*V110,"要修正"&amp;CHAR(10)&amp;"表示不可")</f>
        <v>1008</v>
      </c>
      <c r="AA110" s="1123"/>
      <c r="AB110" s="1123"/>
      <c r="AC110" s="1124"/>
      <c r="AD110" s="1095" t="str">
        <f>IF(COUNTA(N110:U112)=2,"○","×")</f>
        <v>○</v>
      </c>
      <c r="AE110" s="1096"/>
      <c r="AF110" s="1099" t="str">
        <f xml:space="preserve">
IF(COUNTA(N110:U112)&lt;2,"各職種の使用数を入力してください。(０の場合は０を入力)",
IF(AND(COUNTA(N110:U112)=2,N110&lt;=1),"適切に入力されました。",
IF(AND(COUNTA(N110:U112)=2,N110&gt;1),"患者１人あたりスタッフ１名が１枚を超える使用量が入力されているため、着脱を行う手順及び手順毎の数量を下段の欄に記入してください。")))</f>
        <v>患者１人あたりスタッフ１名が１枚を超える使用量が入力されているため、着脱を行う手順及び手順毎の数量を下段の欄に記入してください。</v>
      </c>
      <c r="AG110" s="1100"/>
      <c r="AH110" s="1100"/>
      <c r="AI110" s="1100"/>
      <c r="AJ110" s="1100"/>
      <c r="AK110" s="1100"/>
      <c r="AL110" s="1100"/>
      <c r="AM110" s="1100"/>
      <c r="AN110" s="1100"/>
      <c r="AO110" s="1100"/>
      <c r="AP110" s="1101"/>
      <c r="AQ110" s="1102"/>
      <c r="AR110" s="1102"/>
      <c r="AS110" s="1102"/>
      <c r="AT110" s="1102"/>
      <c r="AU110" s="1102"/>
      <c r="AV110" s="1102"/>
      <c r="AW110" s="1102"/>
      <c r="AX110" s="1103"/>
    </row>
    <row r="111" spans="2:50" ht="18" customHeight="1">
      <c r="B111" s="1110"/>
      <c r="C111" s="1111"/>
      <c r="D111" s="1111"/>
      <c r="E111" s="1112"/>
      <c r="F111" s="1110"/>
      <c r="G111" s="1111"/>
      <c r="H111" s="1111"/>
      <c r="I111" s="1111"/>
      <c r="J111" s="1111"/>
      <c r="K111" s="1111"/>
      <c r="L111" s="1111"/>
      <c r="M111" s="1112"/>
      <c r="N111" s="1116"/>
      <c r="O111" s="1117"/>
      <c r="P111" s="1117"/>
      <c r="Q111" s="1117"/>
      <c r="R111" s="1118"/>
      <c r="S111" s="1119"/>
      <c r="T111" s="1119"/>
      <c r="U111" s="1119"/>
      <c r="V111" s="1120"/>
      <c r="W111" s="1121"/>
      <c r="X111" s="1121"/>
      <c r="Y111" s="1121"/>
      <c r="Z111" s="1122"/>
      <c r="AA111" s="1123"/>
      <c r="AB111" s="1123"/>
      <c r="AC111" s="1124"/>
      <c r="AD111" s="1095"/>
      <c r="AE111" s="1096"/>
      <c r="AF111" s="1099"/>
      <c r="AG111" s="1100"/>
      <c r="AH111" s="1100"/>
      <c r="AI111" s="1100"/>
      <c r="AJ111" s="1100"/>
      <c r="AK111" s="1100"/>
      <c r="AL111" s="1100"/>
      <c r="AM111" s="1100"/>
      <c r="AN111" s="1100"/>
      <c r="AO111" s="1100"/>
      <c r="AP111" s="1101"/>
      <c r="AQ111" s="1102"/>
      <c r="AR111" s="1102"/>
      <c r="AS111" s="1102"/>
      <c r="AT111" s="1102"/>
      <c r="AU111" s="1102"/>
      <c r="AV111" s="1102"/>
      <c r="AW111" s="1102"/>
      <c r="AX111" s="1103"/>
    </row>
    <row r="112" spans="2:50" ht="18" customHeight="1">
      <c r="B112" s="1110"/>
      <c r="C112" s="1111"/>
      <c r="D112" s="1111"/>
      <c r="E112" s="1112"/>
      <c r="F112" s="1113"/>
      <c r="G112" s="1114"/>
      <c r="H112" s="1114"/>
      <c r="I112" s="1114"/>
      <c r="J112" s="1114"/>
      <c r="K112" s="1114"/>
      <c r="L112" s="1114"/>
      <c r="M112" s="1115"/>
      <c r="N112" s="1117"/>
      <c r="O112" s="1117"/>
      <c r="P112" s="1117"/>
      <c r="Q112" s="1117"/>
      <c r="R112" s="1119"/>
      <c r="S112" s="1119"/>
      <c r="T112" s="1119"/>
      <c r="U112" s="1119"/>
      <c r="V112" s="1121"/>
      <c r="W112" s="1121"/>
      <c r="X112" s="1121"/>
      <c r="Y112" s="1121"/>
      <c r="Z112" s="1123"/>
      <c r="AA112" s="1123"/>
      <c r="AB112" s="1123"/>
      <c r="AC112" s="1124"/>
      <c r="AD112" s="1130"/>
      <c r="AE112" s="1096"/>
      <c r="AF112" s="1100"/>
      <c r="AG112" s="1100"/>
      <c r="AH112" s="1100"/>
      <c r="AI112" s="1100"/>
      <c r="AJ112" s="1100"/>
      <c r="AK112" s="1100"/>
      <c r="AL112" s="1100"/>
      <c r="AM112" s="1100"/>
      <c r="AN112" s="1100"/>
      <c r="AO112" s="1100"/>
      <c r="AP112" s="1101"/>
      <c r="AQ112" s="1102"/>
      <c r="AR112" s="1102"/>
      <c r="AS112" s="1102"/>
      <c r="AT112" s="1102"/>
      <c r="AU112" s="1102"/>
      <c r="AV112" s="1102"/>
      <c r="AW112" s="1102"/>
      <c r="AX112" s="1103"/>
    </row>
    <row r="113" spans="2:80" ht="18" customHeight="1">
      <c r="B113" s="1110"/>
      <c r="C113" s="1111"/>
      <c r="D113" s="1111"/>
      <c r="E113" s="1112"/>
      <c r="F113" s="1125" t="s">
        <v>1100</v>
      </c>
      <c r="G113" s="1108"/>
      <c r="H113" s="1108"/>
      <c r="I113" s="1108"/>
      <c r="J113" s="1108"/>
      <c r="K113" s="1108"/>
      <c r="L113" s="1108"/>
      <c r="M113" s="1109"/>
      <c r="N113" s="1126">
        <v>2</v>
      </c>
      <c r="O113" s="1127"/>
      <c r="P113" s="1127"/>
      <c r="Q113" s="1127"/>
      <c r="R113" s="1118">
        <f>$X$76</f>
        <v>63</v>
      </c>
      <c r="S113" s="1119"/>
      <c r="T113" s="1119"/>
      <c r="U113" s="1119"/>
      <c r="V113" s="1120">
        <f>$N$76</f>
        <v>8</v>
      </c>
      <c r="W113" s="1121"/>
      <c r="X113" s="1121"/>
      <c r="Y113" s="1121"/>
      <c r="Z113" s="1128">
        <f>IFERROR(N113*R113*V113,"要修正"&amp;CHAR(10)&amp;"表示不可")</f>
        <v>1008</v>
      </c>
      <c r="AA113" s="1123"/>
      <c r="AB113" s="1123"/>
      <c r="AC113" s="1124"/>
      <c r="AD113" s="1095" t="str">
        <f>IF(COUNTA(N113:U115)=2,"○","×")</f>
        <v>○</v>
      </c>
      <c r="AE113" s="1096"/>
      <c r="AF113" s="1099" t="str">
        <f xml:space="preserve">
IF(COUNTA(N113:U115)&lt;2,"各職種の使用数を入力してください。(０の場合は０を入力)",
IF(AND(COUNTA(N113:U115)=2,N113&lt;=0.5),"適切に入力されました。",
IF(AND(COUNTA(N113:U115)=2,N113&gt;0.5),"リユーサブル品の使い捨てに近い使用のため、着脱を行う手順及び手順毎の数量を下段の欄に記入してください。")))</f>
        <v>リユーサブル品の使い捨てに近い使用のため、着脱を行う手順及び手順毎の数量を下段の欄に記入してください。</v>
      </c>
      <c r="AG113" s="1100"/>
      <c r="AH113" s="1100"/>
      <c r="AI113" s="1100"/>
      <c r="AJ113" s="1100"/>
      <c r="AK113" s="1100"/>
      <c r="AL113" s="1100"/>
      <c r="AM113" s="1100"/>
      <c r="AN113" s="1100"/>
      <c r="AO113" s="1100"/>
      <c r="AP113" s="1101"/>
      <c r="AQ113" s="1102"/>
      <c r="AR113" s="1102"/>
      <c r="AS113" s="1102"/>
      <c r="AT113" s="1102"/>
      <c r="AU113" s="1102"/>
      <c r="AV113" s="1102"/>
      <c r="AW113" s="1102"/>
      <c r="AX113" s="1103"/>
    </row>
    <row r="114" spans="2:80" ht="18" customHeight="1">
      <c r="B114" s="1110"/>
      <c r="C114" s="1111"/>
      <c r="D114" s="1111"/>
      <c r="E114" s="1112"/>
      <c r="F114" s="1110"/>
      <c r="G114" s="1111"/>
      <c r="H114" s="1111"/>
      <c r="I114" s="1111"/>
      <c r="J114" s="1111"/>
      <c r="K114" s="1111"/>
      <c r="L114" s="1111"/>
      <c r="M114" s="1112"/>
      <c r="N114" s="1126"/>
      <c r="O114" s="1127"/>
      <c r="P114" s="1127"/>
      <c r="Q114" s="1127"/>
      <c r="R114" s="1118"/>
      <c r="S114" s="1119"/>
      <c r="T114" s="1119"/>
      <c r="U114" s="1119"/>
      <c r="V114" s="1120"/>
      <c r="W114" s="1121"/>
      <c r="X114" s="1121"/>
      <c r="Y114" s="1121"/>
      <c r="Z114" s="1128"/>
      <c r="AA114" s="1123"/>
      <c r="AB114" s="1123"/>
      <c r="AC114" s="1124"/>
      <c r="AD114" s="1095"/>
      <c r="AE114" s="1096"/>
      <c r="AF114" s="1099"/>
      <c r="AG114" s="1100"/>
      <c r="AH114" s="1100"/>
      <c r="AI114" s="1100"/>
      <c r="AJ114" s="1100"/>
      <c r="AK114" s="1100"/>
      <c r="AL114" s="1100"/>
      <c r="AM114" s="1100"/>
      <c r="AN114" s="1100"/>
      <c r="AO114" s="1100"/>
      <c r="AP114" s="1101"/>
      <c r="AQ114" s="1102"/>
      <c r="AR114" s="1102"/>
      <c r="AS114" s="1102"/>
      <c r="AT114" s="1102"/>
      <c r="AU114" s="1102"/>
      <c r="AV114" s="1102"/>
      <c r="AW114" s="1102"/>
      <c r="AX114" s="1103"/>
    </row>
    <row r="115" spans="2:80" ht="18" customHeight="1">
      <c r="B115" s="1110"/>
      <c r="C115" s="1111"/>
      <c r="D115" s="1111"/>
      <c r="E115" s="1112"/>
      <c r="F115" s="1113"/>
      <c r="G115" s="1114"/>
      <c r="H115" s="1114"/>
      <c r="I115" s="1114"/>
      <c r="J115" s="1114"/>
      <c r="K115" s="1114"/>
      <c r="L115" s="1114"/>
      <c r="M115" s="1115"/>
      <c r="N115" s="1127"/>
      <c r="O115" s="1127"/>
      <c r="P115" s="1127"/>
      <c r="Q115" s="1127"/>
      <c r="R115" s="1119"/>
      <c r="S115" s="1119"/>
      <c r="T115" s="1119"/>
      <c r="U115" s="1119"/>
      <c r="V115" s="1121"/>
      <c r="W115" s="1121"/>
      <c r="X115" s="1121"/>
      <c r="Y115" s="1121"/>
      <c r="Z115" s="1123"/>
      <c r="AA115" s="1123"/>
      <c r="AB115" s="1123"/>
      <c r="AC115" s="1124"/>
      <c r="AD115" s="1130"/>
      <c r="AE115" s="1096"/>
      <c r="AF115" s="1100"/>
      <c r="AG115" s="1100"/>
      <c r="AH115" s="1100"/>
      <c r="AI115" s="1100"/>
      <c r="AJ115" s="1100"/>
      <c r="AK115" s="1100"/>
      <c r="AL115" s="1100"/>
      <c r="AM115" s="1100"/>
      <c r="AN115" s="1100"/>
      <c r="AO115" s="1100"/>
      <c r="AP115" s="1101"/>
      <c r="AQ115" s="1102"/>
      <c r="AR115" s="1102"/>
      <c r="AS115" s="1102"/>
      <c r="AT115" s="1102"/>
      <c r="AU115" s="1102"/>
      <c r="AV115" s="1102"/>
      <c r="AW115" s="1102"/>
      <c r="AX115" s="1103"/>
    </row>
    <row r="116" spans="2:80" ht="18" customHeight="1">
      <c r="B116" s="1110"/>
      <c r="C116" s="1111"/>
      <c r="D116" s="1111"/>
      <c r="E116" s="1112"/>
      <c r="F116" s="1091" t="s">
        <v>1101</v>
      </c>
      <c r="G116" s="1108"/>
      <c r="H116" s="1108"/>
      <c r="I116" s="1108"/>
      <c r="J116" s="1108"/>
      <c r="K116" s="1108"/>
      <c r="L116" s="1108"/>
      <c r="M116" s="1109"/>
      <c r="N116" s="1116">
        <v>2</v>
      </c>
      <c r="O116" s="1117"/>
      <c r="P116" s="1117"/>
      <c r="Q116" s="1117"/>
      <c r="R116" s="1118">
        <f>$X$76</f>
        <v>63</v>
      </c>
      <c r="S116" s="1119"/>
      <c r="T116" s="1119"/>
      <c r="U116" s="1119"/>
      <c r="V116" s="1120">
        <f>$N$76</f>
        <v>8</v>
      </c>
      <c r="W116" s="1121"/>
      <c r="X116" s="1121"/>
      <c r="Y116" s="1121"/>
      <c r="Z116" s="1122">
        <f>IFERROR(N116*R116*V116,"要修正"&amp;CHAR(10)&amp;"表示不可")</f>
        <v>1008</v>
      </c>
      <c r="AA116" s="1123"/>
      <c r="AB116" s="1123"/>
      <c r="AC116" s="1124"/>
      <c r="AD116" s="1095" t="str">
        <f>IF(COUNTA(N116:U118)=2,"○","×")</f>
        <v>○</v>
      </c>
      <c r="AE116" s="1096"/>
      <c r="AF116" s="1099" t="str">
        <f xml:space="preserve">
IF(COUNTA(N116:U118)&lt;2,"各職種の使用数を入力してください。(０の場合は０を入力)",
IF(AND(COUNTA(N116:U118)=2,N116&lt;=1),"適切に入力されました。",
IF(AND(COUNTA(N116:U118)=2,N116&gt;1),"患者１人あたりスタッフ１名が１枚を超える使用量が入力されているため、着脱を行う手順及び手順毎の数量を下段の欄に記入してください。")))</f>
        <v>患者１人あたりスタッフ１名が１枚を超える使用量が入力されているため、着脱を行う手順及び手順毎の数量を下段の欄に記入してください。</v>
      </c>
      <c r="AG116" s="1100"/>
      <c r="AH116" s="1100"/>
      <c r="AI116" s="1100"/>
      <c r="AJ116" s="1100"/>
      <c r="AK116" s="1100"/>
      <c r="AL116" s="1100"/>
      <c r="AM116" s="1100"/>
      <c r="AN116" s="1100"/>
      <c r="AO116" s="1100"/>
      <c r="AP116" s="1101"/>
      <c r="AQ116" s="1102"/>
      <c r="AR116" s="1102"/>
      <c r="AS116" s="1102"/>
      <c r="AT116" s="1102"/>
      <c r="AU116" s="1102"/>
      <c r="AV116" s="1102"/>
      <c r="AW116" s="1102"/>
      <c r="AX116" s="1103"/>
    </row>
    <row r="117" spans="2:80" ht="18" customHeight="1">
      <c r="B117" s="1110"/>
      <c r="C117" s="1111"/>
      <c r="D117" s="1111"/>
      <c r="E117" s="1112"/>
      <c r="F117" s="1110"/>
      <c r="G117" s="1111"/>
      <c r="H117" s="1111"/>
      <c r="I117" s="1111"/>
      <c r="J117" s="1111"/>
      <c r="K117" s="1111"/>
      <c r="L117" s="1111"/>
      <c r="M117" s="1112"/>
      <c r="N117" s="1116"/>
      <c r="O117" s="1117"/>
      <c r="P117" s="1117"/>
      <c r="Q117" s="1117"/>
      <c r="R117" s="1118"/>
      <c r="S117" s="1119"/>
      <c r="T117" s="1119"/>
      <c r="U117" s="1119"/>
      <c r="V117" s="1120"/>
      <c r="W117" s="1121"/>
      <c r="X117" s="1121"/>
      <c r="Y117" s="1121"/>
      <c r="Z117" s="1122"/>
      <c r="AA117" s="1123"/>
      <c r="AB117" s="1123"/>
      <c r="AC117" s="1124"/>
      <c r="AD117" s="1095"/>
      <c r="AE117" s="1096"/>
      <c r="AF117" s="1099"/>
      <c r="AG117" s="1100"/>
      <c r="AH117" s="1100"/>
      <c r="AI117" s="1100"/>
      <c r="AJ117" s="1100"/>
      <c r="AK117" s="1100"/>
      <c r="AL117" s="1100"/>
      <c r="AM117" s="1100"/>
      <c r="AN117" s="1100"/>
      <c r="AO117" s="1100"/>
      <c r="AP117" s="1101"/>
      <c r="AQ117" s="1102"/>
      <c r="AR117" s="1102"/>
      <c r="AS117" s="1102"/>
      <c r="AT117" s="1102"/>
      <c r="AU117" s="1102"/>
      <c r="AV117" s="1102"/>
      <c r="AW117" s="1102"/>
      <c r="AX117" s="1103"/>
    </row>
    <row r="118" spans="2:80" ht="18" customHeight="1">
      <c r="B118" s="1110"/>
      <c r="C118" s="1111"/>
      <c r="D118" s="1111"/>
      <c r="E118" s="1112"/>
      <c r="F118" s="1113"/>
      <c r="G118" s="1114"/>
      <c r="H118" s="1114"/>
      <c r="I118" s="1114"/>
      <c r="J118" s="1114"/>
      <c r="K118" s="1114"/>
      <c r="L118" s="1114"/>
      <c r="M118" s="1115"/>
      <c r="N118" s="1117"/>
      <c r="O118" s="1117"/>
      <c r="P118" s="1117"/>
      <c r="Q118" s="1117"/>
      <c r="R118" s="1119"/>
      <c r="S118" s="1119"/>
      <c r="T118" s="1119"/>
      <c r="U118" s="1119"/>
      <c r="V118" s="1121"/>
      <c r="W118" s="1121"/>
      <c r="X118" s="1121"/>
      <c r="Y118" s="1121"/>
      <c r="Z118" s="1123"/>
      <c r="AA118" s="1123"/>
      <c r="AB118" s="1123"/>
      <c r="AC118" s="1124"/>
      <c r="AD118" s="1130"/>
      <c r="AE118" s="1096"/>
      <c r="AF118" s="1100"/>
      <c r="AG118" s="1100"/>
      <c r="AH118" s="1100"/>
      <c r="AI118" s="1100"/>
      <c r="AJ118" s="1100"/>
      <c r="AK118" s="1100"/>
      <c r="AL118" s="1100"/>
      <c r="AM118" s="1100"/>
      <c r="AN118" s="1100"/>
      <c r="AO118" s="1100"/>
      <c r="AP118" s="1101"/>
      <c r="AQ118" s="1102"/>
      <c r="AR118" s="1102"/>
      <c r="AS118" s="1102"/>
      <c r="AT118" s="1102"/>
      <c r="AU118" s="1102"/>
      <c r="AV118" s="1102"/>
      <c r="AW118" s="1102"/>
      <c r="AX118" s="1103"/>
    </row>
    <row r="119" spans="2:80" ht="18" customHeight="1">
      <c r="B119" s="1110"/>
      <c r="C119" s="1111"/>
      <c r="D119" s="1111"/>
      <c r="E119" s="1112"/>
      <c r="F119" s="1125" t="s">
        <v>1102</v>
      </c>
      <c r="G119" s="1108"/>
      <c r="H119" s="1108"/>
      <c r="I119" s="1108"/>
      <c r="J119" s="1108"/>
      <c r="K119" s="1108"/>
      <c r="L119" s="1108"/>
      <c r="M119" s="1109"/>
      <c r="N119" s="1116">
        <v>2</v>
      </c>
      <c r="O119" s="1117"/>
      <c r="P119" s="1117"/>
      <c r="Q119" s="1117"/>
      <c r="R119" s="1118">
        <f>$X$76</f>
        <v>63</v>
      </c>
      <c r="S119" s="1119"/>
      <c r="T119" s="1119"/>
      <c r="U119" s="1119"/>
      <c r="V119" s="1120">
        <f>$N$76</f>
        <v>8</v>
      </c>
      <c r="W119" s="1121"/>
      <c r="X119" s="1121"/>
      <c r="Y119" s="1121"/>
      <c r="Z119" s="1122">
        <f>IFERROR(N119*R119*V119,"要修正"&amp;CHAR(10)&amp;"表示不可")</f>
        <v>1008</v>
      </c>
      <c r="AA119" s="1123"/>
      <c r="AB119" s="1123"/>
      <c r="AC119" s="1124"/>
      <c r="AD119" s="1095" t="str">
        <f>IF(COUNTA(N119:U121)=2,"○","×")</f>
        <v>○</v>
      </c>
      <c r="AE119" s="1096"/>
      <c r="AF119" s="1099" t="str">
        <f xml:space="preserve">
IF(COUNTA(N119:U121)&lt;2,"各職種の使用数を入力してください。(０の場合は０を入力)",
IF(AND(COUNTA(N119:U121)=2,N119&lt;=0.5),"適切に入力されました。",
IF(AND(COUNTA(N119:U121)=2,N119&gt;0.5),"リユーサブル品の使い捨てに近い使用のため、着脱を行う手順及び手順毎の数量を下段の欄に記入してください。")))</f>
        <v>リユーサブル品の使い捨てに近い使用のため、着脱を行う手順及び手順毎の数量を下段の欄に記入してください。</v>
      </c>
      <c r="AG119" s="1100"/>
      <c r="AH119" s="1100"/>
      <c r="AI119" s="1100"/>
      <c r="AJ119" s="1100"/>
      <c r="AK119" s="1100"/>
      <c r="AL119" s="1100"/>
      <c r="AM119" s="1100"/>
      <c r="AN119" s="1100"/>
      <c r="AO119" s="1100"/>
      <c r="AP119" s="1101"/>
      <c r="AQ119" s="1102"/>
      <c r="AR119" s="1102"/>
      <c r="AS119" s="1102"/>
      <c r="AT119" s="1102"/>
      <c r="AU119" s="1102"/>
      <c r="AV119" s="1102"/>
      <c r="AW119" s="1102"/>
      <c r="AX119" s="1103"/>
    </row>
    <row r="120" spans="2:80" ht="18" customHeight="1">
      <c r="B120" s="1110"/>
      <c r="C120" s="1111"/>
      <c r="D120" s="1111"/>
      <c r="E120" s="1112"/>
      <c r="F120" s="1110"/>
      <c r="G120" s="1111"/>
      <c r="H120" s="1111"/>
      <c r="I120" s="1111"/>
      <c r="J120" s="1111"/>
      <c r="K120" s="1111"/>
      <c r="L120" s="1111"/>
      <c r="M120" s="1112"/>
      <c r="N120" s="1116"/>
      <c r="O120" s="1117"/>
      <c r="P120" s="1117"/>
      <c r="Q120" s="1117"/>
      <c r="R120" s="1118"/>
      <c r="S120" s="1119"/>
      <c r="T120" s="1119"/>
      <c r="U120" s="1119"/>
      <c r="V120" s="1120"/>
      <c r="W120" s="1121"/>
      <c r="X120" s="1121"/>
      <c r="Y120" s="1121"/>
      <c r="Z120" s="1122"/>
      <c r="AA120" s="1123"/>
      <c r="AB120" s="1123"/>
      <c r="AC120" s="1124"/>
      <c r="AD120" s="1095"/>
      <c r="AE120" s="1096"/>
      <c r="AF120" s="1099"/>
      <c r="AG120" s="1100"/>
      <c r="AH120" s="1100"/>
      <c r="AI120" s="1100"/>
      <c r="AJ120" s="1100"/>
      <c r="AK120" s="1100"/>
      <c r="AL120" s="1100"/>
      <c r="AM120" s="1100"/>
      <c r="AN120" s="1100"/>
      <c r="AO120" s="1100"/>
      <c r="AP120" s="1101"/>
      <c r="AQ120" s="1102"/>
      <c r="AR120" s="1102"/>
      <c r="AS120" s="1102"/>
      <c r="AT120" s="1102"/>
      <c r="AU120" s="1102"/>
      <c r="AV120" s="1102"/>
      <c r="AW120" s="1102"/>
      <c r="AX120" s="1103"/>
    </row>
    <row r="121" spans="2:80" ht="18" customHeight="1" thickBot="1">
      <c r="B121" s="1113"/>
      <c r="C121" s="1114"/>
      <c r="D121" s="1114"/>
      <c r="E121" s="1115"/>
      <c r="F121" s="1113"/>
      <c r="G121" s="1114"/>
      <c r="H121" s="1114"/>
      <c r="I121" s="1114"/>
      <c r="J121" s="1114"/>
      <c r="K121" s="1114"/>
      <c r="L121" s="1114"/>
      <c r="M121" s="1115"/>
      <c r="N121" s="1117"/>
      <c r="O121" s="1117"/>
      <c r="P121" s="1117"/>
      <c r="Q121" s="1117"/>
      <c r="R121" s="1119"/>
      <c r="S121" s="1119"/>
      <c r="T121" s="1119"/>
      <c r="U121" s="1119"/>
      <c r="V121" s="1121"/>
      <c r="W121" s="1121"/>
      <c r="X121" s="1121"/>
      <c r="Y121" s="1121"/>
      <c r="Z121" s="1123"/>
      <c r="AA121" s="1123"/>
      <c r="AB121" s="1123"/>
      <c r="AC121" s="1124"/>
      <c r="AD121" s="1097"/>
      <c r="AE121" s="1098"/>
      <c r="AF121" s="1100"/>
      <c r="AG121" s="1100"/>
      <c r="AH121" s="1100"/>
      <c r="AI121" s="1100"/>
      <c r="AJ121" s="1100"/>
      <c r="AK121" s="1100"/>
      <c r="AL121" s="1100"/>
      <c r="AM121" s="1100"/>
      <c r="AN121" s="1100"/>
      <c r="AO121" s="1100"/>
      <c r="AP121" s="1101"/>
      <c r="AQ121" s="1102"/>
      <c r="AR121" s="1102"/>
      <c r="AS121" s="1102"/>
      <c r="AT121" s="1102"/>
      <c r="AU121" s="1102"/>
      <c r="AV121" s="1102"/>
      <c r="AW121" s="1102"/>
      <c r="AX121" s="1103"/>
    </row>
    <row r="122" spans="2:80" ht="18.75" thickTop="1"/>
    <row r="123" spans="2:80" ht="24.75" thickBot="1">
      <c r="B123" s="1104" t="s">
        <v>1103</v>
      </c>
      <c r="C123" s="1105"/>
      <c r="D123" s="1105"/>
      <c r="E123" s="1105"/>
      <c r="F123" s="1105"/>
      <c r="G123" s="1105"/>
      <c r="H123" s="1105"/>
      <c r="I123" s="1105"/>
      <c r="J123" s="1105"/>
      <c r="K123" s="1105"/>
      <c r="L123" s="1105"/>
      <c r="M123" s="1105"/>
      <c r="N123" s="1105"/>
      <c r="O123" s="1105"/>
      <c r="P123" s="1105"/>
      <c r="Q123" s="1105"/>
      <c r="R123" s="1105"/>
      <c r="S123" s="1105"/>
      <c r="T123" s="1105"/>
      <c r="U123" s="1105"/>
      <c r="V123" s="1105"/>
      <c r="W123" s="1105"/>
      <c r="X123" s="1105"/>
      <c r="Y123" s="1105"/>
      <c r="Z123" s="1105"/>
      <c r="AA123" s="1105"/>
      <c r="AB123" s="1105"/>
      <c r="AC123" s="1105"/>
      <c r="AD123" s="1105"/>
      <c r="AE123" s="1105"/>
      <c r="AF123" s="1105"/>
      <c r="AG123" s="1105"/>
      <c r="AH123" s="1105"/>
      <c r="AI123" s="1105"/>
      <c r="AJ123" s="1105"/>
      <c r="AK123" s="1105"/>
      <c r="AL123" s="1105"/>
      <c r="AM123" s="1105"/>
      <c r="AN123" s="1105"/>
      <c r="AO123" s="1105"/>
      <c r="AP123" s="1105"/>
      <c r="AQ123" s="1105"/>
      <c r="AR123" s="1105"/>
      <c r="AS123" s="1105"/>
      <c r="AT123" s="1105"/>
      <c r="AU123" s="1106"/>
      <c r="AV123" s="1106"/>
      <c r="AW123" s="1106"/>
      <c r="AX123" s="1106"/>
    </row>
    <row r="124" spans="2:80" ht="18.75" thickTop="1">
      <c r="B124" s="1078" t="s">
        <v>473</v>
      </c>
      <c r="C124" s="1079"/>
      <c r="D124" s="1079"/>
      <c r="E124" s="1079"/>
      <c r="F124" s="1079"/>
      <c r="G124" s="1080"/>
      <c r="H124" s="1080"/>
      <c r="I124" s="1080"/>
      <c r="J124" s="1081"/>
      <c r="K124" s="1086" t="s">
        <v>1198</v>
      </c>
      <c r="L124" s="1087"/>
      <c r="M124" s="1087"/>
      <c r="N124" s="1088"/>
      <c r="O124" s="1088"/>
      <c r="P124" s="1089"/>
      <c r="Q124" s="1091" t="s">
        <v>1104</v>
      </c>
      <c r="R124" s="1080"/>
      <c r="S124" s="1080"/>
      <c r="T124" s="1080"/>
      <c r="U124" s="1080"/>
      <c r="V124" s="1080"/>
      <c r="W124" s="1080"/>
      <c r="X124" s="1080"/>
      <c r="Y124" s="1080"/>
      <c r="Z124" s="1080"/>
      <c r="AA124" s="1080"/>
      <c r="AB124" s="1080"/>
      <c r="AC124" s="1080"/>
      <c r="AD124" s="1080"/>
      <c r="AE124" s="1080"/>
      <c r="AF124" s="1080"/>
      <c r="AG124" s="1080"/>
      <c r="AH124" s="1080"/>
      <c r="AI124" s="1080"/>
      <c r="AJ124" s="1080"/>
      <c r="AK124" s="1080"/>
      <c r="AL124" s="1080"/>
      <c r="AM124" s="1080"/>
      <c r="AN124" s="1080"/>
      <c r="AO124" s="1080"/>
      <c r="AP124" s="1080"/>
      <c r="AQ124" s="1080"/>
      <c r="AR124" s="1080"/>
      <c r="AS124" s="1080"/>
      <c r="AT124" s="1092"/>
      <c r="AU124" s="1072" t="s">
        <v>100</v>
      </c>
      <c r="AV124" s="1073"/>
      <c r="AW124" s="1074"/>
      <c r="AX124" s="1075"/>
    </row>
    <row r="125" spans="2:80">
      <c r="B125" s="1082"/>
      <c r="C125" s="1083"/>
      <c r="D125" s="1083"/>
      <c r="E125" s="1083"/>
      <c r="F125" s="1083"/>
      <c r="G125" s="1084"/>
      <c r="H125" s="1084"/>
      <c r="I125" s="1084"/>
      <c r="J125" s="1085"/>
      <c r="K125" s="1090"/>
      <c r="L125" s="1087"/>
      <c r="M125" s="1087"/>
      <c r="N125" s="1088"/>
      <c r="O125" s="1088"/>
      <c r="P125" s="1089"/>
      <c r="Q125" s="1093"/>
      <c r="R125" s="1084"/>
      <c r="S125" s="1084"/>
      <c r="T125" s="1084"/>
      <c r="U125" s="1084"/>
      <c r="V125" s="1084"/>
      <c r="W125" s="1084"/>
      <c r="X125" s="1084"/>
      <c r="Y125" s="1084"/>
      <c r="Z125" s="1084"/>
      <c r="AA125" s="1084"/>
      <c r="AB125" s="1084"/>
      <c r="AC125" s="1084"/>
      <c r="AD125" s="1084"/>
      <c r="AE125" s="1084"/>
      <c r="AF125" s="1084"/>
      <c r="AG125" s="1084"/>
      <c r="AH125" s="1084"/>
      <c r="AI125" s="1084"/>
      <c r="AJ125" s="1084"/>
      <c r="AK125" s="1084"/>
      <c r="AL125" s="1084"/>
      <c r="AM125" s="1084"/>
      <c r="AN125" s="1084"/>
      <c r="AO125" s="1084"/>
      <c r="AP125" s="1084"/>
      <c r="AQ125" s="1084"/>
      <c r="AR125" s="1084"/>
      <c r="AS125" s="1084"/>
      <c r="AT125" s="1094"/>
      <c r="AU125" s="1076"/>
      <c r="AV125" s="1077"/>
      <c r="AW125" s="1044"/>
      <c r="AX125" s="1045"/>
      <c r="BO125" s="282"/>
      <c r="BP125" s="282"/>
      <c r="BQ125" s="283" t="s">
        <v>537</v>
      </c>
      <c r="BR125" s="283" t="s">
        <v>1049</v>
      </c>
      <c r="BS125" s="283" t="s">
        <v>1050</v>
      </c>
      <c r="BT125" s="283" t="s">
        <v>1105</v>
      </c>
      <c r="BU125" s="283" t="s">
        <v>1106</v>
      </c>
      <c r="BV125" s="282"/>
      <c r="BW125" s="282"/>
      <c r="BX125" s="282"/>
      <c r="BY125" s="282" t="e">
        <f>#REF!</f>
        <v>#REF!</v>
      </c>
      <c r="BZ125" s="282"/>
      <c r="CA125" s="284">
        <v>7</v>
      </c>
      <c r="CB125" s="284" t="s">
        <v>1107</v>
      </c>
    </row>
    <row r="126" spans="2:80">
      <c r="B126" s="1066" t="s">
        <v>1108</v>
      </c>
      <c r="C126" s="1039"/>
      <c r="D126" s="1039"/>
      <c r="E126" s="1039"/>
      <c r="F126" s="1039"/>
      <c r="G126" s="1040"/>
      <c r="H126" s="1040"/>
      <c r="I126" s="1040"/>
      <c r="J126" s="1041"/>
      <c r="K126" s="1051">
        <f>SUM(N83:Q88)</f>
        <v>6</v>
      </c>
      <c r="L126" s="1052"/>
      <c r="M126" s="1052"/>
      <c r="N126" s="1053"/>
      <c r="O126" s="1053"/>
      <c r="P126" s="1054"/>
      <c r="Q126" s="1060">
        <v>1</v>
      </c>
      <c r="R126" s="1061"/>
      <c r="S126" s="1061"/>
      <c r="T126" s="1061"/>
      <c r="U126" s="1061"/>
      <c r="V126" s="1061"/>
      <c r="W126" s="1061"/>
      <c r="X126" s="1061"/>
      <c r="Y126" s="1061"/>
      <c r="Z126" s="1061"/>
      <c r="AA126" s="1061"/>
      <c r="AB126" s="1061"/>
      <c r="AC126" s="1061"/>
      <c r="AD126" s="1061"/>
      <c r="AE126" s="1061"/>
      <c r="AF126" s="1061"/>
      <c r="AG126" s="1061"/>
      <c r="AH126" s="1061"/>
      <c r="AI126" s="1061"/>
      <c r="AJ126" s="1061"/>
      <c r="AK126" s="1061"/>
      <c r="AL126" s="1061"/>
      <c r="AM126" s="1061"/>
      <c r="AN126" s="1061"/>
      <c r="AO126" s="1061"/>
      <c r="AP126" s="1061"/>
      <c r="AQ126" s="1061"/>
      <c r="AR126" s="1061"/>
      <c r="AS126" s="1061"/>
      <c r="AT126" s="1062"/>
      <c r="AU126" s="1042" t="str">
        <f xml:space="preserve">
IF(AND(K126&gt;2,COUNTA(Q126)&lt;&gt;1),"要入力",
IF(AND(K126&gt;2,COUNTA(Q126)=1),"入力済",
IF(K126&lt;=2,"入力"&amp;CHAR(10)&amp;"不要")))</f>
        <v>入力済</v>
      </c>
      <c r="AV126" s="1043"/>
      <c r="AW126" s="1044"/>
      <c r="AX126" s="1045"/>
      <c r="BO126" s="282" t="s">
        <v>1056</v>
      </c>
      <c r="BP126" s="282"/>
      <c r="BQ126" s="285">
        <v>45017</v>
      </c>
      <c r="BR126" s="283" t="str">
        <f>TEXT(BQ126,"aaaa")</f>
        <v>土曜日</v>
      </c>
      <c r="BS126" s="283">
        <f t="shared" ref="BS126:BS163" si="12">VLOOKUP(BR126,$BV$126:$BW$132,2,FALSE)</f>
        <v>0</v>
      </c>
      <c r="BT126" s="282"/>
      <c r="BU126" s="282"/>
      <c r="BV126" s="283" t="s">
        <v>1109</v>
      </c>
      <c r="BW126" s="283">
        <f t="shared" ref="BW126:BW132" si="13">E22</f>
        <v>0</v>
      </c>
      <c r="BX126" s="282"/>
      <c r="BY126" s="282" t="e">
        <f>#REF!</f>
        <v>#REF!</v>
      </c>
      <c r="BZ126" s="282"/>
      <c r="CA126" s="284">
        <v>8</v>
      </c>
      <c r="CB126" s="284">
        <v>15</v>
      </c>
    </row>
    <row r="127" spans="2:80">
      <c r="B127" s="1038"/>
      <c r="C127" s="1039"/>
      <c r="D127" s="1039"/>
      <c r="E127" s="1039"/>
      <c r="F127" s="1039"/>
      <c r="G127" s="1040"/>
      <c r="H127" s="1040"/>
      <c r="I127" s="1040"/>
      <c r="J127" s="1041"/>
      <c r="K127" s="1055"/>
      <c r="L127" s="1052"/>
      <c r="M127" s="1052"/>
      <c r="N127" s="1053"/>
      <c r="O127" s="1053"/>
      <c r="P127" s="1054"/>
      <c r="Q127" s="1063"/>
      <c r="R127" s="1064"/>
      <c r="S127" s="1064"/>
      <c r="T127" s="1064"/>
      <c r="U127" s="1064"/>
      <c r="V127" s="1064"/>
      <c r="W127" s="1064"/>
      <c r="X127" s="1064"/>
      <c r="Y127" s="1064"/>
      <c r="Z127" s="1064"/>
      <c r="AA127" s="1064"/>
      <c r="AB127" s="1064"/>
      <c r="AC127" s="1064"/>
      <c r="AD127" s="1064"/>
      <c r="AE127" s="1064"/>
      <c r="AF127" s="1064"/>
      <c r="AG127" s="1064"/>
      <c r="AH127" s="1064"/>
      <c r="AI127" s="1064"/>
      <c r="AJ127" s="1064"/>
      <c r="AK127" s="1064"/>
      <c r="AL127" s="1064"/>
      <c r="AM127" s="1064"/>
      <c r="AN127" s="1064"/>
      <c r="AO127" s="1064"/>
      <c r="AP127" s="1064"/>
      <c r="AQ127" s="1064"/>
      <c r="AR127" s="1064"/>
      <c r="AS127" s="1064"/>
      <c r="AT127" s="1065"/>
      <c r="AU127" s="1042"/>
      <c r="AV127" s="1043"/>
      <c r="AW127" s="1044"/>
      <c r="AX127" s="1045"/>
      <c r="BO127" s="282" t="s">
        <v>1059</v>
      </c>
      <c r="BP127" s="282"/>
      <c r="BQ127" s="285">
        <v>45018</v>
      </c>
      <c r="BR127" s="283" t="str">
        <f t="shared" ref="BR127:BR170" si="14">TEXT(BQ127,"aaaa")</f>
        <v>日曜日</v>
      </c>
      <c r="BS127" s="283">
        <f t="shared" si="12"/>
        <v>0</v>
      </c>
      <c r="BT127" s="282"/>
      <c r="BU127" s="282"/>
      <c r="BV127" s="283" t="s">
        <v>1058</v>
      </c>
      <c r="BW127" s="283">
        <f t="shared" si="13"/>
        <v>0</v>
      </c>
      <c r="BX127" s="282"/>
      <c r="BY127" s="282" t="e">
        <f>#REF!</f>
        <v>#REF!</v>
      </c>
      <c r="BZ127" s="282"/>
      <c r="CA127" s="284">
        <v>9</v>
      </c>
      <c r="CB127" s="284">
        <v>30</v>
      </c>
    </row>
    <row r="128" spans="2:80">
      <c r="B128" s="1038" t="s">
        <v>1110</v>
      </c>
      <c r="C128" s="1039"/>
      <c r="D128" s="1039"/>
      <c r="E128" s="1039"/>
      <c r="F128" s="1039"/>
      <c r="G128" s="1040"/>
      <c r="H128" s="1040"/>
      <c r="I128" s="1040"/>
      <c r="J128" s="1041"/>
      <c r="K128" s="1051">
        <f>N89</f>
        <v>3</v>
      </c>
      <c r="L128" s="1052"/>
      <c r="M128" s="1052"/>
      <c r="N128" s="1053"/>
      <c r="O128" s="1053"/>
      <c r="P128" s="1054"/>
      <c r="Q128" s="1060"/>
      <c r="R128" s="1061"/>
      <c r="S128" s="1061"/>
      <c r="T128" s="1061"/>
      <c r="U128" s="1061"/>
      <c r="V128" s="1061"/>
      <c r="W128" s="1061"/>
      <c r="X128" s="1061"/>
      <c r="Y128" s="1061"/>
      <c r="Z128" s="1061"/>
      <c r="AA128" s="1061"/>
      <c r="AB128" s="1061"/>
      <c r="AC128" s="1061"/>
      <c r="AD128" s="1061"/>
      <c r="AE128" s="1061"/>
      <c r="AF128" s="1061"/>
      <c r="AG128" s="1061"/>
      <c r="AH128" s="1061"/>
      <c r="AI128" s="1061"/>
      <c r="AJ128" s="1061"/>
      <c r="AK128" s="1061"/>
      <c r="AL128" s="1061"/>
      <c r="AM128" s="1061"/>
      <c r="AN128" s="1061"/>
      <c r="AO128" s="1061"/>
      <c r="AP128" s="1061"/>
      <c r="AQ128" s="1061"/>
      <c r="AR128" s="1061"/>
      <c r="AS128" s="1061"/>
      <c r="AT128" s="1062"/>
      <c r="AU128" s="1042" t="str">
        <f xml:space="preserve">
IF(AND(K128&gt;2,COUNTA(Q128)&lt;&gt;1),"要入力",
IF(AND(K128&gt;2,COUNTA(Q128)=1),"入力済",
IF(K128&lt;=2,"入力"&amp;CHAR(10)&amp;"不要")))</f>
        <v>要入力</v>
      </c>
      <c r="AV128" s="1043"/>
      <c r="AW128" s="1044"/>
      <c r="AX128" s="1045"/>
      <c r="BO128" s="282"/>
      <c r="BP128" s="282"/>
      <c r="BQ128" s="285">
        <v>45019</v>
      </c>
      <c r="BR128" s="283" t="str">
        <f t="shared" si="14"/>
        <v>月曜日</v>
      </c>
      <c r="BS128" s="283">
        <f t="shared" si="12"/>
        <v>0</v>
      </c>
      <c r="BT128" s="282"/>
      <c r="BU128" s="282"/>
      <c r="BV128" s="283" t="s">
        <v>1061</v>
      </c>
      <c r="BW128" s="283">
        <f t="shared" si="13"/>
        <v>0</v>
      </c>
      <c r="BX128" s="282"/>
      <c r="BY128" s="282" t="e">
        <f>#REF!</f>
        <v>#REF!</v>
      </c>
      <c r="BZ128" s="282"/>
      <c r="CA128" s="284">
        <v>10</v>
      </c>
      <c r="CB128" s="284">
        <v>45</v>
      </c>
    </row>
    <row r="129" spans="2:80">
      <c r="B129" s="1038"/>
      <c r="C129" s="1039"/>
      <c r="D129" s="1039"/>
      <c r="E129" s="1039"/>
      <c r="F129" s="1039"/>
      <c r="G129" s="1040"/>
      <c r="H129" s="1040"/>
      <c r="I129" s="1040"/>
      <c r="J129" s="1041"/>
      <c r="K129" s="1055"/>
      <c r="L129" s="1052"/>
      <c r="M129" s="1052"/>
      <c r="N129" s="1053"/>
      <c r="O129" s="1053"/>
      <c r="P129" s="1054"/>
      <c r="Q129" s="1063"/>
      <c r="R129" s="1064"/>
      <c r="S129" s="1064"/>
      <c r="T129" s="1064"/>
      <c r="U129" s="1064"/>
      <c r="V129" s="1064"/>
      <c r="W129" s="1064"/>
      <c r="X129" s="1064"/>
      <c r="Y129" s="1064"/>
      <c r="Z129" s="1064"/>
      <c r="AA129" s="1064"/>
      <c r="AB129" s="1064"/>
      <c r="AC129" s="1064"/>
      <c r="AD129" s="1064"/>
      <c r="AE129" s="1064"/>
      <c r="AF129" s="1064"/>
      <c r="AG129" s="1064"/>
      <c r="AH129" s="1064"/>
      <c r="AI129" s="1064"/>
      <c r="AJ129" s="1064"/>
      <c r="AK129" s="1064"/>
      <c r="AL129" s="1064"/>
      <c r="AM129" s="1064"/>
      <c r="AN129" s="1064"/>
      <c r="AO129" s="1064"/>
      <c r="AP129" s="1064"/>
      <c r="AQ129" s="1064"/>
      <c r="AR129" s="1064"/>
      <c r="AS129" s="1064"/>
      <c r="AT129" s="1065"/>
      <c r="AU129" s="1042"/>
      <c r="AV129" s="1043"/>
      <c r="AW129" s="1044"/>
      <c r="AX129" s="1045"/>
      <c r="BO129" s="282" t="s">
        <v>1111</v>
      </c>
      <c r="BP129" s="282"/>
      <c r="BQ129" s="285">
        <v>45020</v>
      </c>
      <c r="BR129" s="283" t="str">
        <f t="shared" si="14"/>
        <v>火曜日</v>
      </c>
      <c r="BS129" s="283">
        <f t="shared" si="12"/>
        <v>0</v>
      </c>
      <c r="BT129" s="282"/>
      <c r="BU129" s="282"/>
      <c r="BV129" s="283" t="s">
        <v>1063</v>
      </c>
      <c r="BW129" s="283">
        <f t="shared" si="13"/>
        <v>0</v>
      </c>
      <c r="BX129" s="282"/>
      <c r="BY129" s="282" t="e">
        <f>#REF!</f>
        <v>#REF!</v>
      </c>
      <c r="BZ129" s="282"/>
      <c r="CA129" s="284">
        <v>11</v>
      </c>
      <c r="CB129" s="283"/>
    </row>
    <row r="130" spans="2:80">
      <c r="B130" s="1066" t="s">
        <v>476</v>
      </c>
      <c r="C130" s="1039"/>
      <c r="D130" s="1039"/>
      <c r="E130" s="1039"/>
      <c r="F130" s="1039"/>
      <c r="G130" s="1040"/>
      <c r="H130" s="1040"/>
      <c r="I130" s="1040"/>
      <c r="J130" s="1041"/>
      <c r="K130" s="1067">
        <f>N92</f>
        <v>2</v>
      </c>
      <c r="L130" s="1068"/>
      <c r="M130" s="1068"/>
      <c r="N130" s="1069"/>
      <c r="O130" s="1069"/>
      <c r="P130" s="1070"/>
      <c r="Q130" s="1060"/>
      <c r="R130" s="1061"/>
      <c r="S130" s="1061"/>
      <c r="T130" s="1061"/>
      <c r="U130" s="1061"/>
      <c r="V130" s="1061"/>
      <c r="W130" s="1061"/>
      <c r="X130" s="1061"/>
      <c r="Y130" s="1061"/>
      <c r="Z130" s="1061"/>
      <c r="AA130" s="1061"/>
      <c r="AB130" s="1061"/>
      <c r="AC130" s="1061"/>
      <c r="AD130" s="1061"/>
      <c r="AE130" s="1061"/>
      <c r="AF130" s="1061"/>
      <c r="AG130" s="1061"/>
      <c r="AH130" s="1061"/>
      <c r="AI130" s="1061"/>
      <c r="AJ130" s="1061"/>
      <c r="AK130" s="1061"/>
      <c r="AL130" s="1061"/>
      <c r="AM130" s="1061"/>
      <c r="AN130" s="1061"/>
      <c r="AO130" s="1061"/>
      <c r="AP130" s="1061"/>
      <c r="AQ130" s="1061"/>
      <c r="AR130" s="1061"/>
      <c r="AS130" s="1061"/>
      <c r="AT130" s="1062"/>
      <c r="AU130" s="1042" t="str">
        <f xml:space="preserve">
IF(AND(K130&gt;2,COUNTA(Q130)&lt;&gt;1),"要入力",
IF(AND(K130&gt;2,COUNTA(Q130)=1),"入力済",
IF(K130&lt;=2,"入力"&amp;CHAR(10)&amp;"不要")))</f>
        <v>入力
不要</v>
      </c>
      <c r="AV130" s="1043"/>
      <c r="AW130" s="1044"/>
      <c r="AX130" s="1045"/>
      <c r="BO130" s="286" t="s">
        <v>1112</v>
      </c>
      <c r="BP130" s="283"/>
      <c r="BQ130" s="285">
        <v>45021</v>
      </c>
      <c r="BR130" s="283" t="str">
        <f t="shared" si="14"/>
        <v>水曜日</v>
      </c>
      <c r="BS130" s="283">
        <f t="shared" si="12"/>
        <v>0</v>
      </c>
      <c r="BT130" s="283"/>
      <c r="BU130" s="283"/>
      <c r="BV130" s="283" t="s">
        <v>1065</v>
      </c>
      <c r="BW130" s="283">
        <f t="shared" si="13"/>
        <v>0</v>
      </c>
      <c r="BX130" s="283"/>
      <c r="BY130" s="282" t="e">
        <f>#REF!</f>
        <v>#REF!</v>
      </c>
      <c r="BZ130" s="283"/>
      <c r="CA130" s="284">
        <v>12</v>
      </c>
      <c r="CB130" s="283"/>
    </row>
    <row r="131" spans="2:80">
      <c r="B131" s="1038"/>
      <c r="C131" s="1039"/>
      <c r="D131" s="1039"/>
      <c r="E131" s="1039"/>
      <c r="F131" s="1039"/>
      <c r="G131" s="1040"/>
      <c r="H131" s="1040"/>
      <c r="I131" s="1040"/>
      <c r="J131" s="1041"/>
      <c r="K131" s="1071"/>
      <c r="L131" s="1068"/>
      <c r="M131" s="1068"/>
      <c r="N131" s="1069"/>
      <c r="O131" s="1069"/>
      <c r="P131" s="1070"/>
      <c r="Q131" s="1063"/>
      <c r="R131" s="1064"/>
      <c r="S131" s="1064"/>
      <c r="T131" s="1064"/>
      <c r="U131" s="1064"/>
      <c r="V131" s="1064"/>
      <c r="W131" s="1064"/>
      <c r="X131" s="1064"/>
      <c r="Y131" s="1064"/>
      <c r="Z131" s="1064"/>
      <c r="AA131" s="1064"/>
      <c r="AB131" s="1064"/>
      <c r="AC131" s="1064"/>
      <c r="AD131" s="1064"/>
      <c r="AE131" s="1064"/>
      <c r="AF131" s="1064"/>
      <c r="AG131" s="1064"/>
      <c r="AH131" s="1064"/>
      <c r="AI131" s="1064"/>
      <c r="AJ131" s="1064"/>
      <c r="AK131" s="1064"/>
      <c r="AL131" s="1064"/>
      <c r="AM131" s="1064"/>
      <c r="AN131" s="1064"/>
      <c r="AO131" s="1064"/>
      <c r="AP131" s="1064"/>
      <c r="AQ131" s="1064"/>
      <c r="AR131" s="1064"/>
      <c r="AS131" s="1064"/>
      <c r="AT131" s="1065"/>
      <c r="AU131" s="1042"/>
      <c r="AV131" s="1043"/>
      <c r="AW131" s="1044"/>
      <c r="AX131" s="1045"/>
      <c r="BO131" s="282" t="s">
        <v>1113</v>
      </c>
      <c r="BP131" s="282"/>
      <c r="BQ131" s="285">
        <v>45022</v>
      </c>
      <c r="BR131" s="283" t="str">
        <f t="shared" si="14"/>
        <v>木曜日</v>
      </c>
      <c r="BS131" s="283">
        <f t="shared" si="12"/>
        <v>0</v>
      </c>
      <c r="BT131" s="282"/>
      <c r="BU131" s="282"/>
      <c r="BV131" s="283" t="s">
        <v>1067</v>
      </c>
      <c r="BW131" s="283">
        <f t="shared" si="13"/>
        <v>0</v>
      </c>
      <c r="BX131" s="282"/>
      <c r="BY131" s="282" t="e">
        <f>#REF!</f>
        <v>#REF!</v>
      </c>
      <c r="BZ131" s="282"/>
      <c r="CA131" s="284">
        <v>13</v>
      </c>
      <c r="CB131" s="283"/>
    </row>
    <row r="132" spans="2:80">
      <c r="B132" s="1038" t="s">
        <v>477</v>
      </c>
      <c r="C132" s="1039"/>
      <c r="D132" s="1039"/>
      <c r="E132" s="1039"/>
      <c r="F132" s="1039"/>
      <c r="G132" s="1040"/>
      <c r="H132" s="1040"/>
      <c r="I132" s="1040"/>
      <c r="J132" s="1041"/>
      <c r="K132" s="1051">
        <f>N95</f>
        <v>9</v>
      </c>
      <c r="L132" s="1052"/>
      <c r="M132" s="1052"/>
      <c r="N132" s="1053"/>
      <c r="O132" s="1053"/>
      <c r="P132" s="1054"/>
      <c r="Q132" s="1060">
        <v>1</v>
      </c>
      <c r="R132" s="1061"/>
      <c r="S132" s="1061"/>
      <c r="T132" s="1061"/>
      <c r="U132" s="1061"/>
      <c r="V132" s="1061"/>
      <c r="W132" s="1061"/>
      <c r="X132" s="1061"/>
      <c r="Y132" s="1061"/>
      <c r="Z132" s="1061"/>
      <c r="AA132" s="1061"/>
      <c r="AB132" s="1061"/>
      <c r="AC132" s="1061"/>
      <c r="AD132" s="1061"/>
      <c r="AE132" s="1061"/>
      <c r="AF132" s="1061"/>
      <c r="AG132" s="1061"/>
      <c r="AH132" s="1061"/>
      <c r="AI132" s="1061"/>
      <c r="AJ132" s="1061"/>
      <c r="AK132" s="1061"/>
      <c r="AL132" s="1061"/>
      <c r="AM132" s="1061"/>
      <c r="AN132" s="1061"/>
      <c r="AO132" s="1061"/>
      <c r="AP132" s="1061"/>
      <c r="AQ132" s="1061"/>
      <c r="AR132" s="1061"/>
      <c r="AS132" s="1061"/>
      <c r="AT132" s="1062"/>
      <c r="AU132" s="1042" t="str">
        <f xml:space="preserve">
IF(AND(K132&gt;8,COUNTA(Q132)&lt;&gt;1),"要入力",
IF(AND(K132&gt;8,COUNTA(Q132)=1),"入力済",
IF(K132&lt;=8,"入力"&amp;CHAR(10)&amp;"不要")))</f>
        <v>入力済</v>
      </c>
      <c r="AV132" s="1043"/>
      <c r="AW132" s="1044"/>
      <c r="AX132" s="1045"/>
      <c r="BO132" s="282" t="s">
        <v>1114</v>
      </c>
      <c r="BP132" s="287"/>
      <c r="BQ132" s="285">
        <v>45023</v>
      </c>
      <c r="BR132" s="283" t="str">
        <f t="shared" si="14"/>
        <v>金曜日</v>
      </c>
      <c r="BS132" s="283">
        <f t="shared" si="12"/>
        <v>0</v>
      </c>
      <c r="BT132" s="282"/>
      <c r="BU132" s="282"/>
      <c r="BV132" s="283" t="s">
        <v>1068</v>
      </c>
      <c r="BW132" s="283">
        <f t="shared" si="13"/>
        <v>0</v>
      </c>
      <c r="BX132" s="282"/>
      <c r="BY132" s="282" t="e">
        <f>#REF!</f>
        <v>#REF!</v>
      </c>
      <c r="BZ132" s="282"/>
      <c r="CA132" s="284">
        <v>14</v>
      </c>
      <c r="CB132" s="283"/>
    </row>
    <row r="133" spans="2:80">
      <c r="B133" s="1038"/>
      <c r="C133" s="1039"/>
      <c r="D133" s="1039"/>
      <c r="E133" s="1039"/>
      <c r="F133" s="1039"/>
      <c r="G133" s="1040"/>
      <c r="H133" s="1040"/>
      <c r="I133" s="1040"/>
      <c r="J133" s="1041"/>
      <c r="K133" s="1055"/>
      <c r="L133" s="1052"/>
      <c r="M133" s="1052"/>
      <c r="N133" s="1053"/>
      <c r="O133" s="1053"/>
      <c r="P133" s="1054"/>
      <c r="Q133" s="1063"/>
      <c r="R133" s="1064"/>
      <c r="S133" s="1064"/>
      <c r="T133" s="1064"/>
      <c r="U133" s="1064"/>
      <c r="V133" s="1064"/>
      <c r="W133" s="1064"/>
      <c r="X133" s="1064"/>
      <c r="Y133" s="1064"/>
      <c r="Z133" s="1064"/>
      <c r="AA133" s="1064"/>
      <c r="AB133" s="1064"/>
      <c r="AC133" s="1064"/>
      <c r="AD133" s="1064"/>
      <c r="AE133" s="1064"/>
      <c r="AF133" s="1064"/>
      <c r="AG133" s="1064"/>
      <c r="AH133" s="1064"/>
      <c r="AI133" s="1064"/>
      <c r="AJ133" s="1064"/>
      <c r="AK133" s="1064"/>
      <c r="AL133" s="1064"/>
      <c r="AM133" s="1064"/>
      <c r="AN133" s="1064"/>
      <c r="AO133" s="1064"/>
      <c r="AP133" s="1064"/>
      <c r="AQ133" s="1064"/>
      <c r="AR133" s="1064"/>
      <c r="AS133" s="1064"/>
      <c r="AT133" s="1065"/>
      <c r="AU133" s="1042"/>
      <c r="AV133" s="1043"/>
      <c r="AW133" s="1044"/>
      <c r="AX133" s="1045"/>
      <c r="BO133" s="282" t="s">
        <v>1115</v>
      </c>
      <c r="BP133" s="282"/>
      <c r="BQ133" s="285">
        <v>45024</v>
      </c>
      <c r="BR133" s="283" t="str">
        <f t="shared" si="14"/>
        <v>土曜日</v>
      </c>
      <c r="BS133" s="283">
        <f t="shared" si="12"/>
        <v>0</v>
      </c>
      <c r="BT133" s="282"/>
      <c r="BU133" s="282"/>
      <c r="BV133" s="282"/>
      <c r="BW133" s="282"/>
      <c r="BX133" s="282"/>
      <c r="BY133" s="282" t="e">
        <f>#REF!</f>
        <v>#REF!</v>
      </c>
      <c r="BZ133" s="282"/>
      <c r="CA133" s="284">
        <v>15</v>
      </c>
      <c r="CB133" s="283"/>
    </row>
    <row r="134" spans="2:80">
      <c r="B134" s="1066" t="s">
        <v>1116</v>
      </c>
      <c r="C134" s="1039"/>
      <c r="D134" s="1039"/>
      <c r="E134" s="1039"/>
      <c r="F134" s="1039"/>
      <c r="G134" s="1040"/>
      <c r="H134" s="1040"/>
      <c r="I134" s="1040"/>
      <c r="J134" s="1041"/>
      <c r="K134" s="1046">
        <f>N98</f>
        <v>1</v>
      </c>
      <c r="L134" s="1047"/>
      <c r="M134" s="1047"/>
      <c r="N134" s="1048"/>
      <c r="O134" s="1048"/>
      <c r="P134" s="1049"/>
      <c r="Q134" s="1060"/>
      <c r="R134" s="1061"/>
      <c r="S134" s="1061"/>
      <c r="T134" s="1061"/>
      <c r="U134" s="1061"/>
      <c r="V134" s="1061"/>
      <c r="W134" s="1061"/>
      <c r="X134" s="1061"/>
      <c r="Y134" s="1061"/>
      <c r="Z134" s="1061"/>
      <c r="AA134" s="1061"/>
      <c r="AB134" s="1061"/>
      <c r="AC134" s="1061"/>
      <c r="AD134" s="1061"/>
      <c r="AE134" s="1061"/>
      <c r="AF134" s="1061"/>
      <c r="AG134" s="1061"/>
      <c r="AH134" s="1061"/>
      <c r="AI134" s="1061"/>
      <c r="AJ134" s="1061"/>
      <c r="AK134" s="1061"/>
      <c r="AL134" s="1061"/>
      <c r="AM134" s="1061"/>
      <c r="AN134" s="1061"/>
      <c r="AO134" s="1061"/>
      <c r="AP134" s="1061"/>
      <c r="AQ134" s="1061"/>
      <c r="AR134" s="1061"/>
      <c r="AS134" s="1061"/>
      <c r="AT134" s="1062"/>
      <c r="AU134" s="1042" t="str">
        <f xml:space="preserve">
IF(AND(K134&gt;0.5,COUNTA(Q134)&lt;&gt;1),"要入力",
IF(AND(K134&gt;0.5,COUNTA(Q134)=1),"入力済",
IF(K134&lt;=0.5,"入力"&amp;CHAR(10)&amp;"不要")))</f>
        <v>要入力</v>
      </c>
      <c r="AV134" s="1043"/>
      <c r="AW134" s="1044"/>
      <c r="AX134" s="1045"/>
      <c r="BO134" s="282"/>
      <c r="BP134" s="282"/>
      <c r="BQ134" s="285">
        <v>45025</v>
      </c>
      <c r="BR134" s="283" t="str">
        <f t="shared" si="14"/>
        <v>日曜日</v>
      </c>
      <c r="BS134" s="283">
        <f t="shared" si="12"/>
        <v>0</v>
      </c>
      <c r="BT134" s="282"/>
      <c r="BU134" s="282"/>
      <c r="BV134" s="283" t="s">
        <v>1117</v>
      </c>
      <c r="BW134" s="282"/>
      <c r="BX134" s="282"/>
      <c r="BY134" s="282" t="e">
        <f>#REF!</f>
        <v>#REF!</v>
      </c>
      <c r="BZ134" s="282"/>
      <c r="CA134" s="284">
        <v>16</v>
      </c>
      <c r="CB134" s="283"/>
    </row>
    <row r="135" spans="2:80">
      <c r="B135" s="1038"/>
      <c r="C135" s="1039"/>
      <c r="D135" s="1039"/>
      <c r="E135" s="1039"/>
      <c r="F135" s="1039"/>
      <c r="G135" s="1040"/>
      <c r="H135" s="1040"/>
      <c r="I135" s="1040"/>
      <c r="J135" s="1041"/>
      <c r="K135" s="1050"/>
      <c r="L135" s="1047"/>
      <c r="M135" s="1047"/>
      <c r="N135" s="1048"/>
      <c r="O135" s="1048"/>
      <c r="P135" s="1049"/>
      <c r="Q135" s="1063"/>
      <c r="R135" s="1064"/>
      <c r="S135" s="1064"/>
      <c r="T135" s="1064"/>
      <c r="U135" s="1064"/>
      <c r="V135" s="1064"/>
      <c r="W135" s="1064"/>
      <c r="X135" s="1064"/>
      <c r="Y135" s="1064"/>
      <c r="Z135" s="1064"/>
      <c r="AA135" s="1064"/>
      <c r="AB135" s="1064"/>
      <c r="AC135" s="1064"/>
      <c r="AD135" s="1064"/>
      <c r="AE135" s="1064"/>
      <c r="AF135" s="1064"/>
      <c r="AG135" s="1064"/>
      <c r="AH135" s="1064"/>
      <c r="AI135" s="1064"/>
      <c r="AJ135" s="1064"/>
      <c r="AK135" s="1064"/>
      <c r="AL135" s="1064"/>
      <c r="AM135" s="1064"/>
      <c r="AN135" s="1064"/>
      <c r="AO135" s="1064"/>
      <c r="AP135" s="1064"/>
      <c r="AQ135" s="1064"/>
      <c r="AR135" s="1064"/>
      <c r="AS135" s="1064"/>
      <c r="AT135" s="1065"/>
      <c r="AU135" s="1042"/>
      <c r="AV135" s="1043"/>
      <c r="AW135" s="1044"/>
      <c r="AX135" s="1045"/>
      <c r="BO135" s="282"/>
      <c r="BP135" s="282"/>
      <c r="BQ135" s="285">
        <v>45026</v>
      </c>
      <c r="BR135" s="283" t="str">
        <f t="shared" si="14"/>
        <v>月曜日</v>
      </c>
      <c r="BS135" s="283">
        <f t="shared" si="12"/>
        <v>0</v>
      </c>
      <c r="BT135" s="282"/>
      <c r="BU135" s="282"/>
      <c r="BV135" s="283" t="s">
        <v>1308</v>
      </c>
      <c r="BW135" s="282"/>
      <c r="BX135" s="282"/>
      <c r="BY135" s="282" t="e">
        <f>#REF!</f>
        <v>#REF!</v>
      </c>
      <c r="BZ135" s="282"/>
      <c r="CA135" s="284">
        <v>17</v>
      </c>
      <c r="CB135" s="283"/>
    </row>
    <row r="136" spans="2:80">
      <c r="B136" s="1038" t="s">
        <v>1118</v>
      </c>
      <c r="C136" s="1039"/>
      <c r="D136" s="1039"/>
      <c r="E136" s="1039"/>
      <c r="F136" s="1039"/>
      <c r="G136" s="1040"/>
      <c r="H136" s="1040"/>
      <c r="I136" s="1040"/>
      <c r="J136" s="1041"/>
      <c r="K136" s="1046">
        <f>N101</f>
        <v>1</v>
      </c>
      <c r="L136" s="1047"/>
      <c r="M136" s="1047"/>
      <c r="N136" s="1048"/>
      <c r="O136" s="1048"/>
      <c r="P136" s="1049"/>
      <c r="Q136" s="1060"/>
      <c r="R136" s="1061"/>
      <c r="S136" s="1061"/>
      <c r="T136" s="1061"/>
      <c r="U136" s="1061"/>
      <c r="V136" s="1061"/>
      <c r="W136" s="1061"/>
      <c r="X136" s="1061"/>
      <c r="Y136" s="1061"/>
      <c r="Z136" s="1061"/>
      <c r="AA136" s="1061"/>
      <c r="AB136" s="1061"/>
      <c r="AC136" s="1061"/>
      <c r="AD136" s="1061"/>
      <c r="AE136" s="1061"/>
      <c r="AF136" s="1061"/>
      <c r="AG136" s="1061"/>
      <c r="AH136" s="1061"/>
      <c r="AI136" s="1061"/>
      <c r="AJ136" s="1061"/>
      <c r="AK136" s="1061"/>
      <c r="AL136" s="1061"/>
      <c r="AM136" s="1061"/>
      <c r="AN136" s="1061"/>
      <c r="AO136" s="1061"/>
      <c r="AP136" s="1061"/>
      <c r="AQ136" s="1061"/>
      <c r="AR136" s="1061"/>
      <c r="AS136" s="1061"/>
      <c r="AT136" s="1062"/>
      <c r="AU136" s="1042" t="str">
        <f xml:space="preserve">
IF(AND(K136&gt;0.5,COUNTA(Q136)&lt;&gt;1),"要入力",
IF(AND(K136&gt;0.5,COUNTA(Q136)=1),"入力済",
IF(K136&lt;=0.5,"入力"&amp;CHAR(10)&amp;"不要")))</f>
        <v>要入力</v>
      </c>
      <c r="AV136" s="1043"/>
      <c r="AW136" s="1044"/>
      <c r="AX136" s="1045"/>
      <c r="BO136" s="282"/>
      <c r="BP136" s="282"/>
      <c r="BQ136" s="285">
        <v>45027</v>
      </c>
      <c r="BR136" s="283" t="str">
        <f t="shared" si="14"/>
        <v>火曜日</v>
      </c>
      <c r="BS136" s="283">
        <f t="shared" si="12"/>
        <v>0</v>
      </c>
      <c r="BT136" s="282"/>
      <c r="BU136" s="282"/>
      <c r="BV136" s="283"/>
      <c r="BW136" s="282"/>
      <c r="BX136" s="282"/>
      <c r="BY136" s="282" t="e">
        <f>#REF!</f>
        <v>#REF!</v>
      </c>
      <c r="BZ136" s="282"/>
      <c r="CA136" s="284">
        <v>18</v>
      </c>
      <c r="CB136" s="283"/>
    </row>
    <row r="137" spans="2:80">
      <c r="B137" s="1038"/>
      <c r="C137" s="1039"/>
      <c r="D137" s="1039"/>
      <c r="E137" s="1039"/>
      <c r="F137" s="1039"/>
      <c r="G137" s="1040"/>
      <c r="H137" s="1040"/>
      <c r="I137" s="1040"/>
      <c r="J137" s="1041"/>
      <c r="K137" s="1050"/>
      <c r="L137" s="1047"/>
      <c r="M137" s="1047"/>
      <c r="N137" s="1048"/>
      <c r="O137" s="1048"/>
      <c r="P137" s="1049"/>
      <c r="Q137" s="1063"/>
      <c r="R137" s="1064"/>
      <c r="S137" s="1064"/>
      <c r="T137" s="1064"/>
      <c r="U137" s="1064"/>
      <c r="V137" s="1064"/>
      <c r="W137" s="1064"/>
      <c r="X137" s="1064"/>
      <c r="Y137" s="1064"/>
      <c r="Z137" s="1064"/>
      <c r="AA137" s="1064"/>
      <c r="AB137" s="1064"/>
      <c r="AC137" s="1064"/>
      <c r="AD137" s="1064"/>
      <c r="AE137" s="1064"/>
      <c r="AF137" s="1064"/>
      <c r="AG137" s="1064"/>
      <c r="AH137" s="1064"/>
      <c r="AI137" s="1064"/>
      <c r="AJ137" s="1064"/>
      <c r="AK137" s="1064"/>
      <c r="AL137" s="1064"/>
      <c r="AM137" s="1064"/>
      <c r="AN137" s="1064"/>
      <c r="AO137" s="1064"/>
      <c r="AP137" s="1064"/>
      <c r="AQ137" s="1064"/>
      <c r="AR137" s="1064"/>
      <c r="AS137" s="1064"/>
      <c r="AT137" s="1065"/>
      <c r="AU137" s="1042"/>
      <c r="AV137" s="1043"/>
      <c r="AW137" s="1044"/>
      <c r="AX137" s="1045"/>
      <c r="BO137" s="282"/>
      <c r="BP137" s="282"/>
      <c r="BQ137" s="285">
        <v>45028</v>
      </c>
      <c r="BR137" s="283" t="str">
        <f t="shared" si="14"/>
        <v>水曜日</v>
      </c>
      <c r="BS137" s="283">
        <f t="shared" si="12"/>
        <v>0</v>
      </c>
      <c r="BT137" s="282"/>
      <c r="BU137" s="282"/>
      <c r="BV137" s="282"/>
      <c r="BW137" s="282"/>
      <c r="BX137" s="282"/>
      <c r="BY137" s="282"/>
      <c r="BZ137" s="282"/>
      <c r="CA137" s="284">
        <v>19</v>
      </c>
      <c r="CB137" s="283"/>
    </row>
    <row r="138" spans="2:80">
      <c r="B138" s="1038" t="s">
        <v>1119</v>
      </c>
      <c r="C138" s="1039"/>
      <c r="D138" s="1039"/>
      <c r="E138" s="1039"/>
      <c r="F138" s="1039"/>
      <c r="G138" s="1040"/>
      <c r="H138" s="1040"/>
      <c r="I138" s="1040"/>
      <c r="J138" s="1041"/>
      <c r="K138" s="1046">
        <f>N104</f>
        <v>2</v>
      </c>
      <c r="L138" s="1047"/>
      <c r="M138" s="1047"/>
      <c r="N138" s="1048"/>
      <c r="O138" s="1048"/>
      <c r="P138" s="1049"/>
      <c r="Q138" s="1060"/>
      <c r="R138" s="1061"/>
      <c r="S138" s="1061"/>
      <c r="T138" s="1061"/>
      <c r="U138" s="1061"/>
      <c r="V138" s="1061"/>
      <c r="W138" s="1061"/>
      <c r="X138" s="1061"/>
      <c r="Y138" s="1061"/>
      <c r="Z138" s="1061"/>
      <c r="AA138" s="1061"/>
      <c r="AB138" s="1061"/>
      <c r="AC138" s="1061"/>
      <c r="AD138" s="1061"/>
      <c r="AE138" s="1061"/>
      <c r="AF138" s="1061"/>
      <c r="AG138" s="1061"/>
      <c r="AH138" s="1061"/>
      <c r="AI138" s="1061"/>
      <c r="AJ138" s="1061"/>
      <c r="AK138" s="1061"/>
      <c r="AL138" s="1061"/>
      <c r="AM138" s="1061"/>
      <c r="AN138" s="1061"/>
      <c r="AO138" s="1061"/>
      <c r="AP138" s="1061"/>
      <c r="AQ138" s="1061"/>
      <c r="AR138" s="1061"/>
      <c r="AS138" s="1061"/>
      <c r="AT138" s="1062"/>
      <c r="AU138" s="1042" t="str">
        <f xml:space="preserve">
IF(AND(K138&gt;2,COUNTA(Q138)&lt;&gt;1),"要入力",
IF(AND(K138&gt;2,COUNTA(Q138)=1),"入力済",
IF(K138&lt;=2,"入力"&amp;CHAR(10)&amp;"不要")))</f>
        <v>入力
不要</v>
      </c>
      <c r="AV138" s="1043"/>
      <c r="AW138" s="1044"/>
      <c r="AX138" s="1045"/>
      <c r="BO138" s="282"/>
      <c r="BP138" s="282"/>
      <c r="BQ138" s="285">
        <v>45029</v>
      </c>
      <c r="BR138" s="283" t="str">
        <f t="shared" si="14"/>
        <v>木曜日</v>
      </c>
      <c r="BS138" s="283">
        <f t="shared" si="12"/>
        <v>0</v>
      </c>
      <c r="BT138" s="282"/>
      <c r="BU138" s="282"/>
      <c r="BV138" s="282"/>
      <c r="BW138" s="282"/>
      <c r="BX138" s="282"/>
      <c r="BY138" s="282"/>
      <c r="BZ138" s="282"/>
      <c r="CA138" s="284">
        <v>20</v>
      </c>
      <c r="CB138" s="283"/>
    </row>
    <row r="139" spans="2:80">
      <c r="B139" s="1038"/>
      <c r="C139" s="1039"/>
      <c r="D139" s="1039"/>
      <c r="E139" s="1039"/>
      <c r="F139" s="1039"/>
      <c r="G139" s="1040"/>
      <c r="H139" s="1040"/>
      <c r="I139" s="1040"/>
      <c r="J139" s="1041"/>
      <c r="K139" s="1050"/>
      <c r="L139" s="1047"/>
      <c r="M139" s="1047"/>
      <c r="N139" s="1048"/>
      <c r="O139" s="1048"/>
      <c r="P139" s="1049"/>
      <c r="Q139" s="1063"/>
      <c r="R139" s="1064"/>
      <c r="S139" s="1064"/>
      <c r="T139" s="1064"/>
      <c r="U139" s="1064"/>
      <c r="V139" s="1064"/>
      <c r="W139" s="1064"/>
      <c r="X139" s="1064"/>
      <c r="Y139" s="1064"/>
      <c r="Z139" s="1064"/>
      <c r="AA139" s="1064"/>
      <c r="AB139" s="1064"/>
      <c r="AC139" s="1064"/>
      <c r="AD139" s="1064"/>
      <c r="AE139" s="1064"/>
      <c r="AF139" s="1064"/>
      <c r="AG139" s="1064"/>
      <c r="AH139" s="1064"/>
      <c r="AI139" s="1064"/>
      <c r="AJ139" s="1064"/>
      <c r="AK139" s="1064"/>
      <c r="AL139" s="1064"/>
      <c r="AM139" s="1064"/>
      <c r="AN139" s="1064"/>
      <c r="AO139" s="1064"/>
      <c r="AP139" s="1064"/>
      <c r="AQ139" s="1064"/>
      <c r="AR139" s="1064"/>
      <c r="AS139" s="1064"/>
      <c r="AT139" s="1065"/>
      <c r="AU139" s="1042"/>
      <c r="AV139" s="1043"/>
      <c r="AW139" s="1044"/>
      <c r="AX139" s="1045"/>
      <c r="BO139" s="282"/>
      <c r="BP139" s="282"/>
      <c r="BQ139" s="285">
        <v>45030</v>
      </c>
      <c r="BR139" s="283" t="str">
        <f t="shared" si="14"/>
        <v>金曜日</v>
      </c>
      <c r="BS139" s="283">
        <f t="shared" si="12"/>
        <v>0</v>
      </c>
      <c r="BT139" s="282"/>
      <c r="BU139" s="282"/>
      <c r="BV139" s="282"/>
      <c r="BW139" s="282"/>
      <c r="BX139" s="282"/>
      <c r="BY139" s="282"/>
      <c r="BZ139" s="282"/>
      <c r="CA139" s="284">
        <v>21</v>
      </c>
      <c r="CB139" s="283"/>
    </row>
    <row r="140" spans="2:80">
      <c r="B140" s="1038" t="s">
        <v>478</v>
      </c>
      <c r="C140" s="1039"/>
      <c r="D140" s="1039"/>
      <c r="E140" s="1039"/>
      <c r="F140" s="1039"/>
      <c r="G140" s="1040"/>
      <c r="H140" s="1040"/>
      <c r="I140" s="1040"/>
      <c r="J140" s="1041"/>
      <c r="K140" s="1051">
        <f>N107</f>
        <v>2</v>
      </c>
      <c r="L140" s="1052"/>
      <c r="M140" s="1052"/>
      <c r="N140" s="1053"/>
      <c r="O140" s="1053"/>
      <c r="P140" s="1054"/>
      <c r="Q140" s="1060">
        <v>1</v>
      </c>
      <c r="R140" s="1061"/>
      <c r="S140" s="1061"/>
      <c r="T140" s="1061"/>
      <c r="U140" s="1061"/>
      <c r="V140" s="1061"/>
      <c r="W140" s="1061"/>
      <c r="X140" s="1061"/>
      <c r="Y140" s="1061"/>
      <c r="Z140" s="1061"/>
      <c r="AA140" s="1061"/>
      <c r="AB140" s="1061"/>
      <c r="AC140" s="1061"/>
      <c r="AD140" s="1061"/>
      <c r="AE140" s="1061"/>
      <c r="AF140" s="1061"/>
      <c r="AG140" s="1061"/>
      <c r="AH140" s="1061"/>
      <c r="AI140" s="1061"/>
      <c r="AJ140" s="1061"/>
      <c r="AK140" s="1061"/>
      <c r="AL140" s="1061"/>
      <c r="AM140" s="1061"/>
      <c r="AN140" s="1061"/>
      <c r="AO140" s="1061"/>
      <c r="AP140" s="1061"/>
      <c r="AQ140" s="1061"/>
      <c r="AR140" s="1061"/>
      <c r="AS140" s="1061"/>
      <c r="AT140" s="1062"/>
      <c r="AU140" s="1042" t="str">
        <f xml:space="preserve">
IF(AND(K140&gt;2,COUNTA(Q140)&lt;&gt;1),"要入力",
IF(AND(K140&gt;2,COUNTA(Q140)=1),"入力済",
IF(K140&lt;=2,"入力"&amp;CHAR(10)&amp;"不要")))</f>
        <v>入力
不要</v>
      </c>
      <c r="AV140" s="1043"/>
      <c r="AW140" s="1044"/>
      <c r="AX140" s="1045"/>
      <c r="BO140" s="282"/>
      <c r="BP140" s="282"/>
      <c r="BQ140" s="285">
        <v>45031</v>
      </c>
      <c r="BR140" s="283" t="str">
        <f t="shared" si="14"/>
        <v>土曜日</v>
      </c>
      <c r="BS140" s="283">
        <f t="shared" si="12"/>
        <v>0</v>
      </c>
      <c r="BT140" s="282"/>
      <c r="BU140" s="282"/>
      <c r="BV140" s="282"/>
      <c r="BW140" s="282"/>
      <c r="BX140" s="282"/>
      <c r="BY140" s="282"/>
      <c r="BZ140" s="282"/>
      <c r="CA140" s="284">
        <v>22</v>
      </c>
      <c r="CB140" s="283"/>
    </row>
    <row r="141" spans="2:80">
      <c r="B141" s="1038"/>
      <c r="C141" s="1039"/>
      <c r="D141" s="1039"/>
      <c r="E141" s="1039"/>
      <c r="F141" s="1039"/>
      <c r="G141" s="1040"/>
      <c r="H141" s="1040"/>
      <c r="I141" s="1040"/>
      <c r="J141" s="1041"/>
      <c r="K141" s="1055"/>
      <c r="L141" s="1052"/>
      <c r="M141" s="1052"/>
      <c r="N141" s="1053"/>
      <c r="O141" s="1053"/>
      <c r="P141" s="1054"/>
      <c r="Q141" s="1063"/>
      <c r="R141" s="1064"/>
      <c r="S141" s="1064"/>
      <c r="T141" s="1064"/>
      <c r="U141" s="1064"/>
      <c r="V141" s="1064"/>
      <c r="W141" s="1064"/>
      <c r="X141" s="1064"/>
      <c r="Y141" s="1064"/>
      <c r="Z141" s="1064"/>
      <c r="AA141" s="1064"/>
      <c r="AB141" s="1064"/>
      <c r="AC141" s="1064"/>
      <c r="AD141" s="1064"/>
      <c r="AE141" s="1064"/>
      <c r="AF141" s="1064"/>
      <c r="AG141" s="1064"/>
      <c r="AH141" s="1064"/>
      <c r="AI141" s="1064"/>
      <c r="AJ141" s="1064"/>
      <c r="AK141" s="1064"/>
      <c r="AL141" s="1064"/>
      <c r="AM141" s="1064"/>
      <c r="AN141" s="1064"/>
      <c r="AO141" s="1064"/>
      <c r="AP141" s="1064"/>
      <c r="AQ141" s="1064"/>
      <c r="AR141" s="1064"/>
      <c r="AS141" s="1064"/>
      <c r="AT141" s="1065"/>
      <c r="AU141" s="1042"/>
      <c r="AV141" s="1043"/>
      <c r="AW141" s="1044"/>
      <c r="AX141" s="1045"/>
      <c r="BO141" s="282"/>
      <c r="BP141" s="282"/>
      <c r="BQ141" s="285">
        <v>45032</v>
      </c>
      <c r="BR141" s="283" t="str">
        <f t="shared" si="14"/>
        <v>日曜日</v>
      </c>
      <c r="BS141" s="283">
        <f t="shared" si="12"/>
        <v>0</v>
      </c>
      <c r="BT141" s="282"/>
      <c r="BU141" s="282"/>
      <c r="BV141" s="282"/>
      <c r="BW141" s="282"/>
      <c r="BX141" s="282"/>
      <c r="BY141" s="282"/>
      <c r="BZ141" s="282"/>
      <c r="CA141" s="284">
        <v>23</v>
      </c>
      <c r="CB141" s="283"/>
    </row>
    <row r="142" spans="2:80">
      <c r="B142" s="1038" t="s">
        <v>1120</v>
      </c>
      <c r="C142" s="1039"/>
      <c r="D142" s="1039"/>
      <c r="E142" s="1039"/>
      <c r="F142" s="1039"/>
      <c r="G142" s="1040"/>
      <c r="H142" s="1040"/>
      <c r="I142" s="1040"/>
      <c r="J142" s="1041"/>
      <c r="K142" s="1051">
        <f>N110</f>
        <v>2</v>
      </c>
      <c r="L142" s="1052"/>
      <c r="M142" s="1052"/>
      <c r="N142" s="1053"/>
      <c r="O142" s="1053"/>
      <c r="P142" s="1054"/>
      <c r="Q142" s="1060"/>
      <c r="R142" s="1061"/>
      <c r="S142" s="1061"/>
      <c r="T142" s="1061"/>
      <c r="U142" s="1061"/>
      <c r="V142" s="1061"/>
      <c r="W142" s="1061"/>
      <c r="X142" s="1061"/>
      <c r="Y142" s="1061"/>
      <c r="Z142" s="1061"/>
      <c r="AA142" s="1061"/>
      <c r="AB142" s="1061"/>
      <c r="AC142" s="1061"/>
      <c r="AD142" s="1061"/>
      <c r="AE142" s="1061"/>
      <c r="AF142" s="1061"/>
      <c r="AG142" s="1061"/>
      <c r="AH142" s="1061"/>
      <c r="AI142" s="1061"/>
      <c r="AJ142" s="1061"/>
      <c r="AK142" s="1061"/>
      <c r="AL142" s="1061"/>
      <c r="AM142" s="1061"/>
      <c r="AN142" s="1061"/>
      <c r="AO142" s="1061"/>
      <c r="AP142" s="1061"/>
      <c r="AQ142" s="1061"/>
      <c r="AR142" s="1061"/>
      <c r="AS142" s="1061"/>
      <c r="AT142" s="1062"/>
      <c r="AU142" s="1042" t="str">
        <f xml:space="preserve">
IF(AND(K142&gt;2,COUNTA(Q142)&lt;&gt;1),"要入力",
IF(AND(K142&gt;2,COUNTA(Q142)=1),"入力済",
IF(K142&lt;=2,"入力"&amp;CHAR(10)&amp;"不要")))</f>
        <v>入力
不要</v>
      </c>
      <c r="AV142" s="1043"/>
      <c r="AW142" s="1044"/>
      <c r="AX142" s="1045"/>
      <c r="BO142" s="282"/>
      <c r="BP142" s="282"/>
      <c r="BQ142" s="285">
        <v>45033</v>
      </c>
      <c r="BR142" s="283" t="str">
        <f t="shared" si="14"/>
        <v>月曜日</v>
      </c>
      <c r="BS142" s="283">
        <f t="shared" si="12"/>
        <v>0</v>
      </c>
      <c r="BT142" s="282"/>
      <c r="BU142" s="282"/>
      <c r="BV142" s="282"/>
      <c r="BW142" s="282"/>
      <c r="BX142" s="282"/>
      <c r="BY142" s="282"/>
      <c r="BZ142" s="282"/>
      <c r="CA142" s="284">
        <v>24</v>
      </c>
      <c r="CB142" s="283"/>
    </row>
    <row r="143" spans="2:80">
      <c r="B143" s="1038"/>
      <c r="C143" s="1039"/>
      <c r="D143" s="1039"/>
      <c r="E143" s="1039"/>
      <c r="F143" s="1039"/>
      <c r="G143" s="1040"/>
      <c r="H143" s="1040"/>
      <c r="I143" s="1040"/>
      <c r="J143" s="1041"/>
      <c r="K143" s="1055"/>
      <c r="L143" s="1052"/>
      <c r="M143" s="1052"/>
      <c r="N143" s="1053"/>
      <c r="O143" s="1053"/>
      <c r="P143" s="1054"/>
      <c r="Q143" s="1063"/>
      <c r="R143" s="1064"/>
      <c r="S143" s="1064"/>
      <c r="T143" s="1064"/>
      <c r="U143" s="1064"/>
      <c r="V143" s="1064"/>
      <c r="W143" s="1064"/>
      <c r="X143" s="1064"/>
      <c r="Y143" s="1064"/>
      <c r="Z143" s="1064"/>
      <c r="AA143" s="1064"/>
      <c r="AB143" s="1064"/>
      <c r="AC143" s="1064"/>
      <c r="AD143" s="1064"/>
      <c r="AE143" s="1064"/>
      <c r="AF143" s="1064"/>
      <c r="AG143" s="1064"/>
      <c r="AH143" s="1064"/>
      <c r="AI143" s="1064"/>
      <c r="AJ143" s="1064"/>
      <c r="AK143" s="1064"/>
      <c r="AL143" s="1064"/>
      <c r="AM143" s="1064"/>
      <c r="AN143" s="1064"/>
      <c r="AO143" s="1064"/>
      <c r="AP143" s="1064"/>
      <c r="AQ143" s="1064"/>
      <c r="AR143" s="1064"/>
      <c r="AS143" s="1064"/>
      <c r="AT143" s="1065"/>
      <c r="AU143" s="1042"/>
      <c r="AV143" s="1043"/>
      <c r="AW143" s="1044"/>
      <c r="AX143" s="1045"/>
      <c r="BO143" s="282"/>
      <c r="BP143" s="282"/>
      <c r="BQ143" s="285">
        <v>45034</v>
      </c>
      <c r="BR143" s="283" t="str">
        <f t="shared" si="14"/>
        <v>火曜日</v>
      </c>
      <c r="BS143" s="283">
        <f t="shared" si="12"/>
        <v>0</v>
      </c>
      <c r="BT143" s="282"/>
      <c r="BU143" s="282"/>
      <c r="BV143" s="282"/>
      <c r="BW143" s="282"/>
      <c r="BX143" s="282"/>
      <c r="BY143" s="282"/>
      <c r="BZ143" s="282"/>
      <c r="CA143" s="284">
        <v>25</v>
      </c>
      <c r="CB143" s="283"/>
    </row>
    <row r="144" spans="2:80">
      <c r="B144" s="1038" t="s">
        <v>1121</v>
      </c>
      <c r="C144" s="1039"/>
      <c r="D144" s="1039"/>
      <c r="E144" s="1039"/>
      <c r="F144" s="1039"/>
      <c r="G144" s="1040"/>
      <c r="H144" s="1040"/>
      <c r="I144" s="1040"/>
      <c r="J144" s="1041"/>
      <c r="K144" s="1046">
        <f>N113</f>
        <v>2</v>
      </c>
      <c r="L144" s="1047"/>
      <c r="M144" s="1047"/>
      <c r="N144" s="1048"/>
      <c r="O144" s="1048"/>
      <c r="P144" s="1049"/>
      <c r="Q144" s="1060"/>
      <c r="R144" s="1061"/>
      <c r="S144" s="1061"/>
      <c r="T144" s="1061"/>
      <c r="U144" s="1061"/>
      <c r="V144" s="1061"/>
      <c r="W144" s="1061"/>
      <c r="X144" s="1061"/>
      <c r="Y144" s="1061"/>
      <c r="Z144" s="1061"/>
      <c r="AA144" s="1061"/>
      <c r="AB144" s="1061"/>
      <c r="AC144" s="1061"/>
      <c r="AD144" s="1061"/>
      <c r="AE144" s="1061"/>
      <c r="AF144" s="1061"/>
      <c r="AG144" s="1061"/>
      <c r="AH144" s="1061"/>
      <c r="AI144" s="1061"/>
      <c r="AJ144" s="1061"/>
      <c r="AK144" s="1061"/>
      <c r="AL144" s="1061"/>
      <c r="AM144" s="1061"/>
      <c r="AN144" s="1061"/>
      <c r="AO144" s="1061"/>
      <c r="AP144" s="1061"/>
      <c r="AQ144" s="1061"/>
      <c r="AR144" s="1061"/>
      <c r="AS144" s="1061"/>
      <c r="AT144" s="1062"/>
      <c r="AU144" s="1042" t="str">
        <f xml:space="preserve">
IF(AND(K144&gt;0.5,COUNTA(Q144)&lt;&gt;1),"要入力",
IF(AND(K144&gt;0.5,COUNTA(Q144)=1),"入力済",
IF(K144&lt;=0.5,"入力"&amp;CHAR(10)&amp;"不要")))</f>
        <v>要入力</v>
      </c>
      <c r="AV144" s="1043"/>
      <c r="AW144" s="1044"/>
      <c r="AX144" s="1045"/>
      <c r="BO144" s="282"/>
      <c r="BP144" s="282"/>
      <c r="BQ144" s="285">
        <v>45035</v>
      </c>
      <c r="BR144" s="283" t="str">
        <f t="shared" si="14"/>
        <v>水曜日</v>
      </c>
      <c r="BS144" s="283">
        <f t="shared" si="12"/>
        <v>0</v>
      </c>
      <c r="BT144" s="282"/>
      <c r="BU144" s="282"/>
      <c r="BV144" s="282"/>
      <c r="BW144" s="282"/>
      <c r="BX144" s="282"/>
      <c r="BY144" s="282"/>
      <c r="BZ144" s="282"/>
      <c r="CA144" s="284">
        <v>26</v>
      </c>
      <c r="CB144" s="283"/>
    </row>
    <row r="145" spans="2:80">
      <c r="B145" s="1038"/>
      <c r="C145" s="1039"/>
      <c r="D145" s="1039"/>
      <c r="E145" s="1039"/>
      <c r="F145" s="1039"/>
      <c r="G145" s="1040"/>
      <c r="H145" s="1040"/>
      <c r="I145" s="1040"/>
      <c r="J145" s="1041"/>
      <c r="K145" s="1050"/>
      <c r="L145" s="1047"/>
      <c r="M145" s="1047"/>
      <c r="N145" s="1048"/>
      <c r="O145" s="1048"/>
      <c r="P145" s="1049"/>
      <c r="Q145" s="1063"/>
      <c r="R145" s="1064"/>
      <c r="S145" s="1064"/>
      <c r="T145" s="1064"/>
      <c r="U145" s="1064"/>
      <c r="V145" s="1064"/>
      <c r="W145" s="1064"/>
      <c r="X145" s="1064"/>
      <c r="Y145" s="1064"/>
      <c r="Z145" s="1064"/>
      <c r="AA145" s="1064"/>
      <c r="AB145" s="1064"/>
      <c r="AC145" s="1064"/>
      <c r="AD145" s="1064"/>
      <c r="AE145" s="1064"/>
      <c r="AF145" s="1064"/>
      <c r="AG145" s="1064"/>
      <c r="AH145" s="1064"/>
      <c r="AI145" s="1064"/>
      <c r="AJ145" s="1064"/>
      <c r="AK145" s="1064"/>
      <c r="AL145" s="1064"/>
      <c r="AM145" s="1064"/>
      <c r="AN145" s="1064"/>
      <c r="AO145" s="1064"/>
      <c r="AP145" s="1064"/>
      <c r="AQ145" s="1064"/>
      <c r="AR145" s="1064"/>
      <c r="AS145" s="1064"/>
      <c r="AT145" s="1065"/>
      <c r="AU145" s="1042"/>
      <c r="AV145" s="1043"/>
      <c r="AW145" s="1044"/>
      <c r="AX145" s="1045"/>
      <c r="BO145" s="282"/>
      <c r="BP145" s="282"/>
      <c r="BQ145" s="285">
        <v>45036</v>
      </c>
      <c r="BR145" s="283" t="str">
        <f t="shared" si="14"/>
        <v>木曜日</v>
      </c>
      <c r="BS145" s="283">
        <f t="shared" si="12"/>
        <v>0</v>
      </c>
      <c r="BT145" s="282"/>
      <c r="BU145" s="282"/>
      <c r="BV145" s="282"/>
      <c r="BW145" s="282"/>
      <c r="BX145" s="282"/>
      <c r="BY145" s="282"/>
      <c r="BZ145" s="282"/>
      <c r="CA145" s="284">
        <v>27</v>
      </c>
      <c r="CB145" s="283"/>
    </row>
    <row r="146" spans="2:80">
      <c r="B146" s="1038" t="s">
        <v>1122</v>
      </c>
      <c r="C146" s="1039"/>
      <c r="D146" s="1039"/>
      <c r="E146" s="1039"/>
      <c r="F146" s="1039"/>
      <c r="G146" s="1040"/>
      <c r="H146" s="1040"/>
      <c r="I146" s="1040"/>
      <c r="J146" s="1041"/>
      <c r="K146" s="1051">
        <f>N116</f>
        <v>2</v>
      </c>
      <c r="L146" s="1052"/>
      <c r="M146" s="1052"/>
      <c r="N146" s="1053"/>
      <c r="O146" s="1053"/>
      <c r="P146" s="1054"/>
      <c r="Q146" s="1060"/>
      <c r="R146" s="1061"/>
      <c r="S146" s="1061"/>
      <c r="T146" s="1061"/>
      <c r="U146" s="1061"/>
      <c r="V146" s="1061"/>
      <c r="W146" s="1061"/>
      <c r="X146" s="1061"/>
      <c r="Y146" s="1061"/>
      <c r="Z146" s="1061"/>
      <c r="AA146" s="1061"/>
      <c r="AB146" s="1061"/>
      <c r="AC146" s="1061"/>
      <c r="AD146" s="1061"/>
      <c r="AE146" s="1061"/>
      <c r="AF146" s="1061"/>
      <c r="AG146" s="1061"/>
      <c r="AH146" s="1061"/>
      <c r="AI146" s="1061"/>
      <c r="AJ146" s="1061"/>
      <c r="AK146" s="1061"/>
      <c r="AL146" s="1061"/>
      <c r="AM146" s="1061"/>
      <c r="AN146" s="1061"/>
      <c r="AO146" s="1061"/>
      <c r="AP146" s="1061"/>
      <c r="AQ146" s="1061"/>
      <c r="AR146" s="1061"/>
      <c r="AS146" s="1061"/>
      <c r="AT146" s="1062"/>
      <c r="AU146" s="1042" t="str">
        <f xml:space="preserve">
IF(AND(K146&gt;2,COUNTA(Q146)&lt;&gt;1),"要入力",
IF(AND(K146&gt;2,COUNTA(Q146)=1),"入力済",
IF(K146&lt;=2,"入力"&amp;CHAR(10)&amp;"不要")))</f>
        <v>入力
不要</v>
      </c>
      <c r="AV146" s="1043"/>
      <c r="AW146" s="1044"/>
      <c r="AX146" s="1045"/>
      <c r="BO146" s="282"/>
      <c r="BP146" s="282"/>
      <c r="BQ146" s="285">
        <v>45037</v>
      </c>
      <c r="BR146" s="283" t="str">
        <f t="shared" si="14"/>
        <v>金曜日</v>
      </c>
      <c r="BS146" s="283">
        <f t="shared" si="12"/>
        <v>0</v>
      </c>
      <c r="BT146" s="282"/>
      <c r="BU146" s="282"/>
      <c r="BV146" s="282"/>
      <c r="BW146" s="282"/>
      <c r="BX146" s="282"/>
      <c r="BY146" s="282"/>
      <c r="BZ146" s="282"/>
      <c r="CA146" s="284">
        <v>28</v>
      </c>
      <c r="CB146" s="283"/>
    </row>
    <row r="147" spans="2:80">
      <c r="B147" s="1038"/>
      <c r="C147" s="1039"/>
      <c r="D147" s="1039"/>
      <c r="E147" s="1039"/>
      <c r="F147" s="1039"/>
      <c r="G147" s="1040"/>
      <c r="H147" s="1040"/>
      <c r="I147" s="1040"/>
      <c r="J147" s="1041"/>
      <c r="K147" s="1055"/>
      <c r="L147" s="1052"/>
      <c r="M147" s="1052"/>
      <c r="N147" s="1053"/>
      <c r="O147" s="1053"/>
      <c r="P147" s="1054"/>
      <c r="Q147" s="1063"/>
      <c r="R147" s="1064"/>
      <c r="S147" s="1064"/>
      <c r="T147" s="1064"/>
      <c r="U147" s="1064"/>
      <c r="V147" s="1064"/>
      <c r="W147" s="1064"/>
      <c r="X147" s="1064"/>
      <c r="Y147" s="1064"/>
      <c r="Z147" s="1064"/>
      <c r="AA147" s="1064"/>
      <c r="AB147" s="1064"/>
      <c r="AC147" s="1064"/>
      <c r="AD147" s="1064"/>
      <c r="AE147" s="1064"/>
      <c r="AF147" s="1064"/>
      <c r="AG147" s="1064"/>
      <c r="AH147" s="1064"/>
      <c r="AI147" s="1064"/>
      <c r="AJ147" s="1064"/>
      <c r="AK147" s="1064"/>
      <c r="AL147" s="1064"/>
      <c r="AM147" s="1064"/>
      <c r="AN147" s="1064"/>
      <c r="AO147" s="1064"/>
      <c r="AP147" s="1064"/>
      <c r="AQ147" s="1064"/>
      <c r="AR147" s="1064"/>
      <c r="AS147" s="1064"/>
      <c r="AT147" s="1065"/>
      <c r="AU147" s="1042"/>
      <c r="AV147" s="1043"/>
      <c r="AW147" s="1044"/>
      <c r="AX147" s="1045"/>
      <c r="BO147" s="282"/>
      <c r="BP147" s="282"/>
      <c r="BQ147" s="285">
        <v>45038</v>
      </c>
      <c r="BR147" s="283" t="str">
        <f t="shared" si="14"/>
        <v>土曜日</v>
      </c>
      <c r="BS147" s="283">
        <f t="shared" si="12"/>
        <v>0</v>
      </c>
      <c r="BT147" s="282"/>
      <c r="BU147" s="282"/>
      <c r="BV147" s="282"/>
      <c r="BW147" s="282"/>
      <c r="BX147" s="282"/>
      <c r="BY147" s="282"/>
      <c r="BZ147" s="282"/>
      <c r="CA147" s="284">
        <v>29</v>
      </c>
      <c r="CB147" s="283"/>
    </row>
    <row r="148" spans="2:80">
      <c r="B148" s="1038" t="s">
        <v>1123</v>
      </c>
      <c r="C148" s="1039"/>
      <c r="D148" s="1039"/>
      <c r="E148" s="1039"/>
      <c r="F148" s="1039"/>
      <c r="G148" s="1040"/>
      <c r="H148" s="1040"/>
      <c r="I148" s="1040"/>
      <c r="J148" s="1041"/>
      <c r="K148" s="1051">
        <f>N119</f>
        <v>2</v>
      </c>
      <c r="L148" s="1052"/>
      <c r="M148" s="1052"/>
      <c r="N148" s="1053"/>
      <c r="O148" s="1053"/>
      <c r="P148" s="1054"/>
      <c r="Q148" s="1060">
        <v>1</v>
      </c>
      <c r="R148" s="1061"/>
      <c r="S148" s="1061"/>
      <c r="T148" s="1061"/>
      <c r="U148" s="1061"/>
      <c r="V148" s="1061"/>
      <c r="W148" s="1061"/>
      <c r="X148" s="1061"/>
      <c r="Y148" s="1061"/>
      <c r="Z148" s="1061"/>
      <c r="AA148" s="1061"/>
      <c r="AB148" s="1061"/>
      <c r="AC148" s="1061"/>
      <c r="AD148" s="1061"/>
      <c r="AE148" s="1061"/>
      <c r="AF148" s="1061"/>
      <c r="AG148" s="1061"/>
      <c r="AH148" s="1061"/>
      <c r="AI148" s="1061"/>
      <c r="AJ148" s="1061"/>
      <c r="AK148" s="1061"/>
      <c r="AL148" s="1061"/>
      <c r="AM148" s="1061"/>
      <c r="AN148" s="1061"/>
      <c r="AO148" s="1061"/>
      <c r="AP148" s="1061"/>
      <c r="AQ148" s="1061"/>
      <c r="AR148" s="1061"/>
      <c r="AS148" s="1061"/>
      <c r="AT148" s="1062"/>
      <c r="AU148" s="1042" t="str">
        <f xml:space="preserve">
IF(AND(K148&gt;0.5,COUNTA(Q148)&lt;&gt;1),"要入力",
IF(AND(K148&gt;0.5,COUNTA(Q148)=1),"入力済",
IF(K148&lt;=0.5,"入力"&amp;CHAR(10)&amp;"不要")))</f>
        <v>入力済</v>
      </c>
      <c r="AV148" s="1043"/>
      <c r="AW148" s="1044"/>
      <c r="AX148" s="1045"/>
      <c r="BO148" s="282"/>
      <c r="BP148" s="282"/>
      <c r="BQ148" s="285">
        <v>45039</v>
      </c>
      <c r="BR148" s="283" t="str">
        <f t="shared" si="14"/>
        <v>日曜日</v>
      </c>
      <c r="BS148" s="283">
        <f t="shared" si="12"/>
        <v>0</v>
      </c>
      <c r="BT148" s="282"/>
      <c r="BU148" s="282"/>
      <c r="BV148" s="282"/>
      <c r="BW148" s="282"/>
      <c r="BX148" s="282"/>
      <c r="BY148" s="282"/>
      <c r="BZ148" s="282"/>
      <c r="CA148" s="284">
        <v>30</v>
      </c>
      <c r="CB148" s="283"/>
    </row>
    <row r="149" spans="2:80" ht="18.75" thickBot="1">
      <c r="B149" s="1038"/>
      <c r="C149" s="1039"/>
      <c r="D149" s="1039"/>
      <c r="E149" s="1039"/>
      <c r="F149" s="1039"/>
      <c r="G149" s="1040"/>
      <c r="H149" s="1040"/>
      <c r="I149" s="1040"/>
      <c r="J149" s="1041"/>
      <c r="K149" s="1055"/>
      <c r="L149" s="1052"/>
      <c r="M149" s="1052"/>
      <c r="N149" s="1053"/>
      <c r="O149" s="1053"/>
      <c r="P149" s="1054"/>
      <c r="Q149" s="1063"/>
      <c r="R149" s="1064"/>
      <c r="S149" s="1064"/>
      <c r="T149" s="1064"/>
      <c r="U149" s="1064"/>
      <c r="V149" s="1064"/>
      <c r="W149" s="1064"/>
      <c r="X149" s="1064"/>
      <c r="Y149" s="1064"/>
      <c r="Z149" s="1064"/>
      <c r="AA149" s="1064"/>
      <c r="AB149" s="1064"/>
      <c r="AC149" s="1064"/>
      <c r="AD149" s="1064"/>
      <c r="AE149" s="1064"/>
      <c r="AF149" s="1064"/>
      <c r="AG149" s="1064"/>
      <c r="AH149" s="1064"/>
      <c r="AI149" s="1064"/>
      <c r="AJ149" s="1064"/>
      <c r="AK149" s="1064"/>
      <c r="AL149" s="1064"/>
      <c r="AM149" s="1064"/>
      <c r="AN149" s="1064"/>
      <c r="AO149" s="1064"/>
      <c r="AP149" s="1064"/>
      <c r="AQ149" s="1064"/>
      <c r="AR149" s="1064"/>
      <c r="AS149" s="1064"/>
      <c r="AT149" s="1065"/>
      <c r="AU149" s="1056"/>
      <c r="AV149" s="1057"/>
      <c r="AW149" s="1058"/>
      <c r="AX149" s="1059"/>
      <c r="BO149" s="282"/>
      <c r="BP149" s="282"/>
      <c r="BQ149" s="285">
        <v>45040</v>
      </c>
      <c r="BR149" s="283" t="str">
        <f t="shared" si="14"/>
        <v>月曜日</v>
      </c>
      <c r="BS149" s="283">
        <f t="shared" si="12"/>
        <v>0</v>
      </c>
      <c r="BT149" s="282"/>
      <c r="BU149" s="282"/>
      <c r="BV149" s="282"/>
      <c r="BW149" s="282"/>
      <c r="BX149" s="282"/>
      <c r="BY149" s="282"/>
      <c r="BZ149" s="282"/>
      <c r="CA149" s="288"/>
      <c r="CB149" s="282"/>
    </row>
    <row r="150" spans="2:80" ht="18.75" thickTop="1">
      <c r="BO150" s="282"/>
      <c r="BP150" s="282"/>
      <c r="BQ150" s="285">
        <v>45041</v>
      </c>
      <c r="BR150" s="283" t="str">
        <f t="shared" si="14"/>
        <v>火曜日</v>
      </c>
      <c r="BS150" s="283">
        <f t="shared" si="12"/>
        <v>0</v>
      </c>
      <c r="BT150" s="282"/>
      <c r="BU150" s="282"/>
      <c r="BV150" s="282"/>
      <c r="BW150" s="282"/>
      <c r="BX150" s="282"/>
      <c r="BY150" s="282"/>
      <c r="BZ150" s="282"/>
      <c r="CA150" s="288"/>
      <c r="CB150" s="282"/>
    </row>
    <row r="151" spans="2:80">
      <c r="BO151" s="282"/>
      <c r="BP151" s="282"/>
      <c r="BQ151" s="285">
        <v>45042</v>
      </c>
      <c r="BR151" s="283" t="str">
        <f t="shared" si="14"/>
        <v>水曜日</v>
      </c>
      <c r="BS151" s="283">
        <f t="shared" si="12"/>
        <v>0</v>
      </c>
      <c r="BT151" s="282"/>
      <c r="BU151" s="282"/>
      <c r="BV151" s="282"/>
      <c r="BW151" s="282"/>
      <c r="BX151" s="282"/>
      <c r="BY151" s="282"/>
      <c r="BZ151" s="282"/>
      <c r="CA151" s="288"/>
      <c r="CB151" s="282"/>
    </row>
    <row r="152" spans="2:80">
      <c r="BO152" s="282"/>
      <c r="BP152" s="282"/>
      <c r="BQ152" s="285">
        <v>45043</v>
      </c>
      <c r="BR152" s="283" t="str">
        <f t="shared" si="14"/>
        <v>木曜日</v>
      </c>
      <c r="BS152" s="283">
        <f t="shared" si="12"/>
        <v>0</v>
      </c>
      <c r="BT152" s="282"/>
      <c r="BU152" s="282"/>
      <c r="BV152" s="282"/>
      <c r="BW152" s="282"/>
      <c r="BX152" s="282"/>
      <c r="BY152" s="282"/>
      <c r="BZ152" s="282"/>
      <c r="CA152" s="288"/>
      <c r="CB152" s="282"/>
    </row>
    <row r="153" spans="2:80">
      <c r="BO153" s="282"/>
      <c r="BP153" s="282"/>
      <c r="BQ153" s="285">
        <v>45044</v>
      </c>
      <c r="BR153" s="283" t="str">
        <f t="shared" si="14"/>
        <v>金曜日</v>
      </c>
      <c r="BS153" s="283">
        <f t="shared" si="12"/>
        <v>0</v>
      </c>
      <c r="BT153" s="282"/>
      <c r="BU153" s="282"/>
      <c r="BV153" s="282"/>
      <c r="BW153" s="282"/>
      <c r="BX153" s="282"/>
      <c r="BY153" s="282"/>
      <c r="BZ153" s="282"/>
      <c r="CA153" s="288"/>
      <c r="CB153" s="282"/>
    </row>
    <row r="154" spans="2:80">
      <c r="BO154" s="282"/>
      <c r="BP154" s="282"/>
      <c r="BQ154" s="285">
        <v>45045</v>
      </c>
      <c r="BR154" s="283" t="str">
        <f t="shared" si="14"/>
        <v>土曜日</v>
      </c>
      <c r="BS154" s="283">
        <f t="shared" si="12"/>
        <v>0</v>
      </c>
      <c r="BT154" s="282"/>
      <c r="BU154" s="282"/>
      <c r="BV154" s="282"/>
      <c r="BW154" s="282"/>
      <c r="BX154" s="282"/>
      <c r="BY154" s="282"/>
      <c r="BZ154" s="282"/>
      <c r="CA154" s="288"/>
      <c r="CB154" s="282"/>
    </row>
    <row r="155" spans="2:80">
      <c r="BO155" s="282"/>
      <c r="BP155" s="282"/>
      <c r="BQ155" s="285">
        <v>45046</v>
      </c>
      <c r="BR155" s="283" t="str">
        <f t="shared" si="14"/>
        <v>日曜日</v>
      </c>
      <c r="BS155" s="283">
        <f t="shared" si="12"/>
        <v>0</v>
      </c>
      <c r="BT155" s="282"/>
      <c r="BU155" s="282"/>
      <c r="BV155" s="282"/>
      <c r="BW155" s="282"/>
      <c r="BX155" s="282"/>
      <c r="BY155" s="282"/>
      <c r="BZ155" s="282"/>
      <c r="CA155" s="288"/>
      <c r="CB155" s="282"/>
    </row>
    <row r="156" spans="2:80">
      <c r="BO156" s="282"/>
      <c r="BP156" s="282"/>
      <c r="BQ156" s="285">
        <v>45047</v>
      </c>
      <c r="BR156" s="283" t="str">
        <f t="shared" si="14"/>
        <v>月曜日</v>
      </c>
      <c r="BS156" s="283">
        <f t="shared" si="12"/>
        <v>0</v>
      </c>
      <c r="BT156" s="282"/>
      <c r="BU156" s="282"/>
      <c r="BV156" s="282"/>
      <c r="BW156" s="282"/>
      <c r="BX156" s="282"/>
      <c r="BY156" s="282"/>
      <c r="BZ156" s="282"/>
      <c r="CA156" s="288"/>
      <c r="CB156" s="282"/>
    </row>
    <row r="157" spans="2:80">
      <c r="BO157" s="282"/>
      <c r="BP157" s="282"/>
      <c r="BQ157" s="285">
        <v>45048</v>
      </c>
      <c r="BR157" s="283" t="str">
        <f t="shared" si="14"/>
        <v>火曜日</v>
      </c>
      <c r="BS157" s="283">
        <f t="shared" si="12"/>
        <v>0</v>
      </c>
      <c r="BT157" s="282"/>
      <c r="BU157" s="282"/>
      <c r="BV157" s="282"/>
      <c r="BW157" s="282"/>
      <c r="BX157" s="282"/>
      <c r="BY157" s="282"/>
      <c r="BZ157" s="282"/>
      <c r="CA157" s="288"/>
      <c r="CB157" s="282"/>
    </row>
    <row r="158" spans="2:80">
      <c r="BO158" s="282"/>
      <c r="BP158" s="282"/>
      <c r="BQ158" s="285">
        <v>45049</v>
      </c>
      <c r="BR158" s="283" t="str">
        <f t="shared" si="14"/>
        <v>水曜日</v>
      </c>
      <c r="BS158" s="283">
        <f t="shared" si="12"/>
        <v>0</v>
      </c>
      <c r="BT158" s="282"/>
      <c r="BU158" s="282"/>
      <c r="BV158" s="282"/>
      <c r="BW158" s="282"/>
      <c r="BX158" s="282"/>
      <c r="BY158" s="282"/>
      <c r="BZ158" s="282"/>
      <c r="CA158" s="288"/>
      <c r="CB158" s="282"/>
    </row>
    <row r="159" spans="2:80">
      <c r="BO159" s="282"/>
      <c r="BP159" s="282"/>
      <c r="BQ159" s="285">
        <v>45050</v>
      </c>
      <c r="BR159" s="283" t="str">
        <f t="shared" si="14"/>
        <v>木曜日</v>
      </c>
      <c r="BS159" s="283">
        <f t="shared" si="12"/>
        <v>0</v>
      </c>
      <c r="BT159" s="282"/>
      <c r="BU159" s="282"/>
      <c r="BV159" s="282"/>
      <c r="BW159" s="282"/>
      <c r="BX159" s="282"/>
      <c r="BY159" s="282"/>
      <c r="BZ159" s="282"/>
      <c r="CA159" s="288"/>
      <c r="CB159" s="282"/>
    </row>
    <row r="160" spans="2:80">
      <c r="BO160" s="282"/>
      <c r="BP160" s="282"/>
      <c r="BQ160" s="285">
        <v>45051</v>
      </c>
      <c r="BR160" s="283" t="str">
        <f t="shared" si="14"/>
        <v>金曜日</v>
      </c>
      <c r="BS160" s="283">
        <f t="shared" si="12"/>
        <v>0</v>
      </c>
      <c r="BT160" s="282"/>
      <c r="BU160" s="282"/>
      <c r="BV160" s="282"/>
      <c r="BW160" s="282"/>
      <c r="BX160" s="282"/>
      <c r="BY160" s="282"/>
      <c r="BZ160" s="282"/>
      <c r="CA160" s="288"/>
      <c r="CB160" s="282"/>
    </row>
    <row r="161" spans="67:80">
      <c r="BO161" s="282"/>
      <c r="BP161" s="282"/>
      <c r="BQ161" s="285">
        <v>45052</v>
      </c>
      <c r="BR161" s="283" t="str">
        <f t="shared" si="14"/>
        <v>土曜日</v>
      </c>
      <c r="BS161" s="283">
        <f t="shared" si="12"/>
        <v>0</v>
      </c>
      <c r="BT161" s="282"/>
      <c r="BU161" s="282"/>
      <c r="BV161" s="282"/>
      <c r="BW161" s="282"/>
      <c r="BX161" s="282"/>
      <c r="BY161" s="282"/>
      <c r="BZ161" s="282"/>
      <c r="CA161" s="288"/>
      <c r="CB161" s="282"/>
    </row>
    <row r="162" spans="67:80">
      <c r="BO162" s="282"/>
      <c r="BP162" s="282"/>
      <c r="BQ162" s="285">
        <v>45053</v>
      </c>
      <c r="BR162" s="283" t="str">
        <f t="shared" si="14"/>
        <v>日曜日</v>
      </c>
      <c r="BS162" s="283">
        <f t="shared" si="12"/>
        <v>0</v>
      </c>
      <c r="BT162" s="282"/>
      <c r="BU162" s="282"/>
      <c r="BV162" s="282"/>
      <c r="BW162" s="282"/>
      <c r="BX162" s="282"/>
      <c r="BY162" s="282"/>
      <c r="BZ162" s="282"/>
      <c r="CA162" s="288"/>
      <c r="CB162" s="282"/>
    </row>
    <row r="163" spans="67:80">
      <c r="BO163" s="282"/>
      <c r="BP163" s="282"/>
      <c r="BQ163" s="285"/>
      <c r="BR163" s="283" t="str">
        <f>TEXT(BQ163,"aaaa")</f>
        <v>土曜日</v>
      </c>
      <c r="BS163" s="283">
        <f t="shared" si="12"/>
        <v>0</v>
      </c>
      <c r="BT163" s="282"/>
      <c r="BU163" s="282"/>
      <c r="BV163" s="282"/>
      <c r="BW163" s="282"/>
      <c r="BX163" s="282"/>
      <c r="BY163" s="282"/>
      <c r="BZ163" s="282"/>
      <c r="CA163" s="288"/>
      <c r="CB163" s="282"/>
    </row>
    <row r="164" spans="67:80">
      <c r="BO164" s="282"/>
      <c r="BP164" s="282"/>
      <c r="BQ164" s="285"/>
      <c r="BR164" s="283"/>
      <c r="BS164" s="283"/>
      <c r="BT164" s="282"/>
      <c r="BU164" s="282"/>
      <c r="BV164" s="282"/>
      <c r="BW164" s="282"/>
      <c r="BX164" s="282"/>
      <c r="BY164" s="282"/>
      <c r="BZ164" s="282"/>
      <c r="CA164" s="288"/>
      <c r="CB164" s="282"/>
    </row>
    <row r="165" spans="67:80">
      <c r="BO165" s="282"/>
      <c r="BP165" s="282"/>
      <c r="BQ165" s="285"/>
      <c r="BR165" s="283" t="str">
        <f t="shared" si="14"/>
        <v>土曜日</v>
      </c>
      <c r="BS165" s="283">
        <f t="shared" ref="BS165:BS170" si="15">VLOOKUP(BR165,$BV$126:$BW$132,2,FALSE)</f>
        <v>0</v>
      </c>
      <c r="BT165" s="282"/>
      <c r="BU165" s="282"/>
      <c r="BV165" s="282"/>
      <c r="BW165" s="282"/>
      <c r="BX165" s="282"/>
      <c r="BY165" s="282"/>
      <c r="BZ165" s="282"/>
      <c r="CA165" s="288"/>
      <c r="CB165" s="282"/>
    </row>
    <row r="166" spans="67:80">
      <c r="BO166" s="282"/>
      <c r="BP166" s="282"/>
      <c r="BQ166" s="285"/>
      <c r="BR166" s="283" t="str">
        <f t="shared" si="14"/>
        <v>土曜日</v>
      </c>
      <c r="BS166" s="283">
        <f t="shared" si="15"/>
        <v>0</v>
      </c>
      <c r="BT166" s="282"/>
      <c r="BU166" s="282"/>
      <c r="BV166" s="282"/>
      <c r="BW166" s="282"/>
      <c r="BX166" s="282"/>
      <c r="BY166" s="282"/>
      <c r="BZ166" s="282"/>
      <c r="CA166" s="288"/>
      <c r="CB166" s="282"/>
    </row>
    <row r="167" spans="67:80">
      <c r="BO167" s="282"/>
      <c r="BP167" s="282"/>
      <c r="BQ167" s="285"/>
      <c r="BR167" s="283" t="str">
        <f t="shared" si="14"/>
        <v>土曜日</v>
      </c>
      <c r="BS167" s="283">
        <f t="shared" si="15"/>
        <v>0</v>
      </c>
      <c r="BT167" s="282"/>
      <c r="BU167" s="282"/>
      <c r="BV167" s="282"/>
      <c r="BW167" s="282"/>
      <c r="BX167" s="282"/>
      <c r="BY167" s="282"/>
      <c r="BZ167" s="282"/>
      <c r="CA167" s="288"/>
      <c r="CB167" s="282"/>
    </row>
    <row r="168" spans="67:80">
      <c r="BO168" s="282"/>
      <c r="BP168" s="282"/>
      <c r="BQ168" s="285"/>
      <c r="BR168" s="283" t="str">
        <f t="shared" si="14"/>
        <v>土曜日</v>
      </c>
      <c r="BS168" s="283">
        <f t="shared" si="15"/>
        <v>0</v>
      </c>
      <c r="BT168" s="282"/>
      <c r="BU168" s="282"/>
      <c r="BV168" s="282"/>
      <c r="BW168" s="282"/>
      <c r="BX168" s="282"/>
      <c r="BY168" s="282"/>
      <c r="BZ168" s="282"/>
      <c r="CA168" s="288"/>
      <c r="CB168" s="282"/>
    </row>
    <row r="169" spans="67:80">
      <c r="BO169" s="282"/>
      <c r="BP169" s="282"/>
      <c r="BQ169" s="285"/>
      <c r="BR169" s="283" t="str">
        <f t="shared" si="14"/>
        <v>土曜日</v>
      </c>
      <c r="BS169" s="283">
        <f t="shared" si="15"/>
        <v>0</v>
      </c>
      <c r="BT169" s="282"/>
      <c r="BU169" s="282"/>
      <c r="BV169" s="282"/>
      <c r="BW169" s="282"/>
      <c r="BX169" s="282"/>
      <c r="BY169" s="282"/>
      <c r="BZ169" s="282"/>
      <c r="CA169" s="288"/>
      <c r="CB169" s="282"/>
    </row>
    <row r="170" spans="67:80">
      <c r="BO170" s="282"/>
      <c r="BP170" s="282"/>
      <c r="BQ170" s="285"/>
      <c r="BR170" s="283" t="str">
        <f t="shared" si="14"/>
        <v>土曜日</v>
      </c>
      <c r="BS170" s="283">
        <f t="shared" si="15"/>
        <v>0</v>
      </c>
      <c r="BT170" s="282"/>
      <c r="BU170" s="282"/>
      <c r="BV170" s="282"/>
      <c r="BW170" s="282"/>
      <c r="BX170" s="282"/>
      <c r="BY170" s="282"/>
      <c r="BZ170" s="282"/>
      <c r="CA170" s="288"/>
      <c r="CB170" s="282"/>
    </row>
  </sheetData>
  <mergeCells count="366">
    <mergeCell ref="AD110:AE112"/>
    <mergeCell ref="AF110:AX112"/>
    <mergeCell ref="AD113:AE115"/>
    <mergeCell ref="AF113:AX115"/>
    <mergeCell ref="AD116:AE118"/>
    <mergeCell ref="AF116:AX118"/>
    <mergeCell ref="AU48:AW49"/>
    <mergeCell ref="AU50:AW50"/>
    <mergeCell ref="B75:G75"/>
    <mergeCell ref="B76:G77"/>
    <mergeCell ref="H75:M75"/>
    <mergeCell ref="H76:M77"/>
    <mergeCell ref="N75:S75"/>
    <mergeCell ref="N76:S77"/>
    <mergeCell ref="F83:M85"/>
    <mergeCell ref="N83:Q85"/>
    <mergeCell ref="R83:U85"/>
    <mergeCell ref="B79:M82"/>
    <mergeCell ref="B83:E91"/>
    <mergeCell ref="F89:M91"/>
    <mergeCell ref="N89:Q91"/>
    <mergeCell ref="R89:U91"/>
    <mergeCell ref="AN48:AT48"/>
    <mergeCell ref="AX48:AX50"/>
    <mergeCell ref="B9:AX9"/>
    <mergeCell ref="B10:AX11"/>
    <mergeCell ref="B12:AX12"/>
    <mergeCell ref="B14:AY14"/>
    <mergeCell ref="A2:AY2"/>
    <mergeCell ref="B4:AX4"/>
    <mergeCell ref="B5:AX5"/>
    <mergeCell ref="B6:AX6"/>
    <mergeCell ref="B7:AX7"/>
    <mergeCell ref="B8:AX8"/>
    <mergeCell ref="B30:AY30"/>
    <mergeCell ref="B31:D31"/>
    <mergeCell ref="E31:AR31"/>
    <mergeCell ref="AS31:AV31"/>
    <mergeCell ref="AW31:AX31"/>
    <mergeCell ref="AZ31:BP31"/>
    <mergeCell ref="B27:AX27"/>
    <mergeCell ref="B28:AX28"/>
    <mergeCell ref="BA19:BE19"/>
    <mergeCell ref="BA20:BE20"/>
    <mergeCell ref="B32:D34"/>
    <mergeCell ref="E32:H32"/>
    <mergeCell ref="I32:L32"/>
    <mergeCell ref="M32:P32"/>
    <mergeCell ref="Q32:T32"/>
    <mergeCell ref="U32:X32"/>
    <mergeCell ref="E34:H34"/>
    <mergeCell ref="I34:L34"/>
    <mergeCell ref="M34:P34"/>
    <mergeCell ref="Q34:T34"/>
    <mergeCell ref="U34:X34"/>
    <mergeCell ref="Y34:AB34"/>
    <mergeCell ref="AC34:AF34"/>
    <mergeCell ref="AG34:AJ34"/>
    <mergeCell ref="AK34:AN34"/>
    <mergeCell ref="AO34:AR34"/>
    <mergeCell ref="AW32:AX34"/>
    <mergeCell ref="AZ32:BP34"/>
    <mergeCell ref="E33:H33"/>
    <mergeCell ref="I33:L33"/>
    <mergeCell ref="M33:P33"/>
    <mergeCell ref="Q33:T33"/>
    <mergeCell ref="U33:X33"/>
    <mergeCell ref="Y33:AB33"/>
    <mergeCell ref="AC33:AF33"/>
    <mergeCell ref="AG33:AJ33"/>
    <mergeCell ref="Y32:AB32"/>
    <mergeCell ref="AC32:AF32"/>
    <mergeCell ref="AG32:AJ32"/>
    <mergeCell ref="AK32:AN32"/>
    <mergeCell ref="AO32:AR32"/>
    <mergeCell ref="AS32:AV34"/>
    <mergeCell ref="AK33:AN33"/>
    <mergeCell ref="AO33:AR33"/>
    <mergeCell ref="U37:X37"/>
    <mergeCell ref="Y37:AB37"/>
    <mergeCell ref="AC37:AF37"/>
    <mergeCell ref="AG37:AJ37"/>
    <mergeCell ref="AK37:AN37"/>
    <mergeCell ref="AO37:AR37"/>
    <mergeCell ref="AW35:AX42"/>
    <mergeCell ref="AZ35:BP42"/>
    <mergeCell ref="E36:H36"/>
    <mergeCell ref="I36:L36"/>
    <mergeCell ref="M36:P36"/>
    <mergeCell ref="Q36:T36"/>
    <mergeCell ref="U36:X36"/>
    <mergeCell ref="Y36:AB36"/>
    <mergeCell ref="AC36:AF36"/>
    <mergeCell ref="AG36:AJ36"/>
    <mergeCell ref="Y35:AB35"/>
    <mergeCell ref="AC35:AF35"/>
    <mergeCell ref="AG35:AJ35"/>
    <mergeCell ref="AK35:AN35"/>
    <mergeCell ref="AO35:AR35"/>
    <mergeCell ref="AS35:AV42"/>
    <mergeCell ref="AK36:AN36"/>
    <mergeCell ref="AO36:AR36"/>
    <mergeCell ref="AK40:AN40"/>
    <mergeCell ref="AK38:AN38"/>
    <mergeCell ref="AO38:AR38"/>
    <mergeCell ref="E39:H39"/>
    <mergeCell ref="I39:L39"/>
    <mergeCell ref="M39:P39"/>
    <mergeCell ref="Q39:T39"/>
    <mergeCell ref="U39:X39"/>
    <mergeCell ref="Y39:AB39"/>
    <mergeCell ref="AC39:AF39"/>
    <mergeCell ref="AG39:AJ39"/>
    <mergeCell ref="E38:H38"/>
    <mergeCell ref="I38:L38"/>
    <mergeCell ref="M38:P38"/>
    <mergeCell ref="Q38:T38"/>
    <mergeCell ref="U38:X38"/>
    <mergeCell ref="Y38:AB38"/>
    <mergeCell ref="AC38:AF38"/>
    <mergeCell ref="AG38:AJ38"/>
    <mergeCell ref="AK39:AN39"/>
    <mergeCell ref="AO39:AR39"/>
    <mergeCell ref="Y42:AB42"/>
    <mergeCell ref="AC42:AF42"/>
    <mergeCell ref="AG42:AJ42"/>
    <mergeCell ref="B48:I51"/>
    <mergeCell ref="J48:AM48"/>
    <mergeCell ref="AO40:AR40"/>
    <mergeCell ref="E41:H41"/>
    <mergeCell ref="I41:L41"/>
    <mergeCell ref="M41:P41"/>
    <mergeCell ref="Q41:T41"/>
    <mergeCell ref="U41:X41"/>
    <mergeCell ref="Y41:AB41"/>
    <mergeCell ref="AC41:AF41"/>
    <mergeCell ref="AG41:AJ41"/>
    <mergeCell ref="AK41:AN41"/>
    <mergeCell ref="AO41:AR41"/>
    <mergeCell ref="E40:H40"/>
    <mergeCell ref="I40:L40"/>
    <mergeCell ref="M40:P40"/>
    <mergeCell ref="Q40:T40"/>
    <mergeCell ref="U40:X40"/>
    <mergeCell ref="Y40:AB40"/>
    <mergeCell ref="AC40:AF40"/>
    <mergeCell ref="AG40:AJ40"/>
    <mergeCell ref="AZ48:BP50"/>
    <mergeCell ref="AU51:AW51"/>
    <mergeCell ref="AZ51:BP51"/>
    <mergeCell ref="AK42:AN42"/>
    <mergeCell ref="AO42:AR42"/>
    <mergeCell ref="B44:AY44"/>
    <mergeCell ref="B45:AW45"/>
    <mergeCell ref="B46:AW46"/>
    <mergeCell ref="B47:AX47"/>
    <mergeCell ref="B35:D42"/>
    <mergeCell ref="E35:H35"/>
    <mergeCell ref="I35:L35"/>
    <mergeCell ref="M35:P35"/>
    <mergeCell ref="Q35:T35"/>
    <mergeCell ref="U35:X35"/>
    <mergeCell ref="E37:H37"/>
    <mergeCell ref="I37:L37"/>
    <mergeCell ref="M37:P37"/>
    <mergeCell ref="Q37:T37"/>
    <mergeCell ref="E42:H42"/>
    <mergeCell ref="I42:L42"/>
    <mergeCell ref="M42:P42"/>
    <mergeCell ref="Q42:T42"/>
    <mergeCell ref="U42:X42"/>
    <mergeCell ref="B56:I56"/>
    <mergeCell ref="AU56:AW56"/>
    <mergeCell ref="AZ56:BP56"/>
    <mergeCell ref="B52:I52"/>
    <mergeCell ref="AU52:AW52"/>
    <mergeCell ref="AX52:AX54"/>
    <mergeCell ref="AZ52:BP52"/>
    <mergeCell ref="B53:I53"/>
    <mergeCell ref="AU53:AW53"/>
    <mergeCell ref="AZ53:BP53"/>
    <mergeCell ref="B54:I54"/>
    <mergeCell ref="AU54:AW54"/>
    <mergeCell ref="AZ54:BP54"/>
    <mergeCell ref="BA65:BC65"/>
    <mergeCell ref="B66:AY66"/>
    <mergeCell ref="BA66:BC66"/>
    <mergeCell ref="B67:AX67"/>
    <mergeCell ref="B68:AX68"/>
    <mergeCell ref="B70:AX73"/>
    <mergeCell ref="BA72:BC72"/>
    <mergeCell ref="BA73:BC73"/>
    <mergeCell ref="AU62:AW62"/>
    <mergeCell ref="AZ62:BP62"/>
    <mergeCell ref="F63:I63"/>
    <mergeCell ref="AU63:AW63"/>
    <mergeCell ref="AZ63:BP63"/>
    <mergeCell ref="B64:I64"/>
    <mergeCell ref="AU64:AW64"/>
    <mergeCell ref="AZ64:BP64"/>
    <mergeCell ref="B61:E63"/>
    <mergeCell ref="F61:I61"/>
    <mergeCell ref="AU61:AW61"/>
    <mergeCell ref="AX61:AX64"/>
    <mergeCell ref="AZ61:BP61"/>
    <mergeCell ref="F62:I62"/>
    <mergeCell ref="B65:AX65"/>
    <mergeCell ref="BA74:BC74"/>
    <mergeCell ref="T75:U75"/>
    <mergeCell ref="X75:AB75"/>
    <mergeCell ref="AC75:AG75"/>
    <mergeCell ref="AI75:AX77"/>
    <mergeCell ref="AF79:AX82"/>
    <mergeCell ref="N81:Q82"/>
    <mergeCell ref="R81:U82"/>
    <mergeCell ref="V81:Y82"/>
    <mergeCell ref="T76:U77"/>
    <mergeCell ref="X76:AB77"/>
    <mergeCell ref="AC76:AG77"/>
    <mergeCell ref="AD79:AE82"/>
    <mergeCell ref="N79:AC80"/>
    <mergeCell ref="Z81:AC82"/>
    <mergeCell ref="AD83:AE85"/>
    <mergeCell ref="AF83:AX85"/>
    <mergeCell ref="F86:M88"/>
    <mergeCell ref="N86:Q88"/>
    <mergeCell ref="R86:U88"/>
    <mergeCell ref="V86:Y88"/>
    <mergeCell ref="Z86:AC88"/>
    <mergeCell ref="AD86:AE88"/>
    <mergeCell ref="AF86:AX88"/>
    <mergeCell ref="V83:Y85"/>
    <mergeCell ref="Z83:AC85"/>
    <mergeCell ref="F101:M103"/>
    <mergeCell ref="B95:M97"/>
    <mergeCell ref="N95:Q97"/>
    <mergeCell ref="R95:U97"/>
    <mergeCell ref="V95:Y97"/>
    <mergeCell ref="Z95:AC97"/>
    <mergeCell ref="AD95:AE97"/>
    <mergeCell ref="AF104:AX106"/>
    <mergeCell ref="V89:Y91"/>
    <mergeCell ref="Z89:AC91"/>
    <mergeCell ref="AD89:AE91"/>
    <mergeCell ref="AF89:AX91"/>
    <mergeCell ref="N92:Q94"/>
    <mergeCell ref="R92:U94"/>
    <mergeCell ref="V92:Y94"/>
    <mergeCell ref="Z92:AC94"/>
    <mergeCell ref="AD92:AE94"/>
    <mergeCell ref="AF92:AX94"/>
    <mergeCell ref="AD107:AE109"/>
    <mergeCell ref="AF107:AX109"/>
    <mergeCell ref="F104:M106"/>
    <mergeCell ref="N104:Q106"/>
    <mergeCell ref="R104:U106"/>
    <mergeCell ref="V104:Y106"/>
    <mergeCell ref="Z104:AC106"/>
    <mergeCell ref="AD104:AE106"/>
    <mergeCell ref="B92:M94"/>
    <mergeCell ref="N101:Q103"/>
    <mergeCell ref="R101:U103"/>
    <mergeCell ref="V101:Y103"/>
    <mergeCell ref="Z101:AC103"/>
    <mergeCell ref="AD101:AE103"/>
    <mergeCell ref="AF101:AX103"/>
    <mergeCell ref="AF95:AX97"/>
    <mergeCell ref="B98:E106"/>
    <mergeCell ref="F98:M100"/>
    <mergeCell ref="N98:Q100"/>
    <mergeCell ref="R98:U100"/>
    <mergeCell ref="V98:Y100"/>
    <mergeCell ref="Z98:AC100"/>
    <mergeCell ref="AD98:AE100"/>
    <mergeCell ref="AF98:AX100"/>
    <mergeCell ref="Z113:AC115"/>
    <mergeCell ref="F119:M121"/>
    <mergeCell ref="N119:Q121"/>
    <mergeCell ref="R119:U121"/>
    <mergeCell ref="V119:Y121"/>
    <mergeCell ref="Z119:AC121"/>
    <mergeCell ref="B107:M109"/>
    <mergeCell ref="N107:Q109"/>
    <mergeCell ref="R107:U109"/>
    <mergeCell ref="V107:Y109"/>
    <mergeCell ref="Z107:AC109"/>
    <mergeCell ref="AD119:AE121"/>
    <mergeCell ref="AF119:AX121"/>
    <mergeCell ref="B123:AX123"/>
    <mergeCell ref="B126:J127"/>
    <mergeCell ref="B128:J129"/>
    <mergeCell ref="AU126:AX127"/>
    <mergeCell ref="AU128:AX129"/>
    <mergeCell ref="K126:P127"/>
    <mergeCell ref="K128:P129"/>
    <mergeCell ref="B110:E121"/>
    <mergeCell ref="F110:M112"/>
    <mergeCell ref="N110:Q112"/>
    <mergeCell ref="R110:U112"/>
    <mergeCell ref="V110:Y112"/>
    <mergeCell ref="Z110:AC112"/>
    <mergeCell ref="F116:M118"/>
    <mergeCell ref="N116:Q118"/>
    <mergeCell ref="R116:U118"/>
    <mergeCell ref="V116:Y118"/>
    <mergeCell ref="Z116:AC118"/>
    <mergeCell ref="F113:M115"/>
    <mergeCell ref="N113:Q115"/>
    <mergeCell ref="R113:U115"/>
    <mergeCell ref="V113:Y115"/>
    <mergeCell ref="B130:J131"/>
    <mergeCell ref="B132:J133"/>
    <mergeCell ref="AU130:AX131"/>
    <mergeCell ref="AU132:AX133"/>
    <mergeCell ref="K132:P133"/>
    <mergeCell ref="K130:P131"/>
    <mergeCell ref="AU124:AX125"/>
    <mergeCell ref="B124:J125"/>
    <mergeCell ref="K124:P125"/>
    <mergeCell ref="Q124:AT125"/>
    <mergeCell ref="Q126:AT127"/>
    <mergeCell ref="Q128:AT129"/>
    <mergeCell ref="Q130:AT131"/>
    <mergeCell ref="Q132:AT133"/>
    <mergeCell ref="B134:J135"/>
    <mergeCell ref="B136:J137"/>
    <mergeCell ref="AU134:AX135"/>
    <mergeCell ref="AU136:AX137"/>
    <mergeCell ref="K136:P137"/>
    <mergeCell ref="K134:P135"/>
    <mergeCell ref="B138:J139"/>
    <mergeCell ref="B140:J141"/>
    <mergeCell ref="AU138:AX139"/>
    <mergeCell ref="AU140:AX141"/>
    <mergeCell ref="K140:P141"/>
    <mergeCell ref="K138:P139"/>
    <mergeCell ref="Q134:AT135"/>
    <mergeCell ref="Q136:AT137"/>
    <mergeCell ref="Q138:AT139"/>
    <mergeCell ref="Q140:AT141"/>
    <mergeCell ref="B142:J143"/>
    <mergeCell ref="B144:J145"/>
    <mergeCell ref="AU142:AX143"/>
    <mergeCell ref="AU144:AX145"/>
    <mergeCell ref="K144:P145"/>
    <mergeCell ref="K142:P143"/>
    <mergeCell ref="B146:J147"/>
    <mergeCell ref="B148:J149"/>
    <mergeCell ref="AU146:AX147"/>
    <mergeCell ref="AU148:AX149"/>
    <mergeCell ref="K148:P149"/>
    <mergeCell ref="K146:P147"/>
    <mergeCell ref="Q144:AT145"/>
    <mergeCell ref="Q146:AT147"/>
    <mergeCell ref="Q148:AT149"/>
    <mergeCell ref="Q142:AT143"/>
    <mergeCell ref="B16:F17"/>
    <mergeCell ref="B18:F19"/>
    <mergeCell ref="G16:K17"/>
    <mergeCell ref="L16:P17"/>
    <mergeCell ref="G18:H19"/>
    <mergeCell ref="J18:K19"/>
    <mergeCell ref="L18:M19"/>
    <mergeCell ref="O18:P19"/>
    <mergeCell ref="I18:I19"/>
    <mergeCell ref="N18:N19"/>
  </mergeCells>
  <phoneticPr fontId="9"/>
  <conditionalFormatting sqref="J51:AT51">
    <cfRule type="containsText" dxfId="345" priority="177" operator="containsText" text="休">
      <formula>NOT(ISERROR(SEARCH("休",J51)))</formula>
    </cfRule>
  </conditionalFormatting>
  <conditionalFormatting sqref="J49:J51">
    <cfRule type="expression" dxfId="344" priority="170">
      <formula>$J$51="休"</formula>
    </cfRule>
    <cfRule type="expression" dxfId="343" priority="176">
      <formula>$J$51="休"</formula>
    </cfRule>
  </conditionalFormatting>
  <conditionalFormatting sqref="K49:K51">
    <cfRule type="expression" dxfId="342" priority="175">
      <formula>$K$51="休"</formula>
    </cfRule>
  </conditionalFormatting>
  <conditionalFormatting sqref="L49:L51">
    <cfRule type="expression" dxfId="341" priority="171">
      <formula>$L$51="休"</formula>
    </cfRule>
    <cfRule type="expression" priority="174">
      <formula>$L$51="休"</formula>
    </cfRule>
  </conditionalFormatting>
  <conditionalFormatting sqref="M49:M51">
    <cfRule type="expression" dxfId="340" priority="169">
      <formula>$M$51="休"</formula>
    </cfRule>
  </conditionalFormatting>
  <conditionalFormatting sqref="N49:N51">
    <cfRule type="expression" dxfId="339" priority="173">
      <formula>$N$51="休"</formula>
    </cfRule>
  </conditionalFormatting>
  <conditionalFormatting sqref="O49:O51">
    <cfRule type="expression" dxfId="338" priority="172">
      <formula>$O$51="休"</formula>
    </cfRule>
  </conditionalFormatting>
  <conditionalFormatting sqref="P49:P51">
    <cfRule type="expression" dxfId="337" priority="168">
      <formula>$P$51="休"</formula>
    </cfRule>
  </conditionalFormatting>
  <conditionalFormatting sqref="Q49:Q51">
    <cfRule type="expression" dxfId="336" priority="167">
      <formula>$Q$51="休"</formula>
    </cfRule>
  </conditionalFormatting>
  <conditionalFormatting sqref="R49:R51">
    <cfRule type="expression" dxfId="335" priority="166">
      <formula>$R$51="休"</formula>
    </cfRule>
  </conditionalFormatting>
  <conditionalFormatting sqref="S49:S51">
    <cfRule type="expression" dxfId="334" priority="165">
      <formula>$S$51="休"</formula>
    </cfRule>
  </conditionalFormatting>
  <conditionalFormatting sqref="T49:T51">
    <cfRule type="expression" dxfId="333" priority="164">
      <formula>$T$51="休"</formula>
    </cfRule>
  </conditionalFormatting>
  <conditionalFormatting sqref="U49:U51">
    <cfRule type="expression" dxfId="332" priority="163">
      <formula>$U$51="休"</formula>
    </cfRule>
  </conditionalFormatting>
  <conditionalFormatting sqref="V49:V51">
    <cfRule type="expression" dxfId="331" priority="162">
      <formula>$V$51="休"</formula>
    </cfRule>
  </conditionalFormatting>
  <conditionalFormatting sqref="W49:W51">
    <cfRule type="expression" dxfId="330" priority="161">
      <formula>$W$51="休"</formula>
    </cfRule>
  </conditionalFormatting>
  <conditionalFormatting sqref="X49:X51">
    <cfRule type="expression" dxfId="329" priority="160">
      <formula>$X$51="休"</formula>
    </cfRule>
  </conditionalFormatting>
  <conditionalFormatting sqref="Y49:Y51">
    <cfRule type="expression" dxfId="328" priority="159">
      <formula>$Y$51="休"</formula>
    </cfRule>
  </conditionalFormatting>
  <conditionalFormatting sqref="Z49:Z51">
    <cfRule type="expression" dxfId="327" priority="158">
      <formula>$Z$51="休"</formula>
    </cfRule>
  </conditionalFormatting>
  <conditionalFormatting sqref="AA49:AA51">
    <cfRule type="expression" dxfId="326" priority="157">
      <formula>$AA$51="休"</formula>
    </cfRule>
  </conditionalFormatting>
  <conditionalFormatting sqref="AB49:AB51">
    <cfRule type="expression" dxfId="325" priority="156">
      <formula>$AB$51="休"</formula>
    </cfRule>
  </conditionalFormatting>
  <conditionalFormatting sqref="AC49:AC51">
    <cfRule type="expression" dxfId="324" priority="155">
      <formula>$AC$51="休"</formula>
    </cfRule>
  </conditionalFormatting>
  <conditionalFormatting sqref="AD49:AD51">
    <cfRule type="expression" dxfId="323" priority="154">
      <formula>$AD$51="休"</formula>
    </cfRule>
  </conditionalFormatting>
  <conditionalFormatting sqref="AE49:AE51">
    <cfRule type="expression" dxfId="322" priority="153">
      <formula>$AE$51="休"</formula>
    </cfRule>
  </conditionalFormatting>
  <conditionalFormatting sqref="AF49:AF51">
    <cfRule type="expression" dxfId="321" priority="152">
      <formula>$AF$51="休"</formula>
    </cfRule>
  </conditionalFormatting>
  <conditionalFormatting sqref="AG49:AG51">
    <cfRule type="expression" dxfId="320" priority="151">
      <formula>$AG$51="休"</formula>
    </cfRule>
  </conditionalFormatting>
  <conditionalFormatting sqref="AH49:AH51">
    <cfRule type="expression" dxfId="319" priority="150">
      <formula>$AH$51="休"</formula>
    </cfRule>
  </conditionalFormatting>
  <conditionalFormatting sqref="AI49:AI51">
    <cfRule type="expression" dxfId="318" priority="149">
      <formula>$AI$51="休"</formula>
    </cfRule>
  </conditionalFormatting>
  <conditionalFormatting sqref="AJ49:AJ51">
    <cfRule type="expression" dxfId="317" priority="148">
      <formula>$AJ$51="休"</formula>
    </cfRule>
  </conditionalFormatting>
  <conditionalFormatting sqref="AK49:AK51">
    <cfRule type="expression" dxfId="316" priority="147">
      <formula>$AK$51="休"</formula>
    </cfRule>
  </conditionalFormatting>
  <conditionalFormatting sqref="AL49:AL51">
    <cfRule type="expression" dxfId="315" priority="146">
      <formula>$AL$51="休"</formula>
    </cfRule>
  </conditionalFormatting>
  <conditionalFormatting sqref="AM49:AM51">
    <cfRule type="expression" dxfId="314" priority="145">
      <formula>$AM$51="休"</formula>
    </cfRule>
  </conditionalFormatting>
  <conditionalFormatting sqref="AN49:AN51">
    <cfRule type="expression" dxfId="313" priority="144">
      <formula>$AN$51="休"</formula>
    </cfRule>
  </conditionalFormatting>
  <conditionalFormatting sqref="AO49:AO51">
    <cfRule type="expression" dxfId="312" priority="143">
      <formula>$AO$51="休"</formula>
    </cfRule>
  </conditionalFormatting>
  <conditionalFormatting sqref="AP49:AP51">
    <cfRule type="expression" dxfId="311" priority="142">
      <formula>$AP$51="休"</formula>
    </cfRule>
  </conditionalFormatting>
  <conditionalFormatting sqref="AQ49:AQ51">
    <cfRule type="expression" dxfId="310" priority="141">
      <formula>$AQ$51="休"</formula>
    </cfRule>
  </conditionalFormatting>
  <conditionalFormatting sqref="AR49:AR51">
    <cfRule type="expression" dxfId="309" priority="140">
      <formula>$AR$51="休"</formula>
    </cfRule>
  </conditionalFormatting>
  <conditionalFormatting sqref="AS49:AS51">
    <cfRule type="expression" dxfId="308" priority="139">
      <formula>$AS$51="休"</formula>
    </cfRule>
  </conditionalFormatting>
  <conditionalFormatting sqref="AT49:AT51">
    <cfRule type="expression" dxfId="307" priority="138">
      <formula>$AT$51="休"</formula>
    </cfRule>
  </conditionalFormatting>
  <conditionalFormatting sqref="AX56 AX51:AX52 AW32:AX42">
    <cfRule type="containsText" dxfId="306" priority="137" operator="containsText" text="×">
      <formula>NOT(ISERROR(SEARCH("×",AW32)))</formula>
    </cfRule>
  </conditionalFormatting>
  <conditionalFormatting sqref="B14:AY14">
    <cfRule type="containsText" dxfId="305" priority="134" operator="containsText" text="×">
      <formula>NOT(ISERROR(SEARCH("×",B14)))</formula>
    </cfRule>
  </conditionalFormatting>
  <conditionalFormatting sqref="B30:AY30">
    <cfRule type="containsText" dxfId="304" priority="133" operator="containsText" text="×">
      <formula>NOT(ISERROR(SEARCH("×",B30)))</formula>
    </cfRule>
  </conditionalFormatting>
  <conditionalFormatting sqref="B44:AY44">
    <cfRule type="containsText" dxfId="303" priority="132" operator="containsText" text="×">
      <formula>NOT(ISERROR(SEARCH("×",B44)))</formula>
    </cfRule>
  </conditionalFormatting>
  <conditionalFormatting sqref="AD83:AE121">
    <cfRule type="containsText" dxfId="302" priority="128" operator="containsText" text="×">
      <formula>NOT(ISERROR(SEARCH("×",AD83)))</formula>
    </cfRule>
  </conditionalFormatting>
  <conditionalFormatting sqref="N83:Q85">
    <cfRule type="cellIs" dxfId="301" priority="127" operator="greaterThan">
      <formula>2</formula>
    </cfRule>
  </conditionalFormatting>
  <conditionalFormatting sqref="N86:Q88">
    <cfRule type="cellIs" dxfId="300" priority="126" operator="greaterThan">
      <formula>2</formula>
    </cfRule>
  </conditionalFormatting>
  <conditionalFormatting sqref="N89:Q91">
    <cfRule type="cellIs" dxfId="299" priority="125" operator="greaterThan">
      <formula>2</formula>
    </cfRule>
  </conditionalFormatting>
  <conditionalFormatting sqref="N95:Q97">
    <cfRule type="cellIs" dxfId="298" priority="124" operator="greaterThan">
      <formula>8</formula>
    </cfRule>
  </conditionalFormatting>
  <conditionalFormatting sqref="N98:Q100">
    <cfRule type="cellIs" dxfId="297" priority="123" operator="greaterThan">
      <formula>0.5</formula>
    </cfRule>
  </conditionalFormatting>
  <conditionalFormatting sqref="N101:Q103">
    <cfRule type="cellIs" dxfId="296" priority="122" operator="greaterThan">
      <formula>0.5</formula>
    </cfRule>
  </conditionalFormatting>
  <conditionalFormatting sqref="N104:Q106">
    <cfRule type="cellIs" dxfId="295" priority="121" operator="greaterThan">
      <formula>1</formula>
    </cfRule>
  </conditionalFormatting>
  <conditionalFormatting sqref="N107:Q109">
    <cfRule type="cellIs" dxfId="294" priority="2" operator="greaterThan">
      <formula>1</formula>
    </cfRule>
    <cfRule type="cellIs" dxfId="293" priority="120" operator="greaterThan">
      <formula>2</formula>
    </cfRule>
  </conditionalFormatting>
  <conditionalFormatting sqref="N110:Q112">
    <cfRule type="cellIs" dxfId="292" priority="1" operator="greaterThan">
      <formula>1</formula>
    </cfRule>
    <cfRule type="cellIs" dxfId="291" priority="119" operator="greaterThan">
      <formula>2</formula>
    </cfRule>
  </conditionalFormatting>
  <conditionalFormatting sqref="N113:Q115">
    <cfRule type="cellIs" dxfId="290" priority="118" operator="greaterThan">
      <formula>0.5</formula>
    </cfRule>
  </conditionalFormatting>
  <conditionalFormatting sqref="N116:Q118">
    <cfRule type="cellIs" dxfId="289" priority="117" operator="greaterThan">
      <formula>1</formula>
    </cfRule>
  </conditionalFormatting>
  <conditionalFormatting sqref="N119:Q121">
    <cfRule type="cellIs" dxfId="288" priority="116" operator="greaterThan">
      <formula>0.5</formula>
    </cfRule>
  </conditionalFormatting>
  <conditionalFormatting sqref="N92:Q94">
    <cfRule type="cellIs" dxfId="287" priority="115" operator="greaterThan">
      <formula>1</formula>
    </cfRule>
  </conditionalFormatting>
  <conditionalFormatting sqref="T76:U77">
    <cfRule type="containsText" dxfId="286" priority="114" operator="containsText" text="×">
      <formula>NOT(ISERROR(SEARCH("×",T76)))</formula>
    </cfRule>
  </conditionalFormatting>
  <conditionalFormatting sqref="J53:AT53">
    <cfRule type="cellIs" dxfId="285" priority="76" operator="greaterThan">
      <formula>IF(J52="",0,J52)</formula>
    </cfRule>
  </conditionalFormatting>
  <conditionalFormatting sqref="J54:AT54">
    <cfRule type="containsText" dxfId="284" priority="75" operator="containsText" text="×">
      <formula>NOT(ISERROR(SEARCH("×",J54)))</formula>
    </cfRule>
  </conditionalFormatting>
  <conditionalFormatting sqref="J61:AT61">
    <cfRule type="cellIs" dxfId="283" priority="73" operator="greaterThan">
      <formula>$AS$35</formula>
    </cfRule>
  </conditionalFormatting>
  <conditionalFormatting sqref="J63:AT63">
    <cfRule type="cellIs" dxfId="282" priority="3" operator="lessThan">
      <formula>J62</formula>
    </cfRule>
    <cfRule type="cellIs" dxfId="281" priority="70" operator="greaterThan">
      <formula>J62*1.5</formula>
    </cfRule>
  </conditionalFormatting>
  <conditionalFormatting sqref="J64">
    <cfRule type="expression" dxfId="280" priority="69">
      <formula>$J$51="休"</formula>
    </cfRule>
  </conditionalFormatting>
  <conditionalFormatting sqref="K64:AT64">
    <cfRule type="expression" dxfId="279" priority="68">
      <formula>$K$51="休"</formula>
    </cfRule>
  </conditionalFormatting>
  <conditionalFormatting sqref="L64 AO64">
    <cfRule type="expression" dxfId="278" priority="67">
      <formula>$L$51="休"</formula>
    </cfRule>
  </conditionalFormatting>
  <conditionalFormatting sqref="M64 AP64">
    <cfRule type="expression" dxfId="277" priority="66">
      <formula>$M$51="休"</formula>
    </cfRule>
  </conditionalFormatting>
  <conditionalFormatting sqref="N64 AQ64">
    <cfRule type="expression" dxfId="276" priority="65">
      <formula>$N$51="休"</formula>
    </cfRule>
  </conditionalFormatting>
  <conditionalFormatting sqref="O64 AR64">
    <cfRule type="expression" dxfId="275" priority="64">
      <formula>$O$51="休"</formula>
    </cfRule>
  </conditionalFormatting>
  <conditionalFormatting sqref="P64 AS64">
    <cfRule type="expression" dxfId="274" priority="63">
      <formula>$P$51="休"</formula>
    </cfRule>
  </conditionalFormatting>
  <conditionalFormatting sqref="Q64 AT64">
    <cfRule type="expression" dxfId="273" priority="62">
      <formula>$Q$51="休"</formula>
    </cfRule>
  </conditionalFormatting>
  <conditionalFormatting sqref="R64">
    <cfRule type="expression" dxfId="272" priority="61">
      <formula>$R$51="休"</formula>
    </cfRule>
  </conditionalFormatting>
  <conditionalFormatting sqref="S64">
    <cfRule type="expression" dxfId="271" priority="60">
      <formula>$S$51="休"</formula>
    </cfRule>
  </conditionalFormatting>
  <conditionalFormatting sqref="T64">
    <cfRule type="expression" dxfId="270" priority="59">
      <formula>$T$51="休"</formula>
    </cfRule>
  </conditionalFormatting>
  <conditionalFormatting sqref="U64">
    <cfRule type="expression" dxfId="269" priority="58">
      <formula>$U$51="休"</formula>
    </cfRule>
  </conditionalFormatting>
  <conditionalFormatting sqref="K64:AL64">
    <cfRule type="expression" dxfId="268" priority="57">
      <formula>$V$51="休"</formula>
    </cfRule>
  </conditionalFormatting>
  <conditionalFormatting sqref="W64">
    <cfRule type="expression" dxfId="267" priority="56">
      <formula>$W$51="休"</formula>
    </cfRule>
  </conditionalFormatting>
  <conditionalFormatting sqref="X64">
    <cfRule type="expression" dxfId="266" priority="55">
      <formula>$X$51="休"</formula>
    </cfRule>
  </conditionalFormatting>
  <conditionalFormatting sqref="Y64">
    <cfRule type="expression" dxfId="265" priority="54">
      <formula>$Y$51="休"</formula>
    </cfRule>
  </conditionalFormatting>
  <conditionalFormatting sqref="Z64">
    <cfRule type="expression" dxfId="264" priority="53">
      <formula>$Z$51="休"</formula>
    </cfRule>
  </conditionalFormatting>
  <conditionalFormatting sqref="AA64">
    <cfRule type="expression" dxfId="263" priority="52">
      <formula>$AA$51="休"</formula>
    </cfRule>
  </conditionalFormatting>
  <conditionalFormatting sqref="AB64">
    <cfRule type="expression" dxfId="262" priority="51">
      <formula>$AB$51="休"</formula>
    </cfRule>
  </conditionalFormatting>
  <conditionalFormatting sqref="AC64">
    <cfRule type="expression" dxfId="261" priority="50">
      <formula>$AC$51="休"</formula>
    </cfRule>
  </conditionalFormatting>
  <conditionalFormatting sqref="AD64">
    <cfRule type="expression" dxfId="260" priority="49">
      <formula>$AD$51="休"</formula>
    </cfRule>
  </conditionalFormatting>
  <conditionalFormatting sqref="AE64">
    <cfRule type="expression" dxfId="259" priority="48">
      <formula>$AE$51="休"</formula>
    </cfRule>
  </conditionalFormatting>
  <conditionalFormatting sqref="AF64">
    <cfRule type="expression" dxfId="258" priority="47">
      <formula>$AF$51="休"</formula>
    </cfRule>
  </conditionalFormatting>
  <conditionalFormatting sqref="AG64">
    <cfRule type="expression" dxfId="257" priority="46">
      <formula>$AG$51="休"</formula>
    </cfRule>
  </conditionalFormatting>
  <conditionalFormatting sqref="AH64">
    <cfRule type="expression" dxfId="256" priority="45">
      <formula>$AH$51="休"</formula>
    </cfRule>
  </conditionalFormatting>
  <conditionalFormatting sqref="AI64">
    <cfRule type="expression" dxfId="255" priority="44">
      <formula>$AI$51="休"</formula>
    </cfRule>
  </conditionalFormatting>
  <conditionalFormatting sqref="AJ64">
    <cfRule type="expression" dxfId="254" priority="43">
      <formula>$AJ$51="休"</formula>
    </cfRule>
  </conditionalFormatting>
  <conditionalFormatting sqref="AK64">
    <cfRule type="expression" dxfId="253" priority="42">
      <formula>$AK$51="休"</formula>
    </cfRule>
  </conditionalFormatting>
  <conditionalFormatting sqref="AL64">
    <cfRule type="expression" dxfId="252" priority="41">
      <formula>$AL$51="休"</formula>
    </cfRule>
  </conditionalFormatting>
  <conditionalFormatting sqref="AM64">
    <cfRule type="expression" dxfId="251" priority="40">
      <formula>$AM$51="休"</formula>
    </cfRule>
  </conditionalFormatting>
  <conditionalFormatting sqref="AN64">
    <cfRule type="expression" dxfId="250" priority="39">
      <formula>$AN$51="休"</formula>
    </cfRule>
  </conditionalFormatting>
  <conditionalFormatting sqref="AO64">
    <cfRule type="expression" dxfId="249" priority="38">
      <formula>$AO$51="休"</formula>
    </cfRule>
  </conditionalFormatting>
  <conditionalFormatting sqref="AP64">
    <cfRule type="expression" dxfId="248" priority="37">
      <formula>$AP$51="休"</formula>
    </cfRule>
  </conditionalFormatting>
  <conditionalFormatting sqref="AQ64">
    <cfRule type="expression" dxfId="247" priority="36">
      <formula>$AQ$51="休"</formula>
    </cfRule>
  </conditionalFormatting>
  <conditionalFormatting sqref="AR64">
    <cfRule type="expression" dxfId="246" priority="35">
      <formula>$AR$51="休"</formula>
    </cfRule>
  </conditionalFormatting>
  <conditionalFormatting sqref="AS64">
    <cfRule type="expression" dxfId="245" priority="34">
      <formula>$AS$51="休"</formula>
    </cfRule>
  </conditionalFormatting>
  <conditionalFormatting sqref="AT64">
    <cfRule type="expression" dxfId="244" priority="33">
      <formula>$AT$51="休"</formula>
    </cfRule>
  </conditionalFormatting>
  <conditionalFormatting sqref="J64:AT64">
    <cfRule type="containsText" dxfId="243" priority="32" operator="containsText" text="×">
      <formula>NOT(ISERROR(SEARCH("×",J64)))</formula>
    </cfRule>
  </conditionalFormatting>
  <conditionalFormatting sqref="AX61">
    <cfRule type="containsText" dxfId="242" priority="30" operator="containsText" text="×">
      <formula>NOT(ISERROR(SEARCH("×",AX61)))</formula>
    </cfRule>
  </conditionalFormatting>
  <conditionalFormatting sqref="B66:AY66">
    <cfRule type="containsText" dxfId="241" priority="29" operator="containsText" text="×">
      <formula>NOT(ISERROR(SEARCH("×",B66)))</formula>
    </cfRule>
  </conditionalFormatting>
  <conditionalFormatting sqref="K126:M127">
    <cfRule type="cellIs" dxfId="240" priority="28" operator="greaterThan">
      <formula>2</formula>
    </cfRule>
  </conditionalFormatting>
  <conditionalFormatting sqref="K128:M129">
    <cfRule type="cellIs" dxfId="239" priority="27" operator="greaterThan">
      <formula>2</formula>
    </cfRule>
  </conditionalFormatting>
  <conditionalFormatting sqref="K130:M131">
    <cfRule type="cellIs" dxfId="238" priority="26" operator="greaterThan">
      <formula>2</formula>
    </cfRule>
  </conditionalFormatting>
  <conditionalFormatting sqref="K132:M133">
    <cfRule type="cellIs" dxfId="237" priority="25" operator="greaterThan">
      <formula>8</formula>
    </cfRule>
  </conditionalFormatting>
  <conditionalFormatting sqref="K134:M135">
    <cfRule type="cellIs" dxfId="236" priority="24" operator="greaterThan">
      <formula>0.5</formula>
    </cfRule>
  </conditionalFormatting>
  <conditionalFormatting sqref="K136:M137">
    <cfRule type="cellIs" dxfId="235" priority="23" operator="greaterThan">
      <formula>0.5</formula>
    </cfRule>
  </conditionalFormatting>
  <conditionalFormatting sqref="K138:M139">
    <cfRule type="cellIs" dxfId="234" priority="22" operator="greaterThan">
      <formula>2</formula>
    </cfRule>
  </conditionalFormatting>
  <conditionalFormatting sqref="K140:M141">
    <cfRule type="cellIs" dxfId="233" priority="21" operator="greaterThan">
      <formula>2</formula>
    </cfRule>
  </conditionalFormatting>
  <conditionalFormatting sqref="K142:M143">
    <cfRule type="cellIs" dxfId="232" priority="17" operator="greaterThan">
      <formula>2</formula>
    </cfRule>
    <cfRule type="cellIs" dxfId="231" priority="19" operator="greaterThan">
      <formula>2</formula>
    </cfRule>
    <cfRule type="cellIs" dxfId="230" priority="20" operator="greaterThan">
      <formula>1</formula>
    </cfRule>
  </conditionalFormatting>
  <conditionalFormatting sqref="K144:M145">
    <cfRule type="cellIs" dxfId="229" priority="18" operator="greaterThan">
      <formula>0.5</formula>
    </cfRule>
  </conditionalFormatting>
  <conditionalFormatting sqref="K146:M147">
    <cfRule type="cellIs" dxfId="228" priority="16" operator="greaterThan">
      <formula>2</formula>
    </cfRule>
  </conditionalFormatting>
  <conditionalFormatting sqref="K148:M149">
    <cfRule type="cellIs" dxfId="227" priority="15" operator="greaterThan">
      <formula>0.5</formula>
    </cfRule>
  </conditionalFormatting>
  <conditionalFormatting sqref="AU126:AV149">
    <cfRule type="cellIs" dxfId="226" priority="14" operator="greaterThan">
      <formula>"要入力"</formula>
    </cfRule>
  </conditionalFormatting>
  <conditionalFormatting sqref="AU126:AV149">
    <cfRule type="containsText" dxfId="225" priority="13" operator="containsText" text="要入力">
      <formula>NOT(ISERROR(SEARCH("要入力",AU126)))</formula>
    </cfRule>
  </conditionalFormatting>
  <conditionalFormatting sqref="AF83:AS121">
    <cfRule type="containsText" dxfId="224" priority="10" operator="containsText" text="してください">
      <formula>NOT(ISERROR(SEARCH("してください",AF83)))</formula>
    </cfRule>
    <cfRule type="containsText" dxfId="223" priority="11" operator="containsText" text="理由">
      <formula>NOT(ISERROR(SEARCH("理由",AF83)))</formula>
    </cfRule>
  </conditionalFormatting>
  <conditionalFormatting sqref="J52:AT52">
    <cfRule type="expression" dxfId="222" priority="9">
      <formula>AND(J51="休",J52&gt;0)</formula>
    </cfRule>
  </conditionalFormatting>
  <conditionalFormatting sqref="AZ64:BP64 AZ54:BP54">
    <cfRule type="containsText" dxfId="221" priority="7" operator="containsText" text="要修正">
      <formula>NOT(ISERROR(SEARCH("要修正",AZ54)))</formula>
    </cfRule>
  </conditionalFormatting>
  <conditionalFormatting sqref="AZ32:BP42">
    <cfRule type="containsText" dxfId="220" priority="6" operator="containsText" text="要修正">
      <formula>NOT(ISERROR(SEARCH("要修正",AZ32)))</formula>
    </cfRule>
  </conditionalFormatting>
  <conditionalFormatting sqref="AS32:AV42">
    <cfRule type="cellIs" dxfId="219" priority="5" operator="equal">
      <formula>0</formula>
    </cfRule>
  </conditionalFormatting>
  <conditionalFormatting sqref="AU126:AV149">
    <cfRule type="containsText" dxfId="218" priority="4" operator="containsText" text="入力済">
      <formula>NOT(ISERROR(SEARCH("入力済",AU126)))</formula>
    </cfRule>
  </conditionalFormatting>
  <conditionalFormatting sqref="K126:M149">
    <cfRule type="expression" dxfId="217" priority="185">
      <formula>AE126="入力"&amp;CHAR(10)&amp;"不要"</formula>
    </cfRule>
  </conditionalFormatting>
  <conditionalFormatting sqref="Q126 Q128 Q130 Q132 Q134 Q136 Q138 Q140 Q142 Q144 Q146 Q148">
    <cfRule type="expression" dxfId="216" priority="186">
      <formula>AU126="入力"&amp;CHAR(10)&amp;"不要"</formula>
    </cfRule>
  </conditionalFormatting>
  <conditionalFormatting sqref="Q126 Q128 Q130 Q132 Q134 Q136 Q138 Q140 Q142 Q144 Q146 Q148">
    <cfRule type="expression" dxfId="215" priority="188">
      <formula>AH126="入力"&amp;CHAR(10)&amp;"不要"</formula>
    </cfRule>
  </conditionalFormatting>
  <dataValidations count="11">
    <dataValidation type="whole" operator="lessThanOrEqual" allowBlank="1" showInputMessage="1" showErrorMessage="1" error="上段の入院患者数の範囲内の人数を入力してください。" sqref="J53:AT53" xr:uid="{4FDDFACC-5D01-4D18-BE9A-D04C8D664FDE}">
      <formula1>IF(J52="",0,J52)</formula1>
    </dataValidation>
    <dataValidation type="whole" operator="greaterThanOrEqual" allowBlank="1" showInputMessage="1" showErrorMessage="1" error="整数値のみ入力し、「人」等の単位は入力しないでください。" sqref="J52:AT52" xr:uid="{14377DB7-7153-4C8E-9B5C-5AB6467D862B}">
      <formula1>0</formula1>
    </dataValidation>
    <dataValidation type="list" allowBlank="1" showInputMessage="1" showErrorMessage="1" sqref="BG23:BG28 BD44:BG44" xr:uid="{00FDB1BD-08D9-4EFB-86CB-D21A297E70F4}">
      <formula1>$BO$126:$BO$127</formula1>
    </dataValidation>
    <dataValidation type="decimal" operator="lessThanOrEqual" allowBlank="1" showInputMessage="1" showErrorMessage="1" error="上段の「２．職員情報」で入力した看護師の員数の範囲内の数値を入力してください。" sqref="J61:AT61" xr:uid="{9E4C2946-787B-4B06-9BBA-E0D7D3A67DF4}">
      <formula1>SUM($AS$32:$AV$42)</formula1>
    </dataValidation>
    <dataValidation type="decimal" operator="greaterThanOrEqual" allowBlank="1" showInputMessage="1" showErrorMessage="1" error="患者数及び基準人員に基づく必要配置時間数以上の数値を入力してください。（但し、過大と見受けられる場合は算定根拠につき御説明をお願いします。）" sqref="J63:AT63" xr:uid="{E853FB33-D06C-4D21-9921-E5A9BC79DF45}">
      <formula1>J62</formula1>
    </dataValidation>
    <dataValidation type="whole" operator="greaterThanOrEqual" allowBlank="1" showInputMessage="1" showErrorMessage="1" sqref="K56:AT56" xr:uid="{7AE1EA25-294F-4B53-80FB-F64B93E4B397}">
      <formula1>0</formula1>
    </dataValidation>
    <dataValidation type="decimal" operator="greaterThanOrEqual" allowBlank="1" showInputMessage="1" showErrorMessage="1" sqref="J56" xr:uid="{BB3600C3-1FD2-453F-821C-EB85C4BECB6A}">
      <formula1>0</formula1>
    </dataValidation>
    <dataValidation type="custom" allowBlank="1" showInputMessage="1" showErrorMessage="1" errorTitle="購入箱数を超過した値の入力" error="購入箱数の範囲内の数値を入力してください。" sqref="BJ65:BJ68 BJ72:BJ77" xr:uid="{8D60B297-886B-457C-85AA-D1B43630FB69}">
      <formula1>BJ65&lt;=BF65</formula1>
    </dataValidation>
    <dataValidation type="decimal" operator="greaterThan" allowBlank="1" showInputMessage="1" showErrorMessage="1" sqref="G18:H19 L18:M19" xr:uid="{84DEC3A3-310E-4ACF-BF12-D51FA2D6C193}">
      <formula1>0</formula1>
    </dataValidation>
    <dataValidation type="whole" operator="greaterThanOrEqual" allowBlank="1" showInputMessage="1" showErrorMessage="1" sqref="BR32" xr:uid="{22F8B4F0-9044-4423-9F87-5A20F68F49C5}">
      <formula1>30</formula1>
    </dataValidation>
    <dataValidation type="whole" operator="greaterThanOrEqual" allowBlank="1" showInputMessage="1" showErrorMessage="1" sqref="BR35" xr:uid="{D84CA695-41BF-428E-A0B5-6CE335B735F7}">
      <formula1>80</formula1>
    </dataValidation>
  </dataValidations>
  <printOptions horizontalCentered="1"/>
  <pageMargins left="0.70866141732283472" right="0.70866141732283472" top="0.74803149606299213" bottom="0.74803149606299213" header="0.31496062992125984" footer="0.31496062992125984"/>
  <pageSetup paperSize="9" scale="43" fitToHeight="0" orientation="portrait" r:id="rId1"/>
  <rowBreaks count="1" manualBreakCount="1">
    <brk id="65" max="50" man="1"/>
  </rowBreaks>
  <colBreaks count="1" manualBreakCount="1">
    <brk id="65"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1F7639-16CF-4D7B-B2C6-19B3FB1F064F}">
  <sheetPr>
    <tabColor rgb="FFFFC000"/>
    <pageSetUpPr fitToPage="1"/>
  </sheetPr>
  <dimension ref="A1:CB265"/>
  <sheetViews>
    <sheetView showGridLines="0" view="pageBreakPreview" zoomScale="55" zoomScaleNormal="100" zoomScaleSheetLayoutView="55" workbookViewId="0">
      <selection activeCell="BH10" sqref="BH10"/>
    </sheetView>
  </sheetViews>
  <sheetFormatPr defaultRowHeight="18"/>
  <cols>
    <col min="1" max="51" width="3.625" style="223" customWidth="1"/>
    <col min="52" max="52" width="10.625" style="223" customWidth="1"/>
    <col min="53" max="55" width="10.625" style="680" hidden="1" customWidth="1"/>
    <col min="56" max="56" width="10.625" style="225" hidden="1" customWidth="1"/>
    <col min="57" max="57" width="10.625" style="226" hidden="1" customWidth="1"/>
    <col min="58" max="58" width="10.625" style="680" hidden="1" customWidth="1"/>
    <col min="59" max="59" width="10.625" style="227" customWidth="1"/>
    <col min="60" max="66" width="10.625" style="680" customWidth="1"/>
    <col min="67" max="67" width="9" style="680"/>
    <col min="68" max="68" width="11.75" style="314" bestFit="1" customWidth="1"/>
    <col min="69" max="71" width="9" style="314"/>
    <col min="72" max="16384" width="9" style="680"/>
  </cols>
  <sheetData>
    <row r="1" spans="1:71">
      <c r="AZ1" s="313" t="str">
        <f>AZ15</f>
        <v>×</v>
      </c>
    </row>
    <row r="2" spans="1:71" ht="24">
      <c r="A2" s="1352" t="s">
        <v>1177</v>
      </c>
      <c r="B2" s="1353"/>
      <c r="C2" s="1353"/>
      <c r="D2" s="1353"/>
      <c r="E2" s="1353"/>
      <c r="F2" s="1353"/>
      <c r="G2" s="1353"/>
      <c r="H2" s="1353"/>
      <c r="I2" s="1353"/>
      <c r="J2" s="1353"/>
      <c r="K2" s="1353"/>
      <c r="L2" s="1353"/>
      <c r="M2" s="1353"/>
      <c r="N2" s="1353"/>
      <c r="O2" s="1353"/>
      <c r="P2" s="1353"/>
      <c r="Q2" s="1353"/>
      <c r="R2" s="1353"/>
      <c r="S2" s="1353"/>
      <c r="T2" s="1353"/>
      <c r="U2" s="1353"/>
      <c r="V2" s="1353"/>
      <c r="W2" s="1353"/>
      <c r="X2" s="1353"/>
      <c r="Y2" s="1353"/>
      <c r="Z2" s="1353"/>
      <c r="AA2" s="1353"/>
      <c r="AB2" s="1353"/>
      <c r="AC2" s="1353"/>
      <c r="AD2" s="1353"/>
      <c r="AE2" s="1353"/>
      <c r="AF2" s="1353"/>
      <c r="AG2" s="1353"/>
      <c r="AH2" s="1353"/>
      <c r="AI2" s="1353"/>
      <c r="AJ2" s="1353"/>
      <c r="AK2" s="1353"/>
      <c r="AL2" s="1353"/>
      <c r="AM2" s="1353"/>
      <c r="AN2" s="1353"/>
      <c r="AO2" s="1353"/>
      <c r="AP2" s="1353"/>
      <c r="AQ2" s="1353"/>
      <c r="AR2" s="1353"/>
      <c r="AS2" s="1353"/>
      <c r="AT2" s="1353"/>
      <c r="AU2" s="1353"/>
      <c r="AV2" s="1353"/>
      <c r="AW2" s="1353"/>
      <c r="AX2" s="1353"/>
      <c r="AY2" s="1353"/>
      <c r="AZ2" s="313" t="str">
        <f>AZ63</f>
        <v>×</v>
      </c>
      <c r="BA2" s="687"/>
      <c r="BB2" s="687"/>
      <c r="BC2" s="687"/>
      <c r="BD2" s="687"/>
      <c r="BE2" s="687"/>
      <c r="BF2" s="687"/>
      <c r="BG2" s="687"/>
      <c r="BH2" s="687"/>
      <c r="BI2" s="687"/>
      <c r="BJ2" s="687"/>
      <c r="BK2" s="687"/>
      <c r="BL2" s="687"/>
    </row>
    <row r="3" spans="1:71">
      <c r="AZ3" s="313" t="str">
        <f>AZ77</f>
        <v>×</v>
      </c>
      <c r="BB3" s="223"/>
      <c r="BC3" s="223"/>
      <c r="BD3" s="223"/>
      <c r="BE3" s="223"/>
      <c r="BF3" s="223"/>
      <c r="BG3" s="223"/>
    </row>
    <row r="4" spans="1:71" ht="24" customHeight="1">
      <c r="B4" s="1211" t="s">
        <v>1041</v>
      </c>
      <c r="C4" s="1212"/>
      <c r="D4" s="1212"/>
      <c r="E4" s="1212"/>
      <c r="F4" s="1212"/>
      <c r="G4" s="1212"/>
      <c r="H4" s="1212"/>
      <c r="I4" s="1212"/>
      <c r="J4" s="1212"/>
      <c r="K4" s="1212"/>
      <c r="L4" s="1212"/>
      <c r="M4" s="1212"/>
      <c r="N4" s="1212"/>
      <c r="O4" s="1212"/>
      <c r="P4" s="1212"/>
      <c r="Q4" s="1212"/>
      <c r="R4" s="1212"/>
      <c r="S4" s="1212"/>
      <c r="T4" s="1212"/>
      <c r="U4" s="1212"/>
      <c r="V4" s="1212"/>
      <c r="W4" s="1212"/>
      <c r="X4" s="1212"/>
      <c r="Y4" s="1212"/>
      <c r="Z4" s="1212"/>
      <c r="AA4" s="1212"/>
      <c r="AB4" s="1212"/>
      <c r="AC4" s="1212"/>
      <c r="AD4" s="1212"/>
      <c r="AE4" s="1212"/>
      <c r="AF4" s="1212"/>
      <c r="AG4" s="1212"/>
      <c r="AH4" s="1212"/>
      <c r="AI4" s="1212"/>
      <c r="AJ4" s="1212"/>
      <c r="AK4" s="1212"/>
      <c r="AL4" s="1212"/>
      <c r="AM4" s="1212"/>
      <c r="AN4" s="1212"/>
      <c r="AO4" s="1212"/>
      <c r="AP4" s="1212"/>
      <c r="AQ4" s="1212"/>
      <c r="AR4" s="1212"/>
      <c r="AS4" s="1212"/>
      <c r="AT4" s="1212"/>
      <c r="AU4" s="1212"/>
      <c r="AV4" s="1212"/>
      <c r="AW4" s="1212"/>
      <c r="AX4" s="1212"/>
      <c r="AZ4" s="313" t="str">
        <f>AZ99</f>
        <v>×</v>
      </c>
      <c r="BD4" s="680"/>
      <c r="BE4" s="680"/>
      <c r="BG4" s="680"/>
    </row>
    <row r="5" spans="1:71" ht="24" customHeight="1" thickBot="1">
      <c r="B5" s="1209" t="str">
        <f xml:space="preserve">
IF(表紙!$X$2="事前協議",
"○個人防護具の補助基準額は、以下により算定されます。（令和５年10月以降の消毒経費への補助は廃止されました。）",
IF(表紙!$X$2="交付申請（２次）",
"○個人防護具の補助基準額は、以下により算定されます。（令和５年10月以降の消毒経費への補助は廃止されました。）",
IF(表紙!$X$2="変更申請",
"○個人防護具の補助基準額は、以下により算定されます。（令和５年10月以降の消毒経費への補助は廃止されました。）",
IF(表紙!$X$2="実績報告（１次）",
"○個人防護具及び消毒経費の補助基準額は、以下により算定されます。",
IF(表紙!$X$2="実績報告（２次）",
"○個人防護具の補助基準額は、以下により算定されます。（令和５年10月以降の消毒経費への補助は廃止されました。）",
IF(表紙!$X$2="交付申請兼実績報告",
"○個人防護具の補助基準額は、以下により算定されます。（令和５年10月以降の消毒経費への補助は廃止されました。）"))))))</f>
        <v>○個人防護具の補助基準額は、以下により算定されます。（令和５年10月以降の消毒経費への補助は廃止されました。）</v>
      </c>
      <c r="C5" s="1210"/>
      <c r="D5" s="1210"/>
      <c r="E5" s="1210"/>
      <c r="F5" s="1210"/>
      <c r="G5" s="1210"/>
      <c r="H5" s="1210"/>
      <c r="I5" s="1210"/>
      <c r="J5" s="1210"/>
      <c r="K5" s="1210"/>
      <c r="L5" s="1210"/>
      <c r="M5" s="1210"/>
      <c r="N5" s="1210"/>
      <c r="O5" s="1210"/>
      <c r="P5" s="1210"/>
      <c r="Q5" s="1210"/>
      <c r="R5" s="1210"/>
      <c r="S5" s="1210"/>
      <c r="T5" s="1210"/>
      <c r="U5" s="1210"/>
      <c r="V5" s="1210"/>
      <c r="W5" s="1210"/>
      <c r="X5" s="1210"/>
      <c r="Y5" s="1210"/>
      <c r="Z5" s="1210"/>
      <c r="AA5" s="1210"/>
      <c r="AB5" s="1210"/>
      <c r="AC5" s="1210"/>
      <c r="AD5" s="1210"/>
      <c r="AE5" s="1210"/>
      <c r="AF5" s="1210"/>
      <c r="AG5" s="1210"/>
      <c r="AH5" s="1210"/>
      <c r="AI5" s="1210"/>
      <c r="AJ5" s="1210"/>
      <c r="AK5" s="1210"/>
      <c r="AL5" s="1210"/>
      <c r="AM5" s="1210"/>
      <c r="AN5" s="1210"/>
      <c r="AO5" s="1210"/>
      <c r="AP5" s="1210"/>
      <c r="AQ5" s="1210"/>
      <c r="AR5" s="1210"/>
      <c r="AS5" s="1210"/>
      <c r="AT5" s="1210"/>
      <c r="AU5" s="1210"/>
      <c r="AV5" s="1210"/>
      <c r="AW5" s="1210"/>
      <c r="AX5" s="1210"/>
      <c r="AZ5" s="680"/>
      <c r="BD5" s="680"/>
      <c r="BE5" s="680"/>
      <c r="BG5" s="680"/>
    </row>
    <row r="6" spans="1:71" ht="48" customHeight="1" thickTop="1">
      <c r="B6" s="1601" t="str">
        <f xml:space="preserve">
IF(表紙!$X$2="事前協議",
"・個人防護具：１日あたり平均配置員数（常勤換算）＊診療日数＊3,600円/日"&amp;CHAR(10)&amp;
"　　　　　　　なお、補助対象期間は県が定める「段階」が１以上の期間に限られます。（具体的な期間に基づく所要額の算定は実績報告の際に御案内します。）",
IF(表紙!$X$2="交付申請（２次）",
"・個人防護具：１日あたり平均配置員数（常勤換算）＊診療日数＊3,600円/日"&amp;CHAR(10)&amp;
"　　　　　　　なお、補助対象期間は県が定める「段階」が１以上の期間に限られます。（具体的な期間に基づく所要額の算定は実績報告の際に御案内します。）",
IF(表紙!$X$2="変更申請",
"・個人防護具：１日あたり平均配置員数（常勤換算）＊診療日数＊3,600円/日"&amp;CHAR(10)&amp;
"　　　　　　　なお、補助対象期間は県が定める「段階」が１以上の期間に限られます。（具体的な期間に基づく所要額の算定は実績報告の際に御案内します。）",
IF(表紙!$X$2="実績報告（１次）",
"○個人防護具及び消毒経費の補助基準額は、以下により算定されます。",
IF(表紙!$X$2="実績報告（２次）",
"・個人防護具：１日あたり平均配置員数（常勤換算）＊診療日数＊3,600円/日"&amp;CHAR(10)&amp;
"　　　　　　　なお、補助対象期間は県が定める「段階」が１以上の期間に限られます。（一旦の御提出後、県の方で期間設定を修正したデータを返送します。）",
IF(表紙!$X$2="交付申請兼実績報告",
"・個人防護具：１日あたり平均配置員数（常勤換算）＊診療日数＊3,600円/日"&amp;CHAR(10)&amp;
"　　　　　　　なお、補助対象期間は県が定める「段階」が１以上の期間に限られます。（一旦の御提出後、県の方で期間設定を修正したデータを返送します。）"))))))</f>
        <v>・個人防護具：１日あたり平均配置員数（常勤換算）＊診療日数＊3,600円/日
　　　　　　　なお、補助対象期間は県が定める「段階」が１以上の期間に限られます。（具体的な期間に基づく所要額の算定は実績報告の際に御案内します。）</v>
      </c>
      <c r="C6" s="1602"/>
      <c r="D6" s="1602"/>
      <c r="E6" s="1602"/>
      <c r="F6" s="1602"/>
      <c r="G6" s="1602"/>
      <c r="H6" s="1602"/>
      <c r="I6" s="1602"/>
      <c r="J6" s="1602"/>
      <c r="K6" s="1602"/>
      <c r="L6" s="1602"/>
      <c r="M6" s="1602"/>
      <c r="N6" s="1602"/>
      <c r="O6" s="1602"/>
      <c r="P6" s="1602"/>
      <c r="Q6" s="1602"/>
      <c r="R6" s="1602"/>
      <c r="S6" s="1602"/>
      <c r="T6" s="1602"/>
      <c r="U6" s="1602"/>
      <c r="V6" s="1602"/>
      <c r="W6" s="1602"/>
      <c r="X6" s="1602"/>
      <c r="Y6" s="1602"/>
      <c r="Z6" s="1602"/>
      <c r="AA6" s="1602"/>
      <c r="AB6" s="1602"/>
      <c r="AC6" s="1602"/>
      <c r="AD6" s="1602"/>
      <c r="AE6" s="1602"/>
      <c r="AF6" s="1602"/>
      <c r="AG6" s="1602"/>
      <c r="AH6" s="1602"/>
      <c r="AI6" s="1602"/>
      <c r="AJ6" s="1602"/>
      <c r="AK6" s="1602"/>
      <c r="AL6" s="1602"/>
      <c r="AM6" s="1602"/>
      <c r="AN6" s="1602"/>
      <c r="AO6" s="1602"/>
      <c r="AP6" s="1602"/>
      <c r="AQ6" s="1602"/>
      <c r="AR6" s="1602"/>
      <c r="AS6" s="1602"/>
      <c r="AT6" s="1602"/>
      <c r="AU6" s="1602"/>
      <c r="AV6" s="1602"/>
      <c r="AW6" s="1602"/>
      <c r="AX6" s="1603"/>
      <c r="AZ6" s="680"/>
      <c r="BD6" s="680"/>
      <c r="BE6" s="680"/>
      <c r="BG6" s="680"/>
    </row>
    <row r="7" spans="1:71" s="229" customFormat="1" ht="48" customHeight="1" thickBot="1">
      <c r="A7" s="228"/>
      <c r="B7" s="1604" t="str">
        <f xml:space="preserve">
IF(表紙!$X$2="事前協議",
"・消毒清掃費：国における制度見直しに伴い令和５年10月以降の支援は廃止されました。",
IF(表紙!$X$2="交付申請（２次）",
"・消毒清掃費：国における制度見直しに伴い令和５年10月以降の支援は廃止されました。",
IF(表紙!$X$2="変更申請",
"・消毒清掃費：国における制度見直しに伴い令和５年10月以降の支援は廃止されました。",
IF(表紙!$X$2="実績報告（１次）",
"・消毒清掃費：コロナ延入院患者数数＊1,000円/１日１床（ただし、利用病床に限る。）
（単価については、１日１床あたり入院対応における病室消毒にかかる経費等を評価。直営、外部委託による場合いずれも共通。）",
IF(表紙!$X$2="実績報告（２次）",
"・消毒清掃費：国における制度見直しに伴い令和５年10月以降の支援は廃止されました。",
IF(表紙!$X$2="交付申請兼実績報告",
"・消毒清掃費：国における制度見直しに伴い令和５年10月以降の支援は廃止されました。"))))))</f>
        <v>・消毒清掃費：国における制度見直しに伴い令和５年10月以降の支援は廃止されました。</v>
      </c>
      <c r="C7" s="1605"/>
      <c r="D7" s="1605"/>
      <c r="E7" s="1605"/>
      <c r="F7" s="1605"/>
      <c r="G7" s="1605"/>
      <c r="H7" s="1605"/>
      <c r="I7" s="1605"/>
      <c r="J7" s="1605"/>
      <c r="K7" s="1605"/>
      <c r="L7" s="1605"/>
      <c r="M7" s="1605"/>
      <c r="N7" s="1605"/>
      <c r="O7" s="1605"/>
      <c r="P7" s="1605"/>
      <c r="Q7" s="1605"/>
      <c r="R7" s="1605"/>
      <c r="S7" s="1605"/>
      <c r="T7" s="1605"/>
      <c r="U7" s="1605"/>
      <c r="V7" s="1605"/>
      <c r="W7" s="1605"/>
      <c r="X7" s="1605"/>
      <c r="Y7" s="1605"/>
      <c r="Z7" s="1605"/>
      <c r="AA7" s="1605"/>
      <c r="AB7" s="1605"/>
      <c r="AC7" s="1605"/>
      <c r="AD7" s="1605"/>
      <c r="AE7" s="1605"/>
      <c r="AF7" s="1605"/>
      <c r="AG7" s="1605"/>
      <c r="AH7" s="1605"/>
      <c r="AI7" s="1605"/>
      <c r="AJ7" s="1605"/>
      <c r="AK7" s="1605"/>
      <c r="AL7" s="1605"/>
      <c r="AM7" s="1605"/>
      <c r="AN7" s="1605"/>
      <c r="AO7" s="1605"/>
      <c r="AP7" s="1605"/>
      <c r="AQ7" s="1605"/>
      <c r="AR7" s="1605"/>
      <c r="AS7" s="1605"/>
      <c r="AT7" s="1605"/>
      <c r="AU7" s="1605"/>
      <c r="AV7" s="1605"/>
      <c r="AW7" s="1605"/>
      <c r="AX7" s="1606"/>
      <c r="AY7" s="228"/>
      <c r="BP7" s="315"/>
      <c r="BQ7" s="315"/>
      <c r="BR7" s="315"/>
      <c r="BS7" s="315"/>
    </row>
    <row r="8" spans="1:71" ht="24" customHeight="1" thickTop="1">
      <c r="B8" s="1209" t="s">
        <v>1179</v>
      </c>
      <c r="C8" s="1210"/>
      <c r="D8" s="1210"/>
      <c r="E8" s="1210"/>
      <c r="F8" s="1210"/>
      <c r="G8" s="1210"/>
      <c r="H8" s="1210"/>
      <c r="I8" s="1210"/>
      <c r="J8" s="1210"/>
      <c r="K8" s="1210"/>
      <c r="L8" s="1210"/>
      <c r="M8" s="1210"/>
      <c r="N8" s="1210"/>
      <c r="O8" s="1210"/>
      <c r="P8" s="1210"/>
      <c r="Q8" s="1210"/>
      <c r="R8" s="1210"/>
      <c r="S8" s="1210"/>
      <c r="T8" s="1210"/>
      <c r="U8" s="1210"/>
      <c r="V8" s="1210"/>
      <c r="W8" s="1210"/>
      <c r="X8" s="1210"/>
      <c r="Y8" s="1210"/>
      <c r="Z8" s="1210"/>
      <c r="AA8" s="1210"/>
      <c r="AB8" s="1210"/>
      <c r="AC8" s="1210"/>
      <c r="AD8" s="1210"/>
      <c r="AE8" s="1210"/>
      <c r="AF8" s="1210"/>
      <c r="AG8" s="1210"/>
      <c r="AH8" s="1210"/>
      <c r="AI8" s="1210"/>
      <c r="AJ8" s="1210"/>
      <c r="AK8" s="1210"/>
      <c r="AL8" s="1210"/>
      <c r="AM8" s="1210"/>
      <c r="AN8" s="1210"/>
      <c r="AO8" s="1210"/>
      <c r="AP8" s="1210"/>
      <c r="AQ8" s="1210"/>
      <c r="AR8" s="1210"/>
      <c r="AS8" s="1210"/>
      <c r="AT8" s="1210"/>
      <c r="AU8" s="1210"/>
      <c r="AV8" s="1210"/>
      <c r="AW8" s="1210"/>
      <c r="AX8" s="1210"/>
      <c r="AZ8" s="680"/>
      <c r="BD8" s="680"/>
      <c r="BE8" s="680"/>
      <c r="BF8" s="230"/>
      <c r="BG8" s="680"/>
    </row>
    <row r="9" spans="1:71" ht="24" customHeight="1">
      <c r="B9" s="1209" t="s">
        <v>1043</v>
      </c>
      <c r="C9" s="1210"/>
      <c r="D9" s="1210"/>
      <c r="E9" s="1210"/>
      <c r="F9" s="1210"/>
      <c r="G9" s="1210"/>
      <c r="H9" s="1210"/>
      <c r="I9" s="1210"/>
      <c r="J9" s="1210"/>
      <c r="K9" s="1210"/>
      <c r="L9" s="1210"/>
      <c r="M9" s="1210"/>
      <c r="N9" s="1210"/>
      <c r="O9" s="1210"/>
      <c r="P9" s="1210"/>
      <c r="Q9" s="1210"/>
      <c r="R9" s="1210"/>
      <c r="S9" s="1210"/>
      <c r="T9" s="1210"/>
      <c r="U9" s="1210"/>
      <c r="V9" s="1210"/>
      <c r="W9" s="1210"/>
      <c r="X9" s="1210"/>
      <c r="Y9" s="1210"/>
      <c r="Z9" s="1210"/>
      <c r="AA9" s="1210"/>
      <c r="AB9" s="1210"/>
      <c r="AC9" s="1210"/>
      <c r="AD9" s="1210"/>
      <c r="AE9" s="1210"/>
      <c r="AF9" s="1210"/>
      <c r="AG9" s="1210"/>
      <c r="AH9" s="1210"/>
      <c r="AI9" s="1210"/>
      <c r="AJ9" s="1210"/>
      <c r="AK9" s="1210"/>
      <c r="AL9" s="1210"/>
      <c r="AM9" s="1210"/>
      <c r="AN9" s="1210"/>
      <c r="AO9" s="1210"/>
      <c r="AP9" s="1210"/>
      <c r="AQ9" s="1210"/>
      <c r="AR9" s="1210"/>
      <c r="AS9" s="1210"/>
      <c r="AT9" s="1210"/>
      <c r="AU9" s="1210"/>
      <c r="AV9" s="1210"/>
      <c r="AW9" s="1210"/>
      <c r="AX9" s="1210"/>
      <c r="AZ9" s="680"/>
      <c r="BD9" s="680"/>
      <c r="BE9" s="680"/>
      <c r="BG9" s="680"/>
    </row>
    <row r="10" spans="1:71" ht="24" customHeight="1">
      <c r="B10" s="1211" t="s">
        <v>1180</v>
      </c>
      <c r="C10" s="1212"/>
      <c r="D10" s="1212"/>
      <c r="E10" s="1212"/>
      <c r="F10" s="1212"/>
      <c r="G10" s="1212"/>
      <c r="H10" s="1212"/>
      <c r="I10" s="1212"/>
      <c r="J10" s="1212"/>
      <c r="K10" s="1212"/>
      <c r="L10" s="1212"/>
      <c r="M10" s="1212"/>
      <c r="N10" s="1212"/>
      <c r="O10" s="1212"/>
      <c r="P10" s="1212"/>
      <c r="Q10" s="1212"/>
      <c r="R10" s="1212"/>
      <c r="S10" s="1212"/>
      <c r="T10" s="1212"/>
      <c r="U10" s="1212"/>
      <c r="V10" s="1212"/>
      <c r="W10" s="1212"/>
      <c r="X10" s="1212"/>
      <c r="Y10" s="1212"/>
      <c r="Z10" s="1212"/>
      <c r="AA10" s="1212"/>
      <c r="AB10" s="1212"/>
      <c r="AC10" s="1212"/>
      <c r="AD10" s="1212"/>
      <c r="AE10" s="1212"/>
      <c r="AF10" s="1212"/>
      <c r="AG10" s="1212"/>
      <c r="AH10" s="1212"/>
      <c r="AI10" s="1212"/>
      <c r="AJ10" s="1212"/>
      <c r="AK10" s="1212"/>
      <c r="AL10" s="1212"/>
      <c r="AM10" s="1212"/>
      <c r="AN10" s="1212"/>
      <c r="AO10" s="1212"/>
      <c r="AP10" s="1212"/>
      <c r="AQ10" s="1212"/>
      <c r="AR10" s="1212"/>
      <c r="AS10" s="1212"/>
      <c r="AT10" s="1212"/>
      <c r="AU10" s="1212"/>
      <c r="AV10" s="1210"/>
      <c r="AW10" s="1210"/>
      <c r="AX10" s="1210"/>
      <c r="AZ10" s="680"/>
      <c r="BD10" s="680"/>
      <c r="BE10" s="680"/>
      <c r="BG10" s="680"/>
    </row>
    <row r="11" spans="1:71" ht="24" customHeight="1">
      <c r="B11" s="1212"/>
      <c r="C11" s="1212"/>
      <c r="D11" s="1212"/>
      <c r="E11" s="1212"/>
      <c r="F11" s="1212"/>
      <c r="G11" s="1212"/>
      <c r="H11" s="1212"/>
      <c r="I11" s="1212"/>
      <c r="J11" s="1212"/>
      <c r="K11" s="1212"/>
      <c r="L11" s="1212"/>
      <c r="M11" s="1212"/>
      <c r="N11" s="1212"/>
      <c r="O11" s="1212"/>
      <c r="P11" s="1212"/>
      <c r="Q11" s="1212"/>
      <c r="R11" s="1212"/>
      <c r="S11" s="1212"/>
      <c r="T11" s="1212"/>
      <c r="U11" s="1212"/>
      <c r="V11" s="1212"/>
      <c r="W11" s="1212"/>
      <c r="X11" s="1212"/>
      <c r="Y11" s="1212"/>
      <c r="Z11" s="1212"/>
      <c r="AA11" s="1212"/>
      <c r="AB11" s="1212"/>
      <c r="AC11" s="1212"/>
      <c r="AD11" s="1212"/>
      <c r="AE11" s="1212"/>
      <c r="AF11" s="1212"/>
      <c r="AG11" s="1212"/>
      <c r="AH11" s="1212"/>
      <c r="AI11" s="1212"/>
      <c r="AJ11" s="1212"/>
      <c r="AK11" s="1212"/>
      <c r="AL11" s="1212"/>
      <c r="AM11" s="1212"/>
      <c r="AN11" s="1212"/>
      <c r="AO11" s="1212"/>
      <c r="AP11" s="1212"/>
      <c r="AQ11" s="1212"/>
      <c r="AR11" s="1212"/>
      <c r="AS11" s="1212"/>
      <c r="AT11" s="1212"/>
      <c r="AU11" s="1212"/>
      <c r="AV11" s="1210"/>
      <c r="AW11" s="1210"/>
      <c r="AX11" s="1210"/>
      <c r="AZ11" s="680"/>
      <c r="BD11" s="680"/>
      <c r="BE11" s="680"/>
      <c r="BG11" s="680"/>
    </row>
    <row r="12" spans="1:71" s="229" customFormat="1" ht="72" customHeight="1">
      <c r="A12" s="228"/>
      <c r="B12" s="1211" t="s">
        <v>1384</v>
      </c>
      <c r="C12" s="1212"/>
      <c r="D12" s="1212"/>
      <c r="E12" s="1212"/>
      <c r="F12" s="1212"/>
      <c r="G12" s="1212"/>
      <c r="H12" s="1212"/>
      <c r="I12" s="1212"/>
      <c r="J12" s="1212"/>
      <c r="K12" s="1212"/>
      <c r="L12" s="1212"/>
      <c r="M12" s="1212"/>
      <c r="N12" s="1212"/>
      <c r="O12" s="1212"/>
      <c r="P12" s="1212"/>
      <c r="Q12" s="1212"/>
      <c r="R12" s="1212"/>
      <c r="S12" s="1212"/>
      <c r="T12" s="1212"/>
      <c r="U12" s="1212"/>
      <c r="V12" s="1212"/>
      <c r="W12" s="1212"/>
      <c r="X12" s="1212"/>
      <c r="Y12" s="1212"/>
      <c r="Z12" s="1212"/>
      <c r="AA12" s="1212"/>
      <c r="AB12" s="1212"/>
      <c r="AC12" s="1212"/>
      <c r="AD12" s="1212"/>
      <c r="AE12" s="1212"/>
      <c r="AF12" s="1212"/>
      <c r="AG12" s="1212"/>
      <c r="AH12" s="1212"/>
      <c r="AI12" s="1212"/>
      <c r="AJ12" s="1212"/>
      <c r="AK12" s="1212"/>
      <c r="AL12" s="1212"/>
      <c r="AM12" s="1212"/>
      <c r="AN12" s="1212"/>
      <c r="AO12" s="1212"/>
      <c r="AP12" s="1212"/>
      <c r="AQ12" s="1212"/>
      <c r="AR12" s="1212"/>
      <c r="AS12" s="1212"/>
      <c r="AT12" s="1212"/>
      <c r="AU12" s="1212"/>
      <c r="AV12" s="1212"/>
      <c r="AW12" s="1212"/>
      <c r="AX12" s="1212"/>
      <c r="AY12" s="228"/>
      <c r="BP12" s="315"/>
      <c r="BQ12" s="315"/>
      <c r="BR12" s="315"/>
      <c r="BS12" s="315"/>
    </row>
    <row r="13" spans="1:71">
      <c r="BB13" s="223"/>
      <c r="BC13" s="223"/>
      <c r="BD13" s="223"/>
      <c r="BE13" s="223"/>
      <c r="BF13" s="223"/>
      <c r="BG13" s="223"/>
    </row>
    <row r="14" spans="1:71" ht="45" customHeight="1">
      <c r="B14" s="1351" t="str">
        <f>"１．勤務体制及び入院患者情報　　【総合判定】"&amp;AZ15&amp;"："&amp;BG15&amp;CHAR(10)&amp;
"「３．配置情報」に入力いただく入院患者見込数及びこれに基づく勤務時間数の目安情報として、以下の内容を入力してください。"</f>
        <v>１．勤務体制及び入院患者情報　　【総合判定】×：看護配置割合または入院患者情報に入力不十分な点があります。
「３．配置情報」に入力いただく入院患者見込数及びこれに基づく勤務時間数の目安情報として、以下の内容を入力してください。</v>
      </c>
      <c r="C14" s="1351"/>
      <c r="D14" s="1351"/>
      <c r="E14" s="1351"/>
      <c r="F14" s="1351"/>
      <c r="G14" s="1351"/>
      <c r="H14" s="1351"/>
      <c r="I14" s="1351"/>
      <c r="J14" s="1351"/>
      <c r="K14" s="1351"/>
      <c r="L14" s="1351"/>
      <c r="M14" s="1351"/>
      <c r="N14" s="1351"/>
      <c r="O14" s="1351"/>
      <c r="P14" s="1351"/>
      <c r="Q14" s="1351"/>
      <c r="R14" s="1351"/>
      <c r="S14" s="1351"/>
      <c r="T14" s="1351"/>
      <c r="U14" s="1351"/>
      <c r="V14" s="1351"/>
      <c r="W14" s="1351"/>
      <c r="X14" s="1351"/>
      <c r="Y14" s="1351"/>
      <c r="Z14" s="1351"/>
      <c r="AA14" s="1351"/>
      <c r="AB14" s="1351"/>
      <c r="AC14" s="1351"/>
      <c r="AD14" s="1351"/>
      <c r="AE14" s="1351"/>
      <c r="AF14" s="1351"/>
      <c r="AG14" s="1351"/>
      <c r="AH14" s="1351"/>
      <c r="AI14" s="1351"/>
      <c r="AJ14" s="1351"/>
      <c r="AK14" s="1351"/>
      <c r="AL14" s="1351"/>
      <c r="AM14" s="1351"/>
      <c r="AN14" s="1351"/>
      <c r="AO14" s="1351"/>
      <c r="AP14" s="1351"/>
      <c r="AQ14" s="1351"/>
      <c r="AR14" s="1351"/>
      <c r="AS14" s="1351"/>
      <c r="AT14" s="1351"/>
      <c r="AU14" s="1351"/>
      <c r="AV14" s="1351"/>
      <c r="AW14" s="1351"/>
      <c r="AX14" s="1351"/>
      <c r="AY14" s="1351"/>
      <c r="BB14" s="223"/>
      <c r="BC14" s="231"/>
      <c r="BD14" s="223"/>
      <c r="BE14" s="223"/>
      <c r="BF14" s="223"/>
      <c r="BG14" s="223"/>
    </row>
    <row r="15" spans="1:71" ht="18.75" customHeight="1" thickBot="1">
      <c r="B15" s="1594" t="s">
        <v>1221</v>
      </c>
      <c r="C15" s="1595"/>
      <c r="D15" s="1595"/>
      <c r="E15" s="1595"/>
      <c r="F15" s="1595"/>
      <c r="G15" s="1595"/>
      <c r="H15" s="1595"/>
      <c r="I15" s="1595"/>
      <c r="J15" s="1595"/>
      <c r="K15" s="1595"/>
      <c r="L15" s="1595"/>
      <c r="M15" s="1595"/>
      <c r="N15" s="1595"/>
      <c r="O15" s="1595"/>
      <c r="P15" s="1595"/>
      <c r="Q15" s="1595"/>
      <c r="R15" s="1595"/>
      <c r="S15" s="1595"/>
      <c r="T15" s="1595"/>
      <c r="U15" s="1595"/>
      <c r="V15" s="1595"/>
      <c r="W15" s="1595"/>
      <c r="X15" s="1595"/>
      <c r="Y15" s="1595"/>
      <c r="Z15" s="1595"/>
      <c r="AA15" s="1595"/>
      <c r="AB15" s="1595"/>
      <c r="AC15" s="1595"/>
      <c r="AD15" s="1595"/>
      <c r="AE15" s="1595"/>
      <c r="AF15" s="1595"/>
      <c r="AG15" s="1595"/>
      <c r="AH15" s="1595"/>
      <c r="AI15" s="1595"/>
      <c r="AJ15" s="1595"/>
      <c r="AK15" s="1595"/>
      <c r="AL15" s="1595"/>
      <c r="AM15" s="1595"/>
      <c r="AN15" s="1595"/>
      <c r="AO15" s="1595"/>
      <c r="AP15" s="1595"/>
      <c r="AQ15" s="1595"/>
      <c r="AR15" s="1595"/>
      <c r="AS15" s="1595"/>
      <c r="AT15" s="1595"/>
      <c r="AU15" s="1595"/>
      <c r="AV15" s="1595"/>
      <c r="AW15" s="1595"/>
      <c r="AX15" s="1595"/>
      <c r="AY15" s="1595"/>
      <c r="AZ15" s="223" t="str">
        <f>IF(COUNTIF(AZ16:AZ22,"○")=7,"○","×")</f>
        <v>×</v>
      </c>
      <c r="BA15" s="1598" t="s">
        <v>1045</v>
      </c>
      <c r="BB15" s="1599"/>
      <c r="BC15" s="1599"/>
      <c r="BD15" s="1600"/>
      <c r="BE15" s="223"/>
      <c r="BF15" s="223"/>
      <c r="BG15" s="225" t="str">
        <f>IF(COUNTIF(AZ16:AZ22,"○")=7,"適切に入力がされました。","看護配置割合または入院患者情報に入力不十分な点があります。")</f>
        <v>看護配置割合または入院患者情報に入力不十分な点があります。</v>
      </c>
    </row>
    <row r="16" spans="1:71" ht="18.75" customHeight="1">
      <c r="B16" s="1029" t="s">
        <v>1184</v>
      </c>
      <c r="C16" s="908"/>
      <c r="D16" s="908"/>
      <c r="E16" s="908"/>
      <c r="F16" s="1030"/>
      <c r="G16" s="1441">
        <f xml:space="preserve">
IF(表紙!$X$2="事前協議",10,
IF(表紙!$X$2="交付申請（２次）",10,
IF(表紙!$X$2="変更申請",10,
IF(表紙!$X$2="実績報告（１次）",4,
IF(表紙!$X$2="実績報告（２次）",10,
IF(表紙!$X$2="交付申請兼実績報告",10))))))</f>
        <v>10</v>
      </c>
      <c r="H16" s="1442"/>
      <c r="I16" s="1442"/>
      <c r="J16" s="1442"/>
      <c r="K16" s="1443"/>
      <c r="L16" s="1441">
        <f>IF(G16+1&gt;=13,G16+1-12,G16+1)</f>
        <v>11</v>
      </c>
      <c r="M16" s="1442"/>
      <c r="N16" s="1442"/>
      <c r="O16" s="1442"/>
      <c r="P16" s="1443"/>
      <c r="Q16" s="1441">
        <f t="shared" ref="Q16" si="0">IF(L16+1&gt;=13,L16+1-12,L16+1)</f>
        <v>12</v>
      </c>
      <c r="R16" s="1442"/>
      <c r="S16" s="1442"/>
      <c r="T16" s="1442"/>
      <c r="U16" s="1443"/>
      <c r="V16" s="1441">
        <f t="shared" ref="V16" si="1">IF(Q16+1&gt;=13,Q16+1-12,Q16+1)</f>
        <v>1</v>
      </c>
      <c r="W16" s="1442"/>
      <c r="X16" s="1442"/>
      <c r="Y16" s="1442"/>
      <c r="Z16" s="1443"/>
      <c r="AA16" s="1441">
        <f t="shared" ref="AA16" si="2">IF(V16+1&gt;=13,V16+1-12,V16+1)</f>
        <v>2</v>
      </c>
      <c r="AB16" s="1442"/>
      <c r="AC16" s="1442"/>
      <c r="AD16" s="1442"/>
      <c r="AE16" s="1443"/>
      <c r="AF16" s="1441">
        <f t="shared" ref="AF16" si="3">IF(AA16+1&gt;=13,AA16+1-12,AA16+1)</f>
        <v>3</v>
      </c>
      <c r="AG16" s="1442"/>
      <c r="AH16" s="1442"/>
      <c r="AI16" s="1442"/>
      <c r="AJ16" s="1443"/>
      <c r="AK16" s="234"/>
      <c r="AL16" s="1455" t="str">
        <f>G16&amp;"月～"&amp;AF16&amp;"月"</f>
        <v>10月～3月</v>
      </c>
      <c r="AM16" s="1456"/>
      <c r="AN16" s="1456"/>
      <c r="AO16" s="1457"/>
      <c r="AP16" s="1435" t="s">
        <v>1226</v>
      </c>
      <c r="AQ16" s="1361"/>
      <c r="AR16" s="1436"/>
      <c r="AS16" s="1435" t="s">
        <v>1227</v>
      </c>
      <c r="AT16" s="1361"/>
      <c r="AU16" s="1437"/>
      <c r="AV16" s="234"/>
      <c r="AW16" s="234"/>
      <c r="AX16" s="234"/>
      <c r="AZ16" s="679" t="str">
        <f>IF(COUNTA(G18,L18,Q18,V18,AA18,AF18)=6,"○","×")</f>
        <v>×</v>
      </c>
      <c r="BA16" s="1607" t="s">
        <v>1046</v>
      </c>
      <c r="BB16" s="1608"/>
      <c r="BC16" s="1608"/>
      <c r="BD16" s="1608"/>
      <c r="BE16" s="283"/>
      <c r="BF16" s="283"/>
      <c r="BG16" s="766" t="str">
        <f>B18</f>
        <v>看護配置割合</v>
      </c>
    </row>
    <row r="17" spans="1:59" ht="18.75" customHeight="1">
      <c r="B17" s="908"/>
      <c r="C17" s="908"/>
      <c r="D17" s="908"/>
      <c r="E17" s="908"/>
      <c r="F17" s="1030"/>
      <c r="G17" s="1442"/>
      <c r="H17" s="1442"/>
      <c r="I17" s="1442"/>
      <c r="J17" s="1442"/>
      <c r="K17" s="1443"/>
      <c r="L17" s="1442"/>
      <c r="M17" s="1442"/>
      <c r="N17" s="1442"/>
      <c r="O17" s="1442"/>
      <c r="P17" s="1443"/>
      <c r="Q17" s="1442"/>
      <c r="R17" s="1442"/>
      <c r="S17" s="1442"/>
      <c r="T17" s="1442"/>
      <c r="U17" s="1443"/>
      <c r="V17" s="1442"/>
      <c r="W17" s="1442"/>
      <c r="X17" s="1442"/>
      <c r="Y17" s="1442"/>
      <c r="Z17" s="1443"/>
      <c r="AA17" s="1442"/>
      <c r="AB17" s="1442"/>
      <c r="AC17" s="1442"/>
      <c r="AD17" s="1442"/>
      <c r="AE17" s="1443"/>
      <c r="AF17" s="1442"/>
      <c r="AG17" s="1442"/>
      <c r="AH17" s="1442"/>
      <c r="AI17" s="1442"/>
      <c r="AJ17" s="1443"/>
      <c r="AK17" s="677"/>
      <c r="AL17" s="1453" t="s">
        <v>1230</v>
      </c>
      <c r="AM17" s="1454"/>
      <c r="AN17" s="1454"/>
      <c r="AO17" s="1454"/>
      <c r="AP17" s="1421">
        <f>IF(COUNTIF($AZ$16:$AZ$22,"○")=7,SUM(AO23,AO30,AO37,AO44,AO51,AO58),0)</f>
        <v>0</v>
      </c>
      <c r="AQ17" s="1422"/>
      <c r="AR17" s="1422"/>
      <c r="AS17" s="1426" t="s">
        <v>1231</v>
      </c>
      <c r="AT17" s="1427"/>
      <c r="AU17" s="1428"/>
      <c r="AV17" s="677"/>
      <c r="AW17" s="677"/>
      <c r="AX17" s="677"/>
      <c r="AZ17" s="764" t="str">
        <f>AU24</f>
        <v>×</v>
      </c>
      <c r="BA17" s="282"/>
      <c r="BB17" s="283"/>
      <c r="BC17" s="236"/>
      <c r="BD17" s="283"/>
      <c r="BE17" s="283"/>
      <c r="BF17" s="283"/>
      <c r="BG17" s="761">
        <f>J21</f>
        <v>10</v>
      </c>
    </row>
    <row r="18" spans="1:59" ht="18.75" customHeight="1">
      <c r="B18" s="1029" t="s">
        <v>1183</v>
      </c>
      <c r="C18" s="1030"/>
      <c r="D18" s="1030"/>
      <c r="E18" s="1030"/>
      <c r="F18" s="1030"/>
      <c r="G18" s="1031"/>
      <c r="H18" s="1032"/>
      <c r="I18" s="1036" t="s">
        <v>1187</v>
      </c>
      <c r="J18" s="1034">
        <v>1</v>
      </c>
      <c r="K18" s="908"/>
      <c r="L18" s="1031"/>
      <c r="M18" s="1032"/>
      <c r="N18" s="1036" t="s">
        <v>1187</v>
      </c>
      <c r="O18" s="1034">
        <v>1</v>
      </c>
      <c r="P18" s="908"/>
      <c r="Q18" s="1031"/>
      <c r="R18" s="1032"/>
      <c r="S18" s="1036" t="s">
        <v>1187</v>
      </c>
      <c r="T18" s="1034">
        <v>1</v>
      </c>
      <c r="U18" s="908"/>
      <c r="V18" s="1031"/>
      <c r="W18" s="1032"/>
      <c r="X18" s="1036" t="s">
        <v>1187</v>
      </c>
      <c r="Y18" s="1034">
        <v>1</v>
      </c>
      <c r="Z18" s="908"/>
      <c r="AA18" s="1031"/>
      <c r="AB18" s="1032"/>
      <c r="AC18" s="1036" t="s">
        <v>1187</v>
      </c>
      <c r="AD18" s="1034">
        <v>1</v>
      </c>
      <c r="AE18" s="908"/>
      <c r="AF18" s="1031"/>
      <c r="AG18" s="1032"/>
      <c r="AH18" s="1036" t="s">
        <v>1187</v>
      </c>
      <c r="AI18" s="1034">
        <v>1</v>
      </c>
      <c r="AJ18" s="908"/>
      <c r="AL18" s="1453" t="s">
        <v>1228</v>
      </c>
      <c r="AM18" s="1454"/>
      <c r="AN18" s="1454"/>
      <c r="AO18" s="1454"/>
      <c r="AP18" s="1118">
        <f>IF(COUNTIF($AZ$16:$AZ$22,"○")=7,SUM(AO24,AO31,AO38,AO45,AO52,AO59),0)</f>
        <v>0</v>
      </c>
      <c r="AQ18" s="1423"/>
      <c r="AR18" s="1423"/>
      <c r="AS18" s="1429">
        <f>IF(COUNTIF($AZ$16:$AZ$22,"○")=7,ROUNDDOWN(AP18/$AP$17,1),0)</f>
        <v>0</v>
      </c>
      <c r="AT18" s="1430"/>
      <c r="AU18" s="1431"/>
      <c r="AZ18" s="764" t="str">
        <f>AU31</f>
        <v>×</v>
      </c>
      <c r="BA18" s="1607" t="s">
        <v>1048</v>
      </c>
      <c r="BB18" s="1608"/>
      <c r="BC18" s="1608"/>
      <c r="BD18" s="1608"/>
      <c r="BE18" s="1608"/>
      <c r="BF18" s="283"/>
      <c r="BG18" s="762">
        <f>J28</f>
        <v>11</v>
      </c>
    </row>
    <row r="19" spans="1:59" ht="18.75" customHeight="1" thickBot="1">
      <c r="B19" s="1030"/>
      <c r="C19" s="1030"/>
      <c r="D19" s="1030"/>
      <c r="E19" s="1030"/>
      <c r="F19" s="1030"/>
      <c r="G19" s="1033"/>
      <c r="H19" s="1032"/>
      <c r="I19" s="1037"/>
      <c r="J19" s="1035"/>
      <c r="K19" s="908"/>
      <c r="L19" s="1033"/>
      <c r="M19" s="1032"/>
      <c r="N19" s="1037"/>
      <c r="O19" s="1035"/>
      <c r="P19" s="908"/>
      <c r="Q19" s="1033"/>
      <c r="R19" s="1032"/>
      <c r="S19" s="1037"/>
      <c r="T19" s="1035"/>
      <c r="U19" s="908"/>
      <c r="V19" s="1033"/>
      <c r="W19" s="1032"/>
      <c r="X19" s="1037"/>
      <c r="Y19" s="1035"/>
      <c r="Z19" s="908"/>
      <c r="AA19" s="1033"/>
      <c r="AB19" s="1032"/>
      <c r="AC19" s="1037"/>
      <c r="AD19" s="1035"/>
      <c r="AE19" s="908"/>
      <c r="AF19" s="1033"/>
      <c r="AG19" s="1032"/>
      <c r="AH19" s="1037"/>
      <c r="AI19" s="1035"/>
      <c r="AJ19" s="908"/>
      <c r="AK19" s="686"/>
      <c r="AL19" s="1458" t="s">
        <v>1229</v>
      </c>
      <c r="AM19" s="1459"/>
      <c r="AN19" s="1459"/>
      <c r="AO19" s="1459"/>
      <c r="AP19" s="1424">
        <f>IF(COUNTIF($AZ$16:$AZ$22,"○")=7,SUM(AO25,AO32,AO39,AO46,AO53,AO60),0)</f>
        <v>0</v>
      </c>
      <c r="AQ19" s="1425"/>
      <c r="AR19" s="1425"/>
      <c r="AS19" s="1432">
        <f>IF(COUNTIF($AZ$16:$AZ$22,"○")=7,ROUNDDOWN(AP19/$AP$17,1),0)</f>
        <v>0</v>
      </c>
      <c r="AT19" s="1433"/>
      <c r="AU19" s="1434"/>
      <c r="AV19" s="686"/>
      <c r="AW19" s="686"/>
      <c r="AX19" s="686"/>
      <c r="AY19" s="684"/>
      <c r="AZ19" s="765" t="str">
        <f>AU38</f>
        <v>×</v>
      </c>
      <c r="BA19" s="1607" t="s">
        <v>1047</v>
      </c>
      <c r="BB19" s="1608"/>
      <c r="BC19" s="1608"/>
      <c r="BD19" s="1608"/>
      <c r="BE19" s="1608"/>
      <c r="BF19" s="283"/>
      <c r="BG19" s="762">
        <f>J35</f>
        <v>12</v>
      </c>
    </row>
    <row r="20" spans="1:59" ht="20.100000000000001" customHeight="1" thickBot="1">
      <c r="B20" s="1596" t="s">
        <v>1222</v>
      </c>
      <c r="C20" s="1597"/>
      <c r="D20" s="1597"/>
      <c r="E20" s="1597"/>
      <c r="F20" s="1597"/>
      <c r="G20" s="1597"/>
      <c r="H20" s="1597"/>
      <c r="I20" s="1597"/>
      <c r="J20" s="1597"/>
      <c r="K20" s="1597"/>
      <c r="L20" s="1597"/>
      <c r="M20" s="1597"/>
      <c r="N20" s="1597"/>
      <c r="O20" s="1597"/>
      <c r="P20" s="1597"/>
      <c r="Q20" s="1597"/>
      <c r="R20" s="1597"/>
      <c r="S20" s="1597"/>
      <c r="T20" s="1597"/>
      <c r="U20" s="1597"/>
      <c r="V20" s="1597"/>
      <c r="W20" s="1597"/>
      <c r="X20" s="1597"/>
      <c r="Y20" s="1597"/>
      <c r="Z20" s="1597"/>
      <c r="AA20" s="1597"/>
      <c r="AB20" s="1597"/>
      <c r="AC20" s="1597"/>
      <c r="AD20" s="1597"/>
      <c r="AE20" s="1597"/>
      <c r="AF20" s="1597"/>
      <c r="AG20" s="1597"/>
      <c r="AH20" s="1597"/>
      <c r="AI20" s="1597"/>
      <c r="AJ20" s="1597"/>
      <c r="AK20" s="1597"/>
      <c r="AL20" s="1597"/>
      <c r="AM20" s="1597"/>
      <c r="AN20" s="1597"/>
      <c r="AO20" s="1597"/>
      <c r="AP20" s="1597"/>
      <c r="AQ20" s="1597"/>
      <c r="AR20" s="1597"/>
      <c r="AS20" s="1597"/>
      <c r="AT20" s="1597"/>
      <c r="AU20" s="1597"/>
      <c r="AV20" s="1597"/>
      <c r="AW20" s="1597"/>
      <c r="AX20" s="1597"/>
      <c r="AY20" s="1597"/>
      <c r="AZ20" s="764" t="str">
        <f>AU45</f>
        <v>×</v>
      </c>
      <c r="BA20" s="1607" t="s">
        <v>1051</v>
      </c>
      <c r="BB20" s="1608"/>
      <c r="BC20" s="1608"/>
      <c r="BD20" s="1608"/>
      <c r="BE20" s="1608"/>
      <c r="BF20" s="282"/>
      <c r="BG20" s="762">
        <f>J42</f>
        <v>1</v>
      </c>
    </row>
    <row r="21" spans="1:59" ht="19.5" thickTop="1">
      <c r="B21" s="1444" t="s">
        <v>1220</v>
      </c>
      <c r="C21" s="1445"/>
      <c r="D21" s="1445"/>
      <c r="E21" s="1445"/>
      <c r="F21" s="1445"/>
      <c r="G21" s="1445"/>
      <c r="H21" s="1445"/>
      <c r="I21" s="1446"/>
      <c r="J21" s="1473">
        <f>G16</f>
        <v>10</v>
      </c>
      <c r="K21" s="1474"/>
      <c r="L21" s="1474"/>
      <c r="M21" s="1474"/>
      <c r="N21" s="1474"/>
      <c r="O21" s="1474"/>
      <c r="P21" s="1474"/>
      <c r="Q21" s="1474"/>
      <c r="R21" s="1474"/>
      <c r="S21" s="1474"/>
      <c r="T21" s="1474"/>
      <c r="U21" s="1474"/>
      <c r="V21" s="1474"/>
      <c r="W21" s="1474"/>
      <c r="X21" s="1474"/>
      <c r="Y21" s="1474"/>
      <c r="Z21" s="1474"/>
      <c r="AA21" s="1474"/>
      <c r="AB21" s="1474"/>
      <c r="AC21" s="1474"/>
      <c r="AD21" s="1474"/>
      <c r="AE21" s="1474"/>
      <c r="AF21" s="1474"/>
      <c r="AG21" s="1474"/>
      <c r="AH21" s="1474"/>
      <c r="AI21" s="1474"/>
      <c r="AJ21" s="1474"/>
      <c r="AK21" s="1474"/>
      <c r="AL21" s="1474"/>
      <c r="AM21" s="1474"/>
      <c r="AN21" s="1476"/>
      <c r="AO21" s="1444" t="s">
        <v>1224</v>
      </c>
      <c r="AP21" s="1445"/>
      <c r="AQ21" s="1446"/>
      <c r="AR21" s="1444" t="s">
        <v>1225</v>
      </c>
      <c r="AS21" s="1445"/>
      <c r="AT21" s="1446"/>
      <c r="AU21" s="1477" t="s">
        <v>100</v>
      </c>
      <c r="AV21" s="680"/>
      <c r="AW21" s="680"/>
      <c r="AX21" s="317"/>
      <c r="AY21" s="318"/>
      <c r="AZ21" s="764" t="str">
        <f>AU52</f>
        <v>×</v>
      </c>
      <c r="BA21" s="282"/>
      <c r="BB21" s="283"/>
      <c r="BC21" s="236"/>
      <c r="BD21" s="282"/>
      <c r="BE21" s="282"/>
      <c r="BF21" s="282"/>
      <c r="BG21" s="763">
        <f>J49</f>
        <v>2</v>
      </c>
    </row>
    <row r="22" spans="1:59">
      <c r="A22" s="319" t="s">
        <v>1055</v>
      </c>
      <c r="B22" s="1447"/>
      <c r="C22" s="1460"/>
      <c r="D22" s="1460"/>
      <c r="E22" s="1460"/>
      <c r="F22" s="1460"/>
      <c r="G22" s="1460"/>
      <c r="H22" s="1460"/>
      <c r="I22" s="1449"/>
      <c r="J22" s="578">
        <f xml:space="preserve">
IF(表紙!$X$2="事前協議",DATE(2023,J21,1),
IF(表紙!$X$2="交付申請（２次）",DATE(2023,J21,1),
IF(表紙!$X$2="変更申請",DATE(2023,J21,1),
IF(表紙!$X$2="実績報告（１次）",DATE(2023,J21,1),
IF(表紙!$X$2="実績報告（２次）",DATE(2023,J21,1),
IF(表紙!$X$2="交付申請兼実績報告",DATE(2023,J21,1)))))))</f>
        <v>45200</v>
      </c>
      <c r="K22" s="579">
        <f xml:space="preserve">
IF(表紙!$X$2="事前協議",IFERROR(IF(J22+1&gt;DATE(2023,10,31),"",J22+1),""),
IF(表紙!$X$2="交付申請（２次）",IFERROR(IF(J22+1&gt;DATE(2023,10,31),"",J22+1),""),
IF(表紙!$X$2="変更申請",IFERROR(IF(J22+1&gt;DATE(2023,10,31),"",J22+1),""),
IF(表紙!$X$2="実績報告（１次）",IFERROR(IF(J22+1&gt;DATE(2023,4,30),"",J22+1),""),
IF(表紙!$X$2="実績報告（２次）",IFERROR(IF(J22+1&gt;DATE(2023,10,31),"",J22+1),""),
IF(表紙!$X$2="交付申請兼実績報告",IFERROR(IF(J22+1&gt;DATE(2023,10,31),"",J22+1),"")))))))</f>
        <v>45201</v>
      </c>
      <c r="L22" s="579">
        <f xml:space="preserve">
IF(表紙!$X$2="事前協議",IFERROR(IF(K22+1&gt;DATE(2023,10,31),"",K22+1),""),
IF(表紙!$X$2="交付申請（２次）",IFERROR(IF(K22+1&gt;DATE(2023,10,31),"",K22+1),""),
IF(表紙!$X$2="変更申請",IFERROR(IF(K22+1&gt;DATE(2023,10,31),"",K22+1),""),
IF(表紙!$X$2="実績報告（１次）",IFERROR(IF(K22+1&gt;DATE(2023,4,30),"",K22+1),""),
IF(表紙!$X$2="実績報告（２次）",IFERROR(IF(K22+1&gt;DATE(2023,10,31),"",K22+1),""),
IF(表紙!$X$2="交付申請兼実績報告",IFERROR(IF(K22+1&gt;DATE(2023,10,31),"",K22+1),"")))))))</f>
        <v>45202</v>
      </c>
      <c r="M22" s="579">
        <f xml:space="preserve">
IF(表紙!$X$2="事前協議",IFERROR(IF(L22+1&gt;DATE(2023,10,31),"",L22+1),""),
IF(表紙!$X$2="交付申請（２次）",IFERROR(IF(L22+1&gt;DATE(2023,10,31),"",L22+1),""),
IF(表紙!$X$2="変更申請",IFERROR(IF(L22+1&gt;DATE(2023,10,31),"",L22+1),""),
IF(表紙!$X$2="実績報告（１次）",IFERROR(IF(L22+1&gt;DATE(2023,4,30),"",L22+1),""),
IF(表紙!$X$2="実績報告（２次）",IFERROR(IF(L22+1&gt;DATE(2023,10,31),"",L22+1),""),
IF(表紙!$X$2="交付申請兼実績報告",IFERROR(IF(L22+1&gt;DATE(2023,10,31),"",L22+1),"")))))))</f>
        <v>45203</v>
      </c>
      <c r="N22" s="579">
        <f xml:space="preserve">
IF(表紙!$X$2="事前協議",IFERROR(IF(M22+1&gt;DATE(2023,10,31),"",M22+1),""),
IF(表紙!$X$2="交付申請（２次）",IFERROR(IF(M22+1&gt;DATE(2023,10,31),"",M22+1),""),
IF(表紙!$X$2="変更申請",IFERROR(IF(M22+1&gt;DATE(2023,10,31),"",M22+1),""),
IF(表紙!$X$2="実績報告（１次）",IFERROR(IF(M22+1&gt;DATE(2023,4,30),"",M22+1),""),
IF(表紙!$X$2="実績報告（２次）",IFERROR(IF(M22+1&gt;DATE(2023,10,31),"",M22+1),""),
IF(表紙!$X$2="交付申請兼実績報告",IFERROR(IF(M22+1&gt;DATE(2023,10,31),"",M22+1),"")))))))</f>
        <v>45204</v>
      </c>
      <c r="O22" s="579">
        <f xml:space="preserve">
IF(表紙!$X$2="事前協議",IFERROR(IF(N22+1&gt;DATE(2023,10,31),"",N22+1),""),
IF(表紙!$X$2="交付申請（２次）",IFERROR(IF(N22+1&gt;DATE(2023,10,31),"",N22+1),""),
IF(表紙!$X$2="変更申請",IFERROR(IF(N22+1&gt;DATE(2023,10,31),"",N22+1),""),
IF(表紙!$X$2="実績報告（１次）",IFERROR(IF(N22+1&gt;DATE(2023,4,30),"",N22+1),""),
IF(表紙!$X$2="実績報告（２次）",IFERROR(IF(N22+1&gt;DATE(2023,10,31),"",N22+1),""),
IF(表紙!$X$2="交付申請兼実績報告",IFERROR(IF(N22+1&gt;DATE(2023,10,31),"",N22+1),"")))))))</f>
        <v>45205</v>
      </c>
      <c r="P22" s="579">
        <f xml:space="preserve">
IF(表紙!$X$2="事前協議",IFERROR(IF(O22+1&gt;DATE(2023,10,31),"",O22+1),""),
IF(表紙!$X$2="交付申請（２次）",IFERROR(IF(O22+1&gt;DATE(2023,10,31),"",O22+1),""),
IF(表紙!$X$2="変更申請",IFERROR(IF(O22+1&gt;DATE(2023,10,31),"",O22+1),""),
IF(表紙!$X$2="実績報告（１次）",IFERROR(IF(O22+1&gt;DATE(2023,4,30),"",O22+1),""),
IF(表紙!$X$2="実績報告（２次）",IFERROR(IF(O22+1&gt;DATE(2023,10,31),"",O22+1),""),
IF(表紙!$X$2="交付申請兼実績報告",IFERROR(IF(O22+1&gt;DATE(2023,10,31),"",O22+1),"")))))))</f>
        <v>45206</v>
      </c>
      <c r="Q22" s="579">
        <f xml:space="preserve">
IF(表紙!$X$2="事前協議",IFERROR(IF(P22+1&gt;DATE(2023,10,31),"",P22+1),""),
IF(表紙!$X$2="交付申請（２次）",IFERROR(IF(P22+1&gt;DATE(2023,10,31),"",P22+1),""),
IF(表紙!$X$2="変更申請",IFERROR(IF(P22+1&gt;DATE(2023,10,31),"",P22+1),""),
IF(表紙!$X$2="実績報告（１次）",IFERROR(IF(P22+1&gt;DATE(2023,4,30),"",P22+1),""),
IF(表紙!$X$2="実績報告（２次）",IFERROR(IF(P22+1&gt;DATE(2023,10,31),"",P22+1),""),
IF(表紙!$X$2="交付申請兼実績報告",IFERROR(IF(P22+1&gt;DATE(2023,10,31),"",P22+1),"")))))))</f>
        <v>45207</v>
      </c>
      <c r="R22" s="579">
        <f xml:space="preserve">
IF(表紙!$X$2="事前協議",IFERROR(IF(Q22+1&gt;DATE(2023,10,31),"",Q22+1),""),
IF(表紙!$X$2="交付申請（２次）",IFERROR(IF(Q22+1&gt;DATE(2023,10,31),"",Q22+1),""),
IF(表紙!$X$2="変更申請",IFERROR(IF(Q22+1&gt;DATE(2023,10,31),"",Q22+1),""),
IF(表紙!$X$2="実績報告（１次）",IFERROR(IF(Q22+1&gt;DATE(2023,4,30),"",Q22+1),""),
IF(表紙!$X$2="実績報告（２次）",IFERROR(IF(Q22+1&gt;DATE(2023,10,31),"",Q22+1),""),
IF(表紙!$X$2="交付申請兼実績報告",IFERROR(IF(Q22+1&gt;DATE(2023,10,31),"",Q22+1),"")))))))</f>
        <v>45208</v>
      </c>
      <c r="S22" s="579">
        <f xml:space="preserve">
IF(表紙!$X$2="事前協議",IFERROR(IF(R22+1&gt;DATE(2023,10,31),"",R22+1),""),
IF(表紙!$X$2="交付申請（２次）",IFERROR(IF(R22+1&gt;DATE(2023,10,31),"",R22+1),""),
IF(表紙!$X$2="変更申請",IFERROR(IF(R22+1&gt;DATE(2023,10,31),"",R22+1),""),
IF(表紙!$X$2="実績報告（１次）",IFERROR(IF(R22+1&gt;DATE(2023,4,30),"",R22+1),""),
IF(表紙!$X$2="実績報告（２次）",IFERROR(IF(R22+1&gt;DATE(2023,10,31),"",R22+1),""),
IF(表紙!$X$2="交付申請兼実績報告",IFERROR(IF(R22+1&gt;DATE(2023,10,31),"",R22+1),"")))))))</f>
        <v>45209</v>
      </c>
      <c r="T22" s="579">
        <f xml:space="preserve">
IF(表紙!$X$2="事前協議",IFERROR(IF(S22+1&gt;DATE(2023,10,31),"",S22+1),""),
IF(表紙!$X$2="交付申請（２次）",IFERROR(IF(S22+1&gt;DATE(2023,10,31),"",S22+1),""),
IF(表紙!$X$2="変更申請",IFERROR(IF(S22+1&gt;DATE(2023,10,31),"",S22+1),""),
IF(表紙!$X$2="実績報告（１次）",IFERROR(IF(S22+1&gt;DATE(2023,4,30),"",S22+1),""),
IF(表紙!$X$2="実績報告（２次）",IFERROR(IF(S22+1&gt;DATE(2023,10,31),"",S22+1),""),
IF(表紙!$X$2="交付申請兼実績報告",IFERROR(IF(S22+1&gt;DATE(2023,10,31),"",S22+1),"")))))))</f>
        <v>45210</v>
      </c>
      <c r="U22" s="579">
        <f xml:space="preserve">
IF(表紙!$X$2="事前協議",IFERROR(IF(T22+1&gt;DATE(2023,10,31),"",T22+1),""),
IF(表紙!$X$2="交付申請（２次）",IFERROR(IF(T22+1&gt;DATE(2023,10,31),"",T22+1),""),
IF(表紙!$X$2="変更申請",IFERROR(IF(T22+1&gt;DATE(2023,10,31),"",T22+1),""),
IF(表紙!$X$2="実績報告（１次）",IFERROR(IF(T22+1&gt;DATE(2023,4,30),"",T22+1),""),
IF(表紙!$X$2="実績報告（２次）",IFERROR(IF(T22+1&gt;DATE(2023,10,31),"",T22+1),""),
IF(表紙!$X$2="交付申請兼実績報告",IFERROR(IF(T22+1&gt;DATE(2023,10,31),"",T22+1),"")))))))</f>
        <v>45211</v>
      </c>
      <c r="V22" s="579">
        <f xml:space="preserve">
IF(表紙!$X$2="事前協議",IFERROR(IF(U22+1&gt;DATE(2023,10,31),"",U22+1),""),
IF(表紙!$X$2="交付申請（２次）",IFERROR(IF(U22+1&gt;DATE(2023,10,31),"",U22+1),""),
IF(表紙!$X$2="変更申請",IFERROR(IF(U22+1&gt;DATE(2023,10,31),"",U22+1),""),
IF(表紙!$X$2="実績報告（１次）",IFERROR(IF(U22+1&gt;DATE(2023,4,30),"",U22+1),""),
IF(表紙!$X$2="実績報告（２次）",IFERROR(IF(U22+1&gt;DATE(2023,10,31),"",U22+1),""),
IF(表紙!$X$2="交付申請兼実績報告",IFERROR(IF(U22+1&gt;DATE(2023,10,31),"",U22+1),"")))))))</f>
        <v>45212</v>
      </c>
      <c r="W22" s="579">
        <f xml:space="preserve">
IF(表紙!$X$2="事前協議",IFERROR(IF(V22+1&gt;DATE(2023,10,31),"",V22+1),""),
IF(表紙!$X$2="交付申請（２次）",IFERROR(IF(V22+1&gt;DATE(2023,10,31),"",V22+1),""),
IF(表紙!$X$2="変更申請",IFERROR(IF(V22+1&gt;DATE(2023,10,31),"",V22+1),""),
IF(表紙!$X$2="実績報告（１次）",IFERROR(IF(V22+1&gt;DATE(2023,4,30),"",V22+1),""),
IF(表紙!$X$2="実績報告（２次）",IFERROR(IF(V22+1&gt;DATE(2023,10,31),"",V22+1),""),
IF(表紙!$X$2="交付申請兼実績報告",IFERROR(IF(V22+1&gt;DATE(2023,10,31),"",V22+1),"")))))))</f>
        <v>45213</v>
      </c>
      <c r="X22" s="579">
        <f xml:space="preserve">
IF(表紙!$X$2="事前協議",IFERROR(IF(W22+1&gt;DATE(2023,10,31),"",W22+1),""),
IF(表紙!$X$2="交付申請（２次）",IFERROR(IF(W22+1&gt;DATE(2023,10,31),"",W22+1),""),
IF(表紙!$X$2="変更申請",IFERROR(IF(W22+1&gt;DATE(2023,10,31),"",W22+1),""),
IF(表紙!$X$2="実績報告（１次）",IFERROR(IF(W22+1&gt;DATE(2023,4,30),"",W22+1),""),
IF(表紙!$X$2="実績報告（２次）",IFERROR(IF(W22+1&gt;DATE(2023,10,31),"",W22+1),""),
IF(表紙!$X$2="交付申請兼実績報告",IFERROR(IF(W22+1&gt;DATE(2023,10,31),"",W22+1),"")))))))</f>
        <v>45214</v>
      </c>
      <c r="Y22" s="579">
        <f xml:space="preserve">
IF(表紙!$X$2="事前協議",IFERROR(IF(X22+1&gt;DATE(2023,10,31),"",X22+1),""),
IF(表紙!$X$2="交付申請（２次）",IFERROR(IF(X22+1&gt;DATE(2023,10,31),"",X22+1),""),
IF(表紙!$X$2="変更申請",IFERROR(IF(X22+1&gt;DATE(2023,10,31),"",X22+1),""),
IF(表紙!$X$2="実績報告（１次）",IFERROR(IF(X22+1&gt;DATE(2023,4,30),"",X22+1),""),
IF(表紙!$X$2="実績報告（２次）",IFERROR(IF(X22+1&gt;DATE(2023,10,31),"",X22+1),""),
IF(表紙!$X$2="交付申請兼実績報告",IFERROR(IF(X22+1&gt;DATE(2023,10,31),"",X22+1),"")))))))</f>
        <v>45215</v>
      </c>
      <c r="Z22" s="579">
        <f xml:space="preserve">
IF(表紙!$X$2="事前協議",IFERROR(IF(Y22+1&gt;DATE(2023,10,31),"",Y22+1),""),
IF(表紙!$X$2="交付申請（２次）",IFERROR(IF(Y22+1&gt;DATE(2023,10,31),"",Y22+1),""),
IF(表紙!$X$2="変更申請",IFERROR(IF(Y22+1&gt;DATE(2023,10,31),"",Y22+1),""),
IF(表紙!$X$2="実績報告（１次）",IFERROR(IF(Y22+1&gt;DATE(2023,4,30),"",Y22+1),""),
IF(表紙!$X$2="実績報告（２次）",IFERROR(IF(Y22+1&gt;DATE(2023,10,31),"",Y22+1),""),
IF(表紙!$X$2="交付申請兼実績報告",IFERROR(IF(Y22+1&gt;DATE(2023,10,31),"",Y22+1),"")))))))</f>
        <v>45216</v>
      </c>
      <c r="AA22" s="579">
        <f xml:space="preserve">
IF(表紙!$X$2="事前協議",IFERROR(IF(Z22+1&gt;DATE(2023,10,31),"",Z22+1),""),
IF(表紙!$X$2="交付申請（２次）",IFERROR(IF(Z22+1&gt;DATE(2023,10,31),"",Z22+1),""),
IF(表紙!$X$2="変更申請",IFERROR(IF(Z22+1&gt;DATE(2023,10,31),"",Z22+1),""),
IF(表紙!$X$2="実績報告（１次）",IFERROR(IF(Z22+1&gt;DATE(2023,4,30),"",Z22+1),""),
IF(表紙!$X$2="実績報告（２次）",IFERROR(IF(Z22+1&gt;DATE(2023,10,31),"",Z22+1),""),
IF(表紙!$X$2="交付申請兼実績報告",IFERROR(IF(Z22+1&gt;DATE(2023,10,31),"",Z22+1),"")))))))</f>
        <v>45217</v>
      </c>
      <c r="AB22" s="579">
        <f xml:space="preserve">
IF(表紙!$X$2="事前協議",IFERROR(IF(AA22+1&gt;DATE(2023,10,31),"",AA22+1),""),
IF(表紙!$X$2="交付申請（２次）",IFERROR(IF(AA22+1&gt;DATE(2023,10,31),"",AA22+1),""),
IF(表紙!$X$2="変更申請",IFERROR(IF(AA22+1&gt;DATE(2023,10,31),"",AA22+1),""),
IF(表紙!$X$2="実績報告（１次）",IFERROR(IF(AA22+1&gt;DATE(2023,4,30),"",AA22+1),""),
IF(表紙!$X$2="実績報告（２次）",IFERROR(IF(AA22+1&gt;DATE(2023,10,31),"",AA22+1),""),
IF(表紙!$X$2="交付申請兼実績報告",IFERROR(IF(AA22+1&gt;DATE(2023,10,31),"",AA22+1),"")))))))</f>
        <v>45218</v>
      </c>
      <c r="AC22" s="579">
        <f xml:space="preserve">
IF(表紙!$X$2="事前協議",IFERROR(IF(AB22+1&gt;DATE(2023,10,31),"",AB22+1),""),
IF(表紙!$X$2="交付申請（２次）",IFERROR(IF(AB22+1&gt;DATE(2023,10,31),"",AB22+1),""),
IF(表紙!$X$2="変更申請",IFERROR(IF(AB22+1&gt;DATE(2023,10,31),"",AB22+1),""),
IF(表紙!$X$2="実績報告（１次）",IFERROR(IF(AB22+1&gt;DATE(2023,4,30),"",AB22+1),""),
IF(表紙!$X$2="実績報告（２次）",IFERROR(IF(AB22+1&gt;DATE(2023,10,31),"",AB22+1),""),
IF(表紙!$X$2="交付申請兼実績報告",IFERROR(IF(AB22+1&gt;DATE(2023,10,31),"",AB22+1),"")))))))</f>
        <v>45219</v>
      </c>
      <c r="AD22" s="579">
        <f xml:space="preserve">
IF(表紙!$X$2="事前協議",IFERROR(IF(AC22+1&gt;DATE(2023,10,31),"",AC22+1),""),
IF(表紙!$X$2="交付申請（２次）",IFERROR(IF(AC22+1&gt;DATE(2023,10,31),"",AC22+1),""),
IF(表紙!$X$2="変更申請",IFERROR(IF(AC22+1&gt;DATE(2023,10,31),"",AC22+1),""),
IF(表紙!$X$2="実績報告（１次）",IFERROR(IF(AC22+1&gt;DATE(2023,4,30),"",AC22+1),""),
IF(表紙!$X$2="実績報告（２次）",IFERROR(IF(AC22+1&gt;DATE(2023,10,31),"",AC22+1),""),
IF(表紙!$X$2="交付申請兼実績報告",IFERROR(IF(AC22+1&gt;DATE(2023,10,31),"",AC22+1),"")))))))</f>
        <v>45220</v>
      </c>
      <c r="AE22" s="579">
        <f xml:space="preserve">
IF(表紙!$X$2="事前協議",IFERROR(IF(AD22+1&gt;DATE(2023,10,31),"",AD22+1),""),
IF(表紙!$X$2="交付申請（２次）",IFERROR(IF(AD22+1&gt;DATE(2023,10,31),"",AD22+1),""),
IF(表紙!$X$2="変更申請",IFERROR(IF(AD22+1&gt;DATE(2023,10,31),"",AD22+1),""),
IF(表紙!$X$2="実績報告（１次）",IFERROR(IF(AD22+1&gt;DATE(2023,4,30),"",AD22+1),""),
IF(表紙!$X$2="実績報告（２次）",IFERROR(IF(AD22+1&gt;DATE(2023,10,31),"",AD22+1),""),
IF(表紙!$X$2="交付申請兼実績報告",IFERROR(IF(AD22+1&gt;DATE(2023,10,31),"",AD22+1),"")))))))</f>
        <v>45221</v>
      </c>
      <c r="AF22" s="579">
        <f xml:space="preserve">
IF(表紙!$X$2="事前協議",IFERROR(IF(AE22+1&gt;DATE(2023,10,31),"",AE22+1),""),
IF(表紙!$X$2="交付申請（２次）",IFERROR(IF(AE22+1&gt;DATE(2023,10,31),"",AE22+1),""),
IF(表紙!$X$2="変更申請",IFERROR(IF(AE22+1&gt;DATE(2023,10,31),"",AE22+1),""),
IF(表紙!$X$2="実績報告（１次）",IFERROR(IF(AE22+1&gt;DATE(2023,4,30),"",AE22+1),""),
IF(表紙!$X$2="実績報告（２次）",IFERROR(IF(AE22+1&gt;DATE(2023,10,31),"",AE22+1),""),
IF(表紙!$X$2="交付申請兼実績報告",IFERROR(IF(AE22+1&gt;DATE(2023,10,31),"",AE22+1),"")))))))</f>
        <v>45222</v>
      </c>
      <c r="AG22" s="579">
        <f xml:space="preserve">
IF(表紙!$X$2="事前協議",IFERROR(IF(AF22+1&gt;DATE(2023,10,31),"",AF22+1),""),
IF(表紙!$X$2="交付申請（２次）",IFERROR(IF(AF22+1&gt;DATE(2023,10,31),"",AF22+1),""),
IF(表紙!$X$2="変更申請",IFERROR(IF(AF22+1&gt;DATE(2023,10,31),"",AF22+1),""),
IF(表紙!$X$2="実績報告（１次）",IFERROR(IF(AF22+1&gt;DATE(2023,4,30),"",AF22+1),""),
IF(表紙!$X$2="実績報告（２次）",IFERROR(IF(AF22+1&gt;DATE(2023,10,31),"",AF22+1),""),
IF(表紙!$X$2="交付申請兼実績報告",IFERROR(IF(AF22+1&gt;DATE(2023,10,31),"",AF22+1),"")))))))</f>
        <v>45223</v>
      </c>
      <c r="AH22" s="579">
        <f xml:space="preserve">
IF(表紙!$X$2="事前協議",IFERROR(IF(AG22+1&gt;DATE(2023,10,31),"",AG22+1),""),
IF(表紙!$X$2="交付申請（２次）",IFERROR(IF(AG22+1&gt;DATE(2023,10,31),"",AG22+1),""),
IF(表紙!$X$2="変更申請",IFERROR(IF(AG22+1&gt;DATE(2023,10,31),"",AG22+1),""),
IF(表紙!$X$2="実績報告（１次）",IFERROR(IF(AG22+1&gt;DATE(2023,4,30),"",AG22+1),""),
IF(表紙!$X$2="実績報告（２次）",IFERROR(IF(AG22+1&gt;DATE(2023,10,31),"",AG22+1),""),
IF(表紙!$X$2="交付申請兼実績報告",IFERROR(IF(AG22+1&gt;DATE(2023,10,31),"",AG22+1),"")))))))</f>
        <v>45224</v>
      </c>
      <c r="AI22" s="579">
        <f xml:space="preserve">
IF(表紙!$X$2="事前協議",IFERROR(IF(AH22+1&gt;DATE(2023,10,31),"",AH22+1),""),
IF(表紙!$X$2="交付申請（２次）",IFERROR(IF(AH22+1&gt;DATE(2023,10,31),"",AH22+1),""),
IF(表紙!$X$2="変更申請",IFERROR(IF(AH22+1&gt;DATE(2023,10,31),"",AH22+1),""),
IF(表紙!$X$2="実績報告（１次）",IFERROR(IF(AH22+1&gt;DATE(2023,4,30),"",AH22+1),""),
IF(表紙!$X$2="実績報告（２次）",IFERROR(IF(AH22+1&gt;DATE(2023,10,31),"",AH22+1),""),
IF(表紙!$X$2="交付申請兼実績報告",IFERROR(IF(AH22+1&gt;DATE(2023,10,31),"",AH22+1),"")))))))</f>
        <v>45225</v>
      </c>
      <c r="AJ22" s="579">
        <f xml:space="preserve">
IF(表紙!$X$2="事前協議",IFERROR(IF(AI22+1&gt;DATE(2023,10,31),"",AI22+1),""),
IF(表紙!$X$2="交付申請（２次）",IFERROR(IF(AI22+1&gt;DATE(2023,10,31),"",AI22+1),""),
IF(表紙!$X$2="変更申請",IFERROR(IF(AI22+1&gt;DATE(2023,10,31),"",AI22+1),""),
IF(表紙!$X$2="実績報告（１次）",IFERROR(IF(AI22+1&gt;DATE(2023,4,30),"",AI22+1),""),
IF(表紙!$X$2="実績報告（２次）",IFERROR(IF(AI22+1&gt;DATE(2023,10,31),"",AI22+1),""),
IF(表紙!$X$2="交付申請兼実績報告",IFERROR(IF(AI22+1&gt;DATE(2023,10,31),"",AI22+1),"")))))))</f>
        <v>45226</v>
      </c>
      <c r="AK22" s="579">
        <f xml:space="preserve">
IF(表紙!$X$2="事前協議",IFERROR(IF(AJ22+1&gt;DATE(2023,10,31),"",AJ22+1),""),
IF(表紙!$X$2="交付申請（２次）",IFERROR(IF(AJ22+1&gt;DATE(2023,10,31),"",AJ22+1),""),
IF(表紙!$X$2="変更申請",IFERROR(IF(AJ22+1&gt;DATE(2023,10,31),"",AJ22+1),""),
IF(表紙!$X$2="実績報告（１次）",IFERROR(IF(AJ22+1&gt;DATE(2023,4,30),"",AJ22+1),""),
IF(表紙!$X$2="実績報告（２次）",IFERROR(IF(AJ22+1&gt;DATE(2023,10,31),"",AJ22+1),""),
IF(表紙!$X$2="交付申請兼実績報告",IFERROR(IF(AJ22+1&gt;DATE(2023,10,31),"",AJ22+1),"")))))))</f>
        <v>45227</v>
      </c>
      <c r="AL22" s="579">
        <f xml:space="preserve">
IF(表紙!$X$2="事前協議",IFERROR(IF(AK22+1&gt;DATE(2023,10,31),"",AK22+1),""),
IF(表紙!$X$2="交付申請（２次）",IFERROR(IF(AK22+1&gt;DATE(2023,10,31),"",AK22+1),""),
IF(表紙!$X$2="変更申請",IFERROR(IF(AK22+1&gt;DATE(2023,10,31),"",AK22+1),""),
IF(表紙!$X$2="実績報告（１次）",IFERROR(IF(AK22+1&gt;DATE(2023,4,30),"",AK22+1),""),
IF(表紙!$X$2="実績報告（２次）",IFERROR(IF(AK22+1&gt;DATE(2023,10,31),"",AK22+1),""),
IF(表紙!$X$2="交付申請兼実績報告",IFERROR(IF(AK22+1&gt;DATE(2023,10,31),"",AK22+1),"")))))))</f>
        <v>45228</v>
      </c>
      <c r="AM22" s="579">
        <f xml:space="preserve">
IF(表紙!$X$2="事前協議",IFERROR(IF(AL22+1&gt;DATE(2023,10,31),"",AL22+1),""),
IF(表紙!$X$2="交付申請（２次）",IFERROR(IF(AL22+1&gt;DATE(2023,10,31),"",AL22+1),""),
IF(表紙!$X$2="変更申請",IFERROR(IF(AL22+1&gt;DATE(2023,10,31),"",AL22+1),""),
IF(表紙!$X$2="実績報告（１次）",IFERROR(IF(AL22+1&gt;DATE(2023,4,30),"",AL22+1),""),
IF(表紙!$X$2="実績報告（２次）",IFERROR(IF(AL22+1&gt;DATE(2023,10,31),"",AL22+1),""),
IF(表紙!$X$2="交付申請兼実績報告",IFERROR(IF(AL22+1&gt;DATE(2023,10,31),"",AL22+1),"")))))))</f>
        <v>45229</v>
      </c>
      <c r="AN22" s="579">
        <f xml:space="preserve">
IF(表紙!$X$2="事前協議",IFERROR(IF(AM22+1&gt;DATE(2023,10,31),"",AM22+1),""),
IF(表紙!$X$2="交付申請（２次）",IFERROR(IF(AM22+1&gt;DATE(2023,10,31),"",AM22+1),""),
IF(表紙!$X$2="変更申請",IFERROR(IF(AM22+1&gt;DATE(2023,10,31),"",AM22+1),""),
IF(表紙!$X$2="実績報告（１次）",IFERROR(IF(AM22+1&gt;DATE(2023,4,30),"",AM22+1),""),
IF(表紙!$X$2="実績報告（２次）",IFERROR(IF(AM22+1&gt;DATE(2023,10,31),"",AM22+1),""),
IF(表紙!$X$2="交付申請兼実績報告",IFERROR(IF(AM22+1&gt;DATE(2023,10,31),"",AM22+1),"")))))))</f>
        <v>45230</v>
      </c>
      <c r="AO22" s="1447"/>
      <c r="AP22" s="1448"/>
      <c r="AQ22" s="1449"/>
      <c r="AR22" s="1447"/>
      <c r="AS22" s="1448"/>
      <c r="AT22" s="1449"/>
      <c r="AU22" s="1386"/>
      <c r="AV22" s="680"/>
      <c r="AW22" s="680"/>
      <c r="AX22" s="320"/>
      <c r="AY22" s="320"/>
      <c r="AZ22" s="764" t="str">
        <f>AU59</f>
        <v>×</v>
      </c>
      <c r="BA22" s="236" t="str">
        <f>TEXT(H22&amp;":"&amp;J22,"hh:mm")</f>
        <v>:45200</v>
      </c>
      <c r="BB22" s="236" t="str">
        <f>TEXT(L22&amp;":"&amp;N22,"hh:mm")</f>
        <v>45202:45204</v>
      </c>
      <c r="BC22" s="236" t="str">
        <f>TEXT(O22&amp;":"&amp;Q22,"hh:mm")</f>
        <v>45205:45207</v>
      </c>
      <c r="BD22" s="236" t="str">
        <f>TEXT(S22&amp;":"&amp;U22,"hh:mm")</f>
        <v>45209:45211</v>
      </c>
      <c r="BE22" s="236" t="str">
        <f>TEXT(V22&amp;":"&amp;X22,"hh:mm")</f>
        <v>45212:45214</v>
      </c>
      <c r="BF22" s="236" t="str">
        <f>TEXT(Z22&amp;":"&amp;AB22,"hh:mm")</f>
        <v>45216:45218</v>
      </c>
      <c r="BG22" s="763">
        <f>J56</f>
        <v>3</v>
      </c>
    </row>
    <row r="23" spans="1:59" ht="18.75" thickBot="1">
      <c r="A23" s="321" t="s">
        <v>1057</v>
      </c>
      <c r="B23" s="1461"/>
      <c r="C23" s="1462"/>
      <c r="D23" s="1462"/>
      <c r="E23" s="1462"/>
      <c r="F23" s="1462"/>
      <c r="G23" s="1462"/>
      <c r="H23" s="1462"/>
      <c r="I23" s="1463"/>
      <c r="J23" s="580" t="str">
        <f>TEXT(J22,"aaa")</f>
        <v>日</v>
      </c>
      <c r="K23" s="581" t="str">
        <f t="shared" ref="K23:AN23" si="4">TEXT(K22,"aaa")</f>
        <v>月</v>
      </c>
      <c r="L23" s="581" t="str">
        <f t="shared" si="4"/>
        <v>火</v>
      </c>
      <c r="M23" s="581" t="str">
        <f t="shared" si="4"/>
        <v>水</v>
      </c>
      <c r="N23" s="581" t="str">
        <f t="shared" si="4"/>
        <v>木</v>
      </c>
      <c r="O23" s="581" t="str">
        <f t="shared" si="4"/>
        <v>金</v>
      </c>
      <c r="P23" s="581" t="str">
        <f t="shared" si="4"/>
        <v>土</v>
      </c>
      <c r="Q23" s="581" t="str">
        <f t="shared" si="4"/>
        <v>日</v>
      </c>
      <c r="R23" s="581" t="str">
        <f t="shared" si="4"/>
        <v>月</v>
      </c>
      <c r="S23" s="581" t="str">
        <f t="shared" si="4"/>
        <v>火</v>
      </c>
      <c r="T23" s="581" t="str">
        <f t="shared" si="4"/>
        <v>水</v>
      </c>
      <c r="U23" s="581" t="str">
        <f t="shared" si="4"/>
        <v>木</v>
      </c>
      <c r="V23" s="581" t="str">
        <f t="shared" si="4"/>
        <v>金</v>
      </c>
      <c r="W23" s="581" t="str">
        <f t="shared" si="4"/>
        <v>土</v>
      </c>
      <c r="X23" s="581" t="str">
        <f t="shared" si="4"/>
        <v>日</v>
      </c>
      <c r="Y23" s="581" t="str">
        <f t="shared" si="4"/>
        <v>月</v>
      </c>
      <c r="Z23" s="581" t="str">
        <f t="shared" si="4"/>
        <v>火</v>
      </c>
      <c r="AA23" s="581" t="str">
        <f t="shared" si="4"/>
        <v>水</v>
      </c>
      <c r="AB23" s="581" t="str">
        <f t="shared" si="4"/>
        <v>木</v>
      </c>
      <c r="AC23" s="581" t="str">
        <f t="shared" si="4"/>
        <v>金</v>
      </c>
      <c r="AD23" s="581" t="str">
        <f t="shared" si="4"/>
        <v>土</v>
      </c>
      <c r="AE23" s="581" t="str">
        <f t="shared" si="4"/>
        <v>日</v>
      </c>
      <c r="AF23" s="581" t="str">
        <f t="shared" si="4"/>
        <v>月</v>
      </c>
      <c r="AG23" s="581" t="str">
        <f t="shared" si="4"/>
        <v>火</v>
      </c>
      <c r="AH23" s="581" t="str">
        <f t="shared" si="4"/>
        <v>水</v>
      </c>
      <c r="AI23" s="581" t="str">
        <f t="shared" si="4"/>
        <v>木</v>
      </c>
      <c r="AJ23" s="581" t="str">
        <f t="shared" si="4"/>
        <v>金</v>
      </c>
      <c r="AK23" s="581" t="str">
        <f t="shared" si="4"/>
        <v>土</v>
      </c>
      <c r="AL23" s="581" t="str">
        <f t="shared" si="4"/>
        <v>日</v>
      </c>
      <c r="AM23" s="581" t="str">
        <f t="shared" si="4"/>
        <v>月</v>
      </c>
      <c r="AN23" s="582" t="str">
        <f t="shared" si="4"/>
        <v>火</v>
      </c>
      <c r="AO23" s="1438" t="str">
        <f xml:space="preserve">
IF(AU24="×","×",
IF(表紙!$X$2="事前協議",COUNTIF(J24:AN24,"&gt;0"),
IF(表紙!$X$2="交付申請（２次）",COUNTIF(J24:AN24,"&gt;0"),
IF(表紙!$X$2="変更申請",COUNTIF(J24:AN24,"&gt;0"),
IF(表紙!$X$2="実績報告（１次）",COUNTIF(J24:AM24,"&gt;0"),
IF(表紙!$X$2="実績報告（２次）",COUNTIF(J24:AN24,"&gt;0"),
IF(表紙!$X$2="交付申請兼実績報告",COUNTIF(J24:AN24,"&gt;0"))))))))</f>
        <v>×</v>
      </c>
      <c r="AP23" s="1439"/>
      <c r="AQ23" s="1440"/>
      <c r="AR23" s="1438" t="s">
        <v>1081</v>
      </c>
      <c r="AS23" s="1439"/>
      <c r="AT23" s="1440"/>
      <c r="AU23" s="1386"/>
      <c r="AV23" s="680"/>
      <c r="AW23" s="680"/>
      <c r="AX23" s="320"/>
      <c r="AY23" s="320"/>
      <c r="BA23" s="760" t="str">
        <f>TEXT(H23&amp;":"&amp;J23,"hh:mm")</f>
        <v>:日</v>
      </c>
      <c r="BB23" s="760" t="str">
        <f>TEXT(L23&amp;":"&amp;N23,"hh:mm")</f>
        <v>火:木</v>
      </c>
      <c r="BC23" s="760" t="str">
        <f>TEXT(O23&amp;":"&amp;Q23,"hh:mm")</f>
        <v>金:日</v>
      </c>
      <c r="BD23" s="760" t="str">
        <f>TEXT(S23&amp;":"&amp;U23,"hh:mm")</f>
        <v>火:木</v>
      </c>
      <c r="BE23" s="760" t="str">
        <f>TEXT(V23&amp;":"&amp;X23,"hh:mm")</f>
        <v>金:日</v>
      </c>
      <c r="BF23" s="760" t="str">
        <f>TEXT(Z23&amp;":"&amp;AB23,"hh:mm")</f>
        <v>火:木</v>
      </c>
      <c r="BG23" s="680"/>
    </row>
    <row r="24" spans="1:59" ht="19.5" thickTop="1">
      <c r="A24" s="321" t="s">
        <v>1060</v>
      </c>
      <c r="B24" s="1481" t="s">
        <v>1181</v>
      </c>
      <c r="C24" s="1482"/>
      <c r="D24" s="1482"/>
      <c r="E24" s="1482"/>
      <c r="F24" s="1482"/>
      <c r="G24" s="1482"/>
      <c r="H24" s="1482"/>
      <c r="I24" s="1483"/>
      <c r="J24" s="305"/>
      <c r="K24" s="306"/>
      <c r="L24" s="306"/>
      <c r="M24" s="306"/>
      <c r="N24" s="306"/>
      <c r="O24" s="306"/>
      <c r="P24" s="306"/>
      <c r="Q24" s="306"/>
      <c r="R24" s="306"/>
      <c r="S24" s="306"/>
      <c r="T24" s="306"/>
      <c r="U24" s="306"/>
      <c r="V24" s="306"/>
      <c r="W24" s="306"/>
      <c r="X24" s="306"/>
      <c r="Y24" s="306"/>
      <c r="Z24" s="306"/>
      <c r="AA24" s="306"/>
      <c r="AB24" s="306"/>
      <c r="AC24" s="306"/>
      <c r="AD24" s="306"/>
      <c r="AE24" s="306"/>
      <c r="AF24" s="306"/>
      <c r="AG24" s="306"/>
      <c r="AH24" s="306"/>
      <c r="AI24" s="306"/>
      <c r="AJ24" s="306"/>
      <c r="AK24" s="306"/>
      <c r="AL24" s="306"/>
      <c r="AM24" s="307"/>
      <c r="AN24" s="307"/>
      <c r="AO24" s="1484" t="str">
        <f xml:space="preserve">
IF(AU24="×","×",
IF(表紙!$X$2="事前協議",SUM(J24:AN24),
IF(表紙!$X$2="交付申請（２次）",SUM(J24:AN24),
IF(表紙!$X$2="変更申請",SUM(J24:AN24),
IF(表紙!$X$2="実績報告（１次）",SUM(J24:AM24),
IF(表紙!$X$2="実績報告（２次）",SUM(J24:AN24),
IF(表紙!$X$2="交付申請兼実績報告",SUM(J24:AN24))))))))</f>
        <v>×</v>
      </c>
      <c r="AP24" s="1587"/>
      <c r="AQ24" s="1588"/>
      <c r="AR24" s="1450" t="str">
        <f>IF(AU24="○",ROUNDDOWN(AO24/AO23,1),"×")</f>
        <v>×</v>
      </c>
      <c r="AS24" s="1451"/>
      <c r="AT24" s="1452"/>
      <c r="AU24" s="1478" t="str">
        <f xml:space="preserve">
IF(AND(表紙!$X$2="事前協議",COUNTIF(J26:AN26,"○")=31),"○",
IF(AND(表紙!$X$2="交付申請（２次）",COUNTIF(J26:AN26,"○")=31),"○",
IF(AND(表紙!$X$2="変更申請",COUNTIF(J26:AN26,"○")=31),"○",
IF(AND(表紙!$X$2="実績報告（１次）",COUNTIF(J26:AM26,"○")=30),"○",
IF(AND(表紙!$X$2="実績報告（２次）",COUNTIF(J26:AN26,"○")=31),"○",
IF(AND(表紙!$X$2="交付申請兼実績報告",COUNTIF(J26:AN26,"○")=31),"○","×"))))))</f>
        <v>×</v>
      </c>
      <c r="AV24" s="680"/>
      <c r="AW24" s="680"/>
      <c r="AX24" s="320"/>
      <c r="AY24" s="320"/>
      <c r="BA24" s="236" t="e">
        <f>TEXT(#REF!&amp;":"&amp;#REF!,"hh:mm")</f>
        <v>#REF!</v>
      </c>
      <c r="BB24" s="236" t="e">
        <f>TEXT(#REF!&amp;":"&amp;#REF!,"hh:mm")</f>
        <v>#REF!</v>
      </c>
      <c r="BC24" s="236" t="e">
        <f>TEXT(#REF!&amp;":"&amp;#REF!,"hh:mm")</f>
        <v>#REF!</v>
      </c>
      <c r="BD24" s="236" t="e">
        <f>TEXT(#REF!&amp;":"&amp;#REF!,"hh:mm")</f>
        <v>#REF!</v>
      </c>
      <c r="BE24" s="236" t="e">
        <f>TEXT(#REF!&amp;":"&amp;#REF!,"hh:mm")</f>
        <v>#REF!</v>
      </c>
      <c r="BF24" s="236" t="e">
        <f>TEXT(#REF!&amp;":"&amp;#REF!,"hh:mm")</f>
        <v>#REF!</v>
      </c>
      <c r="BG24" s="680"/>
    </row>
    <row r="25" spans="1:59" ht="18.75">
      <c r="A25" s="321" t="s">
        <v>1062</v>
      </c>
      <c r="B25" s="1464" t="s">
        <v>1083</v>
      </c>
      <c r="C25" s="1589"/>
      <c r="D25" s="1589"/>
      <c r="E25" s="1589"/>
      <c r="F25" s="1589"/>
      <c r="G25" s="1589"/>
      <c r="H25" s="1589"/>
      <c r="I25" s="1590"/>
      <c r="J25" s="309"/>
      <c r="K25" s="310"/>
      <c r="L25" s="310"/>
      <c r="M25" s="310"/>
      <c r="N25" s="310"/>
      <c r="O25" s="310"/>
      <c r="P25" s="310"/>
      <c r="Q25" s="310"/>
      <c r="R25" s="310"/>
      <c r="S25" s="310"/>
      <c r="T25" s="310"/>
      <c r="U25" s="310"/>
      <c r="V25" s="310"/>
      <c r="W25" s="310"/>
      <c r="X25" s="310"/>
      <c r="Y25" s="310"/>
      <c r="Z25" s="310"/>
      <c r="AA25" s="310"/>
      <c r="AB25" s="310"/>
      <c r="AC25" s="310"/>
      <c r="AD25" s="310"/>
      <c r="AE25" s="310"/>
      <c r="AF25" s="310"/>
      <c r="AG25" s="310"/>
      <c r="AH25" s="310"/>
      <c r="AI25" s="310"/>
      <c r="AJ25" s="310"/>
      <c r="AK25" s="310"/>
      <c r="AL25" s="310"/>
      <c r="AM25" s="311"/>
      <c r="AN25" s="311"/>
      <c r="AO25" s="1467" t="str">
        <f xml:space="preserve">
IF(AU24="×","×",
IF(表紙!$X$2="事前協議",SUM(J25:AN25),
IF(表紙!$X$2="交付申請（２次）",SUM(J25:AN25),
IF(表紙!$X$2="変更申請",SUM(J25:AN25),
IF(表紙!$X$2="実績報告（１次）",SUM(J25:AM25),
IF(表紙!$X$2="実績報告（２次）",SUM(J25:AN25),
IF(表紙!$X$2="交付申請兼実績報告",SUM(J25:AN25))))))))</f>
        <v>×</v>
      </c>
      <c r="AP25" s="1468"/>
      <c r="AQ25" s="1469"/>
      <c r="AR25" s="1415" t="str">
        <f>IF(AU24="○",ROUNDDOWN(AO25/AO23,1),"×")</f>
        <v>×</v>
      </c>
      <c r="AS25" s="1416"/>
      <c r="AT25" s="1417"/>
      <c r="AU25" s="1479"/>
      <c r="AV25" s="680"/>
      <c r="AW25" s="680"/>
      <c r="AX25" s="324"/>
      <c r="AY25" s="320"/>
      <c r="BA25" s="236" t="str">
        <f>TEXT(H24&amp;":"&amp;J24,"hh:mm")</f>
        <v>:</v>
      </c>
      <c r="BB25" s="236" t="str">
        <f>TEXT(L24&amp;":"&amp;N24,"hh:mm")</f>
        <v>:</v>
      </c>
      <c r="BC25" s="236" t="str">
        <f>TEXT(O24&amp;":"&amp;Q24,"hh:mm")</f>
        <v>:</v>
      </c>
      <c r="BD25" s="236" t="str">
        <f>TEXT(S24&amp;":"&amp;U24,"hh:mm")</f>
        <v>:</v>
      </c>
      <c r="BE25" s="236" t="str">
        <f>TEXT(V24&amp;":"&amp;X24,"hh:mm")</f>
        <v>:</v>
      </c>
      <c r="BF25" s="236" t="str">
        <f>TEXT(Z24&amp;":"&amp;AB24,"hh:mm")</f>
        <v>:</v>
      </c>
      <c r="BG25" s="680"/>
    </row>
    <row r="26" spans="1:59" ht="19.5" thickBot="1">
      <c r="A26" s="321" t="s">
        <v>1064</v>
      </c>
      <c r="B26" s="1470" t="s">
        <v>100</v>
      </c>
      <c r="C26" s="1471"/>
      <c r="D26" s="1471"/>
      <c r="E26" s="1471"/>
      <c r="F26" s="1471"/>
      <c r="G26" s="1471"/>
      <c r="H26" s="1471"/>
      <c r="I26" s="1472"/>
      <c r="J26" s="325" t="str">
        <f>IF(J22="","",
IF(AND(AND(COUNTA(J24:J25)=2,J24&gt;=J25)),"○",
IF(OR(COUNTA(J24:J25)&lt;&gt;2,J24&lt;J25),"×",
IF(AND(AND(OR(J24=0,J24=""),OR(J25=0,J25=""))),"○",
IF(AND(OR(J24&lt;&gt;0,J24&lt;&gt;""),OR(J25&lt;&gt;0,J25&lt;&gt;"")),"×")))))</f>
        <v>×</v>
      </c>
      <c r="K26" s="691" t="str">
        <f t="shared" ref="K26:AN26" si="5">IF(K22="","",
IF(AND(AND(COUNTA(K24:K25)=2,K24&gt;=K25)),"○",
IF(OR(COUNTA(K24:K25)&lt;&gt;2,K24&lt;K25),"×",
IF(AND(AND(OR(K24=0,K24=""),OR(K25=0,K25=""))),"○",
IF(AND(OR(K24&lt;&gt;0,K24&lt;&gt;""),OR(K25&lt;&gt;0,K25&lt;&gt;"")),"×")))))</f>
        <v>×</v>
      </c>
      <c r="L26" s="691" t="str">
        <f t="shared" si="5"/>
        <v>×</v>
      </c>
      <c r="M26" s="691" t="str">
        <f t="shared" si="5"/>
        <v>×</v>
      </c>
      <c r="N26" s="691" t="str">
        <f t="shared" si="5"/>
        <v>×</v>
      </c>
      <c r="O26" s="691" t="str">
        <f t="shared" si="5"/>
        <v>×</v>
      </c>
      <c r="P26" s="691" t="str">
        <f t="shared" si="5"/>
        <v>×</v>
      </c>
      <c r="Q26" s="691" t="str">
        <f t="shared" si="5"/>
        <v>×</v>
      </c>
      <c r="R26" s="691" t="str">
        <f t="shared" si="5"/>
        <v>×</v>
      </c>
      <c r="S26" s="691" t="str">
        <f t="shared" si="5"/>
        <v>×</v>
      </c>
      <c r="T26" s="691" t="str">
        <f t="shared" si="5"/>
        <v>×</v>
      </c>
      <c r="U26" s="691" t="str">
        <f t="shared" si="5"/>
        <v>×</v>
      </c>
      <c r="V26" s="691" t="str">
        <f t="shared" si="5"/>
        <v>×</v>
      </c>
      <c r="W26" s="691" t="str">
        <f t="shared" si="5"/>
        <v>×</v>
      </c>
      <c r="X26" s="691" t="str">
        <f t="shared" si="5"/>
        <v>×</v>
      </c>
      <c r="Y26" s="691" t="str">
        <f t="shared" si="5"/>
        <v>×</v>
      </c>
      <c r="Z26" s="691" t="str">
        <f t="shared" si="5"/>
        <v>×</v>
      </c>
      <c r="AA26" s="691" t="str">
        <f t="shared" si="5"/>
        <v>×</v>
      </c>
      <c r="AB26" s="691" t="str">
        <f t="shared" si="5"/>
        <v>×</v>
      </c>
      <c r="AC26" s="691" t="str">
        <f t="shared" si="5"/>
        <v>×</v>
      </c>
      <c r="AD26" s="691" t="str">
        <f t="shared" si="5"/>
        <v>×</v>
      </c>
      <c r="AE26" s="691" t="str">
        <f t="shared" si="5"/>
        <v>×</v>
      </c>
      <c r="AF26" s="691" t="str">
        <f t="shared" si="5"/>
        <v>×</v>
      </c>
      <c r="AG26" s="691" t="str">
        <f t="shared" si="5"/>
        <v>×</v>
      </c>
      <c r="AH26" s="691" t="str">
        <f t="shared" si="5"/>
        <v>×</v>
      </c>
      <c r="AI26" s="691" t="str">
        <f t="shared" si="5"/>
        <v>×</v>
      </c>
      <c r="AJ26" s="691" t="str">
        <f t="shared" si="5"/>
        <v>×</v>
      </c>
      <c r="AK26" s="691" t="str">
        <f t="shared" si="5"/>
        <v>×</v>
      </c>
      <c r="AL26" s="691" t="str">
        <f t="shared" si="5"/>
        <v>×</v>
      </c>
      <c r="AM26" s="691" t="str">
        <f t="shared" si="5"/>
        <v>×</v>
      </c>
      <c r="AN26" s="326" t="str">
        <f t="shared" si="5"/>
        <v>×</v>
      </c>
      <c r="AO26" s="1418" t="s">
        <v>1081</v>
      </c>
      <c r="AP26" s="1419"/>
      <c r="AQ26" s="1420"/>
      <c r="AR26" s="1418" t="s">
        <v>1081</v>
      </c>
      <c r="AS26" s="1419"/>
      <c r="AT26" s="1420"/>
      <c r="AU26" s="1480"/>
      <c r="AV26" s="680"/>
      <c r="AW26" s="680"/>
      <c r="AX26" s="324"/>
      <c r="AY26" s="324"/>
      <c r="BA26" s="236" t="str">
        <f>TEXT(H25&amp;":"&amp;J25,"hh:mm")</f>
        <v>:</v>
      </c>
      <c r="BB26" s="236" t="str">
        <f>TEXT(L25&amp;":"&amp;N25,"hh:mm")</f>
        <v>:</v>
      </c>
      <c r="BC26" s="236" t="str">
        <f>TEXT(O25&amp;":"&amp;Q25,"hh:mm")</f>
        <v>:</v>
      </c>
      <c r="BD26" s="236" t="str">
        <f>TEXT(S25&amp;":"&amp;U25,"hh:mm")</f>
        <v>:</v>
      </c>
      <c r="BE26" s="236" t="str">
        <f>TEXT(V25&amp;":"&amp;X25,"hh:mm")</f>
        <v>:</v>
      </c>
      <c r="BF26" s="236" t="str">
        <f>TEXT(Z25&amp;":"&amp;AB25,"hh:mm")</f>
        <v>:</v>
      </c>
      <c r="BG26" s="680"/>
    </row>
    <row r="27" spans="1:59" ht="18.75" thickBot="1">
      <c r="A27" s="321" t="s">
        <v>1066</v>
      </c>
      <c r="AX27" s="320"/>
      <c r="AY27" s="320"/>
      <c r="BA27" s="236" t="str">
        <f>TEXT(H26&amp;":"&amp;J26,"hh:mm")</f>
        <v>:×</v>
      </c>
      <c r="BB27" s="236" t="str">
        <f>TEXT(L26&amp;":"&amp;N26,"hh:mm")</f>
        <v>×:×</v>
      </c>
      <c r="BC27" s="236" t="str">
        <f>TEXT(O26&amp;":"&amp;Q26,"hh:mm")</f>
        <v>×:×</v>
      </c>
      <c r="BD27" s="236" t="str">
        <f>TEXT(S26&amp;":"&amp;U26,"hh:mm")</f>
        <v>×:×</v>
      </c>
      <c r="BE27" s="236" t="str">
        <f>TEXT(V26&amp;":"&amp;X26,"hh:mm")</f>
        <v>×:×</v>
      </c>
      <c r="BF27" s="236" t="str">
        <f>TEXT(Z26&amp;":"&amp;AB26,"hh:mm")</f>
        <v>×:×</v>
      </c>
      <c r="BG27" s="223"/>
    </row>
    <row r="28" spans="1:59" ht="19.5" thickTop="1">
      <c r="B28" s="1444" t="s">
        <v>1220</v>
      </c>
      <c r="C28" s="1445"/>
      <c r="D28" s="1445"/>
      <c r="E28" s="1445"/>
      <c r="F28" s="1445"/>
      <c r="G28" s="1445"/>
      <c r="H28" s="1445"/>
      <c r="I28" s="1446"/>
      <c r="J28" s="1473">
        <f>L16</f>
        <v>11</v>
      </c>
      <c r="K28" s="1474"/>
      <c r="L28" s="1474"/>
      <c r="M28" s="1474"/>
      <c r="N28" s="1474"/>
      <c r="O28" s="1474"/>
      <c r="P28" s="1474"/>
      <c r="Q28" s="1474"/>
      <c r="R28" s="1474"/>
      <c r="S28" s="1474"/>
      <c r="T28" s="1474"/>
      <c r="U28" s="1474"/>
      <c r="V28" s="1474"/>
      <c r="W28" s="1474"/>
      <c r="X28" s="1474"/>
      <c r="Y28" s="1474"/>
      <c r="Z28" s="1474"/>
      <c r="AA28" s="1474"/>
      <c r="AB28" s="1474"/>
      <c r="AC28" s="1474"/>
      <c r="AD28" s="1474"/>
      <c r="AE28" s="1474"/>
      <c r="AF28" s="1474"/>
      <c r="AG28" s="1474"/>
      <c r="AH28" s="1474"/>
      <c r="AI28" s="1474"/>
      <c r="AJ28" s="1474"/>
      <c r="AK28" s="1474"/>
      <c r="AL28" s="1474"/>
      <c r="AM28" s="1474"/>
      <c r="AN28" s="1475"/>
      <c r="AO28" s="1444" t="s">
        <v>1224</v>
      </c>
      <c r="AP28" s="1445"/>
      <c r="AQ28" s="1446"/>
      <c r="AR28" s="1444" t="s">
        <v>1225</v>
      </c>
      <c r="AS28" s="1445"/>
      <c r="AT28" s="1446"/>
      <c r="AU28" s="1477" t="s">
        <v>100</v>
      </c>
      <c r="AV28" s="680"/>
      <c r="AW28" s="680"/>
      <c r="AX28" s="317"/>
      <c r="AY28" s="318"/>
      <c r="AZ28" s="680"/>
      <c r="BB28" s="223"/>
      <c r="BC28" s="231"/>
      <c r="BD28" s="680"/>
      <c r="BE28" s="680"/>
      <c r="BG28" s="680"/>
    </row>
    <row r="29" spans="1:59">
      <c r="A29" s="319" t="s">
        <v>1055</v>
      </c>
      <c r="B29" s="1447"/>
      <c r="C29" s="1460"/>
      <c r="D29" s="1460"/>
      <c r="E29" s="1460"/>
      <c r="F29" s="1460"/>
      <c r="G29" s="1460"/>
      <c r="H29" s="1460"/>
      <c r="I29" s="1449"/>
      <c r="J29" s="578">
        <f xml:space="preserve">
IF(表紙!$X$2="事前協議",DATE(2023,J28,1),
IF(表紙!$X$2="交付申請（２次）",DATE(2023,J28,1),
IF(表紙!$X$2="変更申請",DATE(2023,J28,1),
IF(表紙!$X$2="実績報告（１次）",DATE(2023,J28,1),
IF(表紙!$X$2="実績報告（２次）",DATE(2023,J28,1),
IF(表紙!$X$2="交付申請兼実績報告",DATE(2023,J28,1)))))))</f>
        <v>45231</v>
      </c>
      <c r="K29" s="579">
        <f xml:space="preserve">
IF(表紙!$X$2="事前協議",IFERROR(IF(J29+1&gt;DATE(2023,11,30),"",J29+1),""),
IF(表紙!$X$2="交付申請（２次）",IFERROR(IF(J29+1&gt;DATE(2023,11,30),"",J29+1),""),
IF(表紙!$X$2="変更申請",IFERROR(IF(J29+1&gt;DATE(2023,11,30),"",J29+1),""),
IF(表紙!$X$2="実績報告（１次）",IFERROR(IF(J29+1&gt;DATE(2023,5,31),"",J29+1),""),
IF(表紙!$X$2="実績報告（２次）",IFERROR(IF(J29+1&gt;DATE(2023,11,30),"",J29+1),""),
IF(表紙!$X$2="交付申請兼実績報告",IFERROR(IF(J29+1&gt;DATE(2023,11,30),"",J29+1),"")))))))</f>
        <v>45232</v>
      </c>
      <c r="L29" s="579">
        <f xml:space="preserve">
IF(表紙!$X$2="事前協議",IFERROR(IF(K29+1&gt;DATE(2023,11,30),"",K29+1),""),
IF(表紙!$X$2="交付申請（２次）",IFERROR(IF(K29+1&gt;DATE(2023,11,30),"",K29+1),""),
IF(表紙!$X$2="変更申請",IFERROR(IF(K29+1&gt;DATE(2023,11,30),"",K29+1),""),
IF(表紙!$X$2="実績報告（１次）",IFERROR(IF(K29+1&gt;DATE(2023,5,31),"",K29+1),""),
IF(表紙!$X$2="実績報告（２次）",IFERROR(IF(K29+1&gt;DATE(2023,11,30),"",K29+1),""),
IF(表紙!$X$2="交付申請兼実績報告",IFERROR(IF(K29+1&gt;DATE(2023,11,30),"",K29+1),"")))))))</f>
        <v>45233</v>
      </c>
      <c r="M29" s="579">
        <f xml:space="preserve">
IF(表紙!$X$2="事前協議",IFERROR(IF(L29+1&gt;DATE(2023,11,30),"",L29+1),""),
IF(表紙!$X$2="交付申請（２次）",IFERROR(IF(L29+1&gt;DATE(2023,11,30),"",L29+1),""),
IF(表紙!$X$2="変更申請",IFERROR(IF(L29+1&gt;DATE(2023,11,30),"",L29+1),""),
IF(表紙!$X$2="実績報告（１次）",IFERROR(IF(L29+1&gt;DATE(2023,5,31),"",L29+1),""),
IF(表紙!$X$2="実績報告（２次）",IFERROR(IF(L29+1&gt;DATE(2023,11,30),"",L29+1),""),
IF(表紙!$X$2="交付申請兼実績報告",IFERROR(IF(L29+1&gt;DATE(2023,11,30),"",L29+1),"")))))))</f>
        <v>45234</v>
      </c>
      <c r="N29" s="579">
        <f xml:space="preserve">
IF(表紙!$X$2="事前協議",IFERROR(IF(M29+1&gt;DATE(2023,11,30),"",M29+1),""),
IF(表紙!$X$2="交付申請（２次）",IFERROR(IF(M29+1&gt;DATE(2023,11,30),"",M29+1),""),
IF(表紙!$X$2="変更申請",IFERROR(IF(M29+1&gt;DATE(2023,11,30),"",M29+1),""),
IF(表紙!$X$2="実績報告（１次）",IFERROR(IF(M29+1&gt;DATE(2023,5,31),"",M29+1),""),
IF(表紙!$X$2="実績報告（２次）",IFERROR(IF(M29+1&gt;DATE(2023,11,30),"",M29+1),""),
IF(表紙!$X$2="交付申請兼実績報告",IFERROR(IF(M29+1&gt;DATE(2023,11,30),"",M29+1),"")))))))</f>
        <v>45235</v>
      </c>
      <c r="O29" s="579">
        <f xml:space="preserve">
IF(表紙!$X$2="事前協議",IFERROR(IF(N29+1&gt;DATE(2023,11,30),"",N29+1),""),
IF(表紙!$X$2="交付申請（２次）",IFERROR(IF(N29+1&gt;DATE(2023,11,30),"",N29+1),""),
IF(表紙!$X$2="変更申請",IFERROR(IF(N29+1&gt;DATE(2023,11,30),"",N29+1),""),
IF(表紙!$X$2="実績報告（１次）",IFERROR(IF(N29+1&gt;DATE(2023,5,31),"",N29+1),""),
IF(表紙!$X$2="実績報告（２次）",IFERROR(IF(N29+1&gt;DATE(2023,11,30),"",N29+1),""),
IF(表紙!$X$2="交付申請兼実績報告",IFERROR(IF(N29+1&gt;DATE(2023,11,30),"",N29+1),"")))))))</f>
        <v>45236</v>
      </c>
      <c r="P29" s="579">
        <f xml:space="preserve">
IF(表紙!$X$2="事前協議",IFERROR(IF(O29+1&gt;DATE(2023,11,30),"",O29+1),""),
IF(表紙!$X$2="交付申請（２次）",IFERROR(IF(O29+1&gt;DATE(2023,11,30),"",O29+1),""),
IF(表紙!$X$2="変更申請",IFERROR(IF(O29+1&gt;DATE(2023,11,30),"",O29+1),""),
IF(表紙!$X$2="実績報告（１次）",IFERROR(IF(O29+1&gt;DATE(2023,5,31),"",O29+1),""),
IF(表紙!$X$2="実績報告（２次）",IFERROR(IF(O29+1&gt;DATE(2023,11,30),"",O29+1),""),
IF(表紙!$X$2="交付申請兼実績報告",IFERROR(IF(O29+1&gt;DATE(2023,11,30),"",O29+1),"")))))))</f>
        <v>45237</v>
      </c>
      <c r="Q29" s="579">
        <f xml:space="preserve">
IF(表紙!$X$2="事前協議",IFERROR(IF(P29+1&gt;DATE(2023,11,30),"",P29+1),""),
IF(表紙!$X$2="交付申請（２次）",IFERROR(IF(P29+1&gt;DATE(2023,11,30),"",P29+1),""),
IF(表紙!$X$2="変更申請",IFERROR(IF(P29+1&gt;DATE(2023,11,30),"",P29+1),""),
IF(表紙!$X$2="実績報告（１次）",IFERROR(IF(P29+1&gt;DATE(2023,5,31),"",P29+1),""),
IF(表紙!$X$2="実績報告（２次）",IFERROR(IF(P29+1&gt;DATE(2023,11,30),"",P29+1),""),
IF(表紙!$X$2="交付申請兼実績報告",IFERROR(IF(P29+1&gt;DATE(2023,11,30),"",P29+1),"")))))))</f>
        <v>45238</v>
      </c>
      <c r="R29" s="579">
        <f xml:space="preserve">
IF(表紙!$X$2="事前協議",IFERROR(IF(Q29+1&gt;DATE(2023,11,30),"",Q29+1),""),
IF(表紙!$X$2="交付申請（２次）",IFERROR(IF(Q29+1&gt;DATE(2023,11,30),"",Q29+1),""),
IF(表紙!$X$2="変更申請",IFERROR(IF(Q29+1&gt;DATE(2023,11,30),"",Q29+1),""),
IF(表紙!$X$2="実績報告（１次）",IFERROR(IF(Q29+1&gt;DATE(2023,5,31),"",Q29+1),""),
IF(表紙!$X$2="実績報告（２次）",IFERROR(IF(Q29+1&gt;DATE(2023,11,30),"",Q29+1),""),
IF(表紙!$X$2="交付申請兼実績報告",IFERROR(IF(Q29+1&gt;DATE(2023,11,30),"",Q29+1),"")))))))</f>
        <v>45239</v>
      </c>
      <c r="S29" s="579">
        <f xml:space="preserve">
IF(表紙!$X$2="事前協議",IFERROR(IF(R29+1&gt;DATE(2023,11,30),"",R29+1),""),
IF(表紙!$X$2="交付申請（２次）",IFERROR(IF(R29+1&gt;DATE(2023,11,30),"",R29+1),""),
IF(表紙!$X$2="変更申請",IFERROR(IF(R29+1&gt;DATE(2023,11,30),"",R29+1),""),
IF(表紙!$X$2="実績報告（１次）",IFERROR(IF(R29+1&gt;DATE(2023,5,31),"",R29+1),""),
IF(表紙!$X$2="実績報告（２次）",IFERROR(IF(R29+1&gt;DATE(2023,11,30),"",R29+1),""),
IF(表紙!$X$2="交付申請兼実績報告",IFERROR(IF(R29+1&gt;DATE(2023,11,30),"",R29+1),"")))))))</f>
        <v>45240</v>
      </c>
      <c r="T29" s="579">
        <f xml:space="preserve">
IF(表紙!$X$2="事前協議",IFERROR(IF(S29+1&gt;DATE(2023,11,30),"",S29+1),""),
IF(表紙!$X$2="交付申請（２次）",IFERROR(IF(S29+1&gt;DATE(2023,11,30),"",S29+1),""),
IF(表紙!$X$2="変更申請",IFERROR(IF(S29+1&gt;DATE(2023,11,30),"",S29+1),""),
IF(表紙!$X$2="実績報告（１次）",IFERROR(IF(S29+1&gt;DATE(2023,5,31),"",S29+1),""),
IF(表紙!$X$2="実績報告（２次）",IFERROR(IF(S29+1&gt;DATE(2023,11,30),"",S29+1),""),
IF(表紙!$X$2="交付申請兼実績報告",IFERROR(IF(S29+1&gt;DATE(2023,11,30),"",S29+1),"")))))))</f>
        <v>45241</v>
      </c>
      <c r="U29" s="579">
        <f xml:space="preserve">
IF(表紙!$X$2="事前協議",IFERROR(IF(T29+1&gt;DATE(2023,11,30),"",T29+1),""),
IF(表紙!$X$2="交付申請（２次）",IFERROR(IF(T29+1&gt;DATE(2023,11,30),"",T29+1),""),
IF(表紙!$X$2="変更申請",IFERROR(IF(T29+1&gt;DATE(2023,11,30),"",T29+1),""),
IF(表紙!$X$2="実績報告（１次）",IFERROR(IF(T29+1&gt;DATE(2023,5,31),"",T29+1),""),
IF(表紙!$X$2="実績報告（２次）",IFERROR(IF(T29+1&gt;DATE(2023,11,30),"",T29+1),""),
IF(表紙!$X$2="交付申請兼実績報告",IFERROR(IF(T29+1&gt;DATE(2023,11,30),"",T29+1),"")))))))</f>
        <v>45242</v>
      </c>
      <c r="V29" s="579">
        <f xml:space="preserve">
IF(表紙!$X$2="事前協議",IFERROR(IF(U29+1&gt;DATE(2023,11,30),"",U29+1),""),
IF(表紙!$X$2="交付申請（２次）",IFERROR(IF(U29+1&gt;DATE(2023,11,30),"",U29+1),""),
IF(表紙!$X$2="変更申請",IFERROR(IF(U29+1&gt;DATE(2023,11,30),"",U29+1),""),
IF(表紙!$X$2="実績報告（１次）",IFERROR(IF(U29+1&gt;DATE(2023,5,31),"",U29+1),""),
IF(表紙!$X$2="実績報告（２次）",IFERROR(IF(U29+1&gt;DATE(2023,11,30),"",U29+1),""),
IF(表紙!$X$2="交付申請兼実績報告",IFERROR(IF(U29+1&gt;DATE(2023,11,30),"",U29+1),"")))))))</f>
        <v>45243</v>
      </c>
      <c r="W29" s="579">
        <f xml:space="preserve">
IF(表紙!$X$2="事前協議",IFERROR(IF(V29+1&gt;DATE(2023,11,30),"",V29+1),""),
IF(表紙!$X$2="交付申請（２次）",IFERROR(IF(V29+1&gt;DATE(2023,11,30),"",V29+1),""),
IF(表紙!$X$2="変更申請",IFERROR(IF(V29+1&gt;DATE(2023,11,30),"",V29+1),""),
IF(表紙!$X$2="実績報告（１次）",IFERROR(IF(V29+1&gt;DATE(2023,5,31),"",V29+1),""),
IF(表紙!$X$2="実績報告（２次）",IFERROR(IF(V29+1&gt;DATE(2023,11,30),"",V29+1),""),
IF(表紙!$X$2="交付申請兼実績報告",IFERROR(IF(V29+1&gt;DATE(2023,11,30),"",V29+1),"")))))))</f>
        <v>45244</v>
      </c>
      <c r="X29" s="579">
        <f xml:space="preserve">
IF(表紙!$X$2="事前協議",IFERROR(IF(W29+1&gt;DATE(2023,11,30),"",W29+1),""),
IF(表紙!$X$2="交付申請（２次）",IFERROR(IF(W29+1&gt;DATE(2023,11,30),"",W29+1),""),
IF(表紙!$X$2="変更申請",IFERROR(IF(W29+1&gt;DATE(2023,11,30),"",W29+1),""),
IF(表紙!$X$2="実績報告（１次）",IFERROR(IF(W29+1&gt;DATE(2023,5,31),"",W29+1),""),
IF(表紙!$X$2="実績報告（２次）",IFERROR(IF(W29+1&gt;DATE(2023,11,30),"",W29+1),""),
IF(表紙!$X$2="交付申請兼実績報告",IFERROR(IF(W29+1&gt;DATE(2023,11,30),"",W29+1),"")))))))</f>
        <v>45245</v>
      </c>
      <c r="Y29" s="579">
        <f xml:space="preserve">
IF(表紙!$X$2="事前協議",IFERROR(IF(X29+1&gt;DATE(2023,11,30),"",X29+1),""),
IF(表紙!$X$2="交付申請（２次）",IFERROR(IF(X29+1&gt;DATE(2023,11,30),"",X29+1),""),
IF(表紙!$X$2="変更申請",IFERROR(IF(X29+1&gt;DATE(2023,11,30),"",X29+1),""),
IF(表紙!$X$2="実績報告（１次）",IFERROR(IF(X29+1&gt;DATE(2023,5,31),"",X29+1),""),
IF(表紙!$X$2="実績報告（２次）",IFERROR(IF(X29+1&gt;DATE(2023,11,30),"",X29+1),""),
IF(表紙!$X$2="交付申請兼実績報告",IFERROR(IF(X29+1&gt;DATE(2023,11,30),"",X29+1),"")))))))</f>
        <v>45246</v>
      </c>
      <c r="Z29" s="579">
        <f xml:space="preserve">
IF(表紙!$X$2="事前協議",IFERROR(IF(Y29+1&gt;DATE(2023,11,30),"",Y29+1),""),
IF(表紙!$X$2="交付申請（２次）",IFERROR(IF(Y29+1&gt;DATE(2023,11,30),"",Y29+1),""),
IF(表紙!$X$2="変更申請",IFERROR(IF(Y29+1&gt;DATE(2023,11,30),"",Y29+1),""),
IF(表紙!$X$2="実績報告（１次）",IFERROR(IF(Y29+1&gt;DATE(2023,5,31),"",Y29+1),""),
IF(表紙!$X$2="実績報告（２次）",IFERROR(IF(Y29+1&gt;DATE(2023,11,30),"",Y29+1),""),
IF(表紙!$X$2="交付申請兼実績報告",IFERROR(IF(Y29+1&gt;DATE(2023,11,30),"",Y29+1),"")))))))</f>
        <v>45247</v>
      </c>
      <c r="AA29" s="579">
        <f xml:space="preserve">
IF(表紙!$X$2="事前協議",IFERROR(IF(Z29+1&gt;DATE(2023,11,30),"",Z29+1),""),
IF(表紙!$X$2="交付申請（２次）",IFERROR(IF(Z29+1&gt;DATE(2023,11,30),"",Z29+1),""),
IF(表紙!$X$2="変更申請",IFERROR(IF(Z29+1&gt;DATE(2023,11,30),"",Z29+1),""),
IF(表紙!$X$2="実績報告（１次）",IFERROR(IF(Z29+1&gt;DATE(2023,5,31),"",Z29+1),""),
IF(表紙!$X$2="実績報告（２次）",IFERROR(IF(Z29+1&gt;DATE(2023,11,30),"",Z29+1),""),
IF(表紙!$X$2="交付申請兼実績報告",IFERROR(IF(Z29+1&gt;DATE(2023,11,30),"",Z29+1),"")))))))</f>
        <v>45248</v>
      </c>
      <c r="AB29" s="579">
        <f xml:space="preserve">
IF(表紙!$X$2="事前協議",IFERROR(IF(AA29+1&gt;DATE(2023,11,30),"",AA29+1),""),
IF(表紙!$X$2="交付申請（２次）",IFERROR(IF(AA29+1&gt;DATE(2023,11,30),"",AA29+1),""),
IF(表紙!$X$2="変更申請",IFERROR(IF(AA29+1&gt;DATE(2023,11,30),"",AA29+1),""),
IF(表紙!$X$2="実績報告（１次）",IFERROR(IF(AA29+1&gt;DATE(2023,5,31),"",AA29+1),""),
IF(表紙!$X$2="実績報告（２次）",IFERROR(IF(AA29+1&gt;DATE(2023,11,30),"",AA29+1),""),
IF(表紙!$X$2="交付申請兼実績報告",IFERROR(IF(AA29+1&gt;DATE(2023,11,30),"",AA29+1),"")))))))</f>
        <v>45249</v>
      </c>
      <c r="AC29" s="579">
        <f xml:space="preserve">
IF(表紙!$X$2="事前協議",IFERROR(IF(AB29+1&gt;DATE(2023,11,30),"",AB29+1),""),
IF(表紙!$X$2="交付申請（２次）",IFERROR(IF(AB29+1&gt;DATE(2023,11,30),"",AB29+1),""),
IF(表紙!$X$2="変更申請",IFERROR(IF(AB29+1&gt;DATE(2023,11,30),"",AB29+1),""),
IF(表紙!$X$2="実績報告（１次）",IFERROR(IF(AB29+1&gt;DATE(2023,5,31),"",AB29+1),""),
IF(表紙!$X$2="実績報告（２次）",IFERROR(IF(AB29+1&gt;DATE(2023,11,30),"",AB29+1),""),
IF(表紙!$X$2="交付申請兼実績報告",IFERROR(IF(AB29+1&gt;DATE(2023,11,30),"",AB29+1),"")))))))</f>
        <v>45250</v>
      </c>
      <c r="AD29" s="579">
        <f xml:space="preserve">
IF(表紙!$X$2="事前協議",IFERROR(IF(AC29+1&gt;DATE(2023,11,30),"",AC29+1),""),
IF(表紙!$X$2="交付申請（２次）",IFERROR(IF(AC29+1&gt;DATE(2023,11,30),"",AC29+1),""),
IF(表紙!$X$2="変更申請",IFERROR(IF(AC29+1&gt;DATE(2023,11,30),"",AC29+1),""),
IF(表紙!$X$2="実績報告（１次）",IFERROR(IF(AC29+1&gt;DATE(2023,5,31),"",AC29+1),""),
IF(表紙!$X$2="実績報告（２次）",IFERROR(IF(AC29+1&gt;DATE(2023,11,30),"",AC29+1),""),
IF(表紙!$X$2="交付申請兼実績報告",IFERROR(IF(AC29+1&gt;DATE(2023,11,30),"",AC29+1),"")))))))</f>
        <v>45251</v>
      </c>
      <c r="AE29" s="579">
        <f xml:space="preserve">
IF(表紙!$X$2="事前協議",IFERROR(IF(AD29+1&gt;DATE(2023,11,30),"",AD29+1),""),
IF(表紙!$X$2="交付申請（２次）",IFERROR(IF(AD29+1&gt;DATE(2023,11,30),"",AD29+1),""),
IF(表紙!$X$2="変更申請",IFERROR(IF(AD29+1&gt;DATE(2023,11,30),"",AD29+1),""),
IF(表紙!$X$2="実績報告（１次）",IFERROR(IF(AD29+1&gt;DATE(2023,5,31),"",AD29+1),""),
IF(表紙!$X$2="実績報告（２次）",IFERROR(IF(AD29+1&gt;DATE(2023,11,30),"",AD29+1),""),
IF(表紙!$X$2="交付申請兼実績報告",IFERROR(IF(AD29+1&gt;DATE(2023,11,30),"",AD29+1),"")))))))</f>
        <v>45252</v>
      </c>
      <c r="AF29" s="579">
        <f xml:space="preserve">
IF(表紙!$X$2="事前協議",IFERROR(IF(AE29+1&gt;DATE(2023,11,30),"",AE29+1),""),
IF(表紙!$X$2="交付申請（２次）",IFERROR(IF(AE29+1&gt;DATE(2023,11,30),"",AE29+1),""),
IF(表紙!$X$2="変更申請",IFERROR(IF(AE29+1&gt;DATE(2023,11,30),"",AE29+1),""),
IF(表紙!$X$2="実績報告（１次）",IFERROR(IF(AE29+1&gt;DATE(2023,5,31),"",AE29+1),""),
IF(表紙!$X$2="実績報告（２次）",IFERROR(IF(AE29+1&gt;DATE(2023,11,30),"",AE29+1),""),
IF(表紙!$X$2="交付申請兼実績報告",IFERROR(IF(AE29+1&gt;DATE(2023,11,30),"",AE29+1),"")))))))</f>
        <v>45253</v>
      </c>
      <c r="AG29" s="579">
        <f xml:space="preserve">
IF(表紙!$X$2="事前協議",IFERROR(IF(AF29+1&gt;DATE(2023,11,30),"",AF29+1),""),
IF(表紙!$X$2="交付申請（２次）",IFERROR(IF(AF29+1&gt;DATE(2023,11,30),"",AF29+1),""),
IF(表紙!$X$2="変更申請",IFERROR(IF(AF29+1&gt;DATE(2023,11,30),"",AF29+1),""),
IF(表紙!$X$2="実績報告（１次）",IFERROR(IF(AF29+1&gt;DATE(2023,5,31),"",AF29+1),""),
IF(表紙!$X$2="実績報告（２次）",IFERROR(IF(AF29+1&gt;DATE(2023,11,30),"",AF29+1),""),
IF(表紙!$X$2="交付申請兼実績報告",IFERROR(IF(AF29+1&gt;DATE(2023,11,30),"",AF29+1),"")))))))</f>
        <v>45254</v>
      </c>
      <c r="AH29" s="579">
        <f xml:space="preserve">
IF(表紙!$X$2="事前協議",IFERROR(IF(AG29+1&gt;DATE(2023,11,30),"",AG29+1),""),
IF(表紙!$X$2="交付申請（２次）",IFERROR(IF(AG29+1&gt;DATE(2023,11,30),"",AG29+1),""),
IF(表紙!$X$2="変更申請",IFERROR(IF(AG29+1&gt;DATE(2023,11,30),"",AG29+1),""),
IF(表紙!$X$2="実績報告（１次）",IFERROR(IF(AG29+1&gt;DATE(2023,5,31),"",AG29+1),""),
IF(表紙!$X$2="実績報告（２次）",IFERROR(IF(AG29+1&gt;DATE(2023,11,30),"",AG29+1),""),
IF(表紙!$X$2="交付申請兼実績報告",IFERROR(IF(AG29+1&gt;DATE(2023,11,30),"",AG29+1),"")))))))</f>
        <v>45255</v>
      </c>
      <c r="AI29" s="579">
        <f xml:space="preserve">
IF(表紙!$X$2="事前協議",IFERROR(IF(AH29+1&gt;DATE(2023,11,30),"",AH29+1),""),
IF(表紙!$X$2="交付申請（２次）",IFERROR(IF(AH29+1&gt;DATE(2023,11,30),"",AH29+1),""),
IF(表紙!$X$2="変更申請",IFERROR(IF(AH29+1&gt;DATE(2023,11,30),"",AH29+1),""),
IF(表紙!$X$2="実績報告（１次）",IFERROR(IF(AH29+1&gt;DATE(2023,5,31),"",AH29+1),""),
IF(表紙!$X$2="実績報告（２次）",IFERROR(IF(AH29+1&gt;DATE(2023,11,30),"",AH29+1),""),
IF(表紙!$X$2="交付申請兼実績報告",IFERROR(IF(AH29+1&gt;DATE(2023,11,30),"",AH29+1),"")))))))</f>
        <v>45256</v>
      </c>
      <c r="AJ29" s="579">
        <f xml:space="preserve">
IF(表紙!$X$2="事前協議",IFERROR(IF(AI29+1&gt;DATE(2023,11,30),"",AI29+1),""),
IF(表紙!$X$2="交付申請（２次）",IFERROR(IF(AI29+1&gt;DATE(2023,11,30),"",AI29+1),""),
IF(表紙!$X$2="変更申請",IFERROR(IF(AI29+1&gt;DATE(2023,11,30),"",AI29+1),""),
IF(表紙!$X$2="実績報告（１次）",IFERROR(IF(AI29+1&gt;DATE(2023,5,31),"",AI29+1),""),
IF(表紙!$X$2="実績報告（２次）",IFERROR(IF(AI29+1&gt;DATE(2023,11,30),"",AI29+1),""),
IF(表紙!$X$2="交付申請兼実績報告",IFERROR(IF(AI29+1&gt;DATE(2023,11,30),"",AI29+1),"")))))))</f>
        <v>45257</v>
      </c>
      <c r="AK29" s="579">
        <f xml:space="preserve">
IF(表紙!$X$2="事前協議",IFERROR(IF(AJ29+1&gt;DATE(2023,11,30),"",AJ29+1),""),
IF(表紙!$X$2="交付申請（２次）",IFERROR(IF(AJ29+1&gt;DATE(2023,11,30),"",AJ29+1),""),
IF(表紙!$X$2="変更申請",IFERROR(IF(AJ29+1&gt;DATE(2023,11,30),"",AJ29+1),""),
IF(表紙!$X$2="実績報告（１次）",IFERROR(IF(AJ29+1&gt;DATE(2023,5,31),"",AJ29+1),""),
IF(表紙!$X$2="実績報告（２次）",IFERROR(IF(AJ29+1&gt;DATE(2023,11,30),"",AJ29+1),""),
IF(表紙!$X$2="交付申請兼実績報告",IFERROR(IF(AJ29+1&gt;DATE(2023,11,30),"",AJ29+1),"")))))))</f>
        <v>45258</v>
      </c>
      <c r="AL29" s="579">
        <f xml:space="preserve">
IF(表紙!$X$2="事前協議",IFERROR(IF(AK29+1&gt;DATE(2023,11,30),"",AK29+1),""),
IF(表紙!$X$2="交付申請（２次）",IFERROR(IF(AK29+1&gt;DATE(2023,11,30),"",AK29+1),""),
IF(表紙!$X$2="変更申請",IFERROR(IF(AK29+1&gt;DATE(2023,11,30),"",AK29+1),""),
IF(表紙!$X$2="実績報告（１次）",IFERROR(IF(AK29+1&gt;DATE(2023,5,31),"",AK29+1),""),
IF(表紙!$X$2="実績報告（２次）",IFERROR(IF(AK29+1&gt;DATE(2023,11,30),"",AK29+1),""),
IF(表紙!$X$2="交付申請兼実績報告",IFERROR(IF(AK29+1&gt;DATE(2023,11,30),"",AK29+1),"")))))))</f>
        <v>45259</v>
      </c>
      <c r="AM29" s="579">
        <f xml:space="preserve">
IF(表紙!$X$2="事前協議",IFERROR(IF(AL29+1&gt;DATE(2023,11,30),"",AL29+1),""),
IF(表紙!$X$2="交付申請（２次）",IFERROR(IF(AL29+1&gt;DATE(2023,11,30),"",AL29+1),""),
IF(表紙!$X$2="変更申請",IFERROR(IF(AL29+1&gt;DATE(2023,11,30),"",AL29+1),""),
IF(表紙!$X$2="実績報告（１次）",IFERROR(IF(AL29+1&gt;DATE(2023,5,31),"",AL29+1),""),
IF(表紙!$X$2="実績報告（２次）",IFERROR(IF(AL29+1&gt;DATE(2023,11,30),"",AL29+1),""),
IF(表紙!$X$2="交付申請兼実績報告",IFERROR(IF(AL29+1&gt;DATE(2023,11,30),"",AL29+1),"")))))))</f>
        <v>45260</v>
      </c>
      <c r="AN29" s="579" t="str">
        <f xml:space="preserve">
IF(表紙!$X$2="事前協議",IFERROR(IF(AM29+1&gt;DATE(2023,11,30),"",AM29+1),""),
IF(表紙!$X$2="交付申請（２次）",IFERROR(IF(AM29+1&gt;DATE(2023,11,30),"",AM29+1),""),
IF(表紙!$X$2="変更申請",IFERROR(IF(AM29+1&gt;DATE(2023,11,30),"",AM29+1),""),
IF(表紙!$X$2="実績報告（１次）",IFERROR(IF(AM29+1&gt;DATE(2023,5,31),"",AM29+1),""),
IF(表紙!$X$2="実績報告（２次）",IFERROR(IF(AM29+1&gt;DATE(2023,11,30),"",AM29+1),""),
IF(表紙!$X$2="交付申請兼実績報告",IFERROR(IF(AM29+1&gt;DATE(2023,11,30),"",AM29+1),"")))))))</f>
        <v/>
      </c>
      <c r="AO29" s="1447"/>
      <c r="AP29" s="1448"/>
      <c r="AQ29" s="1449"/>
      <c r="AR29" s="1447"/>
      <c r="AS29" s="1448"/>
      <c r="AT29" s="1449"/>
      <c r="AU29" s="1386"/>
      <c r="AV29" s="680"/>
      <c r="AW29" s="680"/>
      <c r="AX29" s="320"/>
      <c r="AY29" s="320"/>
      <c r="BA29" s="236" t="str">
        <f>TEXT(H29&amp;":"&amp;J29,"hh:mm")</f>
        <v>:45231</v>
      </c>
      <c r="BB29" s="236" t="str">
        <f>TEXT(L29&amp;":"&amp;N29,"hh:mm")</f>
        <v>45233:45235</v>
      </c>
      <c r="BC29" s="236" t="str">
        <f>TEXT(O29&amp;":"&amp;Q29,"hh:mm")</f>
        <v>45236:45238</v>
      </c>
      <c r="BD29" s="236" t="str">
        <f>TEXT(S29&amp;":"&amp;U29,"hh:mm")</f>
        <v>45240:45242</v>
      </c>
      <c r="BE29" s="236" t="str">
        <f>TEXT(V29&amp;":"&amp;X29,"hh:mm")</f>
        <v>45243:45245</v>
      </c>
      <c r="BF29" s="236" t="str">
        <f>TEXT(Z29&amp;":"&amp;AB29,"hh:mm")</f>
        <v>45247:45249</v>
      </c>
      <c r="BG29" s="680"/>
    </row>
    <row r="30" spans="1:59" ht="18.75" thickBot="1">
      <c r="A30" s="321" t="s">
        <v>1057</v>
      </c>
      <c r="B30" s="1461"/>
      <c r="C30" s="1462"/>
      <c r="D30" s="1462"/>
      <c r="E30" s="1462"/>
      <c r="F30" s="1462"/>
      <c r="G30" s="1462"/>
      <c r="H30" s="1462"/>
      <c r="I30" s="1463"/>
      <c r="J30" s="322" t="str">
        <f>TEXT(J29,"aaa")</f>
        <v>水</v>
      </c>
      <c r="K30" s="323" t="str">
        <f>TEXT(K29,"aaa")</f>
        <v>木</v>
      </c>
      <c r="L30" s="323" t="str">
        <f t="shared" ref="L30:AL30" si="6">TEXT(L29,"aaa")</f>
        <v>金</v>
      </c>
      <c r="M30" s="323" t="str">
        <f t="shared" si="6"/>
        <v>土</v>
      </c>
      <c r="N30" s="323" t="str">
        <f t="shared" si="6"/>
        <v>日</v>
      </c>
      <c r="O30" s="323" t="str">
        <f t="shared" si="6"/>
        <v>月</v>
      </c>
      <c r="P30" s="323" t="str">
        <f t="shared" si="6"/>
        <v>火</v>
      </c>
      <c r="Q30" s="323" t="str">
        <f t="shared" si="6"/>
        <v>水</v>
      </c>
      <c r="R30" s="323" t="str">
        <f t="shared" si="6"/>
        <v>木</v>
      </c>
      <c r="S30" s="323" t="str">
        <f t="shared" si="6"/>
        <v>金</v>
      </c>
      <c r="T30" s="323" t="str">
        <f t="shared" si="6"/>
        <v>土</v>
      </c>
      <c r="U30" s="323" t="str">
        <f t="shared" si="6"/>
        <v>日</v>
      </c>
      <c r="V30" s="323" t="str">
        <f t="shared" si="6"/>
        <v>月</v>
      </c>
      <c r="W30" s="323" t="str">
        <f t="shared" si="6"/>
        <v>火</v>
      </c>
      <c r="X30" s="323" t="str">
        <f t="shared" si="6"/>
        <v>水</v>
      </c>
      <c r="Y30" s="323" t="str">
        <f t="shared" si="6"/>
        <v>木</v>
      </c>
      <c r="Z30" s="323" t="str">
        <f t="shared" si="6"/>
        <v>金</v>
      </c>
      <c r="AA30" s="323" t="str">
        <f t="shared" si="6"/>
        <v>土</v>
      </c>
      <c r="AB30" s="323" t="str">
        <f t="shared" si="6"/>
        <v>日</v>
      </c>
      <c r="AC30" s="323" t="str">
        <f t="shared" si="6"/>
        <v>月</v>
      </c>
      <c r="AD30" s="323" t="str">
        <f t="shared" si="6"/>
        <v>火</v>
      </c>
      <c r="AE30" s="323" t="str">
        <f t="shared" si="6"/>
        <v>水</v>
      </c>
      <c r="AF30" s="323" t="str">
        <f t="shared" si="6"/>
        <v>木</v>
      </c>
      <c r="AG30" s="323" t="str">
        <f t="shared" si="6"/>
        <v>金</v>
      </c>
      <c r="AH30" s="323" t="str">
        <f t="shared" si="6"/>
        <v>土</v>
      </c>
      <c r="AI30" s="323" t="str">
        <f t="shared" si="6"/>
        <v>日</v>
      </c>
      <c r="AJ30" s="323" t="str">
        <f t="shared" si="6"/>
        <v>月</v>
      </c>
      <c r="AK30" s="323" t="str">
        <f t="shared" si="6"/>
        <v>火</v>
      </c>
      <c r="AL30" s="583" t="str">
        <f t="shared" si="6"/>
        <v>水</v>
      </c>
      <c r="AM30" s="583" t="str">
        <f t="shared" ref="AM30" si="7">TEXT(AM29,"aaa")</f>
        <v>木</v>
      </c>
      <c r="AN30" s="583" t="str">
        <f t="shared" ref="AN30" si="8">TEXT(AN29,"aaa")</f>
        <v/>
      </c>
      <c r="AO30" s="1438" t="str">
        <f xml:space="preserve">
IF(AU31="×","×",
IF(表紙!$X$2="事前協議",COUNTIF(J31:AM31,"&gt;0"),
IF(表紙!$X$2="交付申請（２次）",COUNTIF(J31:AM31,"&gt;0"),
IF(表紙!$X$2="変更申請",COUNTIF(J31:AM31,"&gt;0"),
IF(表紙!$X$2="実績報告（１次）",COUNTIF(J31:AN31,"&gt;0"),
IF(表紙!$X$2="実績報告（２次）",COUNTIF(J31:AM31,"&gt;0"),
IF(表紙!$X$2="交付申請兼実績報告",COUNTIF(J31:AM31,"&gt;0"))))))))</f>
        <v>×</v>
      </c>
      <c r="AP30" s="1439"/>
      <c r="AQ30" s="1440"/>
      <c r="AR30" s="1438" t="s">
        <v>1081</v>
      </c>
      <c r="AS30" s="1439"/>
      <c r="AT30" s="1440"/>
      <c r="AU30" s="1386"/>
      <c r="AV30" s="680"/>
      <c r="AW30" s="680"/>
      <c r="AX30" s="320"/>
      <c r="AY30" s="320"/>
      <c r="BA30" s="236" t="str">
        <f>TEXT(H30&amp;":"&amp;J30,"hh:mm")</f>
        <v>:水</v>
      </c>
      <c r="BB30" s="236" t="str">
        <f>TEXT(L30&amp;":"&amp;N30,"hh:mm")</f>
        <v>金:日</v>
      </c>
      <c r="BC30" s="236" t="str">
        <f>TEXT(O30&amp;":"&amp;Q30,"hh:mm")</f>
        <v>月:水</v>
      </c>
      <c r="BD30" s="236" t="str">
        <f>TEXT(S30&amp;":"&amp;U30,"hh:mm")</f>
        <v>金:日</v>
      </c>
      <c r="BE30" s="236" t="str">
        <f>TEXT(V30&amp;":"&amp;X30,"hh:mm")</f>
        <v>月:水</v>
      </c>
      <c r="BF30" s="236" t="str">
        <f>TEXT(Z30&amp;":"&amp;AB30,"hh:mm")</f>
        <v>金:日</v>
      </c>
      <c r="BG30" s="223"/>
    </row>
    <row r="31" spans="1:59" ht="19.5" thickTop="1">
      <c r="A31" s="321" t="s">
        <v>1060</v>
      </c>
      <c r="B31" s="1481" t="s">
        <v>1181</v>
      </c>
      <c r="C31" s="1482"/>
      <c r="D31" s="1482"/>
      <c r="E31" s="1482"/>
      <c r="F31" s="1482"/>
      <c r="G31" s="1482"/>
      <c r="H31" s="1482"/>
      <c r="I31" s="1483"/>
      <c r="J31" s="305"/>
      <c r="K31" s="306"/>
      <c r="L31" s="306"/>
      <c r="M31" s="306"/>
      <c r="N31" s="306"/>
      <c r="O31" s="306"/>
      <c r="P31" s="306"/>
      <c r="Q31" s="306"/>
      <c r="R31" s="306"/>
      <c r="S31" s="306"/>
      <c r="T31" s="306"/>
      <c r="U31" s="306"/>
      <c r="V31" s="306"/>
      <c r="W31" s="306"/>
      <c r="X31" s="306"/>
      <c r="Y31" s="306"/>
      <c r="Z31" s="306"/>
      <c r="AA31" s="306"/>
      <c r="AB31" s="306"/>
      <c r="AC31" s="306"/>
      <c r="AD31" s="306"/>
      <c r="AE31" s="306"/>
      <c r="AF31" s="306"/>
      <c r="AG31" s="306"/>
      <c r="AH31" s="306"/>
      <c r="AI31" s="306"/>
      <c r="AJ31" s="306"/>
      <c r="AK31" s="306"/>
      <c r="AL31" s="306"/>
      <c r="AM31" s="307"/>
      <c r="AN31" s="308"/>
      <c r="AO31" s="1484" t="str">
        <f xml:space="preserve">
IF(AU31="×","×",
IF(表紙!$X$2="事前協議",SUM(J31:AM31),
IF(表紙!$X$2="交付申請（２次）",SUM(J31:AM31),
IF(表紙!$X$2="変更申請",SUM(J31:AM31),
IF(表紙!$X$2="実績報告（１次）",SUM(J31:AN31),
IF(表紙!$X$2="実績報告（２次）",SUM(J31:AM31),
IF(表紙!$X$2="交付申請兼実績報告",SUM(J31:AM31))))))))</f>
        <v>×</v>
      </c>
      <c r="AP31" s="1485"/>
      <c r="AQ31" s="1486"/>
      <c r="AR31" s="1450" t="str">
        <f>IF(AU31="○",ROUNDDOWN(AO31/AO30,1),"×")</f>
        <v>×</v>
      </c>
      <c r="AS31" s="1451"/>
      <c r="AT31" s="1452"/>
      <c r="AU31" s="1478" t="str">
        <f xml:space="preserve">
IF(AND(表紙!$X$2="事前協議",COUNTIF(J33:AM33,"○")=30),"○",
IF(AND(表紙!$X$2="交付申請（２次）",COUNTIF(J33:AM33,"○")=30),"○",
IF(AND(表紙!$X$2="変更申請",COUNTIF(J33:AM33,"○")=30),"○",
IF(AND(表紙!$X$2="実績報告（１次）",COUNTIF(J33:AN33,"○")=31),"○",
IF(AND(表紙!$X$2="実績報告（２次）",COUNTIF(J33:AM33,"○")=30),"○",
IF(AND(表紙!$X$2="交付申請兼実績報告",COUNTIF(J33:AM33,"○")=30),"○","×"))))))</f>
        <v>×</v>
      </c>
      <c r="AV31" s="680"/>
      <c r="AW31" s="680"/>
      <c r="AX31" s="320"/>
      <c r="AY31" s="320"/>
      <c r="BA31" s="236" t="e">
        <f>TEXT(#REF!&amp;":"&amp;#REF!,"hh:mm")</f>
        <v>#REF!</v>
      </c>
      <c r="BB31" s="236" t="e">
        <f>TEXT(#REF!&amp;":"&amp;#REF!,"hh:mm")</f>
        <v>#REF!</v>
      </c>
      <c r="BC31" s="236" t="e">
        <f>TEXT(#REF!&amp;":"&amp;#REF!,"hh:mm")</f>
        <v>#REF!</v>
      </c>
      <c r="BD31" s="236" t="e">
        <f>TEXT(#REF!&amp;":"&amp;#REF!,"hh:mm")</f>
        <v>#REF!</v>
      </c>
      <c r="BE31" s="236" t="e">
        <f>TEXT(#REF!&amp;":"&amp;#REF!,"hh:mm")</f>
        <v>#REF!</v>
      </c>
      <c r="BF31" s="236" t="e">
        <f>TEXT(#REF!&amp;":"&amp;#REF!,"hh:mm")</f>
        <v>#REF!</v>
      </c>
      <c r="BG31" s="223"/>
    </row>
    <row r="32" spans="1:59" ht="18.75">
      <c r="A32" s="321" t="s">
        <v>1062</v>
      </c>
      <c r="B32" s="1464" t="s">
        <v>1083</v>
      </c>
      <c r="C32" s="1465"/>
      <c r="D32" s="1465"/>
      <c r="E32" s="1465"/>
      <c r="F32" s="1465"/>
      <c r="G32" s="1465"/>
      <c r="H32" s="1465"/>
      <c r="I32" s="1466"/>
      <c r="J32" s="309"/>
      <c r="K32" s="310"/>
      <c r="L32" s="310"/>
      <c r="M32" s="310"/>
      <c r="N32" s="310"/>
      <c r="O32" s="310"/>
      <c r="P32" s="310"/>
      <c r="Q32" s="310"/>
      <c r="R32" s="310"/>
      <c r="S32" s="310"/>
      <c r="T32" s="310"/>
      <c r="U32" s="310"/>
      <c r="V32" s="310"/>
      <c r="W32" s="310"/>
      <c r="X32" s="310"/>
      <c r="Y32" s="310"/>
      <c r="Z32" s="310"/>
      <c r="AA32" s="310"/>
      <c r="AB32" s="310"/>
      <c r="AC32" s="310"/>
      <c r="AD32" s="310"/>
      <c r="AE32" s="310"/>
      <c r="AF32" s="310"/>
      <c r="AG32" s="310"/>
      <c r="AH32" s="310"/>
      <c r="AI32" s="310"/>
      <c r="AJ32" s="310"/>
      <c r="AK32" s="310"/>
      <c r="AL32" s="310"/>
      <c r="AM32" s="311"/>
      <c r="AN32" s="312"/>
      <c r="AO32" s="1467" t="str">
        <f xml:space="preserve">
IF(AU31="×","×",
IF(表紙!$X$2="事前協議",SUM(J32:AM32),
IF(表紙!$X$2="交付申請（２次）",SUM(J32:AM32),
IF(表紙!$X$2="変更申請",SUM(J32:AM32),
IF(表紙!$X$2="実績報告（１次）",SUM(J32:AN32),
IF(表紙!$X$2="実績報告（２次）",SUM(J32:AM32),
IF(表紙!$X$2="交付申請兼実績報告",SUM(J32:AM32))))))))</f>
        <v>×</v>
      </c>
      <c r="AP32" s="1468"/>
      <c r="AQ32" s="1469"/>
      <c r="AR32" s="1415" t="str">
        <f>IF(AU31="○",ROUNDDOWN(AO32/AO30,1),"×")</f>
        <v>×</v>
      </c>
      <c r="AS32" s="1416"/>
      <c r="AT32" s="1417"/>
      <c r="AU32" s="1479"/>
      <c r="AV32" s="680"/>
      <c r="AW32" s="680"/>
      <c r="AX32" s="324"/>
      <c r="AY32" s="320"/>
      <c r="BA32" s="236" t="str">
        <f>TEXT(H31&amp;":"&amp;J31,"hh:mm")</f>
        <v>:</v>
      </c>
      <c r="BB32" s="236" t="str">
        <f>TEXT(L31&amp;":"&amp;N31,"hh:mm")</f>
        <v>:</v>
      </c>
      <c r="BC32" s="236" t="str">
        <f>TEXT(O31&amp;":"&amp;Q31,"hh:mm")</f>
        <v>:</v>
      </c>
      <c r="BD32" s="236" t="str">
        <f>TEXT(S31&amp;":"&amp;U31,"hh:mm")</f>
        <v>:</v>
      </c>
      <c r="BE32" s="236" t="str">
        <f>TEXT(V31&amp;":"&amp;X31,"hh:mm")</f>
        <v>:</v>
      </c>
      <c r="BF32" s="236" t="str">
        <f>TEXT(Z31&amp;":"&amp;AB31,"hh:mm")</f>
        <v>:</v>
      </c>
      <c r="BG32" s="223"/>
    </row>
    <row r="33" spans="1:78" ht="19.5" thickBot="1">
      <c r="A33" s="321" t="s">
        <v>1064</v>
      </c>
      <c r="B33" s="1470" t="s">
        <v>100</v>
      </c>
      <c r="C33" s="1471"/>
      <c r="D33" s="1471"/>
      <c r="E33" s="1471"/>
      <c r="F33" s="1471"/>
      <c r="G33" s="1471"/>
      <c r="H33" s="1471"/>
      <c r="I33" s="1472"/>
      <c r="J33" s="325" t="str">
        <f>IF(J29="","",
IF(AND(AND(COUNTA(J31:J32)=2,J31&gt;=J32)),"○",
IF(OR(COUNTA(J31:J32)&lt;&gt;2,J31&lt;J32),"×",
IF(AND(AND(OR(J31=0,J31=""),OR(J32=0,J32=""))),"○",
IF(AND(OR(J31&lt;&gt;0,J31&lt;&gt;""),OR(J32&lt;&gt;0,J32&lt;&gt;"")),"×")))))</f>
        <v>×</v>
      </c>
      <c r="K33" s="691" t="str">
        <f>IF(K29="","",
IF(AND(AND(COUNTA(K31:K32)=2,K31&gt;=K32)),"○",
IF(OR(COUNTA(K31:K32)&lt;&gt;2,K31&lt;K32),"×",
IF(AND(AND(OR(K31=0,K31=""),OR(K32=0,K32=""))),"○",
IF(AND(OR(K31&lt;&gt;0,K31&lt;&gt;""),OR(K32&lt;&gt;0,K32&lt;&gt;"")),"×")))))</f>
        <v>×</v>
      </c>
      <c r="L33" s="691" t="str">
        <f t="shared" ref="L33:AN33" si="9">IF(L29="","",
IF(AND(AND(COUNTA(L31:L32)=2,L31&gt;=L32)),"○",
IF(OR(COUNTA(L31:L32)&lt;&gt;2,L31&lt;L32),"×",
IF(AND(AND(OR(L31=0,L31=""),OR(L32=0,L32=""))),"○",
IF(AND(OR(L31&lt;&gt;0,L31&lt;&gt;""),OR(L32&lt;&gt;0,L32&lt;&gt;"")),"×")))))</f>
        <v>×</v>
      </c>
      <c r="M33" s="691" t="str">
        <f t="shared" si="9"/>
        <v>×</v>
      </c>
      <c r="N33" s="691" t="str">
        <f t="shared" si="9"/>
        <v>×</v>
      </c>
      <c r="O33" s="691" t="str">
        <f t="shared" si="9"/>
        <v>×</v>
      </c>
      <c r="P33" s="691" t="str">
        <f t="shared" si="9"/>
        <v>×</v>
      </c>
      <c r="Q33" s="691" t="str">
        <f t="shared" si="9"/>
        <v>×</v>
      </c>
      <c r="R33" s="691" t="str">
        <f t="shared" si="9"/>
        <v>×</v>
      </c>
      <c r="S33" s="691" t="str">
        <f t="shared" si="9"/>
        <v>×</v>
      </c>
      <c r="T33" s="691" t="str">
        <f t="shared" si="9"/>
        <v>×</v>
      </c>
      <c r="U33" s="691" t="str">
        <f t="shared" si="9"/>
        <v>×</v>
      </c>
      <c r="V33" s="691" t="str">
        <f t="shared" si="9"/>
        <v>×</v>
      </c>
      <c r="W33" s="691" t="str">
        <f t="shared" si="9"/>
        <v>×</v>
      </c>
      <c r="X33" s="691" t="str">
        <f t="shared" si="9"/>
        <v>×</v>
      </c>
      <c r="Y33" s="691" t="str">
        <f t="shared" si="9"/>
        <v>×</v>
      </c>
      <c r="Z33" s="691" t="str">
        <f t="shared" si="9"/>
        <v>×</v>
      </c>
      <c r="AA33" s="691" t="str">
        <f t="shared" si="9"/>
        <v>×</v>
      </c>
      <c r="AB33" s="691" t="str">
        <f t="shared" si="9"/>
        <v>×</v>
      </c>
      <c r="AC33" s="691" t="str">
        <f t="shared" si="9"/>
        <v>×</v>
      </c>
      <c r="AD33" s="691" t="str">
        <f t="shared" si="9"/>
        <v>×</v>
      </c>
      <c r="AE33" s="691" t="str">
        <f t="shared" si="9"/>
        <v>×</v>
      </c>
      <c r="AF33" s="691" t="str">
        <f t="shared" si="9"/>
        <v>×</v>
      </c>
      <c r="AG33" s="691" t="str">
        <f t="shared" si="9"/>
        <v>×</v>
      </c>
      <c r="AH33" s="691" t="str">
        <f t="shared" si="9"/>
        <v>×</v>
      </c>
      <c r="AI33" s="691" t="str">
        <f t="shared" si="9"/>
        <v>×</v>
      </c>
      <c r="AJ33" s="691" t="str">
        <f t="shared" si="9"/>
        <v>×</v>
      </c>
      <c r="AK33" s="691" t="str">
        <f t="shared" si="9"/>
        <v>×</v>
      </c>
      <c r="AL33" s="691" t="str">
        <f t="shared" si="9"/>
        <v>×</v>
      </c>
      <c r="AM33" s="691" t="str">
        <f t="shared" si="9"/>
        <v>×</v>
      </c>
      <c r="AN33" s="691" t="str">
        <f t="shared" si="9"/>
        <v/>
      </c>
      <c r="AO33" s="1418" t="s">
        <v>1385</v>
      </c>
      <c r="AP33" s="1419"/>
      <c r="AQ33" s="1420"/>
      <c r="AR33" s="1418" t="s">
        <v>1081</v>
      </c>
      <c r="AS33" s="1419"/>
      <c r="AT33" s="1420"/>
      <c r="AU33" s="1480"/>
      <c r="AV33" s="680"/>
      <c r="AW33" s="680"/>
      <c r="AX33" s="324"/>
      <c r="AY33" s="324"/>
      <c r="BA33" s="236" t="str">
        <f>TEXT(H32&amp;":"&amp;J32,"hh:mm")</f>
        <v>:</v>
      </c>
      <c r="BB33" s="236" t="str">
        <f>TEXT(L32&amp;":"&amp;N32,"hh:mm")</f>
        <v>:</v>
      </c>
      <c r="BC33" s="236" t="str">
        <f>TEXT(O32&amp;":"&amp;Q32,"hh:mm")</f>
        <v>:</v>
      </c>
      <c r="BD33" s="236" t="str">
        <f>TEXT(S32&amp;":"&amp;U32,"hh:mm")</f>
        <v>:</v>
      </c>
      <c r="BE33" s="236" t="str">
        <f>TEXT(V32&amp;":"&amp;X32,"hh:mm")</f>
        <v>:</v>
      </c>
      <c r="BF33" s="236" t="str">
        <f>TEXT(Z32&amp;":"&amp;AB32,"hh:mm")</f>
        <v>:</v>
      </c>
      <c r="BG33" s="223"/>
    </row>
    <row r="34" spans="1:78" ht="20.100000000000001" customHeight="1" thickBot="1">
      <c r="A34" s="321" t="s">
        <v>70</v>
      </c>
      <c r="B34" s="327"/>
      <c r="C34" s="328"/>
      <c r="D34" s="328"/>
      <c r="E34" s="327"/>
      <c r="F34" s="328"/>
      <c r="G34" s="328"/>
      <c r="H34" s="329"/>
      <c r="I34" s="330"/>
      <c r="J34" s="329"/>
      <c r="K34" s="329"/>
      <c r="L34" s="329"/>
      <c r="M34" s="330"/>
      <c r="N34" s="329"/>
      <c r="O34" s="329"/>
      <c r="P34" s="330"/>
      <c r="Q34" s="329"/>
      <c r="R34" s="329"/>
      <c r="S34" s="329"/>
      <c r="T34" s="330"/>
      <c r="U34" s="329"/>
      <c r="V34" s="329"/>
      <c r="W34" s="330"/>
      <c r="X34" s="329"/>
      <c r="Y34" s="329"/>
      <c r="Z34" s="329"/>
      <c r="AA34" s="330"/>
      <c r="AB34" s="329"/>
      <c r="AC34" s="331"/>
      <c r="AD34" s="332"/>
      <c r="AE34" s="331"/>
      <c r="AF34" s="332"/>
      <c r="AG34" s="331"/>
      <c r="AH34" s="332"/>
      <c r="AI34" s="333"/>
      <c r="AJ34" s="334"/>
      <c r="AK34" s="335"/>
      <c r="AL34" s="335"/>
      <c r="AM34" s="336"/>
      <c r="AN34" s="337"/>
      <c r="AO34" s="338"/>
      <c r="AP34" s="335"/>
      <c r="AQ34" s="335"/>
      <c r="AR34" s="335"/>
      <c r="AS34" s="335"/>
      <c r="AT34" s="335"/>
      <c r="AU34" s="335"/>
      <c r="AV34" s="335"/>
      <c r="AW34" s="335"/>
      <c r="AX34" s="320"/>
      <c r="AY34" s="320"/>
      <c r="BA34" s="236" t="str">
        <f>TEXT(H34&amp;":"&amp;J34,"hh:mm")</f>
        <v>:</v>
      </c>
      <c r="BB34" s="236" t="str">
        <f>TEXT(L34&amp;":"&amp;N34,"hh:mm")</f>
        <v>:</v>
      </c>
      <c r="BC34" s="236" t="str">
        <f>TEXT(O34&amp;":"&amp;Q34,"hh:mm")</f>
        <v>:</v>
      </c>
      <c r="BD34" s="236" t="str">
        <f>TEXT(S34&amp;":"&amp;U34,"hh:mm")</f>
        <v>:</v>
      </c>
      <c r="BE34" s="236" t="str">
        <f>TEXT(V34&amp;":"&amp;X34,"hh:mm")</f>
        <v>:</v>
      </c>
      <c r="BF34" s="236" t="str">
        <f>TEXT(Z34&amp;":"&amp;AB34,"hh:mm")</f>
        <v>:</v>
      </c>
      <c r="BG34" s="223"/>
    </row>
    <row r="35" spans="1:78" ht="18" customHeight="1" thickTop="1">
      <c r="B35" s="1444" t="s">
        <v>1220</v>
      </c>
      <c r="C35" s="1445"/>
      <c r="D35" s="1445"/>
      <c r="E35" s="1445"/>
      <c r="F35" s="1445"/>
      <c r="G35" s="1445"/>
      <c r="H35" s="1445"/>
      <c r="I35" s="1446"/>
      <c r="J35" s="1473">
        <f>Q16</f>
        <v>12</v>
      </c>
      <c r="K35" s="1474"/>
      <c r="L35" s="1474"/>
      <c r="M35" s="1474"/>
      <c r="N35" s="1474"/>
      <c r="O35" s="1474"/>
      <c r="P35" s="1474"/>
      <c r="Q35" s="1474"/>
      <c r="R35" s="1474"/>
      <c r="S35" s="1474"/>
      <c r="T35" s="1474"/>
      <c r="U35" s="1474"/>
      <c r="V35" s="1474"/>
      <c r="W35" s="1474"/>
      <c r="X35" s="1474"/>
      <c r="Y35" s="1474"/>
      <c r="Z35" s="1474"/>
      <c r="AA35" s="1474"/>
      <c r="AB35" s="1474"/>
      <c r="AC35" s="1474"/>
      <c r="AD35" s="1474"/>
      <c r="AE35" s="1474"/>
      <c r="AF35" s="1474"/>
      <c r="AG35" s="1474"/>
      <c r="AH35" s="1474"/>
      <c r="AI35" s="1474"/>
      <c r="AJ35" s="1474"/>
      <c r="AK35" s="1474"/>
      <c r="AL35" s="1474"/>
      <c r="AM35" s="1474"/>
      <c r="AN35" s="1476"/>
      <c r="AO35" s="1444" t="s">
        <v>1224</v>
      </c>
      <c r="AP35" s="1445"/>
      <c r="AQ35" s="1446"/>
      <c r="AR35" s="1444" t="s">
        <v>1225</v>
      </c>
      <c r="AS35" s="1445"/>
      <c r="AT35" s="1446"/>
      <c r="AU35" s="1477" t="s">
        <v>100</v>
      </c>
      <c r="AV35" s="680"/>
      <c r="AW35" s="680"/>
      <c r="AX35" s="317"/>
      <c r="AY35" s="318"/>
      <c r="AZ35" s="680"/>
      <c r="BB35" s="223"/>
      <c r="BC35" s="231"/>
      <c r="BD35" s="680"/>
      <c r="BE35" s="680"/>
      <c r="BG35" s="680"/>
    </row>
    <row r="36" spans="1:78" ht="18" customHeight="1">
      <c r="A36" s="319" t="s">
        <v>1055</v>
      </c>
      <c r="B36" s="1447"/>
      <c r="C36" s="1460"/>
      <c r="D36" s="1460"/>
      <c r="E36" s="1460"/>
      <c r="F36" s="1460"/>
      <c r="G36" s="1460"/>
      <c r="H36" s="1460"/>
      <c r="I36" s="1449"/>
      <c r="J36" s="578">
        <f xml:space="preserve">
IF(表紙!$X$2="事前協議",DATE(2023,J35,1),
IF(表紙!$X$2="交付申請（２次）",DATE(2023,J35,1),
IF(表紙!$X$2="変更申請",DATE(2023,J35,1),
IF(表紙!$X$2="実績報告（１次）",DATE(2023,J35,1),
IF(表紙!$X$2="実績報告（２次）",DATE(2023,J35,1),
IF(表紙!$X$2="交付申請兼実績報告",DATE(2023,J35,1)))))))</f>
        <v>45261</v>
      </c>
      <c r="K36" s="579">
        <f xml:space="preserve">
IF(表紙!$X$2="事前協議",IFERROR(IF(J36+1&gt;DATE(2023,12,31),"",J36+1),""),
IF(表紙!$X$2="交付申請（２次）",IFERROR(IF(J36+1&gt;DATE(2023,12,31),"",J36+1),""),
IF(表紙!$X$2="変更申請",IFERROR(IF(J36+1&gt;DATE(2023,12,31),"",J36+1),""),
IF(表紙!$X$2="実績報告（１次）",IFERROR(IF(J36+1&gt;DATE(2023,6,30),"",J36+1),""),
IF(表紙!$X$2="実績報告（２次）",IFERROR(IF(J36+1&gt;DATE(2023,12,31),"",J36+1),""),
IF(表紙!$X$2="交付申請兼実績報告",IFERROR(IF(J36+1&gt;DATE(2023,12,31),"",J36+1),"")))))))</f>
        <v>45262</v>
      </c>
      <c r="L36" s="579">
        <f xml:space="preserve">
IF(表紙!$X$2="事前協議",IFERROR(IF(K36+1&gt;DATE(2023,12,31),"",K36+1),""),
IF(表紙!$X$2="交付申請（２次）",IFERROR(IF(K36+1&gt;DATE(2023,12,31),"",K36+1),""),
IF(表紙!$X$2="変更申請",IFERROR(IF(K36+1&gt;DATE(2023,12,31),"",K36+1),""),
IF(表紙!$X$2="実績報告（１次）",IFERROR(IF(K36+1&gt;DATE(2023,6,30),"",K36+1),""),
IF(表紙!$X$2="実績報告（２次）",IFERROR(IF(K36+1&gt;DATE(2023,12,31),"",K36+1),""),
IF(表紙!$X$2="交付申請兼実績報告",IFERROR(IF(K36+1&gt;DATE(2023,12,31),"",K36+1),"")))))))</f>
        <v>45263</v>
      </c>
      <c r="M36" s="579">
        <f xml:space="preserve">
IF(表紙!$X$2="事前協議",IFERROR(IF(L36+1&gt;DATE(2023,12,31),"",L36+1),""),
IF(表紙!$X$2="交付申請（２次）",IFERROR(IF(L36+1&gt;DATE(2023,12,31),"",L36+1),""),
IF(表紙!$X$2="変更申請",IFERROR(IF(L36+1&gt;DATE(2023,12,31),"",L36+1),""),
IF(表紙!$X$2="実績報告（１次）",IFERROR(IF(L36+1&gt;DATE(2023,6,30),"",L36+1),""),
IF(表紙!$X$2="実績報告（２次）",IFERROR(IF(L36+1&gt;DATE(2023,12,31),"",L36+1),""),
IF(表紙!$X$2="交付申請兼実績報告",IFERROR(IF(L36+1&gt;DATE(2023,12,31),"",L36+1),"")))))))</f>
        <v>45264</v>
      </c>
      <c r="N36" s="579">
        <f xml:space="preserve">
IF(表紙!$X$2="事前協議",IFERROR(IF(M36+1&gt;DATE(2023,12,31),"",M36+1),""),
IF(表紙!$X$2="交付申請（２次）",IFERROR(IF(M36+1&gt;DATE(2023,12,31),"",M36+1),""),
IF(表紙!$X$2="変更申請",IFERROR(IF(M36+1&gt;DATE(2023,12,31),"",M36+1),""),
IF(表紙!$X$2="実績報告（１次）",IFERROR(IF(M36+1&gt;DATE(2023,6,30),"",M36+1),""),
IF(表紙!$X$2="実績報告（２次）",IFERROR(IF(M36+1&gt;DATE(2023,12,31),"",M36+1),""),
IF(表紙!$X$2="交付申請兼実績報告",IFERROR(IF(M36+1&gt;DATE(2023,12,31),"",M36+1),"")))))))</f>
        <v>45265</v>
      </c>
      <c r="O36" s="579">
        <f xml:space="preserve">
IF(表紙!$X$2="事前協議",IFERROR(IF(N36+1&gt;DATE(2023,12,31),"",N36+1),""),
IF(表紙!$X$2="交付申請（２次）",IFERROR(IF(N36+1&gt;DATE(2023,12,31),"",N36+1),""),
IF(表紙!$X$2="変更申請",IFERROR(IF(N36+1&gt;DATE(2023,12,31),"",N36+1),""),
IF(表紙!$X$2="実績報告（１次）",IFERROR(IF(N36+1&gt;DATE(2023,6,30),"",N36+1),""),
IF(表紙!$X$2="実績報告（２次）",IFERROR(IF(N36+1&gt;DATE(2023,12,31),"",N36+1),""),
IF(表紙!$X$2="交付申請兼実績報告",IFERROR(IF(N36+1&gt;DATE(2023,12,31),"",N36+1),"")))))))</f>
        <v>45266</v>
      </c>
      <c r="P36" s="579">
        <f xml:space="preserve">
IF(表紙!$X$2="事前協議",IFERROR(IF(O36+1&gt;DATE(2023,12,31),"",O36+1),""),
IF(表紙!$X$2="交付申請（２次）",IFERROR(IF(O36+1&gt;DATE(2023,12,31),"",O36+1),""),
IF(表紙!$X$2="変更申請",IFERROR(IF(O36+1&gt;DATE(2023,12,31),"",O36+1),""),
IF(表紙!$X$2="実績報告（１次）",IFERROR(IF(O36+1&gt;DATE(2023,6,30),"",O36+1),""),
IF(表紙!$X$2="実績報告（２次）",IFERROR(IF(O36+1&gt;DATE(2023,12,31),"",O36+1),""),
IF(表紙!$X$2="交付申請兼実績報告",IFERROR(IF(O36+1&gt;DATE(2023,12,31),"",O36+1),"")))))))</f>
        <v>45267</v>
      </c>
      <c r="Q36" s="579">
        <f xml:space="preserve">
IF(表紙!$X$2="事前協議",IFERROR(IF(P36+1&gt;DATE(2023,12,31),"",P36+1),""),
IF(表紙!$X$2="交付申請（２次）",IFERROR(IF(P36+1&gt;DATE(2023,12,31),"",P36+1),""),
IF(表紙!$X$2="変更申請",IFERROR(IF(P36+1&gt;DATE(2023,12,31),"",P36+1),""),
IF(表紙!$X$2="実績報告（１次）",IFERROR(IF(P36+1&gt;DATE(2023,6,30),"",P36+1),""),
IF(表紙!$X$2="実績報告（２次）",IFERROR(IF(P36+1&gt;DATE(2023,12,31),"",P36+1),""),
IF(表紙!$X$2="交付申請兼実績報告",IFERROR(IF(P36+1&gt;DATE(2023,12,31),"",P36+1),"")))))))</f>
        <v>45268</v>
      </c>
      <c r="R36" s="579">
        <f xml:space="preserve">
IF(表紙!$X$2="事前協議",IFERROR(IF(Q36+1&gt;DATE(2023,12,31),"",Q36+1),""),
IF(表紙!$X$2="交付申請（２次）",IFERROR(IF(Q36+1&gt;DATE(2023,12,31),"",Q36+1),""),
IF(表紙!$X$2="変更申請",IFERROR(IF(Q36+1&gt;DATE(2023,12,31),"",Q36+1),""),
IF(表紙!$X$2="実績報告（１次）",IFERROR(IF(Q36+1&gt;DATE(2023,6,30),"",Q36+1),""),
IF(表紙!$X$2="実績報告（２次）",IFERROR(IF(Q36+1&gt;DATE(2023,12,31),"",Q36+1),""),
IF(表紙!$X$2="交付申請兼実績報告",IFERROR(IF(Q36+1&gt;DATE(2023,12,31),"",Q36+1),"")))))))</f>
        <v>45269</v>
      </c>
      <c r="S36" s="579">
        <f xml:space="preserve">
IF(表紙!$X$2="事前協議",IFERROR(IF(R36+1&gt;DATE(2023,12,31),"",R36+1),""),
IF(表紙!$X$2="交付申請（２次）",IFERROR(IF(R36+1&gt;DATE(2023,12,31),"",R36+1),""),
IF(表紙!$X$2="変更申請",IFERROR(IF(R36+1&gt;DATE(2023,12,31),"",R36+1),""),
IF(表紙!$X$2="実績報告（１次）",IFERROR(IF(R36+1&gt;DATE(2023,6,30),"",R36+1),""),
IF(表紙!$X$2="実績報告（２次）",IFERROR(IF(R36+1&gt;DATE(2023,12,31),"",R36+1),""),
IF(表紙!$X$2="交付申請兼実績報告",IFERROR(IF(R36+1&gt;DATE(2023,12,31),"",R36+1),"")))))))</f>
        <v>45270</v>
      </c>
      <c r="T36" s="579">
        <f xml:space="preserve">
IF(表紙!$X$2="事前協議",IFERROR(IF(S36+1&gt;DATE(2023,12,31),"",S36+1),""),
IF(表紙!$X$2="交付申請（２次）",IFERROR(IF(S36+1&gt;DATE(2023,12,31),"",S36+1),""),
IF(表紙!$X$2="変更申請",IFERROR(IF(S36+1&gt;DATE(2023,12,31),"",S36+1),""),
IF(表紙!$X$2="実績報告（１次）",IFERROR(IF(S36+1&gt;DATE(2023,6,30),"",S36+1),""),
IF(表紙!$X$2="実績報告（２次）",IFERROR(IF(S36+1&gt;DATE(2023,12,31),"",S36+1),""),
IF(表紙!$X$2="交付申請兼実績報告",IFERROR(IF(S36+1&gt;DATE(2023,12,31),"",S36+1),"")))))))</f>
        <v>45271</v>
      </c>
      <c r="U36" s="579">
        <f xml:space="preserve">
IF(表紙!$X$2="事前協議",IFERROR(IF(T36+1&gt;DATE(2023,12,31),"",T36+1),""),
IF(表紙!$X$2="交付申請（２次）",IFERROR(IF(T36+1&gt;DATE(2023,12,31),"",T36+1),""),
IF(表紙!$X$2="変更申請",IFERROR(IF(T36+1&gt;DATE(2023,12,31),"",T36+1),""),
IF(表紙!$X$2="実績報告（１次）",IFERROR(IF(T36+1&gt;DATE(2023,6,30),"",T36+1),""),
IF(表紙!$X$2="実績報告（２次）",IFERROR(IF(T36+1&gt;DATE(2023,12,31),"",T36+1),""),
IF(表紙!$X$2="交付申請兼実績報告",IFERROR(IF(T36+1&gt;DATE(2023,12,31),"",T36+1),"")))))))</f>
        <v>45272</v>
      </c>
      <c r="V36" s="579">
        <f xml:space="preserve">
IF(表紙!$X$2="事前協議",IFERROR(IF(U36+1&gt;DATE(2023,12,31),"",U36+1),""),
IF(表紙!$X$2="交付申請（２次）",IFERROR(IF(U36+1&gt;DATE(2023,12,31),"",U36+1),""),
IF(表紙!$X$2="変更申請",IFERROR(IF(U36+1&gt;DATE(2023,12,31),"",U36+1),""),
IF(表紙!$X$2="実績報告（１次）",IFERROR(IF(U36+1&gt;DATE(2023,6,30),"",U36+1),""),
IF(表紙!$X$2="実績報告（２次）",IFERROR(IF(U36+1&gt;DATE(2023,12,31),"",U36+1),""),
IF(表紙!$X$2="交付申請兼実績報告",IFERROR(IF(U36+1&gt;DATE(2023,12,31),"",U36+1),"")))))))</f>
        <v>45273</v>
      </c>
      <c r="W36" s="579">
        <f xml:space="preserve">
IF(表紙!$X$2="事前協議",IFERROR(IF(V36+1&gt;DATE(2023,12,31),"",V36+1),""),
IF(表紙!$X$2="交付申請（２次）",IFERROR(IF(V36+1&gt;DATE(2023,12,31),"",V36+1),""),
IF(表紙!$X$2="変更申請",IFERROR(IF(V36+1&gt;DATE(2023,12,31),"",V36+1),""),
IF(表紙!$X$2="実績報告（１次）",IFERROR(IF(V36+1&gt;DATE(2023,6,30),"",V36+1),""),
IF(表紙!$X$2="実績報告（２次）",IFERROR(IF(V36+1&gt;DATE(2023,12,31),"",V36+1),""),
IF(表紙!$X$2="交付申請兼実績報告",IFERROR(IF(V36+1&gt;DATE(2023,12,31),"",V36+1),"")))))))</f>
        <v>45274</v>
      </c>
      <c r="X36" s="579">
        <f xml:space="preserve">
IF(表紙!$X$2="事前協議",IFERROR(IF(W36+1&gt;DATE(2023,12,31),"",W36+1),""),
IF(表紙!$X$2="交付申請（２次）",IFERROR(IF(W36+1&gt;DATE(2023,12,31),"",W36+1),""),
IF(表紙!$X$2="変更申請",IFERROR(IF(W36+1&gt;DATE(2023,12,31),"",W36+1),""),
IF(表紙!$X$2="実績報告（１次）",IFERROR(IF(W36+1&gt;DATE(2023,6,30),"",W36+1),""),
IF(表紙!$X$2="実績報告（２次）",IFERROR(IF(W36+1&gt;DATE(2023,12,31),"",W36+1),""),
IF(表紙!$X$2="交付申請兼実績報告",IFERROR(IF(W36+1&gt;DATE(2023,12,31),"",W36+1),"")))))))</f>
        <v>45275</v>
      </c>
      <c r="Y36" s="579">
        <f xml:space="preserve">
IF(表紙!$X$2="事前協議",IFERROR(IF(X36+1&gt;DATE(2023,12,31),"",X36+1),""),
IF(表紙!$X$2="交付申請（２次）",IFERROR(IF(X36+1&gt;DATE(2023,12,31),"",X36+1),""),
IF(表紙!$X$2="変更申請",IFERROR(IF(X36+1&gt;DATE(2023,12,31),"",X36+1),""),
IF(表紙!$X$2="実績報告（１次）",IFERROR(IF(X36+1&gt;DATE(2023,6,30),"",X36+1),""),
IF(表紙!$X$2="実績報告（２次）",IFERROR(IF(X36+1&gt;DATE(2023,12,31),"",X36+1),""),
IF(表紙!$X$2="交付申請兼実績報告",IFERROR(IF(X36+1&gt;DATE(2023,12,31),"",X36+1),"")))))))</f>
        <v>45276</v>
      </c>
      <c r="Z36" s="579">
        <f xml:space="preserve">
IF(表紙!$X$2="事前協議",IFERROR(IF(Y36+1&gt;DATE(2023,12,31),"",Y36+1),""),
IF(表紙!$X$2="交付申請（２次）",IFERROR(IF(Y36+1&gt;DATE(2023,12,31),"",Y36+1),""),
IF(表紙!$X$2="変更申請",IFERROR(IF(Y36+1&gt;DATE(2023,12,31),"",Y36+1),""),
IF(表紙!$X$2="実績報告（１次）",IFERROR(IF(Y36+1&gt;DATE(2023,6,30),"",Y36+1),""),
IF(表紙!$X$2="実績報告（２次）",IFERROR(IF(Y36+1&gt;DATE(2023,12,31),"",Y36+1),""),
IF(表紙!$X$2="交付申請兼実績報告",IFERROR(IF(Y36+1&gt;DATE(2023,12,31),"",Y36+1),"")))))))</f>
        <v>45277</v>
      </c>
      <c r="AA36" s="579">
        <f xml:space="preserve">
IF(表紙!$X$2="事前協議",IFERROR(IF(Z36+1&gt;DATE(2023,12,31),"",Z36+1),""),
IF(表紙!$X$2="交付申請（２次）",IFERROR(IF(Z36+1&gt;DATE(2023,12,31),"",Z36+1),""),
IF(表紙!$X$2="変更申請",IFERROR(IF(Z36+1&gt;DATE(2023,12,31),"",Z36+1),""),
IF(表紙!$X$2="実績報告（１次）",IFERROR(IF(Z36+1&gt;DATE(2023,6,30),"",Z36+1),""),
IF(表紙!$X$2="実績報告（２次）",IFERROR(IF(Z36+1&gt;DATE(2023,12,31),"",Z36+1),""),
IF(表紙!$X$2="交付申請兼実績報告",IFERROR(IF(Z36+1&gt;DATE(2023,12,31),"",Z36+1),"")))))))</f>
        <v>45278</v>
      </c>
      <c r="AB36" s="579">
        <f xml:space="preserve">
IF(表紙!$X$2="事前協議",IFERROR(IF(AA36+1&gt;DATE(2023,12,31),"",AA36+1),""),
IF(表紙!$X$2="交付申請（２次）",IFERROR(IF(AA36+1&gt;DATE(2023,12,31),"",AA36+1),""),
IF(表紙!$X$2="変更申請",IFERROR(IF(AA36+1&gt;DATE(2023,12,31),"",AA36+1),""),
IF(表紙!$X$2="実績報告（１次）",IFERROR(IF(AA36+1&gt;DATE(2023,6,30),"",AA36+1),""),
IF(表紙!$X$2="実績報告（２次）",IFERROR(IF(AA36+1&gt;DATE(2023,12,31),"",AA36+1),""),
IF(表紙!$X$2="交付申請兼実績報告",IFERROR(IF(AA36+1&gt;DATE(2023,12,31),"",AA36+1),"")))))))</f>
        <v>45279</v>
      </c>
      <c r="AC36" s="579">
        <f xml:space="preserve">
IF(表紙!$X$2="事前協議",IFERROR(IF(AB36+1&gt;DATE(2023,12,31),"",AB36+1),""),
IF(表紙!$X$2="交付申請（２次）",IFERROR(IF(AB36+1&gt;DATE(2023,12,31),"",AB36+1),""),
IF(表紙!$X$2="変更申請",IFERROR(IF(AB36+1&gt;DATE(2023,12,31),"",AB36+1),""),
IF(表紙!$X$2="実績報告（１次）",IFERROR(IF(AB36+1&gt;DATE(2023,6,30),"",AB36+1),""),
IF(表紙!$X$2="実績報告（２次）",IFERROR(IF(AB36+1&gt;DATE(2023,12,31),"",AB36+1),""),
IF(表紙!$X$2="交付申請兼実績報告",IFERROR(IF(AB36+1&gt;DATE(2023,12,31),"",AB36+1),"")))))))</f>
        <v>45280</v>
      </c>
      <c r="AD36" s="579">
        <f xml:space="preserve">
IF(表紙!$X$2="事前協議",IFERROR(IF(AC36+1&gt;DATE(2023,12,31),"",AC36+1),""),
IF(表紙!$X$2="交付申請（２次）",IFERROR(IF(AC36+1&gt;DATE(2023,12,31),"",AC36+1),""),
IF(表紙!$X$2="変更申請",IFERROR(IF(AC36+1&gt;DATE(2023,12,31),"",AC36+1),""),
IF(表紙!$X$2="実績報告（１次）",IFERROR(IF(AC36+1&gt;DATE(2023,6,30),"",AC36+1),""),
IF(表紙!$X$2="実績報告（２次）",IFERROR(IF(AC36+1&gt;DATE(2023,12,31),"",AC36+1),""),
IF(表紙!$X$2="交付申請兼実績報告",IFERROR(IF(AC36+1&gt;DATE(2023,12,31),"",AC36+1),"")))))))</f>
        <v>45281</v>
      </c>
      <c r="AE36" s="579">
        <f xml:space="preserve">
IF(表紙!$X$2="事前協議",IFERROR(IF(AD36+1&gt;DATE(2023,12,31),"",AD36+1),""),
IF(表紙!$X$2="交付申請（２次）",IFERROR(IF(AD36+1&gt;DATE(2023,12,31),"",AD36+1),""),
IF(表紙!$X$2="変更申請",IFERROR(IF(AD36+1&gt;DATE(2023,12,31),"",AD36+1),""),
IF(表紙!$X$2="実績報告（１次）",IFERROR(IF(AD36+1&gt;DATE(2023,6,30),"",AD36+1),""),
IF(表紙!$X$2="実績報告（２次）",IFERROR(IF(AD36+1&gt;DATE(2023,12,31),"",AD36+1),""),
IF(表紙!$X$2="交付申請兼実績報告",IFERROR(IF(AD36+1&gt;DATE(2023,12,31),"",AD36+1),"")))))))</f>
        <v>45282</v>
      </c>
      <c r="AF36" s="579">
        <f xml:space="preserve">
IF(表紙!$X$2="事前協議",IFERROR(IF(AE36+1&gt;DATE(2023,12,31),"",AE36+1),""),
IF(表紙!$X$2="交付申請（２次）",IFERROR(IF(AE36+1&gt;DATE(2023,12,31),"",AE36+1),""),
IF(表紙!$X$2="変更申請",IFERROR(IF(AE36+1&gt;DATE(2023,12,31),"",AE36+1),""),
IF(表紙!$X$2="実績報告（１次）",IFERROR(IF(AE36+1&gt;DATE(2023,6,30),"",AE36+1),""),
IF(表紙!$X$2="実績報告（２次）",IFERROR(IF(AE36+1&gt;DATE(2023,12,31),"",AE36+1),""),
IF(表紙!$X$2="交付申請兼実績報告",IFERROR(IF(AE36+1&gt;DATE(2023,12,31),"",AE36+1),"")))))))</f>
        <v>45283</v>
      </c>
      <c r="AG36" s="579">
        <f xml:space="preserve">
IF(表紙!$X$2="事前協議",IFERROR(IF(AF36+1&gt;DATE(2023,12,31),"",AF36+1),""),
IF(表紙!$X$2="交付申請（２次）",IFERROR(IF(AF36+1&gt;DATE(2023,12,31),"",AF36+1),""),
IF(表紙!$X$2="変更申請",IFERROR(IF(AF36+1&gt;DATE(2023,12,31),"",AF36+1),""),
IF(表紙!$X$2="実績報告（１次）",IFERROR(IF(AF36+1&gt;DATE(2023,6,30),"",AF36+1),""),
IF(表紙!$X$2="実績報告（２次）",IFERROR(IF(AF36+1&gt;DATE(2023,12,31),"",AF36+1),""),
IF(表紙!$X$2="交付申請兼実績報告",IFERROR(IF(AF36+1&gt;DATE(2023,12,31),"",AF36+1),"")))))))</f>
        <v>45284</v>
      </c>
      <c r="AH36" s="579">
        <f xml:space="preserve">
IF(表紙!$X$2="事前協議",IFERROR(IF(AG36+1&gt;DATE(2023,12,31),"",AG36+1),""),
IF(表紙!$X$2="交付申請（２次）",IFERROR(IF(AG36+1&gt;DATE(2023,12,31),"",AG36+1),""),
IF(表紙!$X$2="変更申請",IFERROR(IF(AG36+1&gt;DATE(2023,12,31),"",AG36+1),""),
IF(表紙!$X$2="実績報告（１次）",IFERROR(IF(AG36+1&gt;DATE(2023,6,30),"",AG36+1),""),
IF(表紙!$X$2="実績報告（２次）",IFERROR(IF(AG36+1&gt;DATE(2023,12,31),"",AG36+1),""),
IF(表紙!$X$2="交付申請兼実績報告",IFERROR(IF(AG36+1&gt;DATE(2023,12,31),"",AG36+1),"")))))))</f>
        <v>45285</v>
      </c>
      <c r="AI36" s="579">
        <f xml:space="preserve">
IF(表紙!$X$2="事前協議",IFERROR(IF(AH36+1&gt;DATE(2023,12,31),"",AH36+1),""),
IF(表紙!$X$2="交付申請（２次）",IFERROR(IF(AH36+1&gt;DATE(2023,12,31),"",AH36+1),""),
IF(表紙!$X$2="変更申請",IFERROR(IF(AH36+1&gt;DATE(2023,12,31),"",AH36+1),""),
IF(表紙!$X$2="実績報告（１次）",IFERROR(IF(AH36+1&gt;DATE(2023,6,30),"",AH36+1),""),
IF(表紙!$X$2="実績報告（２次）",IFERROR(IF(AH36+1&gt;DATE(2023,12,31),"",AH36+1),""),
IF(表紙!$X$2="交付申請兼実績報告",IFERROR(IF(AH36+1&gt;DATE(2023,12,31),"",AH36+1),"")))))))</f>
        <v>45286</v>
      </c>
      <c r="AJ36" s="579">
        <f xml:space="preserve">
IF(表紙!$X$2="事前協議",IFERROR(IF(AI36+1&gt;DATE(2023,12,31),"",AI36+1),""),
IF(表紙!$X$2="交付申請（２次）",IFERROR(IF(AI36+1&gt;DATE(2023,12,31),"",AI36+1),""),
IF(表紙!$X$2="変更申請",IFERROR(IF(AI36+1&gt;DATE(2023,12,31),"",AI36+1),""),
IF(表紙!$X$2="実績報告（１次）",IFERROR(IF(AI36+1&gt;DATE(2023,6,30),"",AI36+1),""),
IF(表紙!$X$2="実績報告（２次）",IFERROR(IF(AI36+1&gt;DATE(2023,12,31),"",AI36+1),""),
IF(表紙!$X$2="交付申請兼実績報告",IFERROR(IF(AI36+1&gt;DATE(2023,12,31),"",AI36+1),"")))))))</f>
        <v>45287</v>
      </c>
      <c r="AK36" s="579">
        <f xml:space="preserve">
IF(表紙!$X$2="事前協議",IFERROR(IF(AJ36+1&gt;DATE(2023,12,31),"",AJ36+1),""),
IF(表紙!$X$2="交付申請（２次）",IFERROR(IF(AJ36+1&gt;DATE(2023,12,31),"",AJ36+1),""),
IF(表紙!$X$2="変更申請",IFERROR(IF(AJ36+1&gt;DATE(2023,12,31),"",AJ36+1),""),
IF(表紙!$X$2="実績報告（１次）",IFERROR(IF(AJ36+1&gt;DATE(2023,6,30),"",AJ36+1),""),
IF(表紙!$X$2="実績報告（２次）",IFERROR(IF(AJ36+1&gt;DATE(2023,12,31),"",AJ36+1),""),
IF(表紙!$X$2="交付申請兼実績報告",IFERROR(IF(AJ36+1&gt;DATE(2023,12,31),"",AJ36+1),"")))))))</f>
        <v>45288</v>
      </c>
      <c r="AL36" s="579">
        <f xml:space="preserve">
IF(表紙!$X$2="事前協議",IFERROR(IF(AK36+1&gt;DATE(2023,12,31),"",AK36+1),""),
IF(表紙!$X$2="交付申請（２次）",IFERROR(IF(AK36+1&gt;DATE(2023,12,31),"",AK36+1),""),
IF(表紙!$X$2="変更申請",IFERROR(IF(AK36+1&gt;DATE(2023,12,31),"",AK36+1),""),
IF(表紙!$X$2="実績報告（１次）",IFERROR(IF(AK36+1&gt;DATE(2023,6,30),"",AK36+1),""),
IF(表紙!$X$2="実績報告（２次）",IFERROR(IF(AK36+1&gt;DATE(2023,12,31),"",AK36+1),""),
IF(表紙!$X$2="交付申請兼実績報告",IFERROR(IF(AK36+1&gt;DATE(2023,12,31),"",AK36+1),"")))))))</f>
        <v>45289</v>
      </c>
      <c r="AM36" s="579">
        <f xml:space="preserve">
IF(表紙!$X$2="事前協議",IFERROR(IF(AL36+1&gt;DATE(2023,12,31),"",AL36+1),""),
IF(表紙!$X$2="交付申請（２次）",IFERROR(IF(AL36+1&gt;DATE(2023,12,31),"",AL36+1),""),
IF(表紙!$X$2="変更申請",IFERROR(IF(AL36+1&gt;DATE(2023,12,31),"",AL36+1),""),
IF(表紙!$X$2="実績報告（１次）",IFERROR(IF(AL36+1&gt;DATE(2023,6,30),"",AL36+1),""),
IF(表紙!$X$2="実績報告（２次）",IFERROR(IF(AL36+1&gt;DATE(2023,12,31),"",AL36+1),""),
IF(表紙!$X$2="交付申請兼実績報告",IFERROR(IF(AL36+1&gt;DATE(2023,12,31),"",AL36+1),"")))))))</f>
        <v>45290</v>
      </c>
      <c r="AN36" s="579">
        <f xml:space="preserve">
IF(表紙!$X$2="事前協議",IFERROR(IF(AM36+1&gt;DATE(2023,12,31),"",AM36+1),""),
IF(表紙!$X$2="交付申請（２次）",IFERROR(IF(AM36+1&gt;DATE(2023,12,31),"",AM36+1),""),
IF(表紙!$X$2="変更申請",IFERROR(IF(AM36+1&gt;DATE(2023,12,31),"",AM36+1),""),
IF(表紙!$X$2="実績報告（１次）",IFERROR(IF(AM36+1&gt;DATE(2023,6,30),"",AM36+1),""),
IF(表紙!$X$2="実績報告（２次）",IFERROR(IF(AM36+1&gt;DATE(2023,12,31),"",AM36+1),""),
IF(表紙!$X$2="交付申請兼実績報告",IFERROR(IF(AM36+1&gt;DATE(2023,12,31),"",AM36+1),"")))))))</f>
        <v>45291</v>
      </c>
      <c r="AO36" s="1447"/>
      <c r="AP36" s="1448"/>
      <c r="AQ36" s="1449"/>
      <c r="AR36" s="1447"/>
      <c r="AS36" s="1448"/>
      <c r="AT36" s="1449"/>
      <c r="AU36" s="1386"/>
      <c r="AV36" s="680"/>
      <c r="AW36" s="680"/>
      <c r="AX36" s="320"/>
      <c r="AY36" s="320"/>
      <c r="BA36" s="236" t="str">
        <f>TEXT(H36&amp;":"&amp;J36,"hh:mm")</f>
        <v>:45261</v>
      </c>
      <c r="BB36" s="236" t="str">
        <f>TEXT(L36&amp;":"&amp;N36,"hh:mm")</f>
        <v>45263:45265</v>
      </c>
      <c r="BC36" s="236" t="str">
        <f>TEXT(O36&amp;":"&amp;Q36,"hh:mm")</f>
        <v>45266:45268</v>
      </c>
      <c r="BD36" s="236" t="str">
        <f>TEXT(S36&amp;":"&amp;U36,"hh:mm")</f>
        <v>45270:45272</v>
      </c>
      <c r="BE36" s="236" t="str">
        <f>TEXT(V36&amp;":"&amp;X36,"hh:mm")</f>
        <v>45273:45275</v>
      </c>
      <c r="BF36" s="236" t="str">
        <f>TEXT(Z36&amp;":"&amp;AB36,"hh:mm")</f>
        <v>45277:45279</v>
      </c>
      <c r="BG36" s="680"/>
    </row>
    <row r="37" spans="1:78" ht="18" customHeight="1" thickBot="1">
      <c r="A37" s="321" t="s">
        <v>1057</v>
      </c>
      <c r="B37" s="1461"/>
      <c r="C37" s="1462"/>
      <c r="D37" s="1462"/>
      <c r="E37" s="1462"/>
      <c r="F37" s="1462"/>
      <c r="G37" s="1462"/>
      <c r="H37" s="1462"/>
      <c r="I37" s="1463"/>
      <c r="J37" s="322" t="str">
        <f>TEXT(J36,"aaa")</f>
        <v>金</v>
      </c>
      <c r="K37" s="323" t="str">
        <f>TEXT(K36,"aaa")</f>
        <v>土</v>
      </c>
      <c r="L37" s="323" t="str">
        <f t="shared" ref="L37:AN37" si="10">TEXT(L36,"aaa")</f>
        <v>日</v>
      </c>
      <c r="M37" s="323" t="str">
        <f t="shared" si="10"/>
        <v>月</v>
      </c>
      <c r="N37" s="323" t="str">
        <f t="shared" si="10"/>
        <v>火</v>
      </c>
      <c r="O37" s="323" t="str">
        <f t="shared" si="10"/>
        <v>水</v>
      </c>
      <c r="P37" s="323" t="str">
        <f t="shared" si="10"/>
        <v>木</v>
      </c>
      <c r="Q37" s="323" t="str">
        <f t="shared" si="10"/>
        <v>金</v>
      </c>
      <c r="R37" s="323" t="str">
        <f t="shared" si="10"/>
        <v>土</v>
      </c>
      <c r="S37" s="323" t="str">
        <f t="shared" si="10"/>
        <v>日</v>
      </c>
      <c r="T37" s="323" t="str">
        <f t="shared" si="10"/>
        <v>月</v>
      </c>
      <c r="U37" s="323" t="str">
        <f t="shared" si="10"/>
        <v>火</v>
      </c>
      <c r="V37" s="323" t="str">
        <f t="shared" si="10"/>
        <v>水</v>
      </c>
      <c r="W37" s="323" t="str">
        <f t="shared" si="10"/>
        <v>木</v>
      </c>
      <c r="X37" s="323" t="str">
        <f t="shared" si="10"/>
        <v>金</v>
      </c>
      <c r="Y37" s="323" t="str">
        <f t="shared" si="10"/>
        <v>土</v>
      </c>
      <c r="Z37" s="323" t="str">
        <f t="shared" si="10"/>
        <v>日</v>
      </c>
      <c r="AA37" s="323" t="str">
        <f t="shared" si="10"/>
        <v>月</v>
      </c>
      <c r="AB37" s="323" t="str">
        <f t="shared" si="10"/>
        <v>火</v>
      </c>
      <c r="AC37" s="323" t="str">
        <f t="shared" si="10"/>
        <v>水</v>
      </c>
      <c r="AD37" s="323" t="str">
        <f t="shared" si="10"/>
        <v>木</v>
      </c>
      <c r="AE37" s="323" t="str">
        <f t="shared" si="10"/>
        <v>金</v>
      </c>
      <c r="AF37" s="323" t="str">
        <f t="shared" si="10"/>
        <v>土</v>
      </c>
      <c r="AG37" s="323" t="str">
        <f t="shared" si="10"/>
        <v>日</v>
      </c>
      <c r="AH37" s="323" t="str">
        <f t="shared" si="10"/>
        <v>月</v>
      </c>
      <c r="AI37" s="323" t="str">
        <f t="shared" si="10"/>
        <v>火</v>
      </c>
      <c r="AJ37" s="323" t="str">
        <f t="shared" si="10"/>
        <v>水</v>
      </c>
      <c r="AK37" s="323" t="str">
        <f t="shared" si="10"/>
        <v>木</v>
      </c>
      <c r="AL37" s="323" t="str">
        <f t="shared" si="10"/>
        <v>金</v>
      </c>
      <c r="AM37" s="323" t="str">
        <f t="shared" si="10"/>
        <v>土</v>
      </c>
      <c r="AN37" s="323" t="str">
        <f t="shared" si="10"/>
        <v>日</v>
      </c>
      <c r="AO37" s="1438" t="str">
        <f xml:space="preserve">
IF(AU38="×","×",
IF(表紙!$X$2="事前協議",COUNTIF(J38:AN38,"&gt;0"),
IF(表紙!$X$2="交付申請（２次）",COUNTIF(J38:AN38,"&gt;0"),
IF(表紙!$X$2="変更申請",COUNTIF(J38:AN38,"&gt;0"),
IF(表紙!$X$2="実績報告（１次）",COUNTIF(J38:AM38,"&gt;0"),
IF(表紙!$X$2="実績報告（２次）",COUNTIF(J38:AN38,"&gt;0"),
IF(表紙!$X$2="交付申請兼実績報告",COUNTIF(J38:AN38,"&gt;0"))))))))</f>
        <v>×</v>
      </c>
      <c r="AP37" s="1439"/>
      <c r="AQ37" s="1440"/>
      <c r="AR37" s="1438" t="s">
        <v>1081</v>
      </c>
      <c r="AS37" s="1439"/>
      <c r="AT37" s="1440"/>
      <c r="AU37" s="1386"/>
      <c r="AV37" s="680"/>
      <c r="AW37" s="680"/>
      <c r="AX37" s="320"/>
      <c r="AY37" s="320"/>
      <c r="BA37" s="236" t="str">
        <f>TEXT(H37&amp;":"&amp;J37,"hh:mm")</f>
        <v>:金</v>
      </c>
      <c r="BB37" s="236" t="str">
        <f>TEXT(L37&amp;":"&amp;N37,"hh:mm")</f>
        <v>日:火</v>
      </c>
      <c r="BC37" s="236" t="str">
        <f>TEXT(O37&amp;":"&amp;Q37,"hh:mm")</f>
        <v>水:金</v>
      </c>
      <c r="BD37" s="236" t="str">
        <f>TEXT(S37&amp;":"&amp;U37,"hh:mm")</f>
        <v>日:火</v>
      </c>
      <c r="BE37" s="236" t="str">
        <f>TEXT(V37&amp;":"&amp;X37,"hh:mm")</f>
        <v>水:金</v>
      </c>
      <c r="BF37" s="236" t="str">
        <f>TEXT(Z37&amp;":"&amp;AB37,"hh:mm")</f>
        <v>日:火</v>
      </c>
      <c r="BG37" s="223"/>
    </row>
    <row r="38" spans="1:78" ht="18" customHeight="1" thickTop="1">
      <c r="A38" s="321" t="s">
        <v>1060</v>
      </c>
      <c r="B38" s="1481" t="s">
        <v>1181</v>
      </c>
      <c r="C38" s="1482"/>
      <c r="D38" s="1482"/>
      <c r="E38" s="1482"/>
      <c r="F38" s="1482"/>
      <c r="G38" s="1482"/>
      <c r="H38" s="1482"/>
      <c r="I38" s="1483"/>
      <c r="J38" s="305"/>
      <c r="K38" s="306"/>
      <c r="L38" s="306"/>
      <c r="M38" s="306"/>
      <c r="N38" s="306"/>
      <c r="O38" s="306"/>
      <c r="P38" s="306"/>
      <c r="Q38" s="306"/>
      <c r="R38" s="306"/>
      <c r="S38" s="306"/>
      <c r="T38" s="306"/>
      <c r="U38" s="306"/>
      <c r="V38" s="306"/>
      <c r="W38" s="306"/>
      <c r="X38" s="306"/>
      <c r="Y38" s="306"/>
      <c r="Z38" s="306"/>
      <c r="AA38" s="306"/>
      <c r="AB38" s="306"/>
      <c r="AC38" s="306"/>
      <c r="AD38" s="306"/>
      <c r="AE38" s="306"/>
      <c r="AF38" s="306"/>
      <c r="AG38" s="306"/>
      <c r="AH38" s="306"/>
      <c r="AI38" s="306"/>
      <c r="AJ38" s="306"/>
      <c r="AK38" s="306"/>
      <c r="AL38" s="306"/>
      <c r="AM38" s="307"/>
      <c r="AN38" s="307"/>
      <c r="AO38" s="1484" t="str">
        <f xml:space="preserve">
IF(AU38="×","×",
IF(表紙!$X$2="事前協議",SUM(J38:AN38),
IF(表紙!$X$2="交付申請（２次）",SUM(J38:AN38),
IF(表紙!$X$2="変更申請",SUM(J38:AN38),
IF(表紙!$X$2="実績報告（１次）",SUM(J38:AM38),
IF(表紙!$X$2="実績報告（２次）",SUM(J38:AN38),
IF(表紙!$X$2="交付申請兼実績報告",SUM(J38:AN38))))))))</f>
        <v>×</v>
      </c>
      <c r="AP38" s="1485"/>
      <c r="AQ38" s="1486"/>
      <c r="AR38" s="1450" t="str">
        <f>IF(AU38="○",ROUNDDOWN(AO38/AO37,1),"×")</f>
        <v>×</v>
      </c>
      <c r="AS38" s="1451"/>
      <c r="AT38" s="1452"/>
      <c r="AU38" s="1478" t="str">
        <f xml:space="preserve">
IF(AND(表紙!$X$2="事前協議",COUNTIF(J40:AN40,"○")=31),"○",
IF(AND(表紙!$X$2="交付申請（２次）",COUNTIF(J40:AN40,"○")=31),"○",
IF(AND(表紙!$X$2="変更申請",COUNTIF(J40:AN40,"○")=31),"○",
IF(AND(表紙!$X$2="実績報告（１次）",COUNTIF(J40:AM40,"○")=30),"○",
IF(AND(表紙!$X$2="実績報告（２次）",COUNTIF(J40:AN40,"○")=31),"○",
IF(AND(表紙!$X$2="交付申請兼実績報告",COUNTIF(J40:AN40,"○")=31),"○","×"))))))</f>
        <v>×</v>
      </c>
      <c r="AV38" s="680"/>
      <c r="AW38" s="680"/>
      <c r="AX38" s="320"/>
      <c r="AY38" s="320"/>
      <c r="BA38" s="236" t="e">
        <f>TEXT(#REF!&amp;":"&amp;#REF!,"hh:mm")</f>
        <v>#REF!</v>
      </c>
      <c r="BB38" s="236" t="e">
        <f>TEXT(#REF!&amp;":"&amp;#REF!,"hh:mm")</f>
        <v>#REF!</v>
      </c>
      <c r="BC38" s="236" t="e">
        <f>TEXT(#REF!&amp;":"&amp;#REF!,"hh:mm")</f>
        <v>#REF!</v>
      </c>
      <c r="BD38" s="236" t="e">
        <f>TEXT(#REF!&amp;":"&amp;#REF!,"hh:mm")</f>
        <v>#REF!</v>
      </c>
      <c r="BE38" s="236" t="e">
        <f>TEXT(#REF!&amp;":"&amp;#REF!,"hh:mm")</f>
        <v>#REF!</v>
      </c>
      <c r="BF38" s="236" t="e">
        <f>TEXT(#REF!&amp;":"&amp;#REF!,"hh:mm")</f>
        <v>#REF!</v>
      </c>
      <c r="BG38" s="223"/>
    </row>
    <row r="39" spans="1:78" ht="18" customHeight="1">
      <c r="A39" s="321" t="s">
        <v>1062</v>
      </c>
      <c r="B39" s="1464" t="s">
        <v>1083</v>
      </c>
      <c r="C39" s="1465"/>
      <c r="D39" s="1465"/>
      <c r="E39" s="1465"/>
      <c r="F39" s="1465"/>
      <c r="G39" s="1465"/>
      <c r="H39" s="1465"/>
      <c r="I39" s="1466"/>
      <c r="J39" s="309"/>
      <c r="K39" s="310"/>
      <c r="L39" s="310"/>
      <c r="M39" s="310"/>
      <c r="N39" s="310"/>
      <c r="O39" s="310"/>
      <c r="P39" s="310"/>
      <c r="Q39" s="310"/>
      <c r="R39" s="310"/>
      <c r="S39" s="310"/>
      <c r="T39" s="310"/>
      <c r="U39" s="310"/>
      <c r="V39" s="310"/>
      <c r="W39" s="310"/>
      <c r="X39" s="310"/>
      <c r="Y39" s="310"/>
      <c r="Z39" s="310"/>
      <c r="AA39" s="310"/>
      <c r="AB39" s="310"/>
      <c r="AC39" s="310"/>
      <c r="AD39" s="310"/>
      <c r="AE39" s="310"/>
      <c r="AF39" s="310"/>
      <c r="AG39" s="310"/>
      <c r="AH39" s="310"/>
      <c r="AI39" s="310"/>
      <c r="AJ39" s="310"/>
      <c r="AK39" s="310"/>
      <c r="AL39" s="310"/>
      <c r="AM39" s="311"/>
      <c r="AN39" s="311"/>
      <c r="AO39" s="1467" t="str">
        <f xml:space="preserve">
IF(AU38="×","×",
IF(表紙!$X$2="事前協議",SUM(J39:AN39),
IF(表紙!$X$2="交付申請（２次）",SUM(J39:AN39),
IF(表紙!$X$2="変更申請",SUM(J39:AN39),
IF(表紙!$X$2="実績報告（１次）",SUM(J39:AM39),
IF(表紙!$X$2="実績報告（２次）",SUM(J39:AN39),
IF(表紙!$X$2="交付申請兼実績報告",SUM(J39:AN39))))))))</f>
        <v>×</v>
      </c>
      <c r="AP39" s="1468"/>
      <c r="AQ39" s="1469"/>
      <c r="AR39" s="1415" t="str">
        <f>IF(AU38="○",ROUNDDOWN(AO39/AO37,1),"×")</f>
        <v>×</v>
      </c>
      <c r="AS39" s="1416"/>
      <c r="AT39" s="1417"/>
      <c r="AU39" s="1479"/>
      <c r="AV39" s="680"/>
      <c r="AW39" s="680"/>
      <c r="AX39" s="324"/>
      <c r="AY39" s="320"/>
      <c r="BA39" s="236" t="str">
        <f>TEXT(H38&amp;":"&amp;J38,"hh:mm")</f>
        <v>:</v>
      </c>
      <c r="BB39" s="236" t="str">
        <f>TEXT(L38&amp;":"&amp;N38,"hh:mm")</f>
        <v>:</v>
      </c>
      <c r="BC39" s="236" t="str">
        <f>TEXT(O38&amp;":"&amp;Q38,"hh:mm")</f>
        <v>:</v>
      </c>
      <c r="BD39" s="236" t="str">
        <f>TEXT(S38&amp;":"&amp;U38,"hh:mm")</f>
        <v>:</v>
      </c>
      <c r="BE39" s="236" t="str">
        <f>TEXT(V38&amp;":"&amp;X38,"hh:mm")</f>
        <v>:</v>
      </c>
      <c r="BF39" s="236" t="str">
        <f>TEXT(Z38&amp;":"&amp;AB38,"hh:mm")</f>
        <v>:</v>
      </c>
      <c r="BG39" s="223"/>
    </row>
    <row r="40" spans="1:78" ht="18" customHeight="1" thickBot="1">
      <c r="A40" s="321" t="s">
        <v>1064</v>
      </c>
      <c r="B40" s="1470" t="s">
        <v>100</v>
      </c>
      <c r="C40" s="1471"/>
      <c r="D40" s="1471"/>
      <c r="E40" s="1471"/>
      <c r="F40" s="1471"/>
      <c r="G40" s="1471"/>
      <c r="H40" s="1471"/>
      <c r="I40" s="1472"/>
      <c r="J40" s="325" t="str">
        <f>IF(J36="","",
IF(AND(AND(COUNTA(J38:J39)=2,J38&gt;=J39)),"○",
IF(OR(COUNTA(J38:J39)&lt;&gt;2,J38&lt;J39),"×",
IF(AND(AND(OR(J38=0,J38=""),OR(J39=0,J39=""))),"○",
IF(AND(OR(J38&lt;&gt;0,J38&lt;&gt;""),OR(J39&lt;&gt;0,J39&lt;&gt;"")),"×")))))</f>
        <v>×</v>
      </c>
      <c r="K40" s="691" t="str">
        <f>IF(K36="","",
IF(AND(AND(COUNTA(K38:K39)=2,K38&gt;=K39)),"○",
IF(OR(COUNTA(K38:K39)&lt;&gt;2,K38&lt;K39),"×",
IF(AND(AND(OR(K38=0,K38=""),OR(K39=0,K39=""))),"○",
IF(AND(OR(K38&lt;&gt;0,K38&lt;&gt;""),OR(K39&lt;&gt;0,K39&lt;&gt;"")),"×")))))</f>
        <v>×</v>
      </c>
      <c r="L40" s="691" t="str">
        <f t="shared" ref="L40:AM40" si="11">IF(L36="","",
IF(AND(AND(COUNTA(L38:L39)=2,L38&gt;=L39)),"○",
IF(OR(COUNTA(L38:L39)&lt;&gt;2,L38&lt;L39),"×",
IF(AND(AND(OR(L38=0,L38=""),OR(L39=0,L39=""))),"○",
IF(AND(OR(L38&lt;&gt;0,L38&lt;&gt;""),OR(L39&lt;&gt;0,L39&lt;&gt;"")),"×")))))</f>
        <v>×</v>
      </c>
      <c r="M40" s="691" t="str">
        <f t="shared" si="11"/>
        <v>×</v>
      </c>
      <c r="N40" s="691" t="str">
        <f t="shared" si="11"/>
        <v>×</v>
      </c>
      <c r="O40" s="691" t="str">
        <f t="shared" si="11"/>
        <v>×</v>
      </c>
      <c r="P40" s="691" t="str">
        <f t="shared" si="11"/>
        <v>×</v>
      </c>
      <c r="Q40" s="691" t="str">
        <f t="shared" si="11"/>
        <v>×</v>
      </c>
      <c r="R40" s="691" t="str">
        <f t="shared" si="11"/>
        <v>×</v>
      </c>
      <c r="S40" s="691" t="str">
        <f t="shared" si="11"/>
        <v>×</v>
      </c>
      <c r="T40" s="691" t="str">
        <f t="shared" si="11"/>
        <v>×</v>
      </c>
      <c r="U40" s="691" t="str">
        <f t="shared" si="11"/>
        <v>×</v>
      </c>
      <c r="V40" s="691" t="str">
        <f t="shared" si="11"/>
        <v>×</v>
      </c>
      <c r="W40" s="691" t="str">
        <f t="shared" si="11"/>
        <v>×</v>
      </c>
      <c r="X40" s="691" t="str">
        <f t="shared" si="11"/>
        <v>×</v>
      </c>
      <c r="Y40" s="691" t="str">
        <f t="shared" si="11"/>
        <v>×</v>
      </c>
      <c r="Z40" s="691" t="str">
        <f t="shared" si="11"/>
        <v>×</v>
      </c>
      <c r="AA40" s="691" t="str">
        <f t="shared" si="11"/>
        <v>×</v>
      </c>
      <c r="AB40" s="691" t="str">
        <f t="shared" si="11"/>
        <v>×</v>
      </c>
      <c r="AC40" s="691" t="str">
        <f t="shared" si="11"/>
        <v>×</v>
      </c>
      <c r="AD40" s="691" t="str">
        <f t="shared" si="11"/>
        <v>×</v>
      </c>
      <c r="AE40" s="691" t="str">
        <f t="shared" si="11"/>
        <v>×</v>
      </c>
      <c r="AF40" s="691" t="str">
        <f t="shared" si="11"/>
        <v>×</v>
      </c>
      <c r="AG40" s="691" t="str">
        <f t="shared" si="11"/>
        <v>×</v>
      </c>
      <c r="AH40" s="691" t="str">
        <f t="shared" si="11"/>
        <v>×</v>
      </c>
      <c r="AI40" s="691" t="str">
        <f t="shared" si="11"/>
        <v>×</v>
      </c>
      <c r="AJ40" s="691" t="str">
        <f t="shared" si="11"/>
        <v>×</v>
      </c>
      <c r="AK40" s="691" t="str">
        <f t="shared" si="11"/>
        <v>×</v>
      </c>
      <c r="AL40" s="691" t="str">
        <f t="shared" si="11"/>
        <v>×</v>
      </c>
      <c r="AM40" s="691" t="str">
        <f t="shared" si="11"/>
        <v>×</v>
      </c>
      <c r="AN40" s="691" t="str">
        <f>IF(AN36="","",
IF(AND(AND(COUNTA(AN38:AN39)=2,AN38&gt;=AN39)),"○",
IF(OR(COUNTA(AN38:AN39)&lt;&gt;2,AN38&lt;AN39),"×",
IF(AND(AND(OR(AN38=0,AN38=""),OR(AN39=0,AN39=""))),"○",
IF(AND(OR(AN38&lt;&gt;0,AN38&lt;&gt;""),OR(AN39&lt;&gt;0,AN39&lt;&gt;"")),"×")))))</f>
        <v>×</v>
      </c>
      <c r="AO40" s="1418" t="s">
        <v>1081</v>
      </c>
      <c r="AP40" s="1419"/>
      <c r="AQ40" s="1420"/>
      <c r="AR40" s="1418" t="s">
        <v>1081</v>
      </c>
      <c r="AS40" s="1419"/>
      <c r="AT40" s="1420"/>
      <c r="AU40" s="1480"/>
      <c r="AV40" s="680"/>
      <c r="AW40" s="680"/>
      <c r="AX40" s="324"/>
      <c r="AY40" s="324"/>
      <c r="BA40" s="236" t="str">
        <f>TEXT(H39&amp;":"&amp;J39,"hh:mm")</f>
        <v>:</v>
      </c>
      <c r="BB40" s="236" t="str">
        <f>TEXT(L39&amp;":"&amp;N39,"hh:mm")</f>
        <v>:</v>
      </c>
      <c r="BC40" s="236" t="str">
        <f>TEXT(O39&amp;":"&amp;Q39,"hh:mm")</f>
        <v>:</v>
      </c>
      <c r="BD40" s="236" t="str">
        <f>TEXT(S39&amp;":"&amp;U39,"hh:mm")</f>
        <v>:</v>
      </c>
      <c r="BE40" s="236" t="str">
        <f>TEXT(V39&amp;":"&amp;X39,"hh:mm")</f>
        <v>:</v>
      </c>
      <c r="BF40" s="236" t="str">
        <f>TEXT(Z39&amp;":"&amp;AB39,"hh:mm")</f>
        <v>:</v>
      </c>
      <c r="BG40" s="223"/>
    </row>
    <row r="41" spans="1:78" ht="18.75" thickBot="1">
      <c r="BZ41" s="238"/>
    </row>
    <row r="42" spans="1:78" ht="18" customHeight="1" thickTop="1">
      <c r="B42" s="1444" t="s">
        <v>1220</v>
      </c>
      <c r="C42" s="1445"/>
      <c r="D42" s="1445"/>
      <c r="E42" s="1445"/>
      <c r="F42" s="1445"/>
      <c r="G42" s="1445"/>
      <c r="H42" s="1445"/>
      <c r="I42" s="1446"/>
      <c r="J42" s="1473">
        <f>V16</f>
        <v>1</v>
      </c>
      <c r="K42" s="1474"/>
      <c r="L42" s="1474"/>
      <c r="M42" s="1474"/>
      <c r="N42" s="1474"/>
      <c r="O42" s="1474"/>
      <c r="P42" s="1474"/>
      <c r="Q42" s="1474"/>
      <c r="R42" s="1474"/>
      <c r="S42" s="1474"/>
      <c r="T42" s="1474"/>
      <c r="U42" s="1474"/>
      <c r="V42" s="1474"/>
      <c r="W42" s="1474"/>
      <c r="X42" s="1474"/>
      <c r="Y42" s="1474"/>
      <c r="Z42" s="1474"/>
      <c r="AA42" s="1474"/>
      <c r="AB42" s="1474"/>
      <c r="AC42" s="1474"/>
      <c r="AD42" s="1474"/>
      <c r="AE42" s="1474"/>
      <c r="AF42" s="1474"/>
      <c r="AG42" s="1474"/>
      <c r="AH42" s="1474"/>
      <c r="AI42" s="1474"/>
      <c r="AJ42" s="1474"/>
      <c r="AK42" s="1474"/>
      <c r="AL42" s="1474"/>
      <c r="AM42" s="1474"/>
      <c r="AN42" s="1476"/>
      <c r="AO42" s="1444" t="s">
        <v>1224</v>
      </c>
      <c r="AP42" s="1445"/>
      <c r="AQ42" s="1446"/>
      <c r="AR42" s="1444" t="s">
        <v>1225</v>
      </c>
      <c r="AS42" s="1445"/>
      <c r="AT42" s="1446"/>
      <c r="AU42" s="1477" t="s">
        <v>100</v>
      </c>
      <c r="AV42" s="680"/>
      <c r="AW42" s="680"/>
      <c r="AX42" s="317"/>
      <c r="AY42" s="318"/>
      <c r="AZ42" s="680"/>
      <c r="BB42" s="223"/>
      <c r="BC42" s="231"/>
      <c r="BD42" s="680"/>
      <c r="BE42" s="680"/>
      <c r="BG42" s="680"/>
    </row>
    <row r="43" spans="1:78" ht="18" customHeight="1">
      <c r="A43" s="319" t="s">
        <v>1055</v>
      </c>
      <c r="B43" s="1447"/>
      <c r="C43" s="1460"/>
      <c r="D43" s="1460"/>
      <c r="E43" s="1460"/>
      <c r="F43" s="1460"/>
      <c r="G43" s="1460"/>
      <c r="H43" s="1460"/>
      <c r="I43" s="1449"/>
      <c r="J43" s="578">
        <f xml:space="preserve">
IF(表紙!$X$2="事前協議",DATE(2024,J42,1),
IF(表紙!$X$2="交付申請（２次）",DATE(2024,J42,1),
IF(表紙!$X$2="変更申請",DATE(2024,J42,1),
IF(表紙!$X$2="実績報告（１次）",DATE(2023,J42,1),
IF(表紙!$X$2="実績報告（２次）",DATE(2024,J42,1),
IF(表紙!$X$2="交付申請兼実績報告",DATE(2024,J42,1)))))))</f>
        <v>45292</v>
      </c>
      <c r="K43" s="579">
        <f xml:space="preserve">
IF(表紙!$X$2="事前協議",IFERROR(IF(J43+1&gt;DATE(2024,1,31),"",J43+1),""),
IF(表紙!$X$2="交付申請（２次）",IFERROR(IF(J43+1&gt;DATE(2024,1,31),"",J43+1),""),
IF(表紙!$X$2="変更申請",IFERROR(IF(J43+1&gt;DATE(2024,1,31),"",J43+1),""),
IF(表紙!$X$2="実績報告（１次）",IFERROR(IF(J43+1&gt;DATE(2023,7,31),"",J43+1),""),
IF(表紙!$X$2="実績報告（２次）",IFERROR(IF(J43+1&gt;DATE(2024,1,31),"",J43+1),""),
IF(表紙!$X$2="交付申請兼実績報告",IFERROR(IF(J43+1&gt;DATE(2024,1,31),"",J43+1),"")))))))</f>
        <v>45293</v>
      </c>
      <c r="L43" s="579">
        <f xml:space="preserve">
IF(表紙!$X$2="事前協議",IFERROR(IF(K43+1&gt;DATE(2024,1,31),"",K43+1),""),
IF(表紙!$X$2="交付申請（２次）",IFERROR(IF(K43+1&gt;DATE(2024,1,31),"",K43+1),""),
IF(表紙!$X$2="変更申請",IFERROR(IF(K43+1&gt;DATE(2024,1,31),"",K43+1),""),
IF(表紙!$X$2="実績報告（１次）",IFERROR(IF(K43+1&gt;DATE(2023,7,31),"",K43+1),""),
IF(表紙!$X$2="実績報告（２次）",IFERROR(IF(K43+1&gt;DATE(2024,1,31),"",K43+1),""),
IF(表紙!$X$2="交付申請兼実績報告",IFERROR(IF(K43+1&gt;DATE(2024,1,31),"",K43+1),"")))))))</f>
        <v>45294</v>
      </c>
      <c r="M43" s="579">
        <f xml:space="preserve">
IF(表紙!$X$2="事前協議",IFERROR(IF(L43+1&gt;DATE(2024,1,31),"",L43+1),""),
IF(表紙!$X$2="交付申請（２次）",IFERROR(IF(L43+1&gt;DATE(2024,1,31),"",L43+1),""),
IF(表紙!$X$2="変更申請",IFERROR(IF(L43+1&gt;DATE(2024,1,31),"",L43+1),""),
IF(表紙!$X$2="実績報告（１次）",IFERROR(IF(L43+1&gt;DATE(2023,7,31),"",L43+1),""),
IF(表紙!$X$2="実績報告（２次）",IFERROR(IF(L43+1&gt;DATE(2024,1,31),"",L43+1),""),
IF(表紙!$X$2="交付申請兼実績報告",IFERROR(IF(L43+1&gt;DATE(2024,1,31),"",L43+1),"")))))))</f>
        <v>45295</v>
      </c>
      <c r="N43" s="579">
        <f xml:space="preserve">
IF(表紙!$X$2="事前協議",IFERROR(IF(M43+1&gt;DATE(2024,1,31),"",M43+1),""),
IF(表紙!$X$2="交付申請（２次）",IFERROR(IF(M43+1&gt;DATE(2024,1,31),"",M43+1),""),
IF(表紙!$X$2="変更申請",IFERROR(IF(M43+1&gt;DATE(2024,1,31),"",M43+1),""),
IF(表紙!$X$2="実績報告（１次）",IFERROR(IF(M43+1&gt;DATE(2023,7,31),"",M43+1),""),
IF(表紙!$X$2="実績報告（２次）",IFERROR(IF(M43+1&gt;DATE(2024,1,31),"",M43+1),""),
IF(表紙!$X$2="交付申請兼実績報告",IFERROR(IF(M43+1&gt;DATE(2024,1,31),"",M43+1),"")))))))</f>
        <v>45296</v>
      </c>
      <c r="O43" s="579">
        <f xml:space="preserve">
IF(表紙!$X$2="事前協議",IFERROR(IF(N43+1&gt;DATE(2024,1,31),"",N43+1),""),
IF(表紙!$X$2="交付申請（２次）",IFERROR(IF(N43+1&gt;DATE(2024,1,31),"",N43+1),""),
IF(表紙!$X$2="変更申請",IFERROR(IF(N43+1&gt;DATE(2024,1,31),"",N43+1),""),
IF(表紙!$X$2="実績報告（１次）",IFERROR(IF(N43+1&gt;DATE(2023,7,31),"",N43+1),""),
IF(表紙!$X$2="実績報告（２次）",IFERROR(IF(N43+1&gt;DATE(2024,1,31),"",N43+1),""),
IF(表紙!$X$2="交付申請兼実績報告",IFERROR(IF(N43+1&gt;DATE(2024,1,31),"",N43+1),"")))))))</f>
        <v>45297</v>
      </c>
      <c r="P43" s="579">
        <f xml:space="preserve">
IF(表紙!$X$2="事前協議",IFERROR(IF(O43+1&gt;DATE(2024,1,31),"",O43+1),""),
IF(表紙!$X$2="交付申請（２次）",IFERROR(IF(O43+1&gt;DATE(2024,1,31),"",O43+1),""),
IF(表紙!$X$2="変更申請",IFERROR(IF(O43+1&gt;DATE(2024,1,31),"",O43+1),""),
IF(表紙!$X$2="実績報告（１次）",IFERROR(IF(O43+1&gt;DATE(2023,7,31),"",O43+1),""),
IF(表紙!$X$2="実績報告（２次）",IFERROR(IF(O43+1&gt;DATE(2024,1,31),"",O43+1),""),
IF(表紙!$X$2="交付申請兼実績報告",IFERROR(IF(O43+1&gt;DATE(2024,1,31),"",O43+1),"")))))))</f>
        <v>45298</v>
      </c>
      <c r="Q43" s="579">
        <f xml:space="preserve">
IF(表紙!$X$2="事前協議",IFERROR(IF(P43+1&gt;DATE(2024,1,31),"",P43+1),""),
IF(表紙!$X$2="交付申請（２次）",IFERROR(IF(P43+1&gt;DATE(2024,1,31),"",P43+1),""),
IF(表紙!$X$2="変更申請",IFERROR(IF(P43+1&gt;DATE(2024,1,31),"",P43+1),""),
IF(表紙!$X$2="実績報告（１次）",IFERROR(IF(P43+1&gt;DATE(2023,7,31),"",P43+1),""),
IF(表紙!$X$2="実績報告（２次）",IFERROR(IF(P43+1&gt;DATE(2024,1,31),"",P43+1),""),
IF(表紙!$X$2="交付申請兼実績報告",IFERROR(IF(P43+1&gt;DATE(2024,1,31),"",P43+1),"")))))))</f>
        <v>45299</v>
      </c>
      <c r="R43" s="579">
        <f xml:space="preserve">
IF(表紙!$X$2="事前協議",IFERROR(IF(Q43+1&gt;DATE(2024,1,31),"",Q43+1),""),
IF(表紙!$X$2="交付申請（２次）",IFERROR(IF(Q43+1&gt;DATE(2024,1,31),"",Q43+1),""),
IF(表紙!$X$2="変更申請",IFERROR(IF(Q43+1&gt;DATE(2024,1,31),"",Q43+1),""),
IF(表紙!$X$2="実績報告（１次）",IFERROR(IF(Q43+1&gt;DATE(2023,7,31),"",Q43+1),""),
IF(表紙!$X$2="実績報告（２次）",IFERROR(IF(Q43+1&gt;DATE(2024,1,31),"",Q43+1),""),
IF(表紙!$X$2="交付申請兼実績報告",IFERROR(IF(Q43+1&gt;DATE(2024,1,31),"",Q43+1),"")))))))</f>
        <v>45300</v>
      </c>
      <c r="S43" s="579">
        <f xml:space="preserve">
IF(表紙!$X$2="事前協議",IFERROR(IF(R43+1&gt;DATE(2024,1,31),"",R43+1),""),
IF(表紙!$X$2="交付申請（２次）",IFERROR(IF(R43+1&gt;DATE(2024,1,31),"",R43+1),""),
IF(表紙!$X$2="変更申請",IFERROR(IF(R43+1&gt;DATE(2024,1,31),"",R43+1),""),
IF(表紙!$X$2="実績報告（１次）",IFERROR(IF(R43+1&gt;DATE(2023,7,31),"",R43+1),""),
IF(表紙!$X$2="実績報告（２次）",IFERROR(IF(R43+1&gt;DATE(2024,1,31),"",R43+1),""),
IF(表紙!$X$2="交付申請兼実績報告",IFERROR(IF(R43+1&gt;DATE(2024,1,31),"",R43+1),"")))))))</f>
        <v>45301</v>
      </c>
      <c r="T43" s="579">
        <f xml:space="preserve">
IF(表紙!$X$2="事前協議",IFERROR(IF(S43+1&gt;DATE(2024,1,31),"",S43+1),""),
IF(表紙!$X$2="交付申請（２次）",IFERROR(IF(S43+1&gt;DATE(2024,1,31),"",S43+1),""),
IF(表紙!$X$2="変更申請",IFERROR(IF(S43+1&gt;DATE(2024,1,31),"",S43+1),""),
IF(表紙!$X$2="実績報告（１次）",IFERROR(IF(S43+1&gt;DATE(2023,7,31),"",S43+1),""),
IF(表紙!$X$2="実績報告（２次）",IFERROR(IF(S43+1&gt;DATE(2024,1,31),"",S43+1),""),
IF(表紙!$X$2="交付申請兼実績報告",IFERROR(IF(S43+1&gt;DATE(2024,1,31),"",S43+1),"")))))))</f>
        <v>45302</v>
      </c>
      <c r="U43" s="579">
        <f xml:space="preserve">
IF(表紙!$X$2="事前協議",IFERROR(IF(T43+1&gt;DATE(2024,1,31),"",T43+1),""),
IF(表紙!$X$2="交付申請（２次）",IFERROR(IF(T43+1&gt;DATE(2024,1,31),"",T43+1),""),
IF(表紙!$X$2="変更申請",IFERROR(IF(T43+1&gt;DATE(2024,1,31),"",T43+1),""),
IF(表紙!$X$2="実績報告（１次）",IFERROR(IF(T43+1&gt;DATE(2023,7,31),"",T43+1),""),
IF(表紙!$X$2="実績報告（２次）",IFERROR(IF(T43+1&gt;DATE(2024,1,31),"",T43+1),""),
IF(表紙!$X$2="交付申請兼実績報告",IFERROR(IF(T43+1&gt;DATE(2024,1,31),"",T43+1),"")))))))</f>
        <v>45303</v>
      </c>
      <c r="V43" s="579">
        <f xml:space="preserve">
IF(表紙!$X$2="事前協議",IFERROR(IF(U43+1&gt;DATE(2024,1,31),"",U43+1),""),
IF(表紙!$X$2="交付申請（２次）",IFERROR(IF(U43+1&gt;DATE(2024,1,31),"",U43+1),""),
IF(表紙!$X$2="変更申請",IFERROR(IF(U43+1&gt;DATE(2024,1,31),"",U43+1),""),
IF(表紙!$X$2="実績報告（１次）",IFERROR(IF(U43+1&gt;DATE(2023,7,31),"",U43+1),""),
IF(表紙!$X$2="実績報告（２次）",IFERROR(IF(U43+1&gt;DATE(2024,1,31),"",U43+1),""),
IF(表紙!$X$2="交付申請兼実績報告",IFERROR(IF(U43+1&gt;DATE(2024,1,31),"",U43+1),"")))))))</f>
        <v>45304</v>
      </c>
      <c r="W43" s="579">
        <f xml:space="preserve">
IF(表紙!$X$2="事前協議",IFERROR(IF(V43+1&gt;DATE(2024,1,31),"",V43+1),""),
IF(表紙!$X$2="交付申請（２次）",IFERROR(IF(V43+1&gt;DATE(2024,1,31),"",V43+1),""),
IF(表紙!$X$2="変更申請",IFERROR(IF(V43+1&gt;DATE(2024,1,31),"",V43+1),""),
IF(表紙!$X$2="実績報告（１次）",IFERROR(IF(V43+1&gt;DATE(2023,7,31),"",V43+1),""),
IF(表紙!$X$2="実績報告（２次）",IFERROR(IF(V43+1&gt;DATE(2024,1,31),"",V43+1),""),
IF(表紙!$X$2="交付申請兼実績報告",IFERROR(IF(V43+1&gt;DATE(2024,1,31),"",V43+1),"")))))))</f>
        <v>45305</v>
      </c>
      <c r="X43" s="579">
        <f xml:space="preserve">
IF(表紙!$X$2="事前協議",IFERROR(IF(W43+1&gt;DATE(2024,1,31),"",W43+1),""),
IF(表紙!$X$2="交付申請（２次）",IFERROR(IF(W43+1&gt;DATE(2024,1,31),"",W43+1),""),
IF(表紙!$X$2="変更申請",IFERROR(IF(W43+1&gt;DATE(2024,1,31),"",W43+1),""),
IF(表紙!$X$2="実績報告（１次）",IFERROR(IF(W43+1&gt;DATE(2023,7,31),"",W43+1),""),
IF(表紙!$X$2="実績報告（２次）",IFERROR(IF(W43+1&gt;DATE(2024,1,31),"",W43+1),""),
IF(表紙!$X$2="交付申請兼実績報告",IFERROR(IF(W43+1&gt;DATE(2024,1,31),"",W43+1),"")))))))</f>
        <v>45306</v>
      </c>
      <c r="Y43" s="579">
        <f xml:space="preserve">
IF(表紙!$X$2="事前協議",IFERROR(IF(X43+1&gt;DATE(2024,1,31),"",X43+1),""),
IF(表紙!$X$2="交付申請（２次）",IFERROR(IF(X43+1&gt;DATE(2024,1,31),"",X43+1),""),
IF(表紙!$X$2="変更申請",IFERROR(IF(X43+1&gt;DATE(2024,1,31),"",X43+1),""),
IF(表紙!$X$2="実績報告（１次）",IFERROR(IF(X43+1&gt;DATE(2023,7,31),"",X43+1),""),
IF(表紙!$X$2="実績報告（２次）",IFERROR(IF(X43+1&gt;DATE(2024,1,31),"",X43+1),""),
IF(表紙!$X$2="交付申請兼実績報告",IFERROR(IF(X43+1&gt;DATE(2024,1,31),"",X43+1),"")))))))</f>
        <v>45307</v>
      </c>
      <c r="Z43" s="579">
        <f xml:space="preserve">
IF(表紙!$X$2="事前協議",IFERROR(IF(Y43+1&gt;DATE(2024,1,31),"",Y43+1),""),
IF(表紙!$X$2="交付申請（２次）",IFERROR(IF(Y43+1&gt;DATE(2024,1,31),"",Y43+1),""),
IF(表紙!$X$2="変更申請",IFERROR(IF(Y43+1&gt;DATE(2024,1,31),"",Y43+1),""),
IF(表紙!$X$2="実績報告（１次）",IFERROR(IF(Y43+1&gt;DATE(2023,7,31),"",Y43+1),""),
IF(表紙!$X$2="実績報告（２次）",IFERROR(IF(Y43+1&gt;DATE(2024,1,31),"",Y43+1),""),
IF(表紙!$X$2="交付申請兼実績報告",IFERROR(IF(Y43+1&gt;DATE(2024,1,31),"",Y43+1),"")))))))</f>
        <v>45308</v>
      </c>
      <c r="AA43" s="579">
        <f xml:space="preserve">
IF(表紙!$X$2="事前協議",IFERROR(IF(Z43+1&gt;DATE(2024,1,31),"",Z43+1),""),
IF(表紙!$X$2="交付申請（２次）",IFERROR(IF(Z43+1&gt;DATE(2024,1,31),"",Z43+1),""),
IF(表紙!$X$2="変更申請",IFERROR(IF(Z43+1&gt;DATE(2024,1,31),"",Z43+1),""),
IF(表紙!$X$2="実績報告（１次）",IFERROR(IF(Z43+1&gt;DATE(2023,7,31),"",Z43+1),""),
IF(表紙!$X$2="実績報告（２次）",IFERROR(IF(Z43+1&gt;DATE(2024,1,31),"",Z43+1),""),
IF(表紙!$X$2="交付申請兼実績報告",IFERROR(IF(Z43+1&gt;DATE(2024,1,31),"",Z43+1),"")))))))</f>
        <v>45309</v>
      </c>
      <c r="AB43" s="579">
        <f xml:space="preserve">
IF(表紙!$X$2="事前協議",IFERROR(IF(AA43+1&gt;DATE(2024,1,31),"",AA43+1),""),
IF(表紙!$X$2="交付申請（２次）",IFERROR(IF(AA43+1&gt;DATE(2024,1,31),"",AA43+1),""),
IF(表紙!$X$2="変更申請",IFERROR(IF(AA43+1&gt;DATE(2024,1,31),"",AA43+1),""),
IF(表紙!$X$2="実績報告（１次）",IFERROR(IF(AA43+1&gt;DATE(2023,7,31),"",AA43+1),""),
IF(表紙!$X$2="実績報告（２次）",IFERROR(IF(AA43+1&gt;DATE(2024,1,31),"",AA43+1),""),
IF(表紙!$X$2="交付申請兼実績報告",IFERROR(IF(AA43+1&gt;DATE(2024,1,31),"",AA43+1),"")))))))</f>
        <v>45310</v>
      </c>
      <c r="AC43" s="579">
        <f xml:space="preserve">
IF(表紙!$X$2="事前協議",IFERROR(IF(AB43+1&gt;DATE(2024,1,31),"",AB43+1),""),
IF(表紙!$X$2="交付申請（２次）",IFERROR(IF(AB43+1&gt;DATE(2024,1,31),"",AB43+1),""),
IF(表紙!$X$2="変更申請",IFERROR(IF(AB43+1&gt;DATE(2024,1,31),"",AB43+1),""),
IF(表紙!$X$2="実績報告（１次）",IFERROR(IF(AB43+1&gt;DATE(2023,7,31),"",AB43+1),""),
IF(表紙!$X$2="実績報告（２次）",IFERROR(IF(AB43+1&gt;DATE(2024,1,31),"",AB43+1),""),
IF(表紙!$X$2="交付申請兼実績報告",IFERROR(IF(AB43+1&gt;DATE(2024,1,31),"",AB43+1),"")))))))</f>
        <v>45311</v>
      </c>
      <c r="AD43" s="579">
        <f xml:space="preserve">
IF(表紙!$X$2="事前協議",IFERROR(IF(AC43+1&gt;DATE(2024,1,31),"",AC43+1),""),
IF(表紙!$X$2="交付申請（２次）",IFERROR(IF(AC43+1&gt;DATE(2024,1,31),"",AC43+1),""),
IF(表紙!$X$2="変更申請",IFERROR(IF(AC43+1&gt;DATE(2024,1,31),"",AC43+1),""),
IF(表紙!$X$2="実績報告（１次）",IFERROR(IF(AC43+1&gt;DATE(2023,7,31),"",AC43+1),""),
IF(表紙!$X$2="実績報告（２次）",IFERROR(IF(AC43+1&gt;DATE(2024,1,31),"",AC43+1),""),
IF(表紙!$X$2="交付申請兼実績報告",IFERROR(IF(AC43+1&gt;DATE(2024,1,31),"",AC43+1),"")))))))</f>
        <v>45312</v>
      </c>
      <c r="AE43" s="579">
        <f xml:space="preserve">
IF(表紙!$X$2="事前協議",IFERROR(IF(AD43+1&gt;DATE(2024,1,31),"",AD43+1),""),
IF(表紙!$X$2="交付申請（２次）",IFERROR(IF(AD43+1&gt;DATE(2024,1,31),"",AD43+1),""),
IF(表紙!$X$2="変更申請",IFERROR(IF(AD43+1&gt;DATE(2024,1,31),"",AD43+1),""),
IF(表紙!$X$2="実績報告（１次）",IFERROR(IF(AD43+1&gt;DATE(2023,7,31),"",AD43+1),""),
IF(表紙!$X$2="実績報告（２次）",IFERROR(IF(AD43+1&gt;DATE(2024,1,31),"",AD43+1),""),
IF(表紙!$X$2="交付申請兼実績報告",IFERROR(IF(AD43+1&gt;DATE(2024,1,31),"",AD43+1),"")))))))</f>
        <v>45313</v>
      </c>
      <c r="AF43" s="579">
        <f xml:space="preserve">
IF(表紙!$X$2="事前協議",IFERROR(IF(AE43+1&gt;DATE(2024,1,31),"",AE43+1),""),
IF(表紙!$X$2="交付申請（２次）",IFERROR(IF(AE43+1&gt;DATE(2024,1,31),"",AE43+1),""),
IF(表紙!$X$2="変更申請",IFERROR(IF(AE43+1&gt;DATE(2024,1,31),"",AE43+1),""),
IF(表紙!$X$2="実績報告（１次）",IFERROR(IF(AE43+1&gt;DATE(2023,7,31),"",AE43+1),""),
IF(表紙!$X$2="実績報告（２次）",IFERROR(IF(AE43+1&gt;DATE(2024,1,31),"",AE43+1),""),
IF(表紙!$X$2="交付申請兼実績報告",IFERROR(IF(AE43+1&gt;DATE(2024,1,31),"",AE43+1),"")))))))</f>
        <v>45314</v>
      </c>
      <c r="AG43" s="579">
        <f xml:space="preserve">
IF(表紙!$X$2="事前協議",IFERROR(IF(AF43+1&gt;DATE(2024,1,31),"",AF43+1),""),
IF(表紙!$X$2="交付申請（２次）",IFERROR(IF(AF43+1&gt;DATE(2024,1,31),"",AF43+1),""),
IF(表紙!$X$2="変更申請",IFERROR(IF(AF43+1&gt;DATE(2024,1,31),"",AF43+1),""),
IF(表紙!$X$2="実績報告（１次）",IFERROR(IF(AF43+1&gt;DATE(2023,7,31),"",AF43+1),""),
IF(表紙!$X$2="実績報告（２次）",IFERROR(IF(AF43+1&gt;DATE(2024,1,31),"",AF43+1),""),
IF(表紙!$X$2="交付申請兼実績報告",IFERROR(IF(AF43+1&gt;DATE(2024,1,31),"",AF43+1),"")))))))</f>
        <v>45315</v>
      </c>
      <c r="AH43" s="579">
        <f xml:space="preserve">
IF(表紙!$X$2="事前協議",IFERROR(IF(AG43+1&gt;DATE(2024,1,31),"",AG43+1),""),
IF(表紙!$X$2="交付申請（２次）",IFERROR(IF(AG43+1&gt;DATE(2024,1,31),"",AG43+1),""),
IF(表紙!$X$2="変更申請",IFERROR(IF(AG43+1&gt;DATE(2024,1,31),"",AG43+1),""),
IF(表紙!$X$2="実績報告（１次）",IFERROR(IF(AG43+1&gt;DATE(2023,7,31),"",AG43+1),""),
IF(表紙!$X$2="実績報告（２次）",IFERROR(IF(AG43+1&gt;DATE(2024,1,31),"",AG43+1),""),
IF(表紙!$X$2="交付申請兼実績報告",IFERROR(IF(AG43+1&gt;DATE(2024,1,31),"",AG43+1),"")))))))</f>
        <v>45316</v>
      </c>
      <c r="AI43" s="579">
        <f xml:space="preserve">
IF(表紙!$X$2="事前協議",IFERROR(IF(AH43+1&gt;DATE(2024,1,31),"",AH43+1),""),
IF(表紙!$X$2="交付申請（２次）",IFERROR(IF(AH43+1&gt;DATE(2024,1,31),"",AH43+1),""),
IF(表紙!$X$2="変更申請",IFERROR(IF(AH43+1&gt;DATE(2024,1,31),"",AH43+1),""),
IF(表紙!$X$2="実績報告（１次）",IFERROR(IF(AH43+1&gt;DATE(2023,7,31),"",AH43+1),""),
IF(表紙!$X$2="実績報告（２次）",IFERROR(IF(AH43+1&gt;DATE(2024,1,31),"",AH43+1),""),
IF(表紙!$X$2="交付申請兼実績報告",IFERROR(IF(AH43+1&gt;DATE(2024,1,31),"",AH43+1),"")))))))</f>
        <v>45317</v>
      </c>
      <c r="AJ43" s="579">
        <f xml:space="preserve">
IF(表紙!$X$2="事前協議",IFERROR(IF(AI43+1&gt;DATE(2024,1,31),"",AI43+1),""),
IF(表紙!$X$2="交付申請（２次）",IFERROR(IF(AI43+1&gt;DATE(2024,1,31),"",AI43+1),""),
IF(表紙!$X$2="変更申請",IFERROR(IF(AI43+1&gt;DATE(2024,1,31),"",AI43+1),""),
IF(表紙!$X$2="実績報告（１次）",IFERROR(IF(AI43+1&gt;DATE(2023,7,31),"",AI43+1),""),
IF(表紙!$X$2="実績報告（２次）",IFERROR(IF(AI43+1&gt;DATE(2024,1,31),"",AI43+1),""),
IF(表紙!$X$2="交付申請兼実績報告",IFERROR(IF(AI43+1&gt;DATE(2024,1,31),"",AI43+1),"")))))))</f>
        <v>45318</v>
      </c>
      <c r="AK43" s="579">
        <f xml:space="preserve">
IF(表紙!$X$2="事前協議",IFERROR(IF(AJ43+1&gt;DATE(2024,1,31),"",AJ43+1),""),
IF(表紙!$X$2="交付申請（２次）",IFERROR(IF(AJ43+1&gt;DATE(2024,1,31),"",AJ43+1),""),
IF(表紙!$X$2="変更申請",IFERROR(IF(AJ43+1&gt;DATE(2024,1,31),"",AJ43+1),""),
IF(表紙!$X$2="実績報告（１次）",IFERROR(IF(AJ43+1&gt;DATE(2023,7,31),"",AJ43+1),""),
IF(表紙!$X$2="実績報告（２次）",IFERROR(IF(AJ43+1&gt;DATE(2024,1,31),"",AJ43+1),""),
IF(表紙!$X$2="交付申請兼実績報告",IFERROR(IF(AJ43+1&gt;DATE(2024,1,31),"",AJ43+1),"")))))))</f>
        <v>45319</v>
      </c>
      <c r="AL43" s="579">
        <f xml:space="preserve">
IF(表紙!$X$2="事前協議",IFERROR(IF(AK43+1&gt;DATE(2024,1,31),"",AK43+1),""),
IF(表紙!$X$2="交付申請（２次）",IFERROR(IF(AK43+1&gt;DATE(2024,1,31),"",AK43+1),""),
IF(表紙!$X$2="変更申請",IFERROR(IF(AK43+1&gt;DATE(2024,1,31),"",AK43+1),""),
IF(表紙!$X$2="実績報告（１次）",IFERROR(IF(AK43+1&gt;DATE(2023,7,31),"",AK43+1),""),
IF(表紙!$X$2="実績報告（２次）",IFERROR(IF(AK43+1&gt;DATE(2024,1,31),"",AK43+1),""),
IF(表紙!$X$2="交付申請兼実績報告",IFERROR(IF(AK43+1&gt;DATE(2024,1,31),"",AK43+1),"")))))))</f>
        <v>45320</v>
      </c>
      <c r="AM43" s="579">
        <f xml:space="preserve">
IF(表紙!$X$2="事前協議",IFERROR(IF(AL43+1&gt;DATE(2024,1,31),"",AL43+1),""),
IF(表紙!$X$2="交付申請（２次）",IFERROR(IF(AL43+1&gt;DATE(2024,1,31),"",AL43+1),""),
IF(表紙!$X$2="変更申請",IFERROR(IF(AL43+1&gt;DATE(2024,1,31),"",AL43+1),""),
IF(表紙!$X$2="実績報告（１次）",IFERROR(IF(AL43+1&gt;DATE(2023,7,31),"",AL43+1),""),
IF(表紙!$X$2="実績報告（２次）",IFERROR(IF(AL43+1&gt;DATE(2024,1,31),"",AL43+1),""),
IF(表紙!$X$2="交付申請兼実績報告",IFERROR(IF(AL43+1&gt;DATE(2024,1,31),"",AL43+1),"")))))))</f>
        <v>45321</v>
      </c>
      <c r="AN43" s="579">
        <f xml:space="preserve">
IF(表紙!$X$2="事前協議",IFERROR(IF(AM43+1&gt;DATE(2024,1,31),"",AM43+1),""),
IF(表紙!$X$2="交付申請（２次）",IFERROR(IF(AM43+1&gt;DATE(2024,1,31),"",AM43+1),""),
IF(表紙!$X$2="変更申請",IFERROR(IF(AM43+1&gt;DATE(2024,1,31),"",AM43+1),""),
IF(表紙!$X$2="実績報告（１次）",IFERROR(IF(AM43+1&gt;DATE(2023,7,31),"",AM43+1),""),
IF(表紙!$X$2="実績報告（２次）",IFERROR(IF(AM43+1&gt;DATE(2024,1,31),"",AM43+1),""),
IF(表紙!$X$2="交付申請兼実績報告",IFERROR(IF(AM43+1&gt;DATE(2024,1,31),"",AM43+1),"")))))))</f>
        <v>45322</v>
      </c>
      <c r="AO43" s="1447"/>
      <c r="AP43" s="1448"/>
      <c r="AQ43" s="1449"/>
      <c r="AR43" s="1447"/>
      <c r="AS43" s="1448"/>
      <c r="AT43" s="1449"/>
      <c r="AU43" s="1386"/>
      <c r="AV43" s="680"/>
      <c r="AW43" s="680"/>
      <c r="AX43" s="320"/>
      <c r="AY43" s="320"/>
      <c r="BA43" s="236" t="str">
        <f>TEXT(H43&amp;":"&amp;J43,"hh:mm")</f>
        <v>:45292</v>
      </c>
      <c r="BB43" s="236" t="str">
        <f>TEXT(L43&amp;":"&amp;N43,"hh:mm")</f>
        <v>45294:45296</v>
      </c>
      <c r="BC43" s="236" t="str">
        <f>TEXT(O43&amp;":"&amp;Q43,"hh:mm")</f>
        <v>45297:45299</v>
      </c>
      <c r="BD43" s="236" t="str">
        <f>TEXT(S43&amp;":"&amp;U43,"hh:mm")</f>
        <v>45301:45303</v>
      </c>
      <c r="BE43" s="236" t="str">
        <f>TEXT(V43&amp;":"&amp;X43,"hh:mm")</f>
        <v>45304:45306</v>
      </c>
      <c r="BF43" s="236" t="str">
        <f>TEXT(Z43&amp;":"&amp;AB43,"hh:mm")</f>
        <v>45308:45310</v>
      </c>
      <c r="BG43" s="680"/>
    </row>
    <row r="44" spans="1:78" ht="18" customHeight="1" thickBot="1">
      <c r="A44" s="321" t="s">
        <v>1057</v>
      </c>
      <c r="B44" s="1461"/>
      <c r="C44" s="1462"/>
      <c r="D44" s="1462"/>
      <c r="E44" s="1462"/>
      <c r="F44" s="1462"/>
      <c r="G44" s="1462"/>
      <c r="H44" s="1462"/>
      <c r="I44" s="1463"/>
      <c r="J44" s="322" t="str">
        <f>TEXT(J43,"aaa")</f>
        <v>月</v>
      </c>
      <c r="K44" s="323" t="str">
        <f>TEXT(K43,"aaa")</f>
        <v>火</v>
      </c>
      <c r="L44" s="323" t="str">
        <f t="shared" ref="L44" si="12">TEXT(L43,"aaa")</f>
        <v>水</v>
      </c>
      <c r="M44" s="323" t="str">
        <f t="shared" ref="M44" si="13">TEXT(M43,"aaa")</f>
        <v>木</v>
      </c>
      <c r="N44" s="323" t="str">
        <f t="shared" ref="N44" si="14">TEXT(N43,"aaa")</f>
        <v>金</v>
      </c>
      <c r="O44" s="323" t="str">
        <f t="shared" ref="O44" si="15">TEXT(O43,"aaa")</f>
        <v>土</v>
      </c>
      <c r="P44" s="323" t="str">
        <f t="shared" ref="P44" si="16">TEXT(P43,"aaa")</f>
        <v>日</v>
      </c>
      <c r="Q44" s="323" t="str">
        <f t="shared" ref="Q44" si="17">TEXT(Q43,"aaa")</f>
        <v>月</v>
      </c>
      <c r="R44" s="323" t="str">
        <f t="shared" ref="R44" si="18">TEXT(R43,"aaa")</f>
        <v>火</v>
      </c>
      <c r="S44" s="323" t="str">
        <f t="shared" ref="S44" si="19">TEXT(S43,"aaa")</f>
        <v>水</v>
      </c>
      <c r="T44" s="323" t="str">
        <f t="shared" ref="T44" si="20">TEXT(T43,"aaa")</f>
        <v>木</v>
      </c>
      <c r="U44" s="323" t="str">
        <f t="shared" ref="U44" si="21">TEXT(U43,"aaa")</f>
        <v>金</v>
      </c>
      <c r="V44" s="323" t="str">
        <f t="shared" ref="V44" si="22">TEXT(V43,"aaa")</f>
        <v>土</v>
      </c>
      <c r="W44" s="323" t="str">
        <f t="shared" ref="W44" si="23">TEXT(W43,"aaa")</f>
        <v>日</v>
      </c>
      <c r="X44" s="323" t="str">
        <f t="shared" ref="X44" si="24">TEXT(X43,"aaa")</f>
        <v>月</v>
      </c>
      <c r="Y44" s="323" t="str">
        <f t="shared" ref="Y44" si="25">TEXT(Y43,"aaa")</f>
        <v>火</v>
      </c>
      <c r="Z44" s="323" t="str">
        <f t="shared" ref="Z44" si="26">TEXT(Z43,"aaa")</f>
        <v>水</v>
      </c>
      <c r="AA44" s="323" t="str">
        <f t="shared" ref="AA44" si="27">TEXT(AA43,"aaa")</f>
        <v>木</v>
      </c>
      <c r="AB44" s="323" t="str">
        <f t="shared" ref="AB44" si="28">TEXT(AB43,"aaa")</f>
        <v>金</v>
      </c>
      <c r="AC44" s="323" t="str">
        <f t="shared" ref="AC44" si="29">TEXT(AC43,"aaa")</f>
        <v>土</v>
      </c>
      <c r="AD44" s="323" t="str">
        <f t="shared" ref="AD44" si="30">TEXT(AD43,"aaa")</f>
        <v>日</v>
      </c>
      <c r="AE44" s="323" t="str">
        <f t="shared" ref="AE44" si="31">TEXT(AE43,"aaa")</f>
        <v>月</v>
      </c>
      <c r="AF44" s="323" t="str">
        <f t="shared" ref="AF44" si="32">TEXT(AF43,"aaa")</f>
        <v>火</v>
      </c>
      <c r="AG44" s="323" t="str">
        <f t="shared" ref="AG44" si="33">TEXT(AG43,"aaa")</f>
        <v>水</v>
      </c>
      <c r="AH44" s="323" t="str">
        <f t="shared" ref="AH44" si="34">TEXT(AH43,"aaa")</f>
        <v>木</v>
      </c>
      <c r="AI44" s="323" t="str">
        <f t="shared" ref="AI44" si="35">TEXT(AI43,"aaa")</f>
        <v>金</v>
      </c>
      <c r="AJ44" s="323" t="str">
        <f t="shared" ref="AJ44" si="36">TEXT(AJ43,"aaa")</f>
        <v>土</v>
      </c>
      <c r="AK44" s="323" t="str">
        <f t="shared" ref="AK44" si="37">TEXT(AK43,"aaa")</f>
        <v>日</v>
      </c>
      <c r="AL44" s="323" t="str">
        <f t="shared" ref="AL44" si="38">TEXT(AL43,"aaa")</f>
        <v>月</v>
      </c>
      <c r="AM44" s="323" t="str">
        <f t="shared" ref="AM44" si="39">TEXT(AM43,"aaa")</f>
        <v>火</v>
      </c>
      <c r="AN44" s="323" t="str">
        <f t="shared" ref="AN44" si="40">TEXT(AN43,"aaa")</f>
        <v>水</v>
      </c>
      <c r="AO44" s="1438" t="str">
        <f xml:space="preserve">
IF(AU45="×","×",
IF(表紙!$X$2="事前協議",COUNTIF(J45:AN45,"&gt;0"),
IF(表紙!$X$2="交付申請（２次）",COUNTIF(J45:AN45,"&gt;0"),
IF(表紙!$X$2="変更申請",COUNTIF(J45:AN45,"&gt;0"),
IF(表紙!$X$2="実績報告（１次）",COUNTIF(J45:AN45,"&gt;0"),
IF(表紙!$X$2="実績報告（２次）",COUNTIF(J45:AN45,"&gt;0"),
IF(表紙!$X$2="交付申請兼実績報告",COUNTIF(J45:AN45,"&gt;0"))))))))</f>
        <v>×</v>
      </c>
      <c r="AP44" s="1439"/>
      <c r="AQ44" s="1440"/>
      <c r="AR44" s="1438" t="s">
        <v>1081</v>
      </c>
      <c r="AS44" s="1439"/>
      <c r="AT44" s="1440"/>
      <c r="AU44" s="1386"/>
      <c r="AV44" s="680"/>
      <c r="AW44" s="680"/>
      <c r="AX44" s="320"/>
      <c r="AY44" s="320"/>
      <c r="BA44" s="236" t="str">
        <f>TEXT(H44&amp;":"&amp;J44,"hh:mm")</f>
        <v>:月</v>
      </c>
      <c r="BB44" s="236" t="str">
        <f>TEXT(L44&amp;":"&amp;N44,"hh:mm")</f>
        <v>水:金</v>
      </c>
      <c r="BC44" s="236" t="str">
        <f>TEXT(O44&amp;":"&amp;Q44,"hh:mm")</f>
        <v>土:月</v>
      </c>
      <c r="BD44" s="236" t="str">
        <f>TEXT(S44&amp;":"&amp;U44,"hh:mm")</f>
        <v>水:金</v>
      </c>
      <c r="BE44" s="236" t="str">
        <f>TEXT(V44&amp;":"&amp;X44,"hh:mm")</f>
        <v>土:月</v>
      </c>
      <c r="BF44" s="236" t="str">
        <f>TEXT(Z44&amp;":"&amp;AB44,"hh:mm")</f>
        <v>水:金</v>
      </c>
      <c r="BG44" s="223"/>
    </row>
    <row r="45" spans="1:78" ht="18" customHeight="1" thickTop="1">
      <c r="A45" s="321" t="s">
        <v>1060</v>
      </c>
      <c r="B45" s="1481" t="s">
        <v>1181</v>
      </c>
      <c r="C45" s="1482"/>
      <c r="D45" s="1482"/>
      <c r="E45" s="1482"/>
      <c r="F45" s="1482"/>
      <c r="G45" s="1482"/>
      <c r="H45" s="1482"/>
      <c r="I45" s="1483"/>
      <c r="J45" s="305"/>
      <c r="K45" s="306"/>
      <c r="L45" s="306"/>
      <c r="M45" s="306"/>
      <c r="N45" s="306"/>
      <c r="O45" s="306"/>
      <c r="P45" s="306"/>
      <c r="Q45" s="306"/>
      <c r="R45" s="306"/>
      <c r="S45" s="306"/>
      <c r="T45" s="306"/>
      <c r="U45" s="306"/>
      <c r="V45" s="306"/>
      <c r="W45" s="306"/>
      <c r="X45" s="306"/>
      <c r="Y45" s="306"/>
      <c r="Z45" s="306"/>
      <c r="AA45" s="306"/>
      <c r="AB45" s="306"/>
      <c r="AC45" s="306"/>
      <c r="AD45" s="306"/>
      <c r="AE45" s="306"/>
      <c r="AF45" s="306"/>
      <c r="AG45" s="306"/>
      <c r="AH45" s="306"/>
      <c r="AI45" s="306"/>
      <c r="AJ45" s="306"/>
      <c r="AK45" s="306"/>
      <c r="AL45" s="306"/>
      <c r="AM45" s="306"/>
      <c r="AN45" s="306"/>
      <c r="AO45" s="1484" t="str">
        <f xml:space="preserve">
IF(AU45="×","×",
IF(表紙!$X$2="事前協議",SUM(J45:AN45),
IF(表紙!$X$2="交付申請（２次）",SUM(J45:AN45),
IF(表紙!$X$2="変更申請",SUM(J45:AN45),
IF(表紙!$X$2="実績報告（１次）",SUM(J45:AN45),
IF(表紙!$X$2="実績報告（２次）",SUM(J45:AN45),
IF(表紙!$X$2="交付申請兼実績報告",SUM(J45:AN45))))))))</f>
        <v>×</v>
      </c>
      <c r="AP45" s="1485"/>
      <c r="AQ45" s="1486"/>
      <c r="AR45" s="1450" t="str">
        <f>IF(AU45="○",ROUNDDOWN(AO45/AO44,1),"×")</f>
        <v>×</v>
      </c>
      <c r="AS45" s="1451"/>
      <c r="AT45" s="1452"/>
      <c r="AU45" s="1478" t="str">
        <f xml:space="preserve">
IF(AND(表紙!$X$2="事前協議",COUNTIF(J47:AN47,"○")=31),"○",
IF(AND(表紙!$X$2="交付申請（２次）",COUNTIF(J47:AN47,"○")=31),"○",
IF(AND(表紙!$X$2="変更申請",COUNTIF(J47:AN47,"○")=31),"○",
IF(AND(表紙!$X$2="実績報告（１次）",COUNTIF(J47:AN47,"○")=31),"○",
IF(AND(表紙!$X$2="実績報告（２次）",COUNTIF(J47:AN47,"○")=31),"○",
IF(AND(表紙!$X$2="交付申請兼実績報告",COUNTIF(J47:AN47,"○")=31),"○","×"))))))</f>
        <v>×</v>
      </c>
      <c r="AV45" s="680"/>
      <c r="AW45" s="680"/>
      <c r="AX45" s="320"/>
      <c r="AY45" s="320"/>
      <c r="BA45" s="236" t="e">
        <f>TEXT(#REF!&amp;":"&amp;#REF!,"hh:mm")</f>
        <v>#REF!</v>
      </c>
      <c r="BB45" s="236" t="e">
        <f>TEXT(#REF!&amp;":"&amp;#REF!,"hh:mm")</f>
        <v>#REF!</v>
      </c>
      <c r="BC45" s="236" t="e">
        <f>TEXT(#REF!&amp;":"&amp;#REF!,"hh:mm")</f>
        <v>#REF!</v>
      </c>
      <c r="BD45" s="236" t="e">
        <f>TEXT(#REF!&amp;":"&amp;#REF!,"hh:mm")</f>
        <v>#REF!</v>
      </c>
      <c r="BE45" s="236" t="e">
        <f>TEXT(#REF!&amp;":"&amp;#REF!,"hh:mm")</f>
        <v>#REF!</v>
      </c>
      <c r="BF45" s="236" t="e">
        <f>TEXT(#REF!&amp;":"&amp;#REF!,"hh:mm")</f>
        <v>#REF!</v>
      </c>
      <c r="BG45" s="223"/>
    </row>
    <row r="46" spans="1:78" ht="18" customHeight="1">
      <c r="A46" s="321" t="s">
        <v>1062</v>
      </c>
      <c r="B46" s="1464" t="s">
        <v>1083</v>
      </c>
      <c r="C46" s="1465"/>
      <c r="D46" s="1465"/>
      <c r="E46" s="1465"/>
      <c r="F46" s="1465"/>
      <c r="G46" s="1465"/>
      <c r="H46" s="1465"/>
      <c r="I46" s="1466"/>
      <c r="J46" s="309"/>
      <c r="K46" s="310"/>
      <c r="L46" s="310"/>
      <c r="M46" s="310"/>
      <c r="N46" s="310"/>
      <c r="O46" s="310"/>
      <c r="P46" s="310"/>
      <c r="Q46" s="310"/>
      <c r="R46" s="310"/>
      <c r="S46" s="310"/>
      <c r="T46" s="310"/>
      <c r="U46" s="310"/>
      <c r="V46" s="310"/>
      <c r="W46" s="310"/>
      <c r="X46" s="310"/>
      <c r="Y46" s="310"/>
      <c r="Z46" s="310"/>
      <c r="AA46" s="310"/>
      <c r="AB46" s="310"/>
      <c r="AC46" s="310"/>
      <c r="AD46" s="310"/>
      <c r="AE46" s="310"/>
      <c r="AF46" s="310"/>
      <c r="AG46" s="310"/>
      <c r="AH46" s="310"/>
      <c r="AI46" s="310"/>
      <c r="AJ46" s="310"/>
      <c r="AK46" s="310"/>
      <c r="AL46" s="310"/>
      <c r="AM46" s="310"/>
      <c r="AN46" s="310"/>
      <c r="AO46" s="1467" t="str">
        <f xml:space="preserve">
IF(AU45="×","×",
IF(表紙!$X$2="事前協議",SUM(J46:AN46),
IF(表紙!$X$2="交付申請（２次）",SUM(J46:AN46),
IF(表紙!$X$2="変更申請",SUM(J46:AN46),
IF(表紙!$X$2="実績報告（１次）",SUM(J46:AN46),
IF(表紙!$X$2="実績報告（２次）",SUM(J46:AN46),
IF(表紙!$X$2="交付申請兼実績報告",SUM(J46:AN46))))))))</f>
        <v>×</v>
      </c>
      <c r="AP46" s="1468"/>
      <c r="AQ46" s="1469"/>
      <c r="AR46" s="1415" t="str">
        <f>IF(AU45="○",ROUNDDOWN(AO46/AO44,1),"×")</f>
        <v>×</v>
      </c>
      <c r="AS46" s="1416"/>
      <c r="AT46" s="1417"/>
      <c r="AU46" s="1479"/>
      <c r="AV46" s="680"/>
      <c r="AW46" s="680"/>
      <c r="AX46" s="324"/>
      <c r="AY46" s="320"/>
      <c r="BA46" s="236" t="str">
        <f>TEXT(H45&amp;":"&amp;J45,"hh:mm")</f>
        <v>:</v>
      </c>
      <c r="BB46" s="236" t="str">
        <f>TEXT(L45&amp;":"&amp;N45,"hh:mm")</f>
        <v>:</v>
      </c>
      <c r="BC46" s="236" t="str">
        <f>TEXT(O45&amp;":"&amp;Q45,"hh:mm")</f>
        <v>:</v>
      </c>
      <c r="BD46" s="236" t="str">
        <f>TEXT(S45&amp;":"&amp;U45,"hh:mm")</f>
        <v>:</v>
      </c>
      <c r="BE46" s="236" t="str">
        <f>TEXT(V45&amp;":"&amp;X45,"hh:mm")</f>
        <v>:</v>
      </c>
      <c r="BF46" s="236" t="str">
        <f>TEXT(Z45&amp;":"&amp;AB45,"hh:mm")</f>
        <v>:</v>
      </c>
      <c r="BG46" s="223"/>
    </row>
    <row r="47" spans="1:78" ht="18" customHeight="1" thickBot="1">
      <c r="A47" s="321" t="s">
        <v>1064</v>
      </c>
      <c r="B47" s="1470" t="s">
        <v>100</v>
      </c>
      <c r="C47" s="1471"/>
      <c r="D47" s="1471"/>
      <c r="E47" s="1471"/>
      <c r="F47" s="1471"/>
      <c r="G47" s="1471"/>
      <c r="H47" s="1471"/>
      <c r="I47" s="1472"/>
      <c r="J47" s="325" t="str">
        <f>IF(J43="","",
IF(AND(AND(COUNTA(J45:J46)=2,J45&gt;=J46)),"○",
IF(OR(COUNTA(J45:J46)&lt;&gt;2,J45&lt;J46),"×",
IF(AND(AND(OR(J45=0,J45=""),OR(J46=0,J46=""))),"○",
IF(AND(OR(J45&lt;&gt;0,J45&lt;&gt;""),OR(J46&lt;&gt;0,J46&lt;&gt;"")),"×")))))</f>
        <v>×</v>
      </c>
      <c r="K47" s="691" t="str">
        <f>IF(K43="","",
IF(AND(AND(COUNTA(K45:K46)=2,K45&gt;=K46)),"○",
IF(OR(COUNTA(K45:K46)&lt;&gt;2,K45&lt;K46),"×",
IF(AND(AND(OR(K45=0,K45=""),OR(K46=0,K46=""))),"○",
IF(AND(OR(K45&lt;&gt;0,K45&lt;&gt;""),OR(K46&lt;&gt;0,K46&lt;&gt;"")),"×")))))</f>
        <v>×</v>
      </c>
      <c r="L47" s="691" t="str">
        <f t="shared" ref="L47" si="41">IF(L43="","",
IF(AND(AND(COUNTA(L45:L46)=2,L45&gt;=L46)),"○",
IF(OR(COUNTA(L45:L46)&lt;&gt;2,L45&lt;L46),"×",
IF(AND(AND(OR(L45=0,L45=""),OR(L46=0,L46=""))),"○",
IF(AND(OR(L45&lt;&gt;0,L45&lt;&gt;""),OR(L46&lt;&gt;0,L46&lt;&gt;"")),"×")))))</f>
        <v>×</v>
      </c>
      <c r="M47" s="691" t="str">
        <f t="shared" ref="M47" si="42">IF(M43="","",
IF(AND(AND(COUNTA(M45:M46)=2,M45&gt;=M46)),"○",
IF(OR(COUNTA(M45:M46)&lt;&gt;2,M45&lt;M46),"×",
IF(AND(AND(OR(M45=0,M45=""),OR(M46=0,M46=""))),"○",
IF(AND(OR(M45&lt;&gt;0,M45&lt;&gt;""),OR(M46&lt;&gt;0,M46&lt;&gt;"")),"×")))))</f>
        <v>×</v>
      </c>
      <c r="N47" s="691" t="str">
        <f t="shared" ref="N47" si="43">IF(N43="","",
IF(AND(AND(COUNTA(N45:N46)=2,N45&gt;=N46)),"○",
IF(OR(COUNTA(N45:N46)&lt;&gt;2,N45&lt;N46),"×",
IF(AND(AND(OR(N45=0,N45=""),OR(N46=0,N46=""))),"○",
IF(AND(OR(N45&lt;&gt;0,N45&lt;&gt;""),OR(N46&lt;&gt;0,N46&lt;&gt;"")),"×")))))</f>
        <v>×</v>
      </c>
      <c r="O47" s="691" t="str">
        <f t="shared" ref="O47" si="44">IF(O43="","",
IF(AND(AND(COUNTA(O45:O46)=2,O45&gt;=O46)),"○",
IF(OR(COUNTA(O45:O46)&lt;&gt;2,O45&lt;O46),"×",
IF(AND(AND(OR(O45=0,O45=""),OR(O46=0,O46=""))),"○",
IF(AND(OR(O45&lt;&gt;0,O45&lt;&gt;""),OR(O46&lt;&gt;0,O46&lt;&gt;"")),"×")))))</f>
        <v>×</v>
      </c>
      <c r="P47" s="691" t="str">
        <f t="shared" ref="P47" si="45">IF(P43="","",
IF(AND(AND(COUNTA(P45:P46)=2,P45&gt;=P46)),"○",
IF(OR(COUNTA(P45:P46)&lt;&gt;2,P45&lt;P46),"×",
IF(AND(AND(OR(P45=0,P45=""),OR(P46=0,P46=""))),"○",
IF(AND(OR(P45&lt;&gt;0,P45&lt;&gt;""),OR(P46&lt;&gt;0,P46&lt;&gt;"")),"×")))))</f>
        <v>×</v>
      </c>
      <c r="Q47" s="691" t="str">
        <f t="shared" ref="Q47" si="46">IF(Q43="","",
IF(AND(AND(COUNTA(Q45:Q46)=2,Q45&gt;=Q46)),"○",
IF(OR(COUNTA(Q45:Q46)&lt;&gt;2,Q45&lt;Q46),"×",
IF(AND(AND(OR(Q45=0,Q45=""),OR(Q46=0,Q46=""))),"○",
IF(AND(OR(Q45&lt;&gt;0,Q45&lt;&gt;""),OR(Q46&lt;&gt;0,Q46&lt;&gt;"")),"×")))))</f>
        <v>×</v>
      </c>
      <c r="R47" s="691" t="str">
        <f t="shared" ref="R47" si="47">IF(R43="","",
IF(AND(AND(COUNTA(R45:R46)=2,R45&gt;=R46)),"○",
IF(OR(COUNTA(R45:R46)&lt;&gt;2,R45&lt;R46),"×",
IF(AND(AND(OR(R45=0,R45=""),OR(R46=0,R46=""))),"○",
IF(AND(OR(R45&lt;&gt;0,R45&lt;&gt;""),OR(R46&lt;&gt;0,R46&lt;&gt;"")),"×")))))</f>
        <v>×</v>
      </c>
      <c r="S47" s="691" t="str">
        <f t="shared" ref="S47" si="48">IF(S43="","",
IF(AND(AND(COUNTA(S45:S46)=2,S45&gt;=S46)),"○",
IF(OR(COUNTA(S45:S46)&lt;&gt;2,S45&lt;S46),"×",
IF(AND(AND(OR(S45=0,S45=""),OR(S46=0,S46=""))),"○",
IF(AND(OR(S45&lt;&gt;0,S45&lt;&gt;""),OR(S46&lt;&gt;0,S46&lt;&gt;"")),"×")))))</f>
        <v>×</v>
      </c>
      <c r="T47" s="691" t="str">
        <f t="shared" ref="T47" si="49">IF(T43="","",
IF(AND(AND(COUNTA(T45:T46)=2,T45&gt;=T46)),"○",
IF(OR(COUNTA(T45:T46)&lt;&gt;2,T45&lt;T46),"×",
IF(AND(AND(OR(T45=0,T45=""),OR(T46=0,T46=""))),"○",
IF(AND(OR(T45&lt;&gt;0,T45&lt;&gt;""),OR(T46&lt;&gt;0,T46&lt;&gt;"")),"×")))))</f>
        <v>×</v>
      </c>
      <c r="U47" s="691" t="str">
        <f t="shared" ref="U47" si="50">IF(U43="","",
IF(AND(AND(COUNTA(U45:U46)=2,U45&gt;=U46)),"○",
IF(OR(COUNTA(U45:U46)&lt;&gt;2,U45&lt;U46),"×",
IF(AND(AND(OR(U45=0,U45=""),OR(U46=0,U46=""))),"○",
IF(AND(OR(U45&lt;&gt;0,U45&lt;&gt;""),OR(U46&lt;&gt;0,U46&lt;&gt;"")),"×")))))</f>
        <v>×</v>
      </c>
      <c r="V47" s="691" t="str">
        <f t="shared" ref="V47" si="51">IF(V43="","",
IF(AND(AND(COUNTA(V45:V46)=2,V45&gt;=V46)),"○",
IF(OR(COUNTA(V45:V46)&lt;&gt;2,V45&lt;V46),"×",
IF(AND(AND(OR(V45=0,V45=""),OR(V46=0,V46=""))),"○",
IF(AND(OR(V45&lt;&gt;0,V45&lt;&gt;""),OR(V46&lt;&gt;0,V46&lt;&gt;"")),"×")))))</f>
        <v>×</v>
      </c>
      <c r="W47" s="691" t="str">
        <f t="shared" ref="W47" si="52">IF(W43="","",
IF(AND(AND(COUNTA(W45:W46)=2,W45&gt;=W46)),"○",
IF(OR(COUNTA(W45:W46)&lt;&gt;2,W45&lt;W46),"×",
IF(AND(AND(OR(W45=0,W45=""),OR(W46=0,W46=""))),"○",
IF(AND(OR(W45&lt;&gt;0,W45&lt;&gt;""),OR(W46&lt;&gt;0,W46&lt;&gt;"")),"×")))))</f>
        <v>×</v>
      </c>
      <c r="X47" s="691" t="str">
        <f t="shared" ref="X47" si="53">IF(X43="","",
IF(AND(AND(COUNTA(X45:X46)=2,X45&gt;=X46)),"○",
IF(OR(COUNTA(X45:X46)&lt;&gt;2,X45&lt;X46),"×",
IF(AND(AND(OR(X45=0,X45=""),OR(X46=0,X46=""))),"○",
IF(AND(OR(X45&lt;&gt;0,X45&lt;&gt;""),OR(X46&lt;&gt;0,X46&lt;&gt;"")),"×")))))</f>
        <v>×</v>
      </c>
      <c r="Y47" s="691" t="str">
        <f t="shared" ref="Y47" si="54">IF(Y43="","",
IF(AND(AND(COUNTA(Y45:Y46)=2,Y45&gt;=Y46)),"○",
IF(OR(COUNTA(Y45:Y46)&lt;&gt;2,Y45&lt;Y46),"×",
IF(AND(AND(OR(Y45=0,Y45=""),OR(Y46=0,Y46=""))),"○",
IF(AND(OR(Y45&lt;&gt;0,Y45&lt;&gt;""),OR(Y46&lt;&gt;0,Y46&lt;&gt;"")),"×")))))</f>
        <v>×</v>
      </c>
      <c r="Z47" s="691" t="str">
        <f t="shared" ref="Z47" si="55">IF(Z43="","",
IF(AND(AND(COUNTA(Z45:Z46)=2,Z45&gt;=Z46)),"○",
IF(OR(COUNTA(Z45:Z46)&lt;&gt;2,Z45&lt;Z46),"×",
IF(AND(AND(OR(Z45=0,Z45=""),OR(Z46=0,Z46=""))),"○",
IF(AND(OR(Z45&lt;&gt;0,Z45&lt;&gt;""),OR(Z46&lt;&gt;0,Z46&lt;&gt;"")),"×")))))</f>
        <v>×</v>
      </c>
      <c r="AA47" s="691" t="str">
        <f t="shared" ref="AA47" si="56">IF(AA43="","",
IF(AND(AND(COUNTA(AA45:AA46)=2,AA45&gt;=AA46)),"○",
IF(OR(COUNTA(AA45:AA46)&lt;&gt;2,AA45&lt;AA46),"×",
IF(AND(AND(OR(AA45=0,AA45=""),OR(AA46=0,AA46=""))),"○",
IF(AND(OR(AA45&lt;&gt;0,AA45&lt;&gt;""),OR(AA46&lt;&gt;0,AA46&lt;&gt;"")),"×")))))</f>
        <v>×</v>
      </c>
      <c r="AB47" s="691" t="str">
        <f t="shared" ref="AB47" si="57">IF(AB43="","",
IF(AND(AND(COUNTA(AB45:AB46)=2,AB45&gt;=AB46)),"○",
IF(OR(COUNTA(AB45:AB46)&lt;&gt;2,AB45&lt;AB46),"×",
IF(AND(AND(OR(AB45=0,AB45=""),OR(AB46=0,AB46=""))),"○",
IF(AND(OR(AB45&lt;&gt;0,AB45&lt;&gt;""),OR(AB46&lt;&gt;0,AB46&lt;&gt;"")),"×")))))</f>
        <v>×</v>
      </c>
      <c r="AC47" s="691" t="str">
        <f t="shared" ref="AC47" si="58">IF(AC43="","",
IF(AND(AND(COUNTA(AC45:AC46)=2,AC45&gt;=AC46)),"○",
IF(OR(COUNTA(AC45:AC46)&lt;&gt;2,AC45&lt;AC46),"×",
IF(AND(AND(OR(AC45=0,AC45=""),OR(AC46=0,AC46=""))),"○",
IF(AND(OR(AC45&lt;&gt;0,AC45&lt;&gt;""),OR(AC46&lt;&gt;0,AC46&lt;&gt;"")),"×")))))</f>
        <v>×</v>
      </c>
      <c r="AD47" s="691" t="str">
        <f t="shared" ref="AD47" si="59">IF(AD43="","",
IF(AND(AND(COUNTA(AD45:AD46)=2,AD45&gt;=AD46)),"○",
IF(OR(COUNTA(AD45:AD46)&lt;&gt;2,AD45&lt;AD46),"×",
IF(AND(AND(OR(AD45=0,AD45=""),OR(AD46=0,AD46=""))),"○",
IF(AND(OR(AD45&lt;&gt;0,AD45&lt;&gt;""),OR(AD46&lt;&gt;0,AD46&lt;&gt;"")),"×")))))</f>
        <v>×</v>
      </c>
      <c r="AE47" s="691" t="str">
        <f t="shared" ref="AE47" si="60">IF(AE43="","",
IF(AND(AND(COUNTA(AE45:AE46)=2,AE45&gt;=AE46)),"○",
IF(OR(COUNTA(AE45:AE46)&lt;&gt;2,AE45&lt;AE46),"×",
IF(AND(AND(OR(AE45=0,AE45=""),OR(AE46=0,AE46=""))),"○",
IF(AND(OR(AE45&lt;&gt;0,AE45&lt;&gt;""),OR(AE46&lt;&gt;0,AE46&lt;&gt;"")),"×")))))</f>
        <v>×</v>
      </c>
      <c r="AF47" s="691" t="str">
        <f t="shared" ref="AF47" si="61">IF(AF43="","",
IF(AND(AND(COUNTA(AF45:AF46)=2,AF45&gt;=AF46)),"○",
IF(OR(COUNTA(AF45:AF46)&lt;&gt;2,AF45&lt;AF46),"×",
IF(AND(AND(OR(AF45=0,AF45=""),OR(AF46=0,AF46=""))),"○",
IF(AND(OR(AF45&lt;&gt;0,AF45&lt;&gt;""),OR(AF46&lt;&gt;0,AF46&lt;&gt;"")),"×")))))</f>
        <v>×</v>
      </c>
      <c r="AG47" s="691" t="str">
        <f t="shared" ref="AG47" si="62">IF(AG43="","",
IF(AND(AND(COUNTA(AG45:AG46)=2,AG45&gt;=AG46)),"○",
IF(OR(COUNTA(AG45:AG46)&lt;&gt;2,AG45&lt;AG46),"×",
IF(AND(AND(OR(AG45=0,AG45=""),OR(AG46=0,AG46=""))),"○",
IF(AND(OR(AG45&lt;&gt;0,AG45&lt;&gt;""),OR(AG46&lt;&gt;0,AG46&lt;&gt;"")),"×")))))</f>
        <v>×</v>
      </c>
      <c r="AH47" s="691" t="str">
        <f t="shared" ref="AH47" si="63">IF(AH43="","",
IF(AND(AND(COUNTA(AH45:AH46)=2,AH45&gt;=AH46)),"○",
IF(OR(COUNTA(AH45:AH46)&lt;&gt;2,AH45&lt;AH46),"×",
IF(AND(AND(OR(AH45=0,AH45=""),OR(AH46=0,AH46=""))),"○",
IF(AND(OR(AH45&lt;&gt;0,AH45&lt;&gt;""),OR(AH46&lt;&gt;0,AH46&lt;&gt;"")),"×")))))</f>
        <v>×</v>
      </c>
      <c r="AI47" s="691" t="str">
        <f t="shared" ref="AI47" si="64">IF(AI43="","",
IF(AND(AND(COUNTA(AI45:AI46)=2,AI45&gt;=AI46)),"○",
IF(OR(COUNTA(AI45:AI46)&lt;&gt;2,AI45&lt;AI46),"×",
IF(AND(AND(OR(AI45=0,AI45=""),OR(AI46=0,AI46=""))),"○",
IF(AND(OR(AI45&lt;&gt;0,AI45&lt;&gt;""),OR(AI46&lt;&gt;0,AI46&lt;&gt;"")),"×")))))</f>
        <v>×</v>
      </c>
      <c r="AJ47" s="691" t="str">
        <f t="shared" ref="AJ47" si="65">IF(AJ43="","",
IF(AND(AND(COUNTA(AJ45:AJ46)=2,AJ45&gt;=AJ46)),"○",
IF(OR(COUNTA(AJ45:AJ46)&lt;&gt;2,AJ45&lt;AJ46),"×",
IF(AND(AND(OR(AJ45=0,AJ45=""),OR(AJ46=0,AJ46=""))),"○",
IF(AND(OR(AJ45&lt;&gt;0,AJ45&lt;&gt;""),OR(AJ46&lt;&gt;0,AJ46&lt;&gt;"")),"×")))))</f>
        <v>×</v>
      </c>
      <c r="AK47" s="691" t="str">
        <f t="shared" ref="AK47" si="66">IF(AK43="","",
IF(AND(AND(COUNTA(AK45:AK46)=2,AK45&gt;=AK46)),"○",
IF(OR(COUNTA(AK45:AK46)&lt;&gt;2,AK45&lt;AK46),"×",
IF(AND(AND(OR(AK45=0,AK45=""),OR(AK46=0,AK46=""))),"○",
IF(AND(OR(AK45&lt;&gt;0,AK45&lt;&gt;""),OR(AK46&lt;&gt;0,AK46&lt;&gt;"")),"×")))))</f>
        <v>×</v>
      </c>
      <c r="AL47" s="691" t="str">
        <f t="shared" ref="AL47" si="67">IF(AL43="","",
IF(AND(AND(COUNTA(AL45:AL46)=2,AL45&gt;=AL46)),"○",
IF(OR(COUNTA(AL45:AL46)&lt;&gt;2,AL45&lt;AL46),"×",
IF(AND(AND(OR(AL45=0,AL45=""),OR(AL46=0,AL46=""))),"○",
IF(AND(OR(AL45&lt;&gt;0,AL45&lt;&gt;""),OR(AL46&lt;&gt;0,AL46&lt;&gt;"")),"×")))))</f>
        <v>×</v>
      </c>
      <c r="AM47" s="691" t="str">
        <f t="shared" ref="AM47" si="68">IF(AM43="","",
IF(AND(AND(COUNTA(AM45:AM46)=2,AM45&gt;=AM46)),"○",
IF(OR(COUNTA(AM45:AM46)&lt;&gt;2,AM45&lt;AM46),"×",
IF(AND(AND(OR(AM45=0,AM45=""),OR(AM46=0,AM46=""))),"○",
IF(AND(OR(AM45&lt;&gt;0,AM45&lt;&gt;""),OR(AM46&lt;&gt;0,AM46&lt;&gt;"")),"×")))))</f>
        <v>×</v>
      </c>
      <c r="AN47" s="691" t="str">
        <f>IF(AN43="","",
IF(AND(AND(COUNTA(AN45:AN46)=2,AN45&gt;=AN46)),"○",
IF(OR(COUNTA(AN45:AN46)&lt;&gt;2,AN45&lt;AN46),"×",
IF(AND(AND(OR(AN45=0,AN45=""),OR(AN46=0,AN46=""))),"○",
IF(AND(OR(AN45&lt;&gt;0,AN45&lt;&gt;""),OR(AN46&lt;&gt;0,AN46&lt;&gt;"")),"×")))))</f>
        <v>×</v>
      </c>
      <c r="AO47" s="1418" t="s">
        <v>1081</v>
      </c>
      <c r="AP47" s="1419"/>
      <c r="AQ47" s="1420"/>
      <c r="AR47" s="1418" t="s">
        <v>1081</v>
      </c>
      <c r="AS47" s="1419"/>
      <c r="AT47" s="1420"/>
      <c r="AU47" s="1480"/>
      <c r="AV47" s="680"/>
      <c r="AW47" s="680"/>
      <c r="AX47" s="324"/>
      <c r="AY47" s="324"/>
      <c r="BA47" s="236" t="str">
        <f>TEXT(H46&amp;":"&amp;J46,"hh:mm")</f>
        <v>:</v>
      </c>
      <c r="BB47" s="236" t="str">
        <f>TEXT(L46&amp;":"&amp;N46,"hh:mm")</f>
        <v>:</v>
      </c>
      <c r="BC47" s="236" t="str">
        <f>TEXT(O46&amp;":"&amp;Q46,"hh:mm")</f>
        <v>:</v>
      </c>
      <c r="BD47" s="236" t="str">
        <f>TEXT(S46&amp;":"&amp;U46,"hh:mm")</f>
        <v>:</v>
      </c>
      <c r="BE47" s="236" t="str">
        <f>TEXT(V46&amp;":"&amp;X46,"hh:mm")</f>
        <v>:</v>
      </c>
      <c r="BF47" s="236" t="str">
        <f>TEXT(Z46&amp;":"&amp;AB46,"hh:mm")</f>
        <v>:</v>
      </c>
      <c r="BG47" s="223"/>
    </row>
    <row r="48" spans="1:78" ht="18.75" thickBot="1">
      <c r="BZ48" s="238"/>
    </row>
    <row r="49" spans="1:78" ht="18" customHeight="1" thickTop="1">
      <c r="B49" s="1444" t="s">
        <v>1220</v>
      </c>
      <c r="C49" s="1445"/>
      <c r="D49" s="1445"/>
      <c r="E49" s="1445"/>
      <c r="F49" s="1445"/>
      <c r="G49" s="1445"/>
      <c r="H49" s="1445"/>
      <c r="I49" s="1446"/>
      <c r="J49" s="1473">
        <f>AA16</f>
        <v>2</v>
      </c>
      <c r="K49" s="1474"/>
      <c r="L49" s="1474"/>
      <c r="M49" s="1474"/>
      <c r="N49" s="1474"/>
      <c r="O49" s="1474"/>
      <c r="P49" s="1474"/>
      <c r="Q49" s="1474"/>
      <c r="R49" s="1474"/>
      <c r="S49" s="1474"/>
      <c r="T49" s="1474"/>
      <c r="U49" s="1474"/>
      <c r="V49" s="1474"/>
      <c r="W49" s="1474"/>
      <c r="X49" s="1474"/>
      <c r="Y49" s="1474"/>
      <c r="Z49" s="1474"/>
      <c r="AA49" s="1474"/>
      <c r="AB49" s="1474"/>
      <c r="AC49" s="1474"/>
      <c r="AD49" s="1474"/>
      <c r="AE49" s="1474"/>
      <c r="AF49" s="1474"/>
      <c r="AG49" s="1474"/>
      <c r="AH49" s="1474"/>
      <c r="AI49" s="1474"/>
      <c r="AJ49" s="1474"/>
      <c r="AK49" s="1474"/>
      <c r="AL49" s="1474"/>
      <c r="AM49" s="1474"/>
      <c r="AN49" s="1476"/>
      <c r="AO49" s="1444" t="s">
        <v>1224</v>
      </c>
      <c r="AP49" s="1445"/>
      <c r="AQ49" s="1446"/>
      <c r="AR49" s="1444" t="s">
        <v>1225</v>
      </c>
      <c r="AS49" s="1445"/>
      <c r="AT49" s="1446"/>
      <c r="AU49" s="1477" t="s">
        <v>100</v>
      </c>
      <c r="AV49" s="680"/>
      <c r="AW49" s="680"/>
      <c r="AX49" s="317"/>
      <c r="AY49" s="318"/>
      <c r="AZ49" s="680"/>
      <c r="BB49" s="223"/>
      <c r="BC49" s="231"/>
      <c r="BD49" s="680"/>
      <c r="BE49" s="680"/>
      <c r="BG49" s="680"/>
    </row>
    <row r="50" spans="1:78" ht="18" customHeight="1">
      <c r="A50" s="319" t="s">
        <v>1055</v>
      </c>
      <c r="B50" s="1447"/>
      <c r="C50" s="1460"/>
      <c r="D50" s="1460"/>
      <c r="E50" s="1460"/>
      <c r="F50" s="1460"/>
      <c r="G50" s="1460"/>
      <c r="H50" s="1460"/>
      <c r="I50" s="1449"/>
      <c r="J50" s="578">
        <f xml:space="preserve">
IF(表紙!$X$2="事前協議",DATE(2024,J49,1),
IF(表紙!$X$2="交付申請（２次）",DATE(2024,J49,1),
IF(表紙!$X$2="変更申請",DATE(2024,J49,1),
IF(表紙!$X$2="実績報告（１次）",DATE(2023,J49,1),
IF(表紙!$X$2="実績報告（２次）",DATE(2024,J49,1),
IF(表紙!$X$2="交付申請兼実績報告",DATE(2024,J49,1)))))))</f>
        <v>45323</v>
      </c>
      <c r="K50" s="579">
        <f xml:space="preserve">
IF(表紙!$X$2="事前協議",IFERROR(IF(J50+1&gt;DATE(2024,2,29),"",J50+1),""),
IF(表紙!$X$2="交付申請（２次）",IFERROR(IF(J50+1&gt;DATE(2024,2,29),"",J50+1),""),
IF(表紙!$X$2="変更申請",IFERROR(IF(J50+1&gt;DATE(2024,2,29),"",J50+1),""),
IF(表紙!$X$2="実績報告（１次）",IFERROR(IF(J50+1&gt;DATE(2023,8,31),"",J50+1),""),
IF(表紙!$X$2="実績報告（２次）",IFERROR(IF(J50+1&gt;DATE(2024,2,29),"",J50+1),""),
IF(表紙!$X$2="交付申請兼実績報告",IFERROR(IF(J50+1&gt;DATE(2024,2,29),"",J50+1),"")))))))</f>
        <v>45324</v>
      </c>
      <c r="L50" s="579">
        <f xml:space="preserve">
IF(表紙!$X$2="事前協議",IFERROR(IF(K50+1&gt;DATE(2024,2,29),"",K50+1),""),
IF(表紙!$X$2="交付申請（２次）",IFERROR(IF(K50+1&gt;DATE(2024,2,29),"",K50+1),""),
IF(表紙!$X$2="変更申請",IFERROR(IF(K50+1&gt;DATE(2024,2,29),"",K50+1),""),
IF(表紙!$X$2="実績報告（１次）",IFERROR(IF(K50+1&gt;DATE(2023,8,31),"",K50+1),""),
IF(表紙!$X$2="実績報告（２次）",IFERROR(IF(K50+1&gt;DATE(2024,2,29),"",K50+1),""),
IF(表紙!$X$2="交付申請兼実績報告",IFERROR(IF(K50+1&gt;DATE(2024,2,29),"",K50+1),"")))))))</f>
        <v>45325</v>
      </c>
      <c r="M50" s="579">
        <f xml:space="preserve">
IF(表紙!$X$2="事前協議",IFERROR(IF(L50+1&gt;DATE(2024,2,29),"",L50+1),""),
IF(表紙!$X$2="交付申請（２次）",IFERROR(IF(L50+1&gt;DATE(2024,2,29),"",L50+1),""),
IF(表紙!$X$2="変更申請",IFERROR(IF(L50+1&gt;DATE(2024,2,29),"",L50+1),""),
IF(表紙!$X$2="実績報告（１次）",IFERROR(IF(L50+1&gt;DATE(2023,8,31),"",L50+1),""),
IF(表紙!$X$2="実績報告（２次）",IFERROR(IF(L50+1&gt;DATE(2024,2,29),"",L50+1),""),
IF(表紙!$X$2="交付申請兼実績報告",IFERROR(IF(L50+1&gt;DATE(2024,2,29),"",L50+1),"")))))))</f>
        <v>45326</v>
      </c>
      <c r="N50" s="579">
        <f xml:space="preserve">
IF(表紙!$X$2="事前協議",IFERROR(IF(M50+1&gt;DATE(2024,2,29),"",M50+1),""),
IF(表紙!$X$2="交付申請（２次）",IFERROR(IF(M50+1&gt;DATE(2024,2,29),"",M50+1),""),
IF(表紙!$X$2="変更申請",IFERROR(IF(M50+1&gt;DATE(2024,2,29),"",M50+1),""),
IF(表紙!$X$2="実績報告（１次）",IFERROR(IF(M50+1&gt;DATE(2023,8,31),"",M50+1),""),
IF(表紙!$X$2="実績報告（２次）",IFERROR(IF(M50+1&gt;DATE(2024,2,29),"",M50+1),""),
IF(表紙!$X$2="交付申請兼実績報告",IFERROR(IF(M50+1&gt;DATE(2024,2,29),"",M50+1),"")))))))</f>
        <v>45327</v>
      </c>
      <c r="O50" s="579">
        <f xml:space="preserve">
IF(表紙!$X$2="事前協議",IFERROR(IF(N50+1&gt;DATE(2024,2,29),"",N50+1),""),
IF(表紙!$X$2="交付申請（２次）",IFERROR(IF(N50+1&gt;DATE(2024,2,29),"",N50+1),""),
IF(表紙!$X$2="変更申請",IFERROR(IF(N50+1&gt;DATE(2024,2,29),"",N50+1),""),
IF(表紙!$X$2="実績報告（１次）",IFERROR(IF(N50+1&gt;DATE(2023,8,31),"",N50+1),""),
IF(表紙!$X$2="実績報告（２次）",IFERROR(IF(N50+1&gt;DATE(2024,2,29),"",N50+1),""),
IF(表紙!$X$2="交付申請兼実績報告",IFERROR(IF(N50+1&gt;DATE(2024,2,29),"",N50+1),"")))))))</f>
        <v>45328</v>
      </c>
      <c r="P50" s="579">
        <f xml:space="preserve">
IF(表紙!$X$2="事前協議",IFERROR(IF(O50+1&gt;DATE(2024,2,29),"",O50+1),""),
IF(表紙!$X$2="交付申請（２次）",IFERROR(IF(O50+1&gt;DATE(2024,2,29),"",O50+1),""),
IF(表紙!$X$2="変更申請",IFERROR(IF(O50+1&gt;DATE(2024,2,29),"",O50+1),""),
IF(表紙!$X$2="実績報告（１次）",IFERROR(IF(O50+1&gt;DATE(2023,8,31),"",O50+1),""),
IF(表紙!$X$2="実績報告（２次）",IFERROR(IF(O50+1&gt;DATE(2024,2,29),"",O50+1),""),
IF(表紙!$X$2="交付申請兼実績報告",IFERROR(IF(O50+1&gt;DATE(2024,2,29),"",O50+1),"")))))))</f>
        <v>45329</v>
      </c>
      <c r="Q50" s="579">
        <f xml:space="preserve">
IF(表紙!$X$2="事前協議",IFERROR(IF(P50+1&gt;DATE(2024,2,29),"",P50+1),""),
IF(表紙!$X$2="交付申請（２次）",IFERROR(IF(P50+1&gt;DATE(2024,2,29),"",P50+1),""),
IF(表紙!$X$2="変更申請",IFERROR(IF(P50+1&gt;DATE(2024,2,29),"",P50+1),""),
IF(表紙!$X$2="実績報告（１次）",IFERROR(IF(P50+1&gt;DATE(2023,8,31),"",P50+1),""),
IF(表紙!$X$2="実績報告（２次）",IFERROR(IF(P50+1&gt;DATE(2024,2,29),"",P50+1),""),
IF(表紙!$X$2="交付申請兼実績報告",IFERROR(IF(P50+1&gt;DATE(2024,2,29),"",P50+1),"")))))))</f>
        <v>45330</v>
      </c>
      <c r="R50" s="579">
        <f xml:space="preserve">
IF(表紙!$X$2="事前協議",IFERROR(IF(Q50+1&gt;DATE(2024,2,29),"",Q50+1),""),
IF(表紙!$X$2="交付申請（２次）",IFERROR(IF(Q50+1&gt;DATE(2024,2,29),"",Q50+1),""),
IF(表紙!$X$2="変更申請",IFERROR(IF(Q50+1&gt;DATE(2024,2,29),"",Q50+1),""),
IF(表紙!$X$2="実績報告（１次）",IFERROR(IF(Q50+1&gt;DATE(2023,8,31),"",Q50+1),""),
IF(表紙!$X$2="実績報告（２次）",IFERROR(IF(Q50+1&gt;DATE(2024,2,29),"",Q50+1),""),
IF(表紙!$X$2="交付申請兼実績報告",IFERROR(IF(Q50+1&gt;DATE(2024,2,29),"",Q50+1),"")))))))</f>
        <v>45331</v>
      </c>
      <c r="S50" s="579">
        <f xml:space="preserve">
IF(表紙!$X$2="事前協議",IFERROR(IF(R50+1&gt;DATE(2024,2,29),"",R50+1),""),
IF(表紙!$X$2="交付申請（２次）",IFERROR(IF(R50+1&gt;DATE(2024,2,29),"",R50+1),""),
IF(表紙!$X$2="変更申請",IFERROR(IF(R50+1&gt;DATE(2024,2,29),"",R50+1),""),
IF(表紙!$X$2="実績報告（１次）",IFERROR(IF(R50+1&gt;DATE(2023,8,31),"",R50+1),""),
IF(表紙!$X$2="実績報告（２次）",IFERROR(IF(R50+1&gt;DATE(2024,2,29),"",R50+1),""),
IF(表紙!$X$2="交付申請兼実績報告",IFERROR(IF(R50+1&gt;DATE(2024,2,29),"",R50+1),"")))))))</f>
        <v>45332</v>
      </c>
      <c r="T50" s="579">
        <f xml:space="preserve">
IF(表紙!$X$2="事前協議",IFERROR(IF(S50+1&gt;DATE(2024,2,29),"",S50+1),""),
IF(表紙!$X$2="交付申請（２次）",IFERROR(IF(S50+1&gt;DATE(2024,2,29),"",S50+1),""),
IF(表紙!$X$2="変更申請",IFERROR(IF(S50+1&gt;DATE(2024,2,29),"",S50+1),""),
IF(表紙!$X$2="実績報告（１次）",IFERROR(IF(S50+1&gt;DATE(2023,8,31),"",S50+1),""),
IF(表紙!$X$2="実績報告（２次）",IFERROR(IF(S50+1&gt;DATE(2024,2,29),"",S50+1),""),
IF(表紙!$X$2="交付申請兼実績報告",IFERROR(IF(S50+1&gt;DATE(2024,2,29),"",S50+1),"")))))))</f>
        <v>45333</v>
      </c>
      <c r="U50" s="579">
        <f xml:space="preserve">
IF(表紙!$X$2="事前協議",IFERROR(IF(T50+1&gt;DATE(2024,2,29),"",T50+1),""),
IF(表紙!$X$2="交付申請（２次）",IFERROR(IF(T50+1&gt;DATE(2024,2,29),"",T50+1),""),
IF(表紙!$X$2="変更申請",IFERROR(IF(T50+1&gt;DATE(2024,2,29),"",T50+1),""),
IF(表紙!$X$2="実績報告（１次）",IFERROR(IF(T50+1&gt;DATE(2023,8,31),"",T50+1),""),
IF(表紙!$X$2="実績報告（２次）",IFERROR(IF(T50+1&gt;DATE(2024,2,29),"",T50+1),""),
IF(表紙!$X$2="交付申請兼実績報告",IFERROR(IF(T50+1&gt;DATE(2024,2,29),"",T50+1),"")))))))</f>
        <v>45334</v>
      </c>
      <c r="V50" s="579">
        <f xml:space="preserve">
IF(表紙!$X$2="事前協議",IFERROR(IF(U50+1&gt;DATE(2024,2,29),"",U50+1),""),
IF(表紙!$X$2="交付申請（２次）",IFERROR(IF(U50+1&gt;DATE(2024,2,29),"",U50+1),""),
IF(表紙!$X$2="変更申請",IFERROR(IF(U50+1&gt;DATE(2024,2,29),"",U50+1),""),
IF(表紙!$X$2="実績報告（１次）",IFERROR(IF(U50+1&gt;DATE(2023,8,31),"",U50+1),""),
IF(表紙!$X$2="実績報告（２次）",IFERROR(IF(U50+1&gt;DATE(2024,2,29),"",U50+1),""),
IF(表紙!$X$2="交付申請兼実績報告",IFERROR(IF(U50+1&gt;DATE(2024,2,29),"",U50+1),"")))))))</f>
        <v>45335</v>
      </c>
      <c r="W50" s="579">
        <f xml:space="preserve">
IF(表紙!$X$2="事前協議",IFERROR(IF(V50+1&gt;DATE(2024,2,29),"",V50+1),""),
IF(表紙!$X$2="交付申請（２次）",IFERROR(IF(V50+1&gt;DATE(2024,2,29),"",V50+1),""),
IF(表紙!$X$2="変更申請",IFERROR(IF(V50+1&gt;DATE(2024,2,29),"",V50+1),""),
IF(表紙!$X$2="実績報告（１次）",IFERROR(IF(V50+1&gt;DATE(2023,8,31),"",V50+1),""),
IF(表紙!$X$2="実績報告（２次）",IFERROR(IF(V50+1&gt;DATE(2024,2,29),"",V50+1),""),
IF(表紙!$X$2="交付申請兼実績報告",IFERROR(IF(V50+1&gt;DATE(2024,2,29),"",V50+1),"")))))))</f>
        <v>45336</v>
      </c>
      <c r="X50" s="579">
        <f xml:space="preserve">
IF(表紙!$X$2="事前協議",IFERROR(IF(W50+1&gt;DATE(2024,2,29),"",W50+1),""),
IF(表紙!$X$2="交付申請（２次）",IFERROR(IF(W50+1&gt;DATE(2024,2,29),"",W50+1),""),
IF(表紙!$X$2="変更申請",IFERROR(IF(W50+1&gt;DATE(2024,2,29),"",W50+1),""),
IF(表紙!$X$2="実績報告（１次）",IFERROR(IF(W50+1&gt;DATE(2023,8,31),"",W50+1),""),
IF(表紙!$X$2="実績報告（２次）",IFERROR(IF(W50+1&gt;DATE(2024,2,29),"",W50+1),""),
IF(表紙!$X$2="交付申請兼実績報告",IFERROR(IF(W50+1&gt;DATE(2024,2,29),"",W50+1),"")))))))</f>
        <v>45337</v>
      </c>
      <c r="Y50" s="579">
        <f xml:space="preserve">
IF(表紙!$X$2="事前協議",IFERROR(IF(X50+1&gt;DATE(2024,2,29),"",X50+1),""),
IF(表紙!$X$2="交付申請（２次）",IFERROR(IF(X50+1&gt;DATE(2024,2,29),"",X50+1),""),
IF(表紙!$X$2="変更申請",IFERROR(IF(X50+1&gt;DATE(2024,2,29),"",X50+1),""),
IF(表紙!$X$2="実績報告（１次）",IFERROR(IF(X50+1&gt;DATE(2023,8,31),"",X50+1),""),
IF(表紙!$X$2="実績報告（２次）",IFERROR(IF(X50+1&gt;DATE(2024,2,29),"",X50+1),""),
IF(表紙!$X$2="交付申請兼実績報告",IFERROR(IF(X50+1&gt;DATE(2024,2,29),"",X50+1),"")))))))</f>
        <v>45338</v>
      </c>
      <c r="Z50" s="579">
        <f xml:space="preserve">
IF(表紙!$X$2="事前協議",IFERROR(IF(Y50+1&gt;DATE(2024,2,29),"",Y50+1),""),
IF(表紙!$X$2="交付申請（２次）",IFERROR(IF(Y50+1&gt;DATE(2024,2,29),"",Y50+1),""),
IF(表紙!$X$2="変更申請",IFERROR(IF(Y50+1&gt;DATE(2024,2,29),"",Y50+1),""),
IF(表紙!$X$2="実績報告（１次）",IFERROR(IF(Y50+1&gt;DATE(2023,8,31),"",Y50+1),""),
IF(表紙!$X$2="実績報告（２次）",IFERROR(IF(Y50+1&gt;DATE(2024,2,29),"",Y50+1),""),
IF(表紙!$X$2="交付申請兼実績報告",IFERROR(IF(Y50+1&gt;DATE(2024,2,29),"",Y50+1),"")))))))</f>
        <v>45339</v>
      </c>
      <c r="AA50" s="579">
        <f xml:space="preserve">
IF(表紙!$X$2="事前協議",IFERROR(IF(Z50+1&gt;DATE(2024,2,29),"",Z50+1),""),
IF(表紙!$X$2="交付申請（２次）",IFERROR(IF(Z50+1&gt;DATE(2024,2,29),"",Z50+1),""),
IF(表紙!$X$2="変更申請",IFERROR(IF(Z50+1&gt;DATE(2024,2,29),"",Z50+1),""),
IF(表紙!$X$2="実績報告（１次）",IFERROR(IF(Z50+1&gt;DATE(2023,8,31),"",Z50+1),""),
IF(表紙!$X$2="実績報告（２次）",IFERROR(IF(Z50+1&gt;DATE(2024,2,29),"",Z50+1),""),
IF(表紙!$X$2="交付申請兼実績報告",IFERROR(IF(Z50+1&gt;DATE(2024,2,29),"",Z50+1),"")))))))</f>
        <v>45340</v>
      </c>
      <c r="AB50" s="579">
        <f xml:space="preserve">
IF(表紙!$X$2="事前協議",IFERROR(IF(AA50+1&gt;DATE(2024,2,29),"",AA50+1),""),
IF(表紙!$X$2="交付申請（２次）",IFERROR(IF(AA50+1&gt;DATE(2024,2,29),"",AA50+1),""),
IF(表紙!$X$2="変更申請",IFERROR(IF(AA50+1&gt;DATE(2024,2,29),"",AA50+1),""),
IF(表紙!$X$2="実績報告（１次）",IFERROR(IF(AA50+1&gt;DATE(2023,8,31),"",AA50+1),""),
IF(表紙!$X$2="実績報告（２次）",IFERROR(IF(AA50+1&gt;DATE(2024,2,29),"",AA50+1),""),
IF(表紙!$X$2="交付申請兼実績報告",IFERROR(IF(AA50+1&gt;DATE(2024,2,29),"",AA50+1),"")))))))</f>
        <v>45341</v>
      </c>
      <c r="AC50" s="579">
        <f xml:space="preserve">
IF(表紙!$X$2="事前協議",IFERROR(IF(AB50+1&gt;DATE(2024,2,29),"",AB50+1),""),
IF(表紙!$X$2="交付申請（２次）",IFERROR(IF(AB50+1&gt;DATE(2024,2,29),"",AB50+1),""),
IF(表紙!$X$2="変更申請",IFERROR(IF(AB50+1&gt;DATE(2024,2,29),"",AB50+1),""),
IF(表紙!$X$2="実績報告（１次）",IFERROR(IF(AB50+1&gt;DATE(2023,8,31),"",AB50+1),""),
IF(表紙!$X$2="実績報告（２次）",IFERROR(IF(AB50+1&gt;DATE(2024,2,29),"",AB50+1),""),
IF(表紙!$X$2="交付申請兼実績報告",IFERROR(IF(AB50+1&gt;DATE(2024,2,29),"",AB50+1),"")))))))</f>
        <v>45342</v>
      </c>
      <c r="AD50" s="579">
        <f xml:space="preserve">
IF(表紙!$X$2="事前協議",IFERROR(IF(AC50+1&gt;DATE(2024,2,29),"",AC50+1),""),
IF(表紙!$X$2="交付申請（２次）",IFERROR(IF(AC50+1&gt;DATE(2024,2,29),"",AC50+1),""),
IF(表紙!$X$2="変更申請",IFERROR(IF(AC50+1&gt;DATE(2024,2,29),"",AC50+1),""),
IF(表紙!$X$2="実績報告（１次）",IFERROR(IF(AC50+1&gt;DATE(2023,8,31),"",AC50+1),""),
IF(表紙!$X$2="実績報告（２次）",IFERROR(IF(AC50+1&gt;DATE(2024,2,29),"",AC50+1),""),
IF(表紙!$X$2="交付申請兼実績報告",IFERROR(IF(AC50+1&gt;DATE(2024,2,29),"",AC50+1),"")))))))</f>
        <v>45343</v>
      </c>
      <c r="AE50" s="579">
        <f xml:space="preserve">
IF(表紙!$X$2="事前協議",IFERROR(IF(AD50+1&gt;DATE(2024,2,29),"",AD50+1),""),
IF(表紙!$X$2="交付申請（２次）",IFERROR(IF(AD50+1&gt;DATE(2024,2,29),"",AD50+1),""),
IF(表紙!$X$2="変更申請",IFERROR(IF(AD50+1&gt;DATE(2024,2,29),"",AD50+1),""),
IF(表紙!$X$2="実績報告（１次）",IFERROR(IF(AD50+1&gt;DATE(2023,8,31),"",AD50+1),""),
IF(表紙!$X$2="実績報告（２次）",IFERROR(IF(AD50+1&gt;DATE(2024,2,29),"",AD50+1),""),
IF(表紙!$X$2="交付申請兼実績報告",IFERROR(IF(AD50+1&gt;DATE(2024,2,29),"",AD50+1),"")))))))</f>
        <v>45344</v>
      </c>
      <c r="AF50" s="579">
        <f xml:space="preserve">
IF(表紙!$X$2="事前協議",IFERROR(IF(AE50+1&gt;DATE(2024,2,29),"",AE50+1),""),
IF(表紙!$X$2="交付申請（２次）",IFERROR(IF(AE50+1&gt;DATE(2024,2,29),"",AE50+1),""),
IF(表紙!$X$2="変更申請",IFERROR(IF(AE50+1&gt;DATE(2024,2,29),"",AE50+1),""),
IF(表紙!$X$2="実績報告（１次）",IFERROR(IF(AE50+1&gt;DATE(2023,8,31),"",AE50+1),""),
IF(表紙!$X$2="実績報告（２次）",IFERROR(IF(AE50+1&gt;DATE(2024,2,29),"",AE50+1),""),
IF(表紙!$X$2="交付申請兼実績報告",IFERROR(IF(AE50+1&gt;DATE(2024,2,29),"",AE50+1),"")))))))</f>
        <v>45345</v>
      </c>
      <c r="AG50" s="579">
        <f xml:space="preserve">
IF(表紙!$X$2="事前協議",IFERROR(IF(AF50+1&gt;DATE(2024,2,29),"",AF50+1),""),
IF(表紙!$X$2="交付申請（２次）",IFERROR(IF(AF50+1&gt;DATE(2024,2,29),"",AF50+1),""),
IF(表紙!$X$2="変更申請",IFERROR(IF(AF50+1&gt;DATE(2024,2,29),"",AF50+1),""),
IF(表紙!$X$2="実績報告（１次）",IFERROR(IF(AF50+1&gt;DATE(2023,8,31),"",AF50+1),""),
IF(表紙!$X$2="実績報告（２次）",IFERROR(IF(AF50+1&gt;DATE(2024,2,29),"",AF50+1),""),
IF(表紙!$X$2="交付申請兼実績報告",IFERROR(IF(AF50+1&gt;DATE(2024,2,29),"",AF50+1),"")))))))</f>
        <v>45346</v>
      </c>
      <c r="AH50" s="579">
        <f xml:space="preserve">
IF(表紙!$X$2="事前協議",IFERROR(IF(AG50+1&gt;DATE(2024,2,29),"",AG50+1),""),
IF(表紙!$X$2="交付申請（２次）",IFERROR(IF(AG50+1&gt;DATE(2024,2,29),"",AG50+1),""),
IF(表紙!$X$2="変更申請",IFERROR(IF(AG50+1&gt;DATE(2024,2,29),"",AG50+1),""),
IF(表紙!$X$2="実績報告（１次）",IFERROR(IF(AG50+1&gt;DATE(2023,8,31),"",AG50+1),""),
IF(表紙!$X$2="実績報告（２次）",IFERROR(IF(AG50+1&gt;DATE(2024,2,29),"",AG50+1),""),
IF(表紙!$X$2="交付申請兼実績報告",IFERROR(IF(AG50+1&gt;DATE(2024,2,29),"",AG50+1),"")))))))</f>
        <v>45347</v>
      </c>
      <c r="AI50" s="579">
        <f xml:space="preserve">
IF(表紙!$X$2="事前協議",IFERROR(IF(AH50+1&gt;DATE(2024,2,29),"",AH50+1),""),
IF(表紙!$X$2="交付申請（２次）",IFERROR(IF(AH50+1&gt;DATE(2024,2,29),"",AH50+1),""),
IF(表紙!$X$2="変更申請",IFERROR(IF(AH50+1&gt;DATE(2024,2,29),"",AH50+1),""),
IF(表紙!$X$2="実績報告（１次）",IFERROR(IF(AH50+1&gt;DATE(2023,8,31),"",AH50+1),""),
IF(表紙!$X$2="実績報告（２次）",IFERROR(IF(AH50+1&gt;DATE(2024,2,29),"",AH50+1),""),
IF(表紙!$X$2="交付申請兼実績報告",IFERROR(IF(AH50+1&gt;DATE(2024,2,29),"",AH50+1),"")))))))</f>
        <v>45348</v>
      </c>
      <c r="AJ50" s="579">
        <f xml:space="preserve">
IF(表紙!$X$2="事前協議",IFERROR(IF(AI50+1&gt;DATE(2024,2,29),"",AI50+1),""),
IF(表紙!$X$2="交付申請（２次）",IFERROR(IF(AI50+1&gt;DATE(2024,2,29),"",AI50+1),""),
IF(表紙!$X$2="変更申請",IFERROR(IF(AI50+1&gt;DATE(2024,2,29),"",AI50+1),""),
IF(表紙!$X$2="実績報告（１次）",IFERROR(IF(AI50+1&gt;DATE(2023,8,31),"",AI50+1),""),
IF(表紙!$X$2="実績報告（２次）",IFERROR(IF(AI50+1&gt;DATE(2024,2,29),"",AI50+1),""),
IF(表紙!$X$2="交付申請兼実績報告",IFERROR(IF(AI50+1&gt;DATE(2024,2,29),"",AI50+1),"")))))))</f>
        <v>45349</v>
      </c>
      <c r="AK50" s="579">
        <f xml:space="preserve">
IF(表紙!$X$2="事前協議",IFERROR(IF(AJ50+1&gt;DATE(2024,2,29),"",AJ50+1),""),
IF(表紙!$X$2="交付申請（２次）",IFERROR(IF(AJ50+1&gt;DATE(2024,2,29),"",AJ50+1),""),
IF(表紙!$X$2="変更申請",IFERROR(IF(AJ50+1&gt;DATE(2024,2,29),"",AJ50+1),""),
IF(表紙!$X$2="実績報告（１次）",IFERROR(IF(AJ50+1&gt;DATE(2023,8,31),"",AJ50+1),""),
IF(表紙!$X$2="実績報告（２次）",IFERROR(IF(AJ50+1&gt;DATE(2024,2,29),"",AJ50+1),""),
IF(表紙!$X$2="交付申請兼実績報告",IFERROR(IF(AJ50+1&gt;DATE(2024,2,29),"",AJ50+1),"")))))))</f>
        <v>45350</v>
      </c>
      <c r="AL50" s="579">
        <f xml:space="preserve">
IF(表紙!$X$2="事前協議",IFERROR(IF(AK50+1&gt;DATE(2024,2,29),"",AK50+1),""),
IF(表紙!$X$2="交付申請（２次）",IFERROR(IF(AK50+1&gt;DATE(2024,2,29),"",AK50+1),""),
IF(表紙!$X$2="変更申請",IFERROR(IF(AK50+1&gt;DATE(2024,2,29),"",AK50+1),""),
IF(表紙!$X$2="実績報告（１次）",IFERROR(IF(AK50+1&gt;DATE(2023,8,31),"",AK50+1),""),
IF(表紙!$X$2="実績報告（２次）",IFERROR(IF(AK50+1&gt;DATE(2024,2,29),"",AK50+1),""),
IF(表紙!$X$2="交付申請兼実績報告",IFERROR(IF(AK50+1&gt;DATE(2024,2,29),"",AK50+1),"")))))))</f>
        <v>45351</v>
      </c>
      <c r="AM50" s="579" t="str">
        <f xml:space="preserve">
IF(表紙!$X$2="事前協議",IFERROR(IF(AL50+1&gt;DATE(2024,2,29),"",AL50+1),""),
IF(表紙!$X$2="交付申請（２次）",IFERROR(IF(AL50+1&gt;DATE(2024,2,29),"",AL50+1),""),
IF(表紙!$X$2="変更申請",IFERROR(IF(AL50+1&gt;DATE(2024,2,29),"",AL50+1),""),
IF(表紙!$X$2="実績報告（１次）",IFERROR(IF(AL50+1&gt;DATE(2023,8,31),"",AL50+1),""),
IF(表紙!$X$2="実績報告（２次）",IFERROR(IF(AL50+1&gt;DATE(2024,2,29),"",AL50+1),""),
IF(表紙!$X$2="交付申請兼実績報告",IFERROR(IF(AL50+1&gt;DATE(2024,2,29),"",AL50+1),"")))))))</f>
        <v/>
      </c>
      <c r="AN50" s="579" t="str">
        <f xml:space="preserve">
IF(表紙!$X$2="事前協議",IFERROR(IF(AM50+1&gt;DATE(2024,2,29),"",AM50+1),""),
IF(表紙!$X$2="交付申請（２次）",IFERROR(IF(AM50+1&gt;DATE(2024,2,29),"",AM50+1),""),
IF(表紙!$X$2="変更申請",IFERROR(IF(AM50+1&gt;DATE(2024,2,29),"",AM50+1),""),
IF(表紙!$X$2="実績報告（１次）",IFERROR(IF(AM50+1&gt;DATE(2023,8,31),"",AM50+1),""),
IF(表紙!$X$2="実績報告（２次）",IFERROR(IF(AM50+1&gt;DATE(2024,2,29),"",AM50+1),""),
IF(表紙!$X$2="交付申請兼実績報告",IFERROR(IF(AM50+1&gt;DATE(2024,2,29),"",AM50+1),"")))))))</f>
        <v/>
      </c>
      <c r="AO50" s="1447"/>
      <c r="AP50" s="1448"/>
      <c r="AQ50" s="1449"/>
      <c r="AR50" s="1447"/>
      <c r="AS50" s="1448"/>
      <c r="AT50" s="1449"/>
      <c r="AU50" s="1386"/>
      <c r="AV50" s="680"/>
      <c r="AW50" s="680"/>
      <c r="AX50" s="320"/>
      <c r="AY50" s="320"/>
      <c r="BA50" s="236" t="str">
        <f>TEXT(H50&amp;":"&amp;J50,"hh:mm")</f>
        <v>:45323</v>
      </c>
      <c r="BB50" s="236" t="str">
        <f>TEXT(L50&amp;":"&amp;N50,"hh:mm")</f>
        <v>45325:45327</v>
      </c>
      <c r="BC50" s="236" t="str">
        <f>TEXT(O50&amp;":"&amp;Q50,"hh:mm")</f>
        <v>45328:45330</v>
      </c>
      <c r="BD50" s="236" t="str">
        <f>TEXT(S50&amp;":"&amp;U50,"hh:mm")</f>
        <v>45332:45334</v>
      </c>
      <c r="BE50" s="236" t="str">
        <f>TEXT(V50&amp;":"&amp;X50,"hh:mm")</f>
        <v>45335:45337</v>
      </c>
      <c r="BF50" s="236" t="str">
        <f>TEXT(Z50&amp;":"&amp;AB50,"hh:mm")</f>
        <v>45339:45341</v>
      </c>
      <c r="BG50" s="680"/>
    </row>
    <row r="51" spans="1:78" ht="18" customHeight="1" thickBot="1">
      <c r="A51" s="321" t="s">
        <v>1057</v>
      </c>
      <c r="B51" s="1461"/>
      <c r="C51" s="1462"/>
      <c r="D51" s="1462"/>
      <c r="E51" s="1462"/>
      <c r="F51" s="1462"/>
      <c r="G51" s="1462"/>
      <c r="H51" s="1462"/>
      <c r="I51" s="1463"/>
      <c r="J51" s="322" t="str">
        <f>TEXT(J50,"aaa")</f>
        <v>木</v>
      </c>
      <c r="K51" s="323" t="str">
        <f>TEXT(K50,"aaa")</f>
        <v>金</v>
      </c>
      <c r="L51" s="323" t="str">
        <f t="shared" ref="L51" si="69">TEXT(L50,"aaa")</f>
        <v>土</v>
      </c>
      <c r="M51" s="323" t="str">
        <f t="shared" ref="M51" si="70">TEXT(M50,"aaa")</f>
        <v>日</v>
      </c>
      <c r="N51" s="323" t="str">
        <f t="shared" ref="N51" si="71">TEXT(N50,"aaa")</f>
        <v>月</v>
      </c>
      <c r="O51" s="323" t="str">
        <f t="shared" ref="O51" si="72">TEXT(O50,"aaa")</f>
        <v>火</v>
      </c>
      <c r="P51" s="323" t="str">
        <f t="shared" ref="P51" si="73">TEXT(P50,"aaa")</f>
        <v>水</v>
      </c>
      <c r="Q51" s="323" t="str">
        <f t="shared" ref="Q51" si="74">TEXT(Q50,"aaa")</f>
        <v>木</v>
      </c>
      <c r="R51" s="323" t="str">
        <f t="shared" ref="R51" si="75">TEXT(R50,"aaa")</f>
        <v>金</v>
      </c>
      <c r="S51" s="323" t="str">
        <f t="shared" ref="S51" si="76">TEXT(S50,"aaa")</f>
        <v>土</v>
      </c>
      <c r="T51" s="323" t="str">
        <f t="shared" ref="T51" si="77">TEXT(T50,"aaa")</f>
        <v>日</v>
      </c>
      <c r="U51" s="323" t="str">
        <f t="shared" ref="U51" si="78">TEXT(U50,"aaa")</f>
        <v>月</v>
      </c>
      <c r="V51" s="323" t="str">
        <f t="shared" ref="V51" si="79">TEXT(V50,"aaa")</f>
        <v>火</v>
      </c>
      <c r="W51" s="323" t="str">
        <f t="shared" ref="W51" si="80">TEXT(W50,"aaa")</f>
        <v>水</v>
      </c>
      <c r="X51" s="323" t="str">
        <f t="shared" ref="X51" si="81">TEXT(X50,"aaa")</f>
        <v>木</v>
      </c>
      <c r="Y51" s="323" t="str">
        <f t="shared" ref="Y51" si="82">TEXT(Y50,"aaa")</f>
        <v>金</v>
      </c>
      <c r="Z51" s="323" t="str">
        <f t="shared" ref="Z51" si="83">TEXT(Z50,"aaa")</f>
        <v>土</v>
      </c>
      <c r="AA51" s="323" t="str">
        <f t="shared" ref="AA51" si="84">TEXT(AA50,"aaa")</f>
        <v>日</v>
      </c>
      <c r="AB51" s="323" t="str">
        <f t="shared" ref="AB51" si="85">TEXT(AB50,"aaa")</f>
        <v>月</v>
      </c>
      <c r="AC51" s="323" t="str">
        <f t="shared" ref="AC51" si="86">TEXT(AC50,"aaa")</f>
        <v>火</v>
      </c>
      <c r="AD51" s="323" t="str">
        <f t="shared" ref="AD51" si="87">TEXT(AD50,"aaa")</f>
        <v>水</v>
      </c>
      <c r="AE51" s="323" t="str">
        <f t="shared" ref="AE51" si="88">TEXT(AE50,"aaa")</f>
        <v>木</v>
      </c>
      <c r="AF51" s="323" t="str">
        <f t="shared" ref="AF51" si="89">TEXT(AF50,"aaa")</f>
        <v>金</v>
      </c>
      <c r="AG51" s="323" t="str">
        <f t="shared" ref="AG51" si="90">TEXT(AG50,"aaa")</f>
        <v>土</v>
      </c>
      <c r="AH51" s="323" t="str">
        <f t="shared" ref="AH51" si="91">TEXT(AH50,"aaa")</f>
        <v>日</v>
      </c>
      <c r="AI51" s="323" t="str">
        <f t="shared" ref="AI51" si="92">TEXT(AI50,"aaa")</f>
        <v>月</v>
      </c>
      <c r="AJ51" s="323" t="str">
        <f t="shared" ref="AJ51" si="93">TEXT(AJ50,"aaa")</f>
        <v>火</v>
      </c>
      <c r="AK51" s="323" t="str">
        <f t="shared" ref="AK51" si="94">TEXT(AK50,"aaa")</f>
        <v>水</v>
      </c>
      <c r="AL51" s="323" t="str">
        <f t="shared" ref="AL51" si="95">TEXT(AL50,"aaa")</f>
        <v>木</v>
      </c>
      <c r="AM51" s="323" t="str">
        <f t="shared" ref="AM51" si="96">TEXT(AM50,"aaa")</f>
        <v/>
      </c>
      <c r="AN51" s="323" t="str">
        <f t="shared" ref="AN51" si="97">TEXT(AN50,"aaa")</f>
        <v/>
      </c>
      <c r="AO51" s="1438" t="str">
        <f xml:space="preserve">
IF(AU52="×","×",
IF(表紙!$X$2="事前協議",COUNTIF(J52:AL52,"&gt;0"),
IF(表紙!$X$2="交付申請（２次）",COUNTIF(J52:AL52,"&gt;0"),
IF(表紙!$X$2="変更申請",COUNTIF(J52:AL52,"&gt;0"),
IF(表紙!$X$2="実績報告（１次）",COUNTIF(J52:AN52,"&gt;0"),
IF(表紙!$X$2="実績報告（２次）",COUNTIF(J52:AL52,"&gt;0"),
IF(表紙!$X$2="交付申請兼実績報告",COUNTIF(J52:AL52,"&gt;0"))))))))</f>
        <v>×</v>
      </c>
      <c r="AP51" s="1439"/>
      <c r="AQ51" s="1440"/>
      <c r="AR51" s="1438" t="s">
        <v>1081</v>
      </c>
      <c r="AS51" s="1439"/>
      <c r="AT51" s="1440"/>
      <c r="AU51" s="1386"/>
      <c r="AV51" s="680"/>
      <c r="AW51" s="680"/>
      <c r="AX51" s="320"/>
      <c r="AY51" s="320"/>
      <c r="BA51" s="236" t="str">
        <f>TEXT(H51&amp;":"&amp;J51,"hh:mm")</f>
        <v>:木</v>
      </c>
      <c r="BB51" s="236" t="str">
        <f>TEXT(L51&amp;":"&amp;N51,"hh:mm")</f>
        <v>土:月</v>
      </c>
      <c r="BC51" s="236" t="str">
        <f>TEXT(O51&amp;":"&amp;Q51,"hh:mm")</f>
        <v>火:木</v>
      </c>
      <c r="BD51" s="236" t="str">
        <f>TEXT(S51&amp;":"&amp;U51,"hh:mm")</f>
        <v>土:月</v>
      </c>
      <c r="BE51" s="236" t="str">
        <f>TEXT(V51&amp;":"&amp;X51,"hh:mm")</f>
        <v>火:木</v>
      </c>
      <c r="BF51" s="236" t="str">
        <f>TEXT(Z51&amp;":"&amp;AB51,"hh:mm")</f>
        <v>土:月</v>
      </c>
      <c r="BG51" s="223"/>
    </row>
    <row r="52" spans="1:78" ht="18" customHeight="1" thickTop="1">
      <c r="A52" s="321" t="s">
        <v>1060</v>
      </c>
      <c r="B52" s="1481" t="s">
        <v>1181</v>
      </c>
      <c r="C52" s="1482"/>
      <c r="D52" s="1482"/>
      <c r="E52" s="1482"/>
      <c r="F52" s="1482"/>
      <c r="G52" s="1482"/>
      <c r="H52" s="1482"/>
      <c r="I52" s="1483"/>
      <c r="J52" s="305"/>
      <c r="K52" s="306"/>
      <c r="L52" s="306"/>
      <c r="M52" s="306"/>
      <c r="N52" s="306"/>
      <c r="O52" s="306"/>
      <c r="P52" s="306"/>
      <c r="Q52" s="306"/>
      <c r="R52" s="306"/>
      <c r="S52" s="306"/>
      <c r="T52" s="306"/>
      <c r="U52" s="306"/>
      <c r="V52" s="306"/>
      <c r="W52" s="306"/>
      <c r="X52" s="306"/>
      <c r="Y52" s="306"/>
      <c r="Z52" s="306"/>
      <c r="AA52" s="306"/>
      <c r="AB52" s="306"/>
      <c r="AC52" s="306"/>
      <c r="AD52" s="306"/>
      <c r="AE52" s="306"/>
      <c r="AF52" s="306"/>
      <c r="AG52" s="306"/>
      <c r="AH52" s="306"/>
      <c r="AI52" s="306"/>
      <c r="AJ52" s="306"/>
      <c r="AK52" s="306"/>
      <c r="AL52" s="306"/>
      <c r="AM52" s="307"/>
      <c r="AN52" s="307"/>
      <c r="AO52" s="1484" t="str">
        <f xml:space="preserve">
IF(AU52="×","×",
IF(表紙!$X$2="事前協議",SUM(J52:AL52),
IF(表紙!$X$2="交付申請（２次）",SUM(J52:AL52),
IF(表紙!$X$2="変更申請",SUM(J52:AL52),
IF(表紙!$X$2="実績報告（１次）",SUM(J52:AN52),
IF(表紙!$X$2="実績報告（２次）",SUM(J52:AL52),
IF(表紙!$X$2="交付申請兼実績報告",SUM(J52:AL52))))))))</f>
        <v>×</v>
      </c>
      <c r="AP52" s="1485"/>
      <c r="AQ52" s="1486"/>
      <c r="AR52" s="1450" t="str">
        <f>IF(AU52="○",ROUNDDOWN(AO52/AO51,1),"×")</f>
        <v>×</v>
      </c>
      <c r="AS52" s="1451"/>
      <c r="AT52" s="1452"/>
      <c r="AU52" s="1478" t="str">
        <f xml:space="preserve">
IF(AND(表紙!$X$2="事前協議",COUNTIF(J54:AL54,"○")=29),"○",
IF(AND(表紙!$X$2="交付申請（２次）",COUNTIF(J54:AL54,"○")=29),"○",
IF(AND(表紙!$X$2="変更申請",COUNTIF(J54:AL54,"○")=29),"○",
IF(AND(表紙!$X$2="実績報告（１次）",COUNTIF(J54:AN54,"○")=31),"○",
IF(AND(表紙!$X$2="実績報告（２次）",COUNTIF(J54:AL54,"○")=29),"○",
IF(AND(表紙!$X$2="交付申請兼実績報告",COUNTIF(J54:AL54,"○")=29),"○","×"))))))</f>
        <v>×</v>
      </c>
      <c r="AV52" s="680"/>
      <c r="AW52" s="680"/>
      <c r="AX52" s="320"/>
      <c r="AY52" s="320"/>
      <c r="BA52" s="236" t="e">
        <f>TEXT(#REF!&amp;":"&amp;#REF!,"hh:mm")</f>
        <v>#REF!</v>
      </c>
      <c r="BB52" s="236" t="e">
        <f>TEXT(#REF!&amp;":"&amp;#REF!,"hh:mm")</f>
        <v>#REF!</v>
      </c>
      <c r="BC52" s="236" t="e">
        <f>TEXT(#REF!&amp;":"&amp;#REF!,"hh:mm")</f>
        <v>#REF!</v>
      </c>
      <c r="BD52" s="236" t="e">
        <f>TEXT(#REF!&amp;":"&amp;#REF!,"hh:mm")</f>
        <v>#REF!</v>
      </c>
      <c r="BE52" s="236" t="e">
        <f>TEXT(#REF!&amp;":"&amp;#REF!,"hh:mm")</f>
        <v>#REF!</v>
      </c>
      <c r="BF52" s="236" t="e">
        <f>TEXT(#REF!&amp;":"&amp;#REF!,"hh:mm")</f>
        <v>#REF!</v>
      </c>
      <c r="BG52" s="223"/>
    </row>
    <row r="53" spans="1:78" ht="18" customHeight="1">
      <c r="A53" s="321" t="s">
        <v>1062</v>
      </c>
      <c r="B53" s="1464" t="s">
        <v>1083</v>
      </c>
      <c r="C53" s="1465"/>
      <c r="D53" s="1465"/>
      <c r="E53" s="1465"/>
      <c r="F53" s="1465"/>
      <c r="G53" s="1465"/>
      <c r="H53" s="1465"/>
      <c r="I53" s="1466"/>
      <c r="J53" s="309"/>
      <c r="K53" s="310"/>
      <c r="L53" s="310"/>
      <c r="M53" s="310"/>
      <c r="N53" s="310"/>
      <c r="O53" s="310"/>
      <c r="P53" s="310"/>
      <c r="Q53" s="310"/>
      <c r="R53" s="310"/>
      <c r="S53" s="310"/>
      <c r="T53" s="310"/>
      <c r="U53" s="310"/>
      <c r="V53" s="310"/>
      <c r="W53" s="310"/>
      <c r="X53" s="310"/>
      <c r="Y53" s="310"/>
      <c r="Z53" s="310"/>
      <c r="AA53" s="310"/>
      <c r="AB53" s="310"/>
      <c r="AC53" s="310"/>
      <c r="AD53" s="310"/>
      <c r="AE53" s="310"/>
      <c r="AF53" s="310"/>
      <c r="AG53" s="310"/>
      <c r="AH53" s="310"/>
      <c r="AI53" s="310"/>
      <c r="AJ53" s="310"/>
      <c r="AK53" s="310"/>
      <c r="AL53" s="310"/>
      <c r="AM53" s="311"/>
      <c r="AN53" s="311"/>
      <c r="AO53" s="1467" t="str">
        <f xml:space="preserve">
IF(AU52="×","×",
IF(表紙!$X$2="事前協議",SUM(J53:AL53),
IF(表紙!$X$2="交付申請（２次）",SUM(J53:AL53),
IF(表紙!$X$2="変更申請",SUM(J53:AL53),
IF(表紙!$X$2="実績報告（１次）",SUM(J53:AN53),
IF(表紙!$X$2="実績報告（２次）",SUM(J53:AL53),
IF(表紙!$X$2="交付申請兼実績報告",SUM(J53:AL53))))))))</f>
        <v>×</v>
      </c>
      <c r="AP53" s="1609"/>
      <c r="AQ53" s="1610"/>
      <c r="AR53" s="1415" t="str">
        <f>IF(AU52="○",ROUNDDOWN(AO53/AO51,1),"×")</f>
        <v>×</v>
      </c>
      <c r="AS53" s="1416"/>
      <c r="AT53" s="1417"/>
      <c r="AU53" s="1479"/>
      <c r="AV53" s="680"/>
      <c r="AW53" s="680"/>
      <c r="AX53" s="324"/>
      <c r="AY53" s="320"/>
      <c r="BA53" s="236" t="str">
        <f>TEXT(H52&amp;":"&amp;J52,"hh:mm")</f>
        <v>:</v>
      </c>
      <c r="BB53" s="236" t="str">
        <f>TEXT(L52&amp;":"&amp;N52,"hh:mm")</f>
        <v>:</v>
      </c>
      <c r="BC53" s="236" t="str">
        <f>TEXT(O52&amp;":"&amp;Q52,"hh:mm")</f>
        <v>:</v>
      </c>
      <c r="BD53" s="236" t="str">
        <f>TEXT(S52&amp;":"&amp;U52,"hh:mm")</f>
        <v>:</v>
      </c>
      <c r="BE53" s="236" t="str">
        <f>TEXT(V52&amp;":"&amp;X52,"hh:mm")</f>
        <v>:</v>
      </c>
      <c r="BF53" s="236" t="str">
        <f>TEXT(Z52&amp;":"&amp;AB52,"hh:mm")</f>
        <v>:</v>
      </c>
      <c r="BG53" s="223"/>
    </row>
    <row r="54" spans="1:78" ht="18" customHeight="1" thickBot="1">
      <c r="A54" s="321" t="s">
        <v>1064</v>
      </c>
      <c r="B54" s="1470" t="s">
        <v>100</v>
      </c>
      <c r="C54" s="1471"/>
      <c r="D54" s="1471"/>
      <c r="E54" s="1471"/>
      <c r="F54" s="1471"/>
      <c r="G54" s="1471"/>
      <c r="H54" s="1471"/>
      <c r="I54" s="1472"/>
      <c r="J54" s="325" t="str">
        <f>IF(J50="","",
IF(AND(AND(COUNTA(J52:J53)=2,J52&gt;=J53)),"○",
IF(OR(COUNTA(J52:J53)&lt;&gt;2,J52&lt;J53),"×",
IF(AND(AND(OR(J52=0,J52=""),OR(J53=0,J53=""))),"○",
IF(AND(OR(J52&lt;&gt;0,J52&lt;&gt;""),OR(J53&lt;&gt;0,J53&lt;&gt;"")),"×")))))</f>
        <v>×</v>
      </c>
      <c r="K54" s="691" t="str">
        <f>IF(K50="","",
IF(AND(AND(COUNTA(K52:K53)=2,K52&gt;=K53)),"○",
IF(OR(COUNTA(K52:K53)&lt;&gt;2,K52&lt;K53),"×",
IF(AND(AND(OR(K52=0,K52=""),OR(K53=0,K53=""))),"○",
IF(AND(OR(K52&lt;&gt;0,K52&lt;&gt;""),OR(K53&lt;&gt;0,K53&lt;&gt;"")),"×")))))</f>
        <v>×</v>
      </c>
      <c r="L54" s="691" t="str">
        <f t="shared" ref="L54" si="98">IF(L50="","",
IF(AND(AND(COUNTA(L52:L53)=2,L52&gt;=L53)),"○",
IF(OR(COUNTA(L52:L53)&lt;&gt;2,L52&lt;L53),"×",
IF(AND(AND(OR(L52=0,L52=""),OR(L53=0,L53=""))),"○",
IF(AND(OR(L52&lt;&gt;0,L52&lt;&gt;""),OR(L53&lt;&gt;0,L53&lt;&gt;"")),"×")))))</f>
        <v>×</v>
      </c>
      <c r="M54" s="691" t="str">
        <f t="shared" ref="M54" si="99">IF(M50="","",
IF(AND(AND(COUNTA(M52:M53)=2,M52&gt;=M53)),"○",
IF(OR(COUNTA(M52:M53)&lt;&gt;2,M52&lt;M53),"×",
IF(AND(AND(OR(M52=0,M52=""),OR(M53=0,M53=""))),"○",
IF(AND(OR(M52&lt;&gt;0,M52&lt;&gt;""),OR(M53&lt;&gt;0,M53&lt;&gt;"")),"×")))))</f>
        <v>×</v>
      </c>
      <c r="N54" s="691" t="str">
        <f t="shared" ref="N54" si="100">IF(N50="","",
IF(AND(AND(COUNTA(N52:N53)=2,N52&gt;=N53)),"○",
IF(OR(COUNTA(N52:N53)&lt;&gt;2,N52&lt;N53),"×",
IF(AND(AND(OR(N52=0,N52=""),OR(N53=0,N53=""))),"○",
IF(AND(OR(N52&lt;&gt;0,N52&lt;&gt;""),OR(N53&lt;&gt;0,N53&lt;&gt;"")),"×")))))</f>
        <v>×</v>
      </c>
      <c r="O54" s="691" t="str">
        <f t="shared" ref="O54" si="101">IF(O50="","",
IF(AND(AND(COUNTA(O52:O53)=2,O52&gt;=O53)),"○",
IF(OR(COUNTA(O52:O53)&lt;&gt;2,O52&lt;O53),"×",
IF(AND(AND(OR(O52=0,O52=""),OR(O53=0,O53=""))),"○",
IF(AND(OR(O52&lt;&gt;0,O52&lt;&gt;""),OR(O53&lt;&gt;0,O53&lt;&gt;"")),"×")))))</f>
        <v>×</v>
      </c>
      <c r="P54" s="691" t="str">
        <f t="shared" ref="P54" si="102">IF(P50="","",
IF(AND(AND(COUNTA(P52:P53)=2,P52&gt;=P53)),"○",
IF(OR(COUNTA(P52:P53)&lt;&gt;2,P52&lt;P53),"×",
IF(AND(AND(OR(P52=0,P52=""),OR(P53=0,P53=""))),"○",
IF(AND(OR(P52&lt;&gt;0,P52&lt;&gt;""),OR(P53&lt;&gt;0,P53&lt;&gt;"")),"×")))))</f>
        <v>×</v>
      </c>
      <c r="Q54" s="691" t="str">
        <f t="shared" ref="Q54" si="103">IF(Q50="","",
IF(AND(AND(COUNTA(Q52:Q53)=2,Q52&gt;=Q53)),"○",
IF(OR(COUNTA(Q52:Q53)&lt;&gt;2,Q52&lt;Q53),"×",
IF(AND(AND(OR(Q52=0,Q52=""),OR(Q53=0,Q53=""))),"○",
IF(AND(OR(Q52&lt;&gt;0,Q52&lt;&gt;""),OR(Q53&lt;&gt;0,Q53&lt;&gt;"")),"×")))))</f>
        <v>×</v>
      </c>
      <c r="R54" s="691" t="str">
        <f t="shared" ref="R54" si="104">IF(R50="","",
IF(AND(AND(COUNTA(R52:R53)=2,R52&gt;=R53)),"○",
IF(OR(COUNTA(R52:R53)&lt;&gt;2,R52&lt;R53),"×",
IF(AND(AND(OR(R52=0,R52=""),OR(R53=0,R53=""))),"○",
IF(AND(OR(R52&lt;&gt;0,R52&lt;&gt;""),OR(R53&lt;&gt;0,R53&lt;&gt;"")),"×")))))</f>
        <v>×</v>
      </c>
      <c r="S54" s="691" t="str">
        <f t="shared" ref="S54" si="105">IF(S50="","",
IF(AND(AND(COUNTA(S52:S53)=2,S52&gt;=S53)),"○",
IF(OR(COUNTA(S52:S53)&lt;&gt;2,S52&lt;S53),"×",
IF(AND(AND(OR(S52=0,S52=""),OR(S53=0,S53=""))),"○",
IF(AND(OR(S52&lt;&gt;0,S52&lt;&gt;""),OR(S53&lt;&gt;0,S53&lt;&gt;"")),"×")))))</f>
        <v>×</v>
      </c>
      <c r="T54" s="691" t="str">
        <f t="shared" ref="T54" si="106">IF(T50="","",
IF(AND(AND(COUNTA(T52:T53)=2,T52&gt;=T53)),"○",
IF(OR(COUNTA(T52:T53)&lt;&gt;2,T52&lt;T53),"×",
IF(AND(AND(OR(T52=0,T52=""),OR(T53=0,T53=""))),"○",
IF(AND(OR(T52&lt;&gt;0,T52&lt;&gt;""),OR(T53&lt;&gt;0,T53&lt;&gt;"")),"×")))))</f>
        <v>×</v>
      </c>
      <c r="U54" s="691" t="str">
        <f t="shared" ref="U54" si="107">IF(U50="","",
IF(AND(AND(COUNTA(U52:U53)=2,U52&gt;=U53)),"○",
IF(OR(COUNTA(U52:U53)&lt;&gt;2,U52&lt;U53),"×",
IF(AND(AND(OR(U52=0,U52=""),OR(U53=0,U53=""))),"○",
IF(AND(OR(U52&lt;&gt;0,U52&lt;&gt;""),OR(U53&lt;&gt;0,U53&lt;&gt;"")),"×")))))</f>
        <v>×</v>
      </c>
      <c r="V54" s="691" t="str">
        <f t="shared" ref="V54" si="108">IF(V50="","",
IF(AND(AND(COUNTA(V52:V53)=2,V52&gt;=V53)),"○",
IF(OR(COUNTA(V52:V53)&lt;&gt;2,V52&lt;V53),"×",
IF(AND(AND(OR(V52=0,V52=""),OR(V53=0,V53=""))),"○",
IF(AND(OR(V52&lt;&gt;0,V52&lt;&gt;""),OR(V53&lt;&gt;0,V53&lt;&gt;"")),"×")))))</f>
        <v>×</v>
      </c>
      <c r="W54" s="691" t="str">
        <f t="shared" ref="W54" si="109">IF(W50="","",
IF(AND(AND(COUNTA(W52:W53)=2,W52&gt;=W53)),"○",
IF(OR(COUNTA(W52:W53)&lt;&gt;2,W52&lt;W53),"×",
IF(AND(AND(OR(W52=0,W52=""),OR(W53=0,W53=""))),"○",
IF(AND(OR(W52&lt;&gt;0,W52&lt;&gt;""),OR(W53&lt;&gt;0,W53&lt;&gt;"")),"×")))))</f>
        <v>×</v>
      </c>
      <c r="X54" s="691" t="str">
        <f t="shared" ref="X54" si="110">IF(X50="","",
IF(AND(AND(COUNTA(X52:X53)=2,X52&gt;=X53)),"○",
IF(OR(COUNTA(X52:X53)&lt;&gt;2,X52&lt;X53),"×",
IF(AND(AND(OR(X52=0,X52=""),OR(X53=0,X53=""))),"○",
IF(AND(OR(X52&lt;&gt;0,X52&lt;&gt;""),OR(X53&lt;&gt;0,X53&lt;&gt;"")),"×")))))</f>
        <v>×</v>
      </c>
      <c r="Y54" s="691" t="str">
        <f t="shared" ref="Y54" si="111">IF(Y50="","",
IF(AND(AND(COUNTA(Y52:Y53)=2,Y52&gt;=Y53)),"○",
IF(OR(COUNTA(Y52:Y53)&lt;&gt;2,Y52&lt;Y53),"×",
IF(AND(AND(OR(Y52=0,Y52=""),OR(Y53=0,Y53=""))),"○",
IF(AND(OR(Y52&lt;&gt;0,Y52&lt;&gt;""),OR(Y53&lt;&gt;0,Y53&lt;&gt;"")),"×")))))</f>
        <v>×</v>
      </c>
      <c r="Z54" s="691" t="str">
        <f t="shared" ref="Z54" si="112">IF(Z50="","",
IF(AND(AND(COUNTA(Z52:Z53)=2,Z52&gt;=Z53)),"○",
IF(OR(COUNTA(Z52:Z53)&lt;&gt;2,Z52&lt;Z53),"×",
IF(AND(AND(OR(Z52=0,Z52=""),OR(Z53=0,Z53=""))),"○",
IF(AND(OR(Z52&lt;&gt;0,Z52&lt;&gt;""),OR(Z53&lt;&gt;0,Z53&lt;&gt;"")),"×")))))</f>
        <v>×</v>
      </c>
      <c r="AA54" s="691" t="str">
        <f t="shared" ref="AA54" si="113">IF(AA50="","",
IF(AND(AND(COUNTA(AA52:AA53)=2,AA52&gt;=AA53)),"○",
IF(OR(COUNTA(AA52:AA53)&lt;&gt;2,AA52&lt;AA53),"×",
IF(AND(AND(OR(AA52=0,AA52=""),OR(AA53=0,AA53=""))),"○",
IF(AND(OR(AA52&lt;&gt;0,AA52&lt;&gt;""),OR(AA53&lt;&gt;0,AA53&lt;&gt;"")),"×")))))</f>
        <v>×</v>
      </c>
      <c r="AB54" s="691" t="str">
        <f t="shared" ref="AB54" si="114">IF(AB50="","",
IF(AND(AND(COUNTA(AB52:AB53)=2,AB52&gt;=AB53)),"○",
IF(OR(COUNTA(AB52:AB53)&lt;&gt;2,AB52&lt;AB53),"×",
IF(AND(AND(OR(AB52=0,AB52=""),OR(AB53=0,AB53=""))),"○",
IF(AND(OR(AB52&lt;&gt;0,AB52&lt;&gt;""),OR(AB53&lt;&gt;0,AB53&lt;&gt;"")),"×")))))</f>
        <v>×</v>
      </c>
      <c r="AC54" s="691" t="str">
        <f t="shared" ref="AC54" si="115">IF(AC50="","",
IF(AND(AND(COUNTA(AC52:AC53)=2,AC52&gt;=AC53)),"○",
IF(OR(COUNTA(AC52:AC53)&lt;&gt;2,AC52&lt;AC53),"×",
IF(AND(AND(OR(AC52=0,AC52=""),OR(AC53=0,AC53=""))),"○",
IF(AND(OR(AC52&lt;&gt;0,AC52&lt;&gt;""),OR(AC53&lt;&gt;0,AC53&lt;&gt;"")),"×")))))</f>
        <v>×</v>
      </c>
      <c r="AD54" s="691" t="str">
        <f t="shared" ref="AD54" si="116">IF(AD50="","",
IF(AND(AND(COUNTA(AD52:AD53)=2,AD52&gt;=AD53)),"○",
IF(OR(COUNTA(AD52:AD53)&lt;&gt;2,AD52&lt;AD53),"×",
IF(AND(AND(OR(AD52=0,AD52=""),OR(AD53=0,AD53=""))),"○",
IF(AND(OR(AD52&lt;&gt;0,AD52&lt;&gt;""),OR(AD53&lt;&gt;0,AD53&lt;&gt;"")),"×")))))</f>
        <v>×</v>
      </c>
      <c r="AE54" s="691" t="str">
        <f t="shared" ref="AE54" si="117">IF(AE50="","",
IF(AND(AND(COUNTA(AE52:AE53)=2,AE52&gt;=AE53)),"○",
IF(OR(COUNTA(AE52:AE53)&lt;&gt;2,AE52&lt;AE53),"×",
IF(AND(AND(OR(AE52=0,AE52=""),OR(AE53=0,AE53=""))),"○",
IF(AND(OR(AE52&lt;&gt;0,AE52&lt;&gt;""),OR(AE53&lt;&gt;0,AE53&lt;&gt;"")),"×")))))</f>
        <v>×</v>
      </c>
      <c r="AF54" s="691" t="str">
        <f t="shared" ref="AF54" si="118">IF(AF50="","",
IF(AND(AND(COUNTA(AF52:AF53)=2,AF52&gt;=AF53)),"○",
IF(OR(COUNTA(AF52:AF53)&lt;&gt;2,AF52&lt;AF53),"×",
IF(AND(AND(OR(AF52=0,AF52=""),OR(AF53=0,AF53=""))),"○",
IF(AND(OR(AF52&lt;&gt;0,AF52&lt;&gt;""),OR(AF53&lt;&gt;0,AF53&lt;&gt;"")),"×")))))</f>
        <v>×</v>
      </c>
      <c r="AG54" s="691" t="str">
        <f t="shared" ref="AG54" si="119">IF(AG50="","",
IF(AND(AND(COUNTA(AG52:AG53)=2,AG52&gt;=AG53)),"○",
IF(OR(COUNTA(AG52:AG53)&lt;&gt;2,AG52&lt;AG53),"×",
IF(AND(AND(OR(AG52=0,AG52=""),OR(AG53=0,AG53=""))),"○",
IF(AND(OR(AG52&lt;&gt;0,AG52&lt;&gt;""),OR(AG53&lt;&gt;0,AG53&lt;&gt;"")),"×")))))</f>
        <v>×</v>
      </c>
      <c r="AH54" s="691" t="str">
        <f t="shared" ref="AH54" si="120">IF(AH50="","",
IF(AND(AND(COUNTA(AH52:AH53)=2,AH52&gt;=AH53)),"○",
IF(OR(COUNTA(AH52:AH53)&lt;&gt;2,AH52&lt;AH53),"×",
IF(AND(AND(OR(AH52=0,AH52=""),OR(AH53=0,AH53=""))),"○",
IF(AND(OR(AH52&lt;&gt;0,AH52&lt;&gt;""),OR(AH53&lt;&gt;0,AH53&lt;&gt;"")),"×")))))</f>
        <v>×</v>
      </c>
      <c r="AI54" s="691" t="str">
        <f t="shared" ref="AI54" si="121">IF(AI50="","",
IF(AND(AND(COUNTA(AI52:AI53)=2,AI52&gt;=AI53)),"○",
IF(OR(COUNTA(AI52:AI53)&lt;&gt;2,AI52&lt;AI53),"×",
IF(AND(AND(OR(AI52=0,AI52=""),OR(AI53=0,AI53=""))),"○",
IF(AND(OR(AI52&lt;&gt;0,AI52&lt;&gt;""),OR(AI53&lt;&gt;0,AI53&lt;&gt;"")),"×")))))</f>
        <v>×</v>
      </c>
      <c r="AJ54" s="691" t="str">
        <f t="shared" ref="AJ54" si="122">IF(AJ50="","",
IF(AND(AND(COUNTA(AJ52:AJ53)=2,AJ52&gt;=AJ53)),"○",
IF(OR(COUNTA(AJ52:AJ53)&lt;&gt;2,AJ52&lt;AJ53),"×",
IF(AND(AND(OR(AJ52=0,AJ52=""),OR(AJ53=0,AJ53=""))),"○",
IF(AND(OR(AJ52&lt;&gt;0,AJ52&lt;&gt;""),OR(AJ53&lt;&gt;0,AJ53&lt;&gt;"")),"×")))))</f>
        <v>×</v>
      </c>
      <c r="AK54" s="691" t="str">
        <f t="shared" ref="AK54" si="123">IF(AK50="","",
IF(AND(AND(COUNTA(AK52:AK53)=2,AK52&gt;=AK53)),"○",
IF(OR(COUNTA(AK52:AK53)&lt;&gt;2,AK52&lt;AK53),"×",
IF(AND(AND(OR(AK52=0,AK52=""),OR(AK53=0,AK53=""))),"○",
IF(AND(OR(AK52&lt;&gt;0,AK52&lt;&gt;""),OR(AK53&lt;&gt;0,AK53&lt;&gt;"")),"×")))))</f>
        <v>×</v>
      </c>
      <c r="AL54" s="691" t="str">
        <f t="shared" ref="AL54" si="124">IF(AL50="","",
IF(AND(AND(COUNTA(AL52:AL53)=2,AL52&gt;=AL53)),"○",
IF(OR(COUNTA(AL52:AL53)&lt;&gt;2,AL52&lt;AL53),"×",
IF(AND(AND(OR(AL52=0,AL52=""),OR(AL53=0,AL53=""))),"○",
IF(AND(OR(AL52&lt;&gt;0,AL52&lt;&gt;""),OR(AL53&lt;&gt;0,AL53&lt;&gt;"")),"×")))))</f>
        <v>×</v>
      </c>
      <c r="AM54" s="691" t="str">
        <f t="shared" ref="AM54" si="125">IF(AM50="","",
IF(AND(AND(COUNTA(AM52:AM53)=2,AM52&gt;=AM53)),"○",
IF(OR(COUNTA(AM52:AM53)&lt;&gt;2,AM52&lt;AM53),"×",
IF(AND(AND(OR(AM52=0,AM52=""),OR(AM53=0,AM53=""))),"○",
IF(AND(OR(AM52&lt;&gt;0,AM52&lt;&gt;""),OR(AM53&lt;&gt;0,AM53&lt;&gt;"")),"×")))))</f>
        <v/>
      </c>
      <c r="AN54" s="691" t="str">
        <f>IF(AN50="","",
IF(AND(AND(COUNTA(AN52:AN53)=2,AN52&gt;=AN53)),"○",
IF(OR(COUNTA(AN52:AN53)&lt;&gt;2,AN52&lt;AN53),"×",
IF(AND(AND(OR(AN52=0,AN52=""),OR(AN53=0,AN53=""))),"○",
IF(AND(OR(AN52&lt;&gt;0,AN52&lt;&gt;""),OR(AN53&lt;&gt;0,AN53&lt;&gt;"")),"×")))))</f>
        <v/>
      </c>
      <c r="AO54" s="1418" t="s">
        <v>1081</v>
      </c>
      <c r="AP54" s="1419"/>
      <c r="AQ54" s="1420"/>
      <c r="AR54" s="1418" t="s">
        <v>1081</v>
      </c>
      <c r="AS54" s="1419"/>
      <c r="AT54" s="1420"/>
      <c r="AU54" s="1480"/>
      <c r="AV54" s="680"/>
      <c r="AW54" s="680"/>
      <c r="AX54" s="324"/>
      <c r="AY54" s="324"/>
      <c r="BA54" s="236" t="str">
        <f>TEXT(H53&amp;":"&amp;J53,"hh:mm")</f>
        <v>:</v>
      </c>
      <c r="BB54" s="236" t="str">
        <f>TEXT(L53&amp;":"&amp;N53,"hh:mm")</f>
        <v>:</v>
      </c>
      <c r="BC54" s="236" t="str">
        <f>TEXT(O53&amp;":"&amp;Q53,"hh:mm")</f>
        <v>:</v>
      </c>
      <c r="BD54" s="236" t="str">
        <f>TEXT(S53&amp;":"&amp;U53,"hh:mm")</f>
        <v>:</v>
      </c>
      <c r="BE54" s="236" t="str">
        <f>TEXT(V53&amp;":"&amp;X53,"hh:mm")</f>
        <v>:</v>
      </c>
      <c r="BF54" s="236" t="str">
        <f>TEXT(Z53&amp;":"&amp;AB53,"hh:mm")</f>
        <v>:</v>
      </c>
      <c r="BG54" s="223"/>
    </row>
    <row r="55" spans="1:78" ht="18.75" thickBot="1">
      <c r="BZ55" s="238"/>
    </row>
    <row r="56" spans="1:78" ht="18" customHeight="1" thickTop="1">
      <c r="B56" s="1444" t="s">
        <v>1220</v>
      </c>
      <c r="C56" s="1445"/>
      <c r="D56" s="1445"/>
      <c r="E56" s="1445"/>
      <c r="F56" s="1445"/>
      <c r="G56" s="1445"/>
      <c r="H56" s="1445"/>
      <c r="I56" s="1446"/>
      <c r="J56" s="1473">
        <f>AF16</f>
        <v>3</v>
      </c>
      <c r="K56" s="1474"/>
      <c r="L56" s="1474"/>
      <c r="M56" s="1474"/>
      <c r="N56" s="1474"/>
      <c r="O56" s="1474"/>
      <c r="P56" s="1474"/>
      <c r="Q56" s="1474"/>
      <c r="R56" s="1474"/>
      <c r="S56" s="1474"/>
      <c r="T56" s="1474"/>
      <c r="U56" s="1474"/>
      <c r="V56" s="1474"/>
      <c r="W56" s="1474"/>
      <c r="X56" s="1474"/>
      <c r="Y56" s="1474"/>
      <c r="Z56" s="1474"/>
      <c r="AA56" s="1474"/>
      <c r="AB56" s="1474"/>
      <c r="AC56" s="1474"/>
      <c r="AD56" s="1474"/>
      <c r="AE56" s="1474"/>
      <c r="AF56" s="1474"/>
      <c r="AG56" s="1474"/>
      <c r="AH56" s="1474"/>
      <c r="AI56" s="1474"/>
      <c r="AJ56" s="1474"/>
      <c r="AK56" s="1474"/>
      <c r="AL56" s="1474"/>
      <c r="AM56" s="1474"/>
      <c r="AN56" s="1476"/>
      <c r="AO56" s="1444" t="s">
        <v>1224</v>
      </c>
      <c r="AP56" s="1445"/>
      <c r="AQ56" s="1446"/>
      <c r="AR56" s="1444" t="s">
        <v>1225</v>
      </c>
      <c r="AS56" s="1445"/>
      <c r="AT56" s="1446"/>
      <c r="AU56" s="1477" t="s">
        <v>100</v>
      </c>
      <c r="AV56" s="680"/>
      <c r="AW56" s="680"/>
      <c r="AX56" s="317"/>
      <c r="AY56" s="318"/>
      <c r="AZ56" s="680"/>
      <c r="BB56" s="223"/>
      <c r="BC56" s="231"/>
      <c r="BD56" s="680"/>
      <c r="BE56" s="680"/>
      <c r="BG56" s="680"/>
    </row>
    <row r="57" spans="1:78" ht="18" customHeight="1">
      <c r="A57" s="319" t="s">
        <v>1055</v>
      </c>
      <c r="B57" s="1447"/>
      <c r="C57" s="1460"/>
      <c r="D57" s="1460"/>
      <c r="E57" s="1460"/>
      <c r="F57" s="1460"/>
      <c r="G57" s="1460"/>
      <c r="H57" s="1460"/>
      <c r="I57" s="1449"/>
      <c r="J57" s="578">
        <f xml:space="preserve">
IF(表紙!$X$2="事前協議",DATE(2024,J56,1),
IF(表紙!$X$2="交付申請（２次）",DATE(2024,J56,1),
IF(表紙!$X$2="変更申請",DATE(2024,J56,1),
IF(表紙!$X$2="実績報告（１次）",DATE(2023,J56,1),
IF(表紙!$X$2="実績報告（２次）",DATE(2024,J56,1),
IF(表紙!$X$2="交付申請兼実績報告",DATE(2024,J56,1)))))))</f>
        <v>45352</v>
      </c>
      <c r="K57" s="579">
        <f xml:space="preserve">
IF(表紙!$X$2="事前協議",IFERROR(IF(J57+1&gt;DATE(2024,3,31),"",J57+1),""),
IF(表紙!$X$2="交付申請（２次）",IFERROR(IF(J57+1&gt;DATE(2024,3,31),"",J57+1),""),
IF(表紙!$X$2="変更申請",IFERROR(IF(J57+1&gt;DATE(2024,3,31),"",J57+1),""),
IF(表紙!$X$2="実績報告（１次）",IFERROR(IF(J57+1&gt;DATE(2023,9,30),"",J57+1),""),
IF(表紙!$X$2="実績報告（２次）",IFERROR(IF(J57+1&gt;DATE(2024,3,31),"",J57+1),""),
IF(表紙!$X$2="交付申請兼実績報告",IFERROR(IF(J57+1&gt;DATE(2024,3,31),"",J57+1),"")))))))</f>
        <v>45353</v>
      </c>
      <c r="L57" s="579">
        <f xml:space="preserve">
IF(表紙!$X$2="事前協議",IFERROR(IF(K57+1&gt;DATE(2024,3,31),"",K57+1),""),
IF(表紙!$X$2="交付申請（２次）",IFERROR(IF(K57+1&gt;DATE(2024,3,31),"",K57+1),""),
IF(表紙!$X$2="変更申請",IFERROR(IF(K57+1&gt;DATE(2024,3,31),"",K57+1),""),
IF(表紙!$X$2="実績報告（１次）",IFERROR(IF(K57+1&gt;DATE(2023,9,30),"",K57+1),""),
IF(表紙!$X$2="実績報告（２次）",IFERROR(IF(K57+1&gt;DATE(2024,3,31),"",K57+1),""),
IF(表紙!$X$2="交付申請兼実績報告",IFERROR(IF(K57+1&gt;DATE(2024,3,31),"",K57+1),"")))))))</f>
        <v>45354</v>
      </c>
      <c r="M57" s="579">
        <f xml:space="preserve">
IF(表紙!$X$2="事前協議",IFERROR(IF(L57+1&gt;DATE(2024,3,31),"",L57+1),""),
IF(表紙!$X$2="交付申請（２次）",IFERROR(IF(L57+1&gt;DATE(2024,3,31),"",L57+1),""),
IF(表紙!$X$2="変更申請",IFERROR(IF(L57+1&gt;DATE(2024,3,31),"",L57+1),""),
IF(表紙!$X$2="実績報告（１次）",IFERROR(IF(L57+1&gt;DATE(2023,9,30),"",L57+1),""),
IF(表紙!$X$2="実績報告（２次）",IFERROR(IF(L57+1&gt;DATE(2024,3,31),"",L57+1),""),
IF(表紙!$X$2="交付申請兼実績報告",IFERROR(IF(L57+1&gt;DATE(2024,3,31),"",L57+1),"")))))))</f>
        <v>45355</v>
      </c>
      <c r="N57" s="579">
        <f xml:space="preserve">
IF(表紙!$X$2="事前協議",IFERROR(IF(M57+1&gt;DATE(2024,3,31),"",M57+1),""),
IF(表紙!$X$2="交付申請（２次）",IFERROR(IF(M57+1&gt;DATE(2024,3,31),"",M57+1),""),
IF(表紙!$X$2="変更申請",IFERROR(IF(M57+1&gt;DATE(2024,3,31),"",M57+1),""),
IF(表紙!$X$2="実績報告（１次）",IFERROR(IF(M57+1&gt;DATE(2023,9,30),"",M57+1),""),
IF(表紙!$X$2="実績報告（２次）",IFERROR(IF(M57+1&gt;DATE(2024,3,31),"",M57+1),""),
IF(表紙!$X$2="交付申請兼実績報告",IFERROR(IF(M57+1&gt;DATE(2024,3,31),"",M57+1),"")))))))</f>
        <v>45356</v>
      </c>
      <c r="O57" s="579">
        <f xml:space="preserve">
IF(表紙!$X$2="事前協議",IFERROR(IF(N57+1&gt;DATE(2024,3,31),"",N57+1),""),
IF(表紙!$X$2="交付申請（２次）",IFERROR(IF(N57+1&gt;DATE(2024,3,31),"",N57+1),""),
IF(表紙!$X$2="変更申請",IFERROR(IF(N57+1&gt;DATE(2024,3,31),"",N57+1),""),
IF(表紙!$X$2="実績報告（１次）",IFERROR(IF(N57+1&gt;DATE(2023,9,30),"",N57+1),""),
IF(表紙!$X$2="実績報告（２次）",IFERROR(IF(N57+1&gt;DATE(2024,3,31),"",N57+1),""),
IF(表紙!$X$2="交付申請兼実績報告",IFERROR(IF(N57+1&gt;DATE(2024,3,31),"",N57+1),"")))))))</f>
        <v>45357</v>
      </c>
      <c r="P57" s="579">
        <f xml:space="preserve">
IF(表紙!$X$2="事前協議",IFERROR(IF(O57+1&gt;DATE(2024,3,31),"",O57+1),""),
IF(表紙!$X$2="交付申請（２次）",IFERROR(IF(O57+1&gt;DATE(2024,3,31),"",O57+1),""),
IF(表紙!$X$2="変更申請",IFERROR(IF(O57+1&gt;DATE(2024,3,31),"",O57+1),""),
IF(表紙!$X$2="実績報告（１次）",IFERROR(IF(O57+1&gt;DATE(2023,9,30),"",O57+1),""),
IF(表紙!$X$2="実績報告（２次）",IFERROR(IF(O57+1&gt;DATE(2024,3,31),"",O57+1),""),
IF(表紙!$X$2="交付申請兼実績報告",IFERROR(IF(O57+1&gt;DATE(2024,3,31),"",O57+1),"")))))))</f>
        <v>45358</v>
      </c>
      <c r="Q57" s="579">
        <f xml:space="preserve">
IF(表紙!$X$2="事前協議",IFERROR(IF(P57+1&gt;DATE(2024,3,31),"",P57+1),""),
IF(表紙!$X$2="交付申請（２次）",IFERROR(IF(P57+1&gt;DATE(2024,3,31),"",P57+1),""),
IF(表紙!$X$2="変更申請",IFERROR(IF(P57+1&gt;DATE(2024,3,31),"",P57+1),""),
IF(表紙!$X$2="実績報告（１次）",IFERROR(IF(P57+1&gt;DATE(2023,9,30),"",P57+1),""),
IF(表紙!$X$2="実績報告（２次）",IFERROR(IF(P57+1&gt;DATE(2024,3,31),"",P57+1),""),
IF(表紙!$X$2="交付申請兼実績報告",IFERROR(IF(P57+1&gt;DATE(2024,3,31),"",P57+1),"")))))))</f>
        <v>45359</v>
      </c>
      <c r="R57" s="579">
        <f xml:space="preserve">
IF(表紙!$X$2="事前協議",IFERROR(IF(Q57+1&gt;DATE(2024,3,31),"",Q57+1),""),
IF(表紙!$X$2="交付申請（２次）",IFERROR(IF(Q57+1&gt;DATE(2024,3,31),"",Q57+1),""),
IF(表紙!$X$2="変更申請",IFERROR(IF(Q57+1&gt;DATE(2024,3,31),"",Q57+1),""),
IF(表紙!$X$2="実績報告（１次）",IFERROR(IF(Q57+1&gt;DATE(2023,9,30),"",Q57+1),""),
IF(表紙!$X$2="実績報告（２次）",IFERROR(IF(Q57+1&gt;DATE(2024,3,31),"",Q57+1),""),
IF(表紙!$X$2="交付申請兼実績報告",IFERROR(IF(Q57+1&gt;DATE(2024,3,31),"",Q57+1),"")))))))</f>
        <v>45360</v>
      </c>
      <c r="S57" s="579">
        <f xml:space="preserve">
IF(表紙!$X$2="事前協議",IFERROR(IF(R57+1&gt;DATE(2024,3,31),"",R57+1),""),
IF(表紙!$X$2="交付申請（２次）",IFERROR(IF(R57+1&gt;DATE(2024,3,31),"",R57+1),""),
IF(表紙!$X$2="変更申請",IFERROR(IF(R57+1&gt;DATE(2024,3,31),"",R57+1),""),
IF(表紙!$X$2="実績報告（１次）",IFERROR(IF(R57+1&gt;DATE(2023,9,30),"",R57+1),""),
IF(表紙!$X$2="実績報告（２次）",IFERROR(IF(R57+1&gt;DATE(2024,3,31),"",R57+1),""),
IF(表紙!$X$2="交付申請兼実績報告",IFERROR(IF(R57+1&gt;DATE(2024,3,31),"",R57+1),"")))))))</f>
        <v>45361</v>
      </c>
      <c r="T57" s="579">
        <f xml:space="preserve">
IF(表紙!$X$2="事前協議",IFERROR(IF(S57+1&gt;DATE(2024,3,31),"",S57+1),""),
IF(表紙!$X$2="交付申請（２次）",IFERROR(IF(S57+1&gt;DATE(2024,3,31),"",S57+1),""),
IF(表紙!$X$2="変更申請",IFERROR(IF(S57+1&gt;DATE(2024,3,31),"",S57+1),""),
IF(表紙!$X$2="実績報告（１次）",IFERROR(IF(S57+1&gt;DATE(2023,9,30),"",S57+1),""),
IF(表紙!$X$2="実績報告（２次）",IFERROR(IF(S57+1&gt;DATE(2024,3,31),"",S57+1),""),
IF(表紙!$X$2="交付申請兼実績報告",IFERROR(IF(S57+1&gt;DATE(2024,3,31),"",S57+1),"")))))))</f>
        <v>45362</v>
      </c>
      <c r="U57" s="579">
        <f xml:space="preserve">
IF(表紙!$X$2="事前協議",IFERROR(IF(T57+1&gt;DATE(2024,3,31),"",T57+1),""),
IF(表紙!$X$2="交付申請（２次）",IFERROR(IF(T57+1&gt;DATE(2024,3,31),"",T57+1),""),
IF(表紙!$X$2="変更申請",IFERROR(IF(T57+1&gt;DATE(2024,3,31),"",T57+1),""),
IF(表紙!$X$2="実績報告（１次）",IFERROR(IF(T57+1&gt;DATE(2023,9,30),"",T57+1),""),
IF(表紙!$X$2="実績報告（２次）",IFERROR(IF(T57+1&gt;DATE(2024,3,31),"",T57+1),""),
IF(表紙!$X$2="交付申請兼実績報告",IFERROR(IF(T57+1&gt;DATE(2024,3,31),"",T57+1),"")))))))</f>
        <v>45363</v>
      </c>
      <c r="V57" s="579">
        <f xml:space="preserve">
IF(表紙!$X$2="事前協議",IFERROR(IF(U57+1&gt;DATE(2024,3,31),"",U57+1),""),
IF(表紙!$X$2="交付申請（２次）",IFERROR(IF(U57+1&gt;DATE(2024,3,31),"",U57+1),""),
IF(表紙!$X$2="変更申請",IFERROR(IF(U57+1&gt;DATE(2024,3,31),"",U57+1),""),
IF(表紙!$X$2="実績報告（１次）",IFERROR(IF(U57+1&gt;DATE(2023,9,30),"",U57+1),""),
IF(表紙!$X$2="実績報告（２次）",IFERROR(IF(U57+1&gt;DATE(2024,3,31),"",U57+1),""),
IF(表紙!$X$2="交付申請兼実績報告",IFERROR(IF(U57+1&gt;DATE(2024,3,31),"",U57+1),"")))))))</f>
        <v>45364</v>
      </c>
      <c r="W57" s="579">
        <f xml:space="preserve">
IF(表紙!$X$2="事前協議",IFERROR(IF(V57+1&gt;DATE(2024,3,31),"",V57+1),""),
IF(表紙!$X$2="交付申請（２次）",IFERROR(IF(V57+1&gt;DATE(2024,3,31),"",V57+1),""),
IF(表紙!$X$2="変更申請",IFERROR(IF(V57+1&gt;DATE(2024,3,31),"",V57+1),""),
IF(表紙!$X$2="実績報告（１次）",IFERROR(IF(V57+1&gt;DATE(2023,9,30),"",V57+1),""),
IF(表紙!$X$2="実績報告（２次）",IFERROR(IF(V57+1&gt;DATE(2024,3,31),"",V57+1),""),
IF(表紙!$X$2="交付申請兼実績報告",IFERROR(IF(V57+1&gt;DATE(2024,3,31),"",V57+1),"")))))))</f>
        <v>45365</v>
      </c>
      <c r="X57" s="579">
        <f xml:space="preserve">
IF(表紙!$X$2="事前協議",IFERROR(IF(W57+1&gt;DATE(2024,3,31),"",W57+1),""),
IF(表紙!$X$2="交付申請（２次）",IFERROR(IF(W57+1&gt;DATE(2024,3,31),"",W57+1),""),
IF(表紙!$X$2="変更申請",IFERROR(IF(W57+1&gt;DATE(2024,3,31),"",W57+1),""),
IF(表紙!$X$2="実績報告（１次）",IFERROR(IF(W57+1&gt;DATE(2023,9,30),"",W57+1),""),
IF(表紙!$X$2="実績報告（２次）",IFERROR(IF(W57+1&gt;DATE(2024,3,31),"",W57+1),""),
IF(表紙!$X$2="交付申請兼実績報告",IFERROR(IF(W57+1&gt;DATE(2024,3,31),"",W57+1),"")))))))</f>
        <v>45366</v>
      </c>
      <c r="Y57" s="579">
        <f xml:space="preserve">
IF(表紙!$X$2="事前協議",IFERROR(IF(X57+1&gt;DATE(2024,3,31),"",X57+1),""),
IF(表紙!$X$2="交付申請（２次）",IFERROR(IF(X57+1&gt;DATE(2024,3,31),"",X57+1),""),
IF(表紙!$X$2="変更申請",IFERROR(IF(X57+1&gt;DATE(2024,3,31),"",X57+1),""),
IF(表紙!$X$2="実績報告（１次）",IFERROR(IF(X57+1&gt;DATE(2023,9,30),"",X57+1),""),
IF(表紙!$X$2="実績報告（２次）",IFERROR(IF(X57+1&gt;DATE(2024,3,31),"",X57+1),""),
IF(表紙!$X$2="交付申請兼実績報告",IFERROR(IF(X57+1&gt;DATE(2024,3,31),"",X57+1),"")))))))</f>
        <v>45367</v>
      </c>
      <c r="Z57" s="579">
        <f xml:space="preserve">
IF(表紙!$X$2="事前協議",IFERROR(IF(Y57+1&gt;DATE(2024,3,31),"",Y57+1),""),
IF(表紙!$X$2="交付申請（２次）",IFERROR(IF(Y57+1&gt;DATE(2024,3,31),"",Y57+1),""),
IF(表紙!$X$2="変更申請",IFERROR(IF(Y57+1&gt;DATE(2024,3,31),"",Y57+1),""),
IF(表紙!$X$2="実績報告（１次）",IFERROR(IF(Y57+1&gt;DATE(2023,9,30),"",Y57+1),""),
IF(表紙!$X$2="実績報告（２次）",IFERROR(IF(Y57+1&gt;DATE(2024,3,31),"",Y57+1),""),
IF(表紙!$X$2="交付申請兼実績報告",IFERROR(IF(Y57+1&gt;DATE(2024,3,31),"",Y57+1),"")))))))</f>
        <v>45368</v>
      </c>
      <c r="AA57" s="579">
        <f xml:space="preserve">
IF(表紙!$X$2="事前協議",IFERROR(IF(Z57+1&gt;DATE(2024,3,31),"",Z57+1),""),
IF(表紙!$X$2="交付申請（２次）",IFERROR(IF(Z57+1&gt;DATE(2024,3,31),"",Z57+1),""),
IF(表紙!$X$2="変更申請",IFERROR(IF(Z57+1&gt;DATE(2024,3,31),"",Z57+1),""),
IF(表紙!$X$2="実績報告（１次）",IFERROR(IF(Z57+1&gt;DATE(2023,9,30),"",Z57+1),""),
IF(表紙!$X$2="実績報告（２次）",IFERROR(IF(Z57+1&gt;DATE(2024,3,31),"",Z57+1),""),
IF(表紙!$X$2="交付申請兼実績報告",IFERROR(IF(Z57+1&gt;DATE(2024,3,31),"",Z57+1),"")))))))</f>
        <v>45369</v>
      </c>
      <c r="AB57" s="579">
        <f xml:space="preserve">
IF(表紙!$X$2="事前協議",IFERROR(IF(AA57+1&gt;DATE(2024,3,31),"",AA57+1),""),
IF(表紙!$X$2="交付申請（２次）",IFERROR(IF(AA57+1&gt;DATE(2024,3,31),"",AA57+1),""),
IF(表紙!$X$2="変更申請",IFERROR(IF(AA57+1&gt;DATE(2024,3,31),"",AA57+1),""),
IF(表紙!$X$2="実績報告（１次）",IFERROR(IF(AA57+1&gt;DATE(2023,9,30),"",AA57+1),""),
IF(表紙!$X$2="実績報告（２次）",IFERROR(IF(AA57+1&gt;DATE(2024,3,31),"",AA57+1),""),
IF(表紙!$X$2="交付申請兼実績報告",IFERROR(IF(AA57+1&gt;DATE(2024,3,31),"",AA57+1),"")))))))</f>
        <v>45370</v>
      </c>
      <c r="AC57" s="579">
        <f xml:space="preserve">
IF(表紙!$X$2="事前協議",IFERROR(IF(AB57+1&gt;DATE(2024,3,31),"",AB57+1),""),
IF(表紙!$X$2="交付申請（２次）",IFERROR(IF(AB57+1&gt;DATE(2024,3,31),"",AB57+1),""),
IF(表紙!$X$2="変更申請",IFERROR(IF(AB57+1&gt;DATE(2024,3,31),"",AB57+1),""),
IF(表紙!$X$2="実績報告（１次）",IFERROR(IF(AB57+1&gt;DATE(2023,9,30),"",AB57+1),""),
IF(表紙!$X$2="実績報告（２次）",IFERROR(IF(AB57+1&gt;DATE(2024,3,31),"",AB57+1),""),
IF(表紙!$X$2="交付申請兼実績報告",IFERROR(IF(AB57+1&gt;DATE(2024,3,31),"",AB57+1),"")))))))</f>
        <v>45371</v>
      </c>
      <c r="AD57" s="579">
        <f xml:space="preserve">
IF(表紙!$X$2="事前協議",IFERROR(IF(AC57+1&gt;DATE(2024,3,31),"",AC57+1),""),
IF(表紙!$X$2="交付申請（２次）",IFERROR(IF(AC57+1&gt;DATE(2024,3,31),"",AC57+1),""),
IF(表紙!$X$2="変更申請",IFERROR(IF(AC57+1&gt;DATE(2024,3,31),"",AC57+1),""),
IF(表紙!$X$2="実績報告（１次）",IFERROR(IF(AC57+1&gt;DATE(2023,9,30),"",AC57+1),""),
IF(表紙!$X$2="実績報告（２次）",IFERROR(IF(AC57+1&gt;DATE(2024,3,31),"",AC57+1),""),
IF(表紙!$X$2="交付申請兼実績報告",IFERROR(IF(AC57+1&gt;DATE(2024,3,31),"",AC57+1),"")))))))</f>
        <v>45372</v>
      </c>
      <c r="AE57" s="579">
        <f xml:space="preserve">
IF(表紙!$X$2="事前協議",IFERROR(IF(AD57+1&gt;DATE(2024,3,31),"",AD57+1),""),
IF(表紙!$X$2="交付申請（２次）",IFERROR(IF(AD57+1&gt;DATE(2024,3,31),"",AD57+1),""),
IF(表紙!$X$2="変更申請",IFERROR(IF(AD57+1&gt;DATE(2024,3,31),"",AD57+1),""),
IF(表紙!$X$2="実績報告（１次）",IFERROR(IF(AD57+1&gt;DATE(2023,9,30),"",AD57+1),""),
IF(表紙!$X$2="実績報告（２次）",IFERROR(IF(AD57+1&gt;DATE(2024,3,31),"",AD57+1),""),
IF(表紙!$X$2="交付申請兼実績報告",IFERROR(IF(AD57+1&gt;DATE(2024,3,31),"",AD57+1),"")))))))</f>
        <v>45373</v>
      </c>
      <c r="AF57" s="579">
        <f xml:space="preserve">
IF(表紙!$X$2="事前協議",IFERROR(IF(AE57+1&gt;DATE(2024,3,31),"",AE57+1),""),
IF(表紙!$X$2="交付申請（２次）",IFERROR(IF(AE57+1&gt;DATE(2024,3,31),"",AE57+1),""),
IF(表紙!$X$2="変更申請",IFERROR(IF(AE57+1&gt;DATE(2024,3,31),"",AE57+1),""),
IF(表紙!$X$2="実績報告（１次）",IFERROR(IF(AE57+1&gt;DATE(2023,9,30),"",AE57+1),""),
IF(表紙!$X$2="実績報告（２次）",IFERROR(IF(AE57+1&gt;DATE(2024,3,31),"",AE57+1),""),
IF(表紙!$X$2="交付申請兼実績報告",IFERROR(IF(AE57+1&gt;DATE(2024,3,31),"",AE57+1),"")))))))</f>
        <v>45374</v>
      </c>
      <c r="AG57" s="579">
        <f xml:space="preserve">
IF(表紙!$X$2="事前協議",IFERROR(IF(AF57+1&gt;DATE(2024,3,31),"",AF57+1),""),
IF(表紙!$X$2="交付申請（２次）",IFERROR(IF(AF57+1&gt;DATE(2024,3,31),"",AF57+1),""),
IF(表紙!$X$2="変更申請",IFERROR(IF(AF57+1&gt;DATE(2024,3,31),"",AF57+1),""),
IF(表紙!$X$2="実績報告（１次）",IFERROR(IF(AF57+1&gt;DATE(2023,9,30),"",AF57+1),""),
IF(表紙!$X$2="実績報告（２次）",IFERROR(IF(AF57+1&gt;DATE(2024,3,31),"",AF57+1),""),
IF(表紙!$X$2="交付申請兼実績報告",IFERROR(IF(AF57+1&gt;DATE(2024,3,31),"",AF57+1),"")))))))</f>
        <v>45375</v>
      </c>
      <c r="AH57" s="579">
        <f xml:space="preserve">
IF(表紙!$X$2="事前協議",IFERROR(IF(AG57+1&gt;DATE(2024,3,31),"",AG57+1),""),
IF(表紙!$X$2="交付申請（２次）",IFERROR(IF(AG57+1&gt;DATE(2024,3,31),"",AG57+1),""),
IF(表紙!$X$2="変更申請",IFERROR(IF(AG57+1&gt;DATE(2024,3,31),"",AG57+1),""),
IF(表紙!$X$2="実績報告（１次）",IFERROR(IF(AG57+1&gt;DATE(2023,9,30),"",AG57+1),""),
IF(表紙!$X$2="実績報告（２次）",IFERROR(IF(AG57+1&gt;DATE(2024,3,31),"",AG57+1),""),
IF(表紙!$X$2="交付申請兼実績報告",IFERROR(IF(AG57+1&gt;DATE(2024,3,31),"",AG57+1),"")))))))</f>
        <v>45376</v>
      </c>
      <c r="AI57" s="579">
        <f xml:space="preserve">
IF(表紙!$X$2="事前協議",IFERROR(IF(AH57+1&gt;DATE(2024,3,31),"",AH57+1),""),
IF(表紙!$X$2="交付申請（２次）",IFERROR(IF(AH57+1&gt;DATE(2024,3,31),"",AH57+1),""),
IF(表紙!$X$2="変更申請",IFERROR(IF(AH57+1&gt;DATE(2024,3,31),"",AH57+1),""),
IF(表紙!$X$2="実績報告（１次）",IFERROR(IF(AH57+1&gt;DATE(2023,9,30),"",AH57+1),""),
IF(表紙!$X$2="実績報告（２次）",IFERROR(IF(AH57+1&gt;DATE(2024,3,31),"",AH57+1),""),
IF(表紙!$X$2="交付申請兼実績報告",IFERROR(IF(AH57+1&gt;DATE(2024,3,31),"",AH57+1),"")))))))</f>
        <v>45377</v>
      </c>
      <c r="AJ57" s="579">
        <f xml:space="preserve">
IF(表紙!$X$2="事前協議",IFERROR(IF(AI57+1&gt;DATE(2024,3,31),"",AI57+1),""),
IF(表紙!$X$2="交付申請（２次）",IFERROR(IF(AI57+1&gt;DATE(2024,3,31),"",AI57+1),""),
IF(表紙!$X$2="変更申請",IFERROR(IF(AI57+1&gt;DATE(2024,3,31),"",AI57+1),""),
IF(表紙!$X$2="実績報告（１次）",IFERROR(IF(AI57+1&gt;DATE(2023,9,30),"",AI57+1),""),
IF(表紙!$X$2="実績報告（２次）",IFERROR(IF(AI57+1&gt;DATE(2024,3,31),"",AI57+1),""),
IF(表紙!$X$2="交付申請兼実績報告",IFERROR(IF(AI57+1&gt;DATE(2024,3,31),"",AI57+1),"")))))))</f>
        <v>45378</v>
      </c>
      <c r="AK57" s="579">
        <f xml:space="preserve">
IF(表紙!$X$2="事前協議",IFERROR(IF(AJ57+1&gt;DATE(2024,3,31),"",AJ57+1),""),
IF(表紙!$X$2="交付申請（２次）",IFERROR(IF(AJ57+1&gt;DATE(2024,3,31),"",AJ57+1),""),
IF(表紙!$X$2="変更申請",IFERROR(IF(AJ57+1&gt;DATE(2024,3,31),"",AJ57+1),""),
IF(表紙!$X$2="実績報告（１次）",IFERROR(IF(AJ57+1&gt;DATE(2023,9,30),"",AJ57+1),""),
IF(表紙!$X$2="実績報告（２次）",IFERROR(IF(AJ57+1&gt;DATE(2024,3,31),"",AJ57+1),""),
IF(表紙!$X$2="交付申請兼実績報告",IFERROR(IF(AJ57+1&gt;DATE(2024,3,31),"",AJ57+1),"")))))))</f>
        <v>45379</v>
      </c>
      <c r="AL57" s="579">
        <f xml:space="preserve">
IF(表紙!$X$2="事前協議",IFERROR(IF(AK57+1&gt;DATE(2024,3,31),"",AK57+1),""),
IF(表紙!$X$2="交付申請（２次）",IFERROR(IF(AK57+1&gt;DATE(2024,3,31),"",AK57+1),""),
IF(表紙!$X$2="変更申請",IFERROR(IF(AK57+1&gt;DATE(2024,3,31),"",AK57+1),""),
IF(表紙!$X$2="実績報告（１次）",IFERROR(IF(AK57+1&gt;DATE(2023,9,30),"",AK57+1),""),
IF(表紙!$X$2="実績報告（２次）",IFERROR(IF(AK57+1&gt;DATE(2024,3,31),"",AK57+1),""),
IF(表紙!$X$2="交付申請兼実績報告",IFERROR(IF(AK57+1&gt;DATE(2024,3,31),"",AK57+1),"")))))))</f>
        <v>45380</v>
      </c>
      <c r="AM57" s="579">
        <f xml:space="preserve">
IF(表紙!$X$2="事前協議",IFERROR(IF(AL57+1&gt;DATE(2024,3,31),"",AL57+1),""),
IF(表紙!$X$2="交付申請（２次）",IFERROR(IF(AL57+1&gt;DATE(2024,3,31),"",AL57+1),""),
IF(表紙!$X$2="変更申請",IFERROR(IF(AL57+1&gt;DATE(2024,3,31),"",AL57+1),""),
IF(表紙!$X$2="実績報告（１次）",IFERROR(IF(AL57+1&gt;DATE(2023,9,30),"",AL57+1),""),
IF(表紙!$X$2="実績報告（２次）",IFERROR(IF(AL57+1&gt;DATE(2024,3,31),"",AL57+1),""),
IF(表紙!$X$2="交付申請兼実績報告",IFERROR(IF(AL57+1&gt;DATE(2024,3,31),"",AL57+1),"")))))))</f>
        <v>45381</v>
      </c>
      <c r="AN57" s="579">
        <f xml:space="preserve">
IF(表紙!$X$2="事前協議",IFERROR(IF(AM57+1&gt;DATE(2024,3,31),"",AM57+1),""),
IF(表紙!$X$2="交付申請（２次）",IFERROR(IF(AM57+1&gt;DATE(2024,3,31),"",AM57+1),""),
IF(表紙!$X$2="変更申請",IFERROR(IF(AM57+1&gt;DATE(2024,3,31),"",AM57+1),""),
IF(表紙!$X$2="実績報告（１次）",IFERROR(IF(AM57+1&gt;DATE(2023,9,30),"",AM57+1),""),
IF(表紙!$X$2="実績報告（２次）",IFERROR(IF(AM57+1&gt;DATE(2024,3,31),"",AM57+1),""),
IF(表紙!$X$2="交付申請兼実績報告",IFERROR(IF(AM57+1&gt;DATE(2024,3,31),"",AM57+1),"")))))))</f>
        <v>45382</v>
      </c>
      <c r="AO57" s="1447"/>
      <c r="AP57" s="1448"/>
      <c r="AQ57" s="1449"/>
      <c r="AR57" s="1447"/>
      <c r="AS57" s="1448"/>
      <c r="AT57" s="1449"/>
      <c r="AU57" s="1386"/>
      <c r="AV57" s="680"/>
      <c r="AW57" s="680"/>
      <c r="AX57" s="320"/>
      <c r="AY57" s="320"/>
      <c r="BA57" s="236" t="str">
        <f>TEXT(H57&amp;":"&amp;J57,"hh:mm")</f>
        <v>:45352</v>
      </c>
      <c r="BB57" s="236" t="str">
        <f>TEXT(L57&amp;":"&amp;N57,"hh:mm")</f>
        <v>45354:45356</v>
      </c>
      <c r="BC57" s="236" t="str">
        <f>TEXT(O57&amp;":"&amp;Q57,"hh:mm")</f>
        <v>45357:45359</v>
      </c>
      <c r="BD57" s="236" t="str">
        <f>TEXT(S57&amp;":"&amp;U57,"hh:mm")</f>
        <v>45361:45363</v>
      </c>
      <c r="BE57" s="236" t="str">
        <f>TEXT(V57&amp;":"&amp;X57,"hh:mm")</f>
        <v>45364:45366</v>
      </c>
      <c r="BF57" s="236" t="str">
        <f>TEXT(Z57&amp;":"&amp;AB57,"hh:mm")</f>
        <v>45368:45370</v>
      </c>
      <c r="BG57" s="680"/>
    </row>
    <row r="58" spans="1:78" ht="18" customHeight="1" thickBot="1">
      <c r="A58" s="321" t="s">
        <v>1057</v>
      </c>
      <c r="B58" s="1461"/>
      <c r="C58" s="1462"/>
      <c r="D58" s="1462"/>
      <c r="E58" s="1462"/>
      <c r="F58" s="1462"/>
      <c r="G58" s="1462"/>
      <c r="H58" s="1462"/>
      <c r="I58" s="1463"/>
      <c r="J58" s="322" t="str">
        <f>TEXT(J57,"aaa")</f>
        <v>金</v>
      </c>
      <c r="K58" s="323" t="str">
        <f>TEXT(K57,"aaa")</f>
        <v>土</v>
      </c>
      <c r="L58" s="323" t="str">
        <f t="shared" ref="L58" si="126">TEXT(L57,"aaa")</f>
        <v>日</v>
      </c>
      <c r="M58" s="323" t="str">
        <f t="shared" ref="M58" si="127">TEXT(M57,"aaa")</f>
        <v>月</v>
      </c>
      <c r="N58" s="323" t="str">
        <f t="shared" ref="N58" si="128">TEXT(N57,"aaa")</f>
        <v>火</v>
      </c>
      <c r="O58" s="323" t="str">
        <f t="shared" ref="O58" si="129">TEXT(O57,"aaa")</f>
        <v>水</v>
      </c>
      <c r="P58" s="323" t="str">
        <f t="shared" ref="P58" si="130">TEXT(P57,"aaa")</f>
        <v>木</v>
      </c>
      <c r="Q58" s="323" t="str">
        <f t="shared" ref="Q58" si="131">TEXT(Q57,"aaa")</f>
        <v>金</v>
      </c>
      <c r="R58" s="323" t="str">
        <f t="shared" ref="R58" si="132">TEXT(R57,"aaa")</f>
        <v>土</v>
      </c>
      <c r="S58" s="323" t="str">
        <f t="shared" ref="S58" si="133">TEXT(S57,"aaa")</f>
        <v>日</v>
      </c>
      <c r="T58" s="323" t="str">
        <f t="shared" ref="T58" si="134">TEXT(T57,"aaa")</f>
        <v>月</v>
      </c>
      <c r="U58" s="323" t="str">
        <f t="shared" ref="U58" si="135">TEXT(U57,"aaa")</f>
        <v>火</v>
      </c>
      <c r="V58" s="323" t="str">
        <f t="shared" ref="V58" si="136">TEXT(V57,"aaa")</f>
        <v>水</v>
      </c>
      <c r="W58" s="323" t="str">
        <f t="shared" ref="W58" si="137">TEXT(W57,"aaa")</f>
        <v>木</v>
      </c>
      <c r="X58" s="323" t="str">
        <f t="shared" ref="X58" si="138">TEXT(X57,"aaa")</f>
        <v>金</v>
      </c>
      <c r="Y58" s="323" t="str">
        <f t="shared" ref="Y58" si="139">TEXT(Y57,"aaa")</f>
        <v>土</v>
      </c>
      <c r="Z58" s="323" t="str">
        <f t="shared" ref="Z58" si="140">TEXT(Z57,"aaa")</f>
        <v>日</v>
      </c>
      <c r="AA58" s="323" t="str">
        <f t="shared" ref="AA58" si="141">TEXT(AA57,"aaa")</f>
        <v>月</v>
      </c>
      <c r="AB58" s="323" t="str">
        <f t="shared" ref="AB58" si="142">TEXT(AB57,"aaa")</f>
        <v>火</v>
      </c>
      <c r="AC58" s="323" t="str">
        <f t="shared" ref="AC58" si="143">TEXT(AC57,"aaa")</f>
        <v>水</v>
      </c>
      <c r="AD58" s="323" t="str">
        <f t="shared" ref="AD58" si="144">TEXT(AD57,"aaa")</f>
        <v>木</v>
      </c>
      <c r="AE58" s="323" t="str">
        <f t="shared" ref="AE58" si="145">TEXT(AE57,"aaa")</f>
        <v>金</v>
      </c>
      <c r="AF58" s="323" t="str">
        <f t="shared" ref="AF58" si="146">TEXT(AF57,"aaa")</f>
        <v>土</v>
      </c>
      <c r="AG58" s="323" t="str">
        <f t="shared" ref="AG58" si="147">TEXT(AG57,"aaa")</f>
        <v>日</v>
      </c>
      <c r="AH58" s="323" t="str">
        <f t="shared" ref="AH58" si="148">TEXT(AH57,"aaa")</f>
        <v>月</v>
      </c>
      <c r="AI58" s="323" t="str">
        <f t="shared" ref="AI58" si="149">TEXT(AI57,"aaa")</f>
        <v>火</v>
      </c>
      <c r="AJ58" s="323" t="str">
        <f t="shared" ref="AJ58" si="150">TEXT(AJ57,"aaa")</f>
        <v>水</v>
      </c>
      <c r="AK58" s="323" t="str">
        <f t="shared" ref="AK58" si="151">TEXT(AK57,"aaa")</f>
        <v>木</v>
      </c>
      <c r="AL58" s="323" t="str">
        <f t="shared" ref="AL58" si="152">TEXT(AL57,"aaa")</f>
        <v>金</v>
      </c>
      <c r="AM58" s="323" t="str">
        <f t="shared" ref="AM58" si="153">TEXT(AM57,"aaa")</f>
        <v>土</v>
      </c>
      <c r="AN58" s="323" t="str">
        <f t="shared" ref="AN58" si="154">TEXT(AN57,"aaa")</f>
        <v>日</v>
      </c>
      <c r="AO58" s="1438" t="str">
        <f xml:space="preserve">
IF(AU59="×","×",
IF(表紙!$X$2="事前協議",COUNTIF(J59:AN59,"&gt;0"),
IF(表紙!$X$2="交付申請（２次）",COUNTIF(J59:AN59,"&gt;0"),
IF(表紙!$X$2="変更申請",COUNTIF(J59:AN59,"&gt;0"),
IF(表紙!$X$2="実績報告（１次）",COUNTIF(J59:AM59,"&gt;0"),
IF(表紙!$X$2="実績報告（２次）",COUNTIF(J59:AN59,"&gt;0"),
IF(表紙!$X$2="交付申請兼実績報告",COUNTIF(J59:AN59,"&gt;0"))))))))</f>
        <v>×</v>
      </c>
      <c r="AP58" s="1439"/>
      <c r="AQ58" s="1440"/>
      <c r="AR58" s="1438" t="s">
        <v>1081</v>
      </c>
      <c r="AS58" s="1439"/>
      <c r="AT58" s="1440"/>
      <c r="AU58" s="1386"/>
      <c r="AV58" s="680"/>
      <c r="AW58" s="680"/>
      <c r="AX58" s="320"/>
      <c r="AY58" s="320"/>
      <c r="BA58" s="236" t="str">
        <f>TEXT(H58&amp;":"&amp;J58,"hh:mm")</f>
        <v>:金</v>
      </c>
      <c r="BB58" s="236" t="str">
        <f>TEXT(L58&amp;":"&amp;N58,"hh:mm")</f>
        <v>日:火</v>
      </c>
      <c r="BC58" s="236" t="str">
        <f>TEXT(O58&amp;":"&amp;Q58,"hh:mm")</f>
        <v>水:金</v>
      </c>
      <c r="BD58" s="236" t="str">
        <f>TEXT(S58&amp;":"&amp;U58,"hh:mm")</f>
        <v>日:火</v>
      </c>
      <c r="BE58" s="236" t="str">
        <f>TEXT(V58&amp;":"&amp;X58,"hh:mm")</f>
        <v>水:金</v>
      </c>
      <c r="BF58" s="236" t="str">
        <f>TEXT(Z58&amp;":"&amp;AB58,"hh:mm")</f>
        <v>日:火</v>
      </c>
      <c r="BG58" s="223"/>
    </row>
    <row r="59" spans="1:78" ht="18" customHeight="1" thickTop="1">
      <c r="A59" s="321" t="s">
        <v>1060</v>
      </c>
      <c r="B59" s="1481" t="s">
        <v>1181</v>
      </c>
      <c r="C59" s="1482"/>
      <c r="D59" s="1482"/>
      <c r="E59" s="1482"/>
      <c r="F59" s="1482"/>
      <c r="G59" s="1482"/>
      <c r="H59" s="1482"/>
      <c r="I59" s="1483"/>
      <c r="J59" s="305"/>
      <c r="K59" s="306"/>
      <c r="L59" s="306"/>
      <c r="M59" s="306"/>
      <c r="N59" s="306"/>
      <c r="O59" s="306"/>
      <c r="P59" s="306"/>
      <c r="Q59" s="306"/>
      <c r="R59" s="306"/>
      <c r="S59" s="306"/>
      <c r="T59" s="306"/>
      <c r="U59" s="306"/>
      <c r="V59" s="306"/>
      <c r="W59" s="306"/>
      <c r="X59" s="306"/>
      <c r="Y59" s="306"/>
      <c r="Z59" s="306"/>
      <c r="AA59" s="306"/>
      <c r="AB59" s="306"/>
      <c r="AC59" s="306"/>
      <c r="AD59" s="306"/>
      <c r="AE59" s="306"/>
      <c r="AF59" s="306"/>
      <c r="AG59" s="306"/>
      <c r="AH59" s="306"/>
      <c r="AI59" s="306"/>
      <c r="AJ59" s="306"/>
      <c r="AK59" s="306"/>
      <c r="AL59" s="306"/>
      <c r="AM59" s="307"/>
      <c r="AN59" s="307"/>
      <c r="AO59" s="1484" t="str">
        <f xml:space="preserve">
IF(AU59="×","×",
IF(表紙!$X$2="事前協議",SUM(J59:AN59),
IF(表紙!$X$2="交付申請（２次）",SUM(J59:AN59),
IF(表紙!$X$2="変更申請",SUM(J59:AN59),
IF(表紙!$X$2="実績報告（１次）",SUM(J59:AM59),
IF(表紙!$X$2="実績報告（２次）",SUM(J59:AN59),
IF(表紙!$X$2="交付申請兼実績報告",SUM(J59:AN59))))))))</f>
        <v>×</v>
      </c>
      <c r="AP59" s="1485"/>
      <c r="AQ59" s="1486"/>
      <c r="AR59" s="1450" t="str">
        <f>IF(AU59="○",ROUNDDOWN(AO59/AO58,1),"×")</f>
        <v>×</v>
      </c>
      <c r="AS59" s="1451"/>
      <c r="AT59" s="1452"/>
      <c r="AU59" s="1478" t="str">
        <f xml:space="preserve">
IF(AND(表紙!$X$2="事前協議",COUNTIF(J61:AN61,"○")=31),"○",
IF(AND(表紙!$X$2="交付申請（２次）",COUNTIF(J61:AN61,"○")=31),"○",
IF(AND(表紙!$X$2="変更申請",COUNTIF(J61:AN61,"○")=31),"○",
IF(AND(表紙!$X$2="実績報告（１次）",COUNTIF(J61:AM61,"○")=30),"○",
IF(AND(表紙!$X$2="実績報告（２次）",COUNTIF(J61:AN61,"○")=31),"○",
IF(AND(表紙!$X$2="交付申請兼実績報告",COUNTIF(J61:AN61,"○")=31),"○","×"))))))</f>
        <v>×</v>
      </c>
      <c r="AV59" s="680"/>
      <c r="AW59" s="680"/>
      <c r="AX59" s="320"/>
      <c r="AY59" s="320"/>
      <c r="BA59" s="236" t="e">
        <f>TEXT(#REF!&amp;":"&amp;#REF!,"hh:mm")</f>
        <v>#REF!</v>
      </c>
      <c r="BB59" s="236" t="e">
        <f>TEXT(#REF!&amp;":"&amp;#REF!,"hh:mm")</f>
        <v>#REF!</v>
      </c>
      <c r="BC59" s="236" t="e">
        <f>TEXT(#REF!&amp;":"&amp;#REF!,"hh:mm")</f>
        <v>#REF!</v>
      </c>
      <c r="BD59" s="236" t="e">
        <f>TEXT(#REF!&amp;":"&amp;#REF!,"hh:mm")</f>
        <v>#REF!</v>
      </c>
      <c r="BE59" s="236" t="e">
        <f>TEXT(#REF!&amp;":"&amp;#REF!,"hh:mm")</f>
        <v>#REF!</v>
      </c>
      <c r="BF59" s="236" t="e">
        <f>TEXT(#REF!&amp;":"&amp;#REF!,"hh:mm")</f>
        <v>#REF!</v>
      </c>
      <c r="BG59" s="223"/>
    </row>
    <row r="60" spans="1:78" ht="18" customHeight="1">
      <c r="A60" s="321" t="s">
        <v>1062</v>
      </c>
      <c r="B60" s="1464" t="s">
        <v>1083</v>
      </c>
      <c r="C60" s="1465"/>
      <c r="D60" s="1465"/>
      <c r="E60" s="1465"/>
      <c r="F60" s="1465"/>
      <c r="G60" s="1465"/>
      <c r="H60" s="1465"/>
      <c r="I60" s="1466"/>
      <c r="J60" s="309"/>
      <c r="K60" s="310"/>
      <c r="L60" s="310"/>
      <c r="M60" s="310"/>
      <c r="N60" s="310"/>
      <c r="O60" s="310"/>
      <c r="P60" s="310"/>
      <c r="Q60" s="310"/>
      <c r="R60" s="310"/>
      <c r="S60" s="310"/>
      <c r="T60" s="310"/>
      <c r="U60" s="310"/>
      <c r="V60" s="310"/>
      <c r="W60" s="310"/>
      <c r="X60" s="310"/>
      <c r="Y60" s="310"/>
      <c r="Z60" s="310"/>
      <c r="AA60" s="310"/>
      <c r="AB60" s="310"/>
      <c r="AC60" s="310"/>
      <c r="AD60" s="310"/>
      <c r="AE60" s="310"/>
      <c r="AF60" s="310"/>
      <c r="AG60" s="310"/>
      <c r="AH60" s="310"/>
      <c r="AI60" s="310"/>
      <c r="AJ60" s="310"/>
      <c r="AK60" s="310"/>
      <c r="AL60" s="310"/>
      <c r="AM60" s="311"/>
      <c r="AN60" s="311"/>
      <c r="AO60" s="1467" t="str">
        <f xml:space="preserve">
IF(AU59="×","×",
IF(表紙!$X$2="事前協議",SUM(J60:AN60),
IF(表紙!$X$2="交付申請（２次）",SUM(J60:AN60),
IF(表紙!$X$2="変更申請",SUM(J60:AN60),
IF(表紙!$X$2="実績報告（１次）",SUM(J60:AM60),
IF(表紙!$X$2="実績報告（２次）",SUM(J60:AN60),
IF(表紙!$X$2="交付申請兼実績報告",SUM(J60:AN60))))))))</f>
        <v>×</v>
      </c>
      <c r="AP60" s="1609"/>
      <c r="AQ60" s="1610"/>
      <c r="AR60" s="1415" t="str">
        <f>IF(AU59="○",ROUNDDOWN(AO60/AO58,1),"×")</f>
        <v>×</v>
      </c>
      <c r="AS60" s="1416"/>
      <c r="AT60" s="1417"/>
      <c r="AU60" s="1479"/>
      <c r="AV60" s="680"/>
      <c r="AW60" s="680"/>
      <c r="AX60" s="324"/>
      <c r="AY60" s="320"/>
      <c r="BA60" s="236" t="str">
        <f>TEXT(H59&amp;":"&amp;J59,"hh:mm")</f>
        <v>:</v>
      </c>
      <c r="BB60" s="236" t="str">
        <f>TEXT(L59&amp;":"&amp;N59,"hh:mm")</f>
        <v>:</v>
      </c>
      <c r="BC60" s="236" t="str">
        <f>TEXT(O59&amp;":"&amp;Q59,"hh:mm")</f>
        <v>:</v>
      </c>
      <c r="BD60" s="236" t="str">
        <f>TEXT(S59&amp;":"&amp;U59,"hh:mm")</f>
        <v>:</v>
      </c>
      <c r="BE60" s="236" t="str">
        <f>TEXT(V59&amp;":"&amp;X59,"hh:mm")</f>
        <v>:</v>
      </c>
      <c r="BF60" s="236" t="str">
        <f>TEXT(Z59&amp;":"&amp;AB59,"hh:mm")</f>
        <v>:</v>
      </c>
      <c r="BG60" s="223"/>
    </row>
    <row r="61" spans="1:78" ht="18" customHeight="1" thickBot="1">
      <c r="A61" s="321" t="s">
        <v>1064</v>
      </c>
      <c r="B61" s="1470" t="s">
        <v>100</v>
      </c>
      <c r="C61" s="1471"/>
      <c r="D61" s="1471"/>
      <c r="E61" s="1471"/>
      <c r="F61" s="1471"/>
      <c r="G61" s="1471"/>
      <c r="H61" s="1471"/>
      <c r="I61" s="1472"/>
      <c r="J61" s="325" t="str">
        <f>IF(J57="","",
IF(AND(AND(COUNTA(J59:J60)=2,J59&gt;=J60)),"○",
IF(OR(COUNTA(J59:J60)&lt;&gt;2,J59&lt;J60),"×",
IF(AND(AND(OR(J59=0,J59=""),OR(J60=0,J60=""))),"○",
IF(AND(OR(J59&lt;&gt;0,J59&lt;&gt;""),OR(J60&lt;&gt;0,J60&lt;&gt;"")),"×")))))</f>
        <v>×</v>
      </c>
      <c r="K61" s="691" t="str">
        <f>IF(K57="","",
IF(AND(AND(COUNTA(K59:K60)=2,K59&gt;=K60)),"○",
IF(OR(COUNTA(K59:K60)&lt;&gt;2,K59&lt;K60),"×",
IF(AND(AND(OR(K59=0,K59=""),OR(K60=0,K60=""))),"○",
IF(AND(OR(K59&lt;&gt;0,K59&lt;&gt;""),OR(K60&lt;&gt;0,K60&lt;&gt;"")),"×")))))</f>
        <v>×</v>
      </c>
      <c r="L61" s="691" t="str">
        <f t="shared" ref="L61:AN61" si="155">IF(L57="","",
IF(AND(AND(COUNTA(L59:L60)=2,L59&gt;=L60)),"○",
IF(OR(COUNTA(L59:L60)&lt;&gt;2,L59&lt;L60),"×",
IF(AND(AND(OR(L59=0,L59=""),OR(L60=0,L60=""))),"○",
IF(AND(OR(L59&lt;&gt;0,L59&lt;&gt;""),OR(L60&lt;&gt;0,L60&lt;&gt;"")),"×")))))</f>
        <v>×</v>
      </c>
      <c r="M61" s="691" t="str">
        <f t="shared" si="155"/>
        <v>×</v>
      </c>
      <c r="N61" s="691" t="str">
        <f t="shared" si="155"/>
        <v>×</v>
      </c>
      <c r="O61" s="691" t="str">
        <f t="shared" si="155"/>
        <v>×</v>
      </c>
      <c r="P61" s="691" t="str">
        <f t="shared" si="155"/>
        <v>×</v>
      </c>
      <c r="Q61" s="691" t="str">
        <f t="shared" si="155"/>
        <v>×</v>
      </c>
      <c r="R61" s="691" t="str">
        <f t="shared" si="155"/>
        <v>×</v>
      </c>
      <c r="S61" s="691" t="str">
        <f t="shared" si="155"/>
        <v>×</v>
      </c>
      <c r="T61" s="691" t="str">
        <f t="shared" si="155"/>
        <v>×</v>
      </c>
      <c r="U61" s="691" t="str">
        <f t="shared" si="155"/>
        <v>×</v>
      </c>
      <c r="V61" s="691" t="str">
        <f t="shared" si="155"/>
        <v>×</v>
      </c>
      <c r="W61" s="691" t="str">
        <f t="shared" si="155"/>
        <v>×</v>
      </c>
      <c r="X61" s="691" t="str">
        <f t="shared" si="155"/>
        <v>×</v>
      </c>
      <c r="Y61" s="691" t="str">
        <f t="shared" si="155"/>
        <v>×</v>
      </c>
      <c r="Z61" s="691" t="str">
        <f t="shared" si="155"/>
        <v>×</v>
      </c>
      <c r="AA61" s="691" t="str">
        <f t="shared" si="155"/>
        <v>×</v>
      </c>
      <c r="AB61" s="691" t="str">
        <f t="shared" si="155"/>
        <v>×</v>
      </c>
      <c r="AC61" s="691" t="str">
        <f t="shared" si="155"/>
        <v>×</v>
      </c>
      <c r="AD61" s="691" t="str">
        <f t="shared" si="155"/>
        <v>×</v>
      </c>
      <c r="AE61" s="691" t="str">
        <f t="shared" si="155"/>
        <v>×</v>
      </c>
      <c r="AF61" s="691" t="str">
        <f t="shared" si="155"/>
        <v>×</v>
      </c>
      <c r="AG61" s="691" t="str">
        <f t="shared" si="155"/>
        <v>×</v>
      </c>
      <c r="AH61" s="691" t="str">
        <f t="shared" si="155"/>
        <v>×</v>
      </c>
      <c r="AI61" s="691" t="str">
        <f t="shared" si="155"/>
        <v>×</v>
      </c>
      <c r="AJ61" s="691" t="str">
        <f t="shared" si="155"/>
        <v>×</v>
      </c>
      <c r="AK61" s="691" t="str">
        <f t="shared" si="155"/>
        <v>×</v>
      </c>
      <c r="AL61" s="691" t="str">
        <f t="shared" si="155"/>
        <v>×</v>
      </c>
      <c r="AM61" s="691" t="str">
        <f t="shared" si="155"/>
        <v>×</v>
      </c>
      <c r="AN61" s="691" t="str">
        <f t="shared" si="155"/>
        <v>×</v>
      </c>
      <c r="AO61" s="1418" t="s">
        <v>1081</v>
      </c>
      <c r="AP61" s="1419"/>
      <c r="AQ61" s="1420"/>
      <c r="AR61" s="1418" t="s">
        <v>1081</v>
      </c>
      <c r="AS61" s="1419"/>
      <c r="AT61" s="1420"/>
      <c r="AU61" s="1480"/>
      <c r="AV61" s="680"/>
      <c r="AW61" s="680"/>
      <c r="AX61" s="324"/>
      <c r="AY61" s="324"/>
      <c r="BA61" s="236" t="str">
        <f>TEXT(H60&amp;":"&amp;J60,"hh:mm")</f>
        <v>:</v>
      </c>
      <c r="BB61" s="236" t="str">
        <f>TEXT(L60&amp;":"&amp;N60,"hh:mm")</f>
        <v>:</v>
      </c>
      <c r="BC61" s="236" t="str">
        <f>TEXT(O60&amp;":"&amp;Q60,"hh:mm")</f>
        <v>:</v>
      </c>
      <c r="BD61" s="236" t="str">
        <f>TEXT(S60&amp;":"&amp;U60,"hh:mm")</f>
        <v>:</v>
      </c>
      <c r="BE61" s="236" t="str">
        <f>TEXT(V60&amp;":"&amp;X60,"hh:mm")</f>
        <v>:</v>
      </c>
      <c r="BF61" s="236" t="str">
        <f>TEXT(Z60&amp;":"&amp;AB60,"hh:mm")</f>
        <v>:</v>
      </c>
      <c r="BG61" s="223"/>
    </row>
    <row r="62" spans="1:78">
      <c r="BZ62" s="238"/>
    </row>
    <row r="63" spans="1:78" ht="45" customHeight="1" thickBot="1">
      <c r="B63" s="1335" t="str">
        <f>"２．職員情報　　【総合判定】"&amp;AZ63&amp;"："&amp;BG63</f>
        <v>２．職員情報　　【総合判定】×：上段の「１．勤務体制及び入院患者情報」が入力不十分です。（上の段から適切に入力していくようにしてください。）</v>
      </c>
      <c r="C63" s="1207"/>
      <c r="D63" s="1207"/>
      <c r="E63" s="1207"/>
      <c r="F63" s="1207"/>
      <c r="G63" s="1207"/>
      <c r="H63" s="1207"/>
      <c r="I63" s="1207"/>
      <c r="J63" s="1207"/>
      <c r="K63" s="1207"/>
      <c r="L63" s="1207"/>
      <c r="M63" s="1207"/>
      <c r="N63" s="1207"/>
      <c r="O63" s="1207"/>
      <c r="P63" s="1207"/>
      <c r="Q63" s="1207"/>
      <c r="R63" s="1207"/>
      <c r="S63" s="1207"/>
      <c r="T63" s="1207"/>
      <c r="U63" s="1207"/>
      <c r="V63" s="1207"/>
      <c r="W63" s="1207"/>
      <c r="X63" s="1207"/>
      <c r="Y63" s="1207"/>
      <c r="Z63" s="1207"/>
      <c r="AA63" s="1207"/>
      <c r="AB63" s="1207"/>
      <c r="AC63" s="1207"/>
      <c r="AD63" s="1207"/>
      <c r="AE63" s="1207"/>
      <c r="AF63" s="1207"/>
      <c r="AG63" s="1207"/>
      <c r="AH63" s="1207"/>
      <c r="AI63" s="1207"/>
      <c r="AJ63" s="1207"/>
      <c r="AK63" s="1207"/>
      <c r="AL63" s="1207"/>
      <c r="AM63" s="1207"/>
      <c r="AN63" s="1207"/>
      <c r="AO63" s="1207"/>
      <c r="AP63" s="1207"/>
      <c r="AQ63" s="1207"/>
      <c r="AR63" s="1207"/>
      <c r="AS63" s="1207"/>
      <c r="AT63" s="1207"/>
      <c r="AU63" s="1207"/>
      <c r="AV63" s="1207"/>
      <c r="AW63" s="1207"/>
      <c r="AX63" s="1207"/>
      <c r="AY63" s="1207"/>
      <c r="AZ63" s="690" t="str">
        <f xml:space="preserve">
IF(AZ15="×","×",
IF(AND(AS65&gt;0,AS68&gt;0),"○","×"))</f>
        <v>×</v>
      </c>
      <c r="BG63" s="584" t="str">
        <f xml:space="preserve">
IF(AZ15="×","上段の「１．勤務体制及び入院患者情報」が入力不十分です。（上の段から適切に入力していくようにしてください。）",
IF(AND(AS65&gt;0,AS68&gt;0),"適切に入力がされました。","医師または看護師の指名入力欄のいずれかが未入力の状態です。"))</f>
        <v>上段の「１．勤務体制及び入院患者情報」が入力不十分です。（上の段から適切に入力していくようにしてください。）</v>
      </c>
      <c r="BZ63" s="238"/>
    </row>
    <row r="64" spans="1:78" ht="24.75" thickBot="1">
      <c r="B64" s="1579" t="s">
        <v>1069</v>
      </c>
      <c r="C64" s="1580"/>
      <c r="D64" s="1580"/>
      <c r="E64" s="1581" t="s">
        <v>1223</v>
      </c>
      <c r="F64" s="1582"/>
      <c r="G64" s="1582"/>
      <c r="H64" s="1582"/>
      <c r="I64" s="1582"/>
      <c r="J64" s="1582"/>
      <c r="K64" s="1582"/>
      <c r="L64" s="1582"/>
      <c r="M64" s="1582"/>
      <c r="N64" s="1582"/>
      <c r="O64" s="1582"/>
      <c r="P64" s="1582"/>
      <c r="Q64" s="1582"/>
      <c r="R64" s="1582"/>
      <c r="S64" s="1582"/>
      <c r="T64" s="1582"/>
      <c r="U64" s="1582"/>
      <c r="V64" s="1582"/>
      <c r="W64" s="1582"/>
      <c r="X64" s="1582"/>
      <c r="Y64" s="1582"/>
      <c r="Z64" s="1582"/>
      <c r="AA64" s="1582"/>
      <c r="AB64" s="1582"/>
      <c r="AC64" s="1582"/>
      <c r="AD64" s="1582"/>
      <c r="AE64" s="1582"/>
      <c r="AF64" s="1582"/>
      <c r="AG64" s="1582"/>
      <c r="AH64" s="1582"/>
      <c r="AI64" s="1582"/>
      <c r="AJ64" s="1582"/>
      <c r="AK64" s="1582"/>
      <c r="AL64" s="1582"/>
      <c r="AM64" s="1582"/>
      <c r="AN64" s="1582"/>
      <c r="AO64" s="1582"/>
      <c r="AP64" s="1582"/>
      <c r="AQ64" s="1582"/>
      <c r="AR64" s="1583"/>
      <c r="AS64" s="1584" t="s">
        <v>514</v>
      </c>
      <c r="AT64" s="1585"/>
      <c r="AU64" s="1585"/>
      <c r="AV64" s="1585"/>
      <c r="AW64" s="1585"/>
      <c r="AX64" s="1586"/>
      <c r="AY64" s="688"/>
      <c r="AZ64" s="1344" t="s">
        <v>1071</v>
      </c>
      <c r="BA64" s="1345"/>
      <c r="BB64" s="1345"/>
      <c r="BC64" s="1345"/>
      <c r="BD64" s="1345"/>
      <c r="BE64" s="1345"/>
      <c r="BF64" s="1345"/>
      <c r="BG64" s="1345"/>
      <c r="BH64" s="1345"/>
      <c r="BI64" s="1345"/>
      <c r="BJ64" s="1345"/>
      <c r="BK64" s="1345"/>
      <c r="BL64" s="1345"/>
      <c r="BM64" s="1345"/>
      <c r="BN64" s="1345"/>
      <c r="BO64" s="1345"/>
      <c r="BP64" s="1350"/>
      <c r="BZ64" s="238"/>
    </row>
    <row r="65" spans="2:78" ht="24" customHeight="1" thickTop="1">
      <c r="B65" s="1394" t="s">
        <v>1072</v>
      </c>
      <c r="C65" s="1487"/>
      <c r="D65" s="1487"/>
      <c r="E65" s="1491" t="s">
        <v>1073</v>
      </c>
      <c r="F65" s="1492"/>
      <c r="G65" s="1492"/>
      <c r="H65" s="1493"/>
      <c r="I65" s="1494"/>
      <c r="J65" s="1495"/>
      <c r="K65" s="1495"/>
      <c r="L65" s="1496"/>
      <c r="M65" s="1494"/>
      <c r="N65" s="1495"/>
      <c r="O65" s="1495"/>
      <c r="P65" s="1496"/>
      <c r="Q65" s="1494"/>
      <c r="R65" s="1495"/>
      <c r="S65" s="1495"/>
      <c r="T65" s="1496"/>
      <c r="U65" s="1494"/>
      <c r="V65" s="1495"/>
      <c r="W65" s="1495"/>
      <c r="X65" s="1496"/>
      <c r="Y65" s="1494"/>
      <c r="Z65" s="1495"/>
      <c r="AA65" s="1495"/>
      <c r="AB65" s="1496"/>
      <c r="AC65" s="1494"/>
      <c r="AD65" s="1495"/>
      <c r="AE65" s="1495"/>
      <c r="AF65" s="1496"/>
      <c r="AG65" s="1494"/>
      <c r="AH65" s="1495"/>
      <c r="AI65" s="1495"/>
      <c r="AJ65" s="1496"/>
      <c r="AK65" s="1494"/>
      <c r="AL65" s="1495"/>
      <c r="AM65" s="1495"/>
      <c r="AN65" s="1496"/>
      <c r="AO65" s="1494"/>
      <c r="AP65" s="1495"/>
      <c r="AQ65" s="1495"/>
      <c r="AR65" s="1496"/>
      <c r="AS65" s="1327">
        <f>IF(BR65="",COUNTA(E65:AR67)-1,BR65)</f>
        <v>0</v>
      </c>
      <c r="AT65" s="1328"/>
      <c r="AU65" s="1328"/>
      <c r="AV65" s="1328"/>
      <c r="AW65" s="1577" t="str">
        <f>IF(AS65&gt;0,"○","×")</f>
        <v>×</v>
      </c>
      <c r="AX65" s="1578"/>
      <c r="AY65" s="685"/>
      <c r="AZ65" s="1323" t="str">
        <f xml:space="preserve">
IF(AW65="×",
"【要修正】医師の氏名を１名以上記入してください。"
&amp;CHAR(10)&amp;CHAR(10)&amp;
"　　　　　また、１つの欄に姓と名を併せて入力してください。",
"適切に入力がされました。"
)</f>
        <v>【要修正】医師の氏名を１名以上記入してください。
　　　　　また、１つの欄に姓と名を併せて入力してください。</v>
      </c>
      <c r="BA65" s="1324"/>
      <c r="BB65" s="1324"/>
      <c r="BC65" s="1324"/>
      <c r="BD65" s="1324"/>
      <c r="BE65" s="1324"/>
      <c r="BF65" s="1324"/>
      <c r="BG65" s="1324"/>
      <c r="BH65" s="1324"/>
      <c r="BI65" s="1324"/>
      <c r="BJ65" s="1324"/>
      <c r="BK65" s="1324"/>
      <c r="BL65" s="1324"/>
      <c r="BM65" s="1324"/>
      <c r="BN65" s="1324"/>
      <c r="BO65" s="1324"/>
      <c r="BP65" s="1325"/>
      <c r="BR65" s="567"/>
      <c r="BS65" s="680" t="s">
        <v>1302</v>
      </c>
      <c r="BZ65" s="238"/>
    </row>
    <row r="66" spans="2:78" ht="24" customHeight="1">
      <c r="B66" s="1488"/>
      <c r="C66" s="1393"/>
      <c r="D66" s="1393"/>
      <c r="E66" s="1572"/>
      <c r="F66" s="1575"/>
      <c r="G66" s="1575"/>
      <c r="H66" s="1576"/>
      <c r="I66" s="1572"/>
      <c r="J66" s="1575"/>
      <c r="K66" s="1575"/>
      <c r="L66" s="1576"/>
      <c r="M66" s="1572"/>
      <c r="N66" s="1575"/>
      <c r="O66" s="1575"/>
      <c r="P66" s="1576"/>
      <c r="Q66" s="1572"/>
      <c r="R66" s="1575"/>
      <c r="S66" s="1575"/>
      <c r="T66" s="1576"/>
      <c r="U66" s="1572"/>
      <c r="V66" s="1575"/>
      <c r="W66" s="1575"/>
      <c r="X66" s="1576"/>
      <c r="Y66" s="1572"/>
      <c r="Z66" s="1575"/>
      <c r="AA66" s="1575"/>
      <c r="AB66" s="1576"/>
      <c r="AC66" s="1572"/>
      <c r="AD66" s="1575"/>
      <c r="AE66" s="1575"/>
      <c r="AF66" s="1576"/>
      <c r="AG66" s="1572"/>
      <c r="AH66" s="1575"/>
      <c r="AI66" s="1575"/>
      <c r="AJ66" s="1576"/>
      <c r="AK66" s="1572"/>
      <c r="AL66" s="1575"/>
      <c r="AM66" s="1575"/>
      <c r="AN66" s="1576"/>
      <c r="AO66" s="1572"/>
      <c r="AP66" s="1575"/>
      <c r="AQ66" s="1575"/>
      <c r="AR66" s="1576"/>
      <c r="AS66" s="1329"/>
      <c r="AT66" s="1330"/>
      <c r="AU66" s="1330"/>
      <c r="AV66" s="1330"/>
      <c r="AW66" s="1319"/>
      <c r="AX66" s="1320"/>
      <c r="AY66" s="685"/>
      <c r="AZ66" s="1326"/>
      <c r="BA66" s="1324"/>
      <c r="BB66" s="1324"/>
      <c r="BC66" s="1324"/>
      <c r="BD66" s="1324"/>
      <c r="BE66" s="1324"/>
      <c r="BF66" s="1324"/>
      <c r="BG66" s="1324"/>
      <c r="BH66" s="1324"/>
      <c r="BI66" s="1324"/>
      <c r="BJ66" s="1324"/>
      <c r="BK66" s="1324"/>
      <c r="BL66" s="1324"/>
      <c r="BM66" s="1324"/>
      <c r="BN66" s="1324"/>
      <c r="BO66" s="1324"/>
      <c r="BP66" s="1325"/>
      <c r="BR66" s="680"/>
      <c r="BS66" s="680"/>
      <c r="BZ66" s="238"/>
    </row>
    <row r="67" spans="2:78" ht="24.75" customHeight="1" thickBot="1">
      <c r="B67" s="1490"/>
      <c r="C67" s="1402"/>
      <c r="D67" s="1402"/>
      <c r="E67" s="1503"/>
      <c r="F67" s="1504"/>
      <c r="G67" s="1504"/>
      <c r="H67" s="1505"/>
      <c r="I67" s="1503"/>
      <c r="J67" s="1504"/>
      <c r="K67" s="1504"/>
      <c r="L67" s="1505"/>
      <c r="M67" s="1503"/>
      <c r="N67" s="1504"/>
      <c r="O67" s="1504"/>
      <c r="P67" s="1505"/>
      <c r="Q67" s="1503"/>
      <c r="R67" s="1504"/>
      <c r="S67" s="1504"/>
      <c r="T67" s="1505"/>
      <c r="U67" s="1503"/>
      <c r="V67" s="1504"/>
      <c r="W67" s="1504"/>
      <c r="X67" s="1505"/>
      <c r="Y67" s="1503"/>
      <c r="Z67" s="1504"/>
      <c r="AA67" s="1504"/>
      <c r="AB67" s="1505"/>
      <c r="AC67" s="1503"/>
      <c r="AD67" s="1504"/>
      <c r="AE67" s="1504"/>
      <c r="AF67" s="1505"/>
      <c r="AG67" s="1503"/>
      <c r="AH67" s="1504"/>
      <c r="AI67" s="1504"/>
      <c r="AJ67" s="1505"/>
      <c r="AK67" s="1503"/>
      <c r="AL67" s="1504"/>
      <c r="AM67" s="1504"/>
      <c r="AN67" s="1505"/>
      <c r="AO67" s="1503"/>
      <c r="AP67" s="1504"/>
      <c r="AQ67" s="1504"/>
      <c r="AR67" s="1505"/>
      <c r="AS67" s="1331"/>
      <c r="AT67" s="1332"/>
      <c r="AU67" s="1332"/>
      <c r="AV67" s="1332"/>
      <c r="AW67" s="1319"/>
      <c r="AX67" s="1320"/>
      <c r="AY67" s="685"/>
      <c r="AZ67" s="1326"/>
      <c r="BA67" s="1324"/>
      <c r="BB67" s="1324"/>
      <c r="BC67" s="1324"/>
      <c r="BD67" s="1324"/>
      <c r="BE67" s="1324"/>
      <c r="BF67" s="1324"/>
      <c r="BG67" s="1324"/>
      <c r="BH67" s="1324"/>
      <c r="BI67" s="1324"/>
      <c r="BJ67" s="1324"/>
      <c r="BK67" s="1324"/>
      <c r="BL67" s="1324"/>
      <c r="BM67" s="1324"/>
      <c r="BN67" s="1324"/>
      <c r="BO67" s="1324"/>
      <c r="BP67" s="1325"/>
      <c r="BR67" s="680"/>
      <c r="BS67" s="680"/>
      <c r="BZ67" s="238"/>
    </row>
    <row r="68" spans="2:78" ht="24" customHeight="1">
      <c r="B68" s="1394" t="s">
        <v>1303</v>
      </c>
      <c r="C68" s="1487"/>
      <c r="D68" s="1487"/>
      <c r="E68" s="1491" t="s">
        <v>1074</v>
      </c>
      <c r="F68" s="1492"/>
      <c r="G68" s="1492"/>
      <c r="H68" s="1493"/>
      <c r="I68" s="1494"/>
      <c r="J68" s="1495"/>
      <c r="K68" s="1495"/>
      <c r="L68" s="1496"/>
      <c r="M68" s="1494"/>
      <c r="N68" s="1495"/>
      <c r="O68" s="1495"/>
      <c r="P68" s="1496"/>
      <c r="Q68" s="1494"/>
      <c r="R68" s="1495"/>
      <c r="S68" s="1495"/>
      <c r="T68" s="1496"/>
      <c r="U68" s="1494"/>
      <c r="V68" s="1495"/>
      <c r="W68" s="1495"/>
      <c r="X68" s="1496"/>
      <c r="Y68" s="1494"/>
      <c r="Z68" s="1495"/>
      <c r="AA68" s="1495"/>
      <c r="AB68" s="1496"/>
      <c r="AC68" s="1494"/>
      <c r="AD68" s="1495"/>
      <c r="AE68" s="1495"/>
      <c r="AF68" s="1496"/>
      <c r="AG68" s="1494"/>
      <c r="AH68" s="1495"/>
      <c r="AI68" s="1495"/>
      <c r="AJ68" s="1496"/>
      <c r="AK68" s="1494"/>
      <c r="AL68" s="1495"/>
      <c r="AM68" s="1495"/>
      <c r="AN68" s="1496"/>
      <c r="AO68" s="1494"/>
      <c r="AP68" s="1495"/>
      <c r="AQ68" s="1495"/>
      <c r="AR68" s="1496"/>
      <c r="AS68" s="1327">
        <f>IF(BR68="",COUNTA(E68:AR75)-1,BR68)</f>
        <v>0</v>
      </c>
      <c r="AT68" s="1328"/>
      <c r="AU68" s="1328"/>
      <c r="AV68" s="1328"/>
      <c r="AW68" s="1593" t="str">
        <f>IF(AS68&gt;0,"○","×")</f>
        <v>×</v>
      </c>
      <c r="AX68" s="1318"/>
      <c r="AY68" s="685"/>
      <c r="AZ68" s="1323" t="str">
        <f>IF(AW68="×",
"【要修正】看護要員の氏名を１名以上記入してください。"
&amp;CHAR(10)&amp;CHAR(10)&amp;
"　　　　　また、１つの欄に姓と名を併せて入力してください。",
"適切に入力がされました。")</f>
        <v>【要修正】看護要員の氏名を１名以上記入してください。
　　　　　また、１つの欄に姓と名を併せて入力してください。</v>
      </c>
      <c r="BA68" s="1324"/>
      <c r="BB68" s="1324"/>
      <c r="BC68" s="1324"/>
      <c r="BD68" s="1324"/>
      <c r="BE68" s="1324"/>
      <c r="BF68" s="1324"/>
      <c r="BG68" s="1324"/>
      <c r="BH68" s="1324"/>
      <c r="BI68" s="1324"/>
      <c r="BJ68" s="1324"/>
      <c r="BK68" s="1324"/>
      <c r="BL68" s="1324"/>
      <c r="BM68" s="1324"/>
      <c r="BN68" s="1324"/>
      <c r="BO68" s="1324"/>
      <c r="BP68" s="1325"/>
      <c r="BR68" s="567"/>
      <c r="BS68" s="680" t="s">
        <v>1306</v>
      </c>
      <c r="BZ68" s="238"/>
    </row>
    <row r="69" spans="2:78" ht="24" customHeight="1">
      <c r="B69" s="1488"/>
      <c r="C69" s="1393"/>
      <c r="D69" s="1393"/>
      <c r="E69" s="1572"/>
      <c r="F69" s="1575"/>
      <c r="G69" s="1575"/>
      <c r="H69" s="1576"/>
      <c r="I69" s="1572"/>
      <c r="J69" s="1575"/>
      <c r="K69" s="1575"/>
      <c r="L69" s="1576"/>
      <c r="M69" s="1572"/>
      <c r="N69" s="1575"/>
      <c r="O69" s="1575"/>
      <c r="P69" s="1576"/>
      <c r="Q69" s="1572"/>
      <c r="R69" s="1575"/>
      <c r="S69" s="1575"/>
      <c r="T69" s="1576"/>
      <c r="U69" s="1572"/>
      <c r="V69" s="1575"/>
      <c r="W69" s="1575"/>
      <c r="X69" s="1576"/>
      <c r="Y69" s="1572"/>
      <c r="Z69" s="1575"/>
      <c r="AA69" s="1575"/>
      <c r="AB69" s="1576"/>
      <c r="AC69" s="1572"/>
      <c r="AD69" s="1575"/>
      <c r="AE69" s="1575"/>
      <c r="AF69" s="1576"/>
      <c r="AG69" s="1572"/>
      <c r="AH69" s="1575"/>
      <c r="AI69" s="1575"/>
      <c r="AJ69" s="1576"/>
      <c r="AK69" s="1572"/>
      <c r="AL69" s="1575"/>
      <c r="AM69" s="1575"/>
      <c r="AN69" s="1576"/>
      <c r="AO69" s="1572"/>
      <c r="AP69" s="1575"/>
      <c r="AQ69" s="1575"/>
      <c r="AR69" s="1576"/>
      <c r="AS69" s="1329"/>
      <c r="AT69" s="1330"/>
      <c r="AU69" s="1330"/>
      <c r="AV69" s="1330"/>
      <c r="AW69" s="1319"/>
      <c r="AX69" s="1320"/>
      <c r="AY69" s="685"/>
      <c r="AZ69" s="1326"/>
      <c r="BA69" s="1324"/>
      <c r="BB69" s="1324"/>
      <c r="BC69" s="1324"/>
      <c r="BD69" s="1324"/>
      <c r="BE69" s="1324"/>
      <c r="BF69" s="1324"/>
      <c r="BG69" s="1324"/>
      <c r="BH69" s="1324"/>
      <c r="BI69" s="1324"/>
      <c r="BJ69" s="1324"/>
      <c r="BK69" s="1324"/>
      <c r="BL69" s="1324"/>
      <c r="BM69" s="1324"/>
      <c r="BN69" s="1324"/>
      <c r="BO69" s="1324"/>
      <c r="BP69" s="1325"/>
      <c r="BZ69" s="238"/>
    </row>
    <row r="70" spans="2:78" ht="24" customHeight="1">
      <c r="B70" s="1488"/>
      <c r="C70" s="1393"/>
      <c r="D70" s="1393"/>
      <c r="E70" s="1572"/>
      <c r="F70" s="1575"/>
      <c r="G70" s="1575"/>
      <c r="H70" s="1576"/>
      <c r="I70" s="1572"/>
      <c r="J70" s="1575"/>
      <c r="K70" s="1575"/>
      <c r="L70" s="1576"/>
      <c r="M70" s="1572"/>
      <c r="N70" s="1575"/>
      <c r="O70" s="1575"/>
      <c r="P70" s="1576"/>
      <c r="Q70" s="1572"/>
      <c r="R70" s="1575"/>
      <c r="S70" s="1575"/>
      <c r="T70" s="1576"/>
      <c r="U70" s="1572"/>
      <c r="V70" s="1575"/>
      <c r="W70" s="1575"/>
      <c r="X70" s="1576"/>
      <c r="Y70" s="1572"/>
      <c r="Z70" s="1575"/>
      <c r="AA70" s="1575"/>
      <c r="AB70" s="1576"/>
      <c r="AC70" s="1572"/>
      <c r="AD70" s="1575"/>
      <c r="AE70" s="1575"/>
      <c r="AF70" s="1576"/>
      <c r="AG70" s="1572"/>
      <c r="AH70" s="1575"/>
      <c r="AI70" s="1575"/>
      <c r="AJ70" s="1576"/>
      <c r="AK70" s="1572"/>
      <c r="AL70" s="1575"/>
      <c r="AM70" s="1575"/>
      <c r="AN70" s="1576"/>
      <c r="AO70" s="1572"/>
      <c r="AP70" s="1575"/>
      <c r="AQ70" s="1575"/>
      <c r="AR70" s="1576"/>
      <c r="AS70" s="1329"/>
      <c r="AT70" s="1330"/>
      <c r="AU70" s="1330"/>
      <c r="AV70" s="1330"/>
      <c r="AW70" s="1319"/>
      <c r="AX70" s="1320"/>
      <c r="AY70" s="685"/>
      <c r="AZ70" s="1326"/>
      <c r="BA70" s="1324"/>
      <c r="BB70" s="1324"/>
      <c r="BC70" s="1324"/>
      <c r="BD70" s="1324"/>
      <c r="BE70" s="1324"/>
      <c r="BF70" s="1324"/>
      <c r="BG70" s="1324"/>
      <c r="BH70" s="1324"/>
      <c r="BI70" s="1324"/>
      <c r="BJ70" s="1324"/>
      <c r="BK70" s="1324"/>
      <c r="BL70" s="1324"/>
      <c r="BM70" s="1324"/>
      <c r="BN70" s="1324"/>
      <c r="BO70" s="1324"/>
      <c r="BP70" s="1325"/>
      <c r="BZ70" s="238"/>
    </row>
    <row r="71" spans="2:78" ht="24" customHeight="1">
      <c r="B71" s="1488"/>
      <c r="C71" s="1393"/>
      <c r="D71" s="1393"/>
      <c r="E71" s="1572"/>
      <c r="F71" s="1575"/>
      <c r="G71" s="1575"/>
      <c r="H71" s="1576"/>
      <c r="I71" s="1572"/>
      <c r="J71" s="1575"/>
      <c r="K71" s="1575"/>
      <c r="L71" s="1576"/>
      <c r="M71" s="1572"/>
      <c r="N71" s="1575"/>
      <c r="O71" s="1575"/>
      <c r="P71" s="1576"/>
      <c r="Q71" s="1572"/>
      <c r="R71" s="1575"/>
      <c r="S71" s="1575"/>
      <c r="T71" s="1576"/>
      <c r="U71" s="1572"/>
      <c r="V71" s="1575"/>
      <c r="W71" s="1575"/>
      <c r="X71" s="1576"/>
      <c r="Y71" s="1572"/>
      <c r="Z71" s="1575"/>
      <c r="AA71" s="1575"/>
      <c r="AB71" s="1576"/>
      <c r="AC71" s="1572"/>
      <c r="AD71" s="1575"/>
      <c r="AE71" s="1575"/>
      <c r="AF71" s="1576"/>
      <c r="AG71" s="1572"/>
      <c r="AH71" s="1575"/>
      <c r="AI71" s="1575"/>
      <c r="AJ71" s="1576"/>
      <c r="AK71" s="1572"/>
      <c r="AL71" s="1575"/>
      <c r="AM71" s="1575"/>
      <c r="AN71" s="1576"/>
      <c r="AO71" s="1572"/>
      <c r="AP71" s="1575"/>
      <c r="AQ71" s="1575"/>
      <c r="AR71" s="1576"/>
      <c r="AS71" s="1329"/>
      <c r="AT71" s="1330"/>
      <c r="AU71" s="1330"/>
      <c r="AV71" s="1330"/>
      <c r="AW71" s="1319"/>
      <c r="AX71" s="1320"/>
      <c r="AY71" s="685"/>
      <c r="AZ71" s="1326"/>
      <c r="BA71" s="1324"/>
      <c r="BB71" s="1324"/>
      <c r="BC71" s="1324"/>
      <c r="BD71" s="1324"/>
      <c r="BE71" s="1324"/>
      <c r="BF71" s="1324"/>
      <c r="BG71" s="1324"/>
      <c r="BH71" s="1324"/>
      <c r="BI71" s="1324"/>
      <c r="BJ71" s="1324"/>
      <c r="BK71" s="1324"/>
      <c r="BL71" s="1324"/>
      <c r="BM71" s="1324"/>
      <c r="BN71" s="1324"/>
      <c r="BO71" s="1324"/>
      <c r="BP71" s="1325"/>
      <c r="BZ71" s="238"/>
    </row>
    <row r="72" spans="2:78" ht="24" customHeight="1">
      <c r="B72" s="1488"/>
      <c r="C72" s="1393"/>
      <c r="D72" s="1393"/>
      <c r="E72" s="1572"/>
      <c r="F72" s="1575"/>
      <c r="G72" s="1575"/>
      <c r="H72" s="1576"/>
      <c r="I72" s="1572"/>
      <c r="J72" s="1575"/>
      <c r="K72" s="1575"/>
      <c r="L72" s="1576"/>
      <c r="M72" s="1572"/>
      <c r="N72" s="1575"/>
      <c r="O72" s="1575"/>
      <c r="P72" s="1576"/>
      <c r="Q72" s="1572"/>
      <c r="R72" s="1575"/>
      <c r="S72" s="1575"/>
      <c r="T72" s="1576"/>
      <c r="U72" s="1572"/>
      <c r="V72" s="1575"/>
      <c r="W72" s="1575"/>
      <c r="X72" s="1576"/>
      <c r="Y72" s="1572"/>
      <c r="Z72" s="1575"/>
      <c r="AA72" s="1575"/>
      <c r="AB72" s="1576"/>
      <c r="AC72" s="1572"/>
      <c r="AD72" s="1575"/>
      <c r="AE72" s="1575"/>
      <c r="AF72" s="1576"/>
      <c r="AG72" s="1572"/>
      <c r="AH72" s="1575"/>
      <c r="AI72" s="1575"/>
      <c r="AJ72" s="1576"/>
      <c r="AK72" s="1572"/>
      <c r="AL72" s="1575"/>
      <c r="AM72" s="1575"/>
      <c r="AN72" s="1576"/>
      <c r="AO72" s="1572"/>
      <c r="AP72" s="1575"/>
      <c r="AQ72" s="1575"/>
      <c r="AR72" s="1576"/>
      <c r="AS72" s="1329"/>
      <c r="AT72" s="1330"/>
      <c r="AU72" s="1330"/>
      <c r="AV72" s="1330"/>
      <c r="AW72" s="1319"/>
      <c r="AX72" s="1320"/>
      <c r="AY72" s="685"/>
      <c r="AZ72" s="1326"/>
      <c r="BA72" s="1324"/>
      <c r="BB72" s="1324"/>
      <c r="BC72" s="1324"/>
      <c r="BD72" s="1324"/>
      <c r="BE72" s="1324"/>
      <c r="BF72" s="1324"/>
      <c r="BG72" s="1324"/>
      <c r="BH72" s="1324"/>
      <c r="BI72" s="1324"/>
      <c r="BJ72" s="1324"/>
      <c r="BK72" s="1324"/>
      <c r="BL72" s="1324"/>
      <c r="BM72" s="1324"/>
      <c r="BN72" s="1324"/>
      <c r="BO72" s="1324"/>
      <c r="BP72" s="1325"/>
      <c r="BZ72" s="238"/>
    </row>
    <row r="73" spans="2:78" ht="24" customHeight="1">
      <c r="B73" s="1489"/>
      <c r="C73" s="1393"/>
      <c r="D73" s="1393"/>
      <c r="E73" s="1572"/>
      <c r="F73" s="1575"/>
      <c r="G73" s="1575"/>
      <c r="H73" s="1576"/>
      <c r="I73" s="1572"/>
      <c r="J73" s="1575"/>
      <c r="K73" s="1575"/>
      <c r="L73" s="1576"/>
      <c r="M73" s="1572"/>
      <c r="N73" s="1575"/>
      <c r="O73" s="1575"/>
      <c r="P73" s="1576"/>
      <c r="Q73" s="1572"/>
      <c r="R73" s="1575"/>
      <c r="S73" s="1575"/>
      <c r="T73" s="1576"/>
      <c r="U73" s="1572"/>
      <c r="V73" s="1575"/>
      <c r="W73" s="1575"/>
      <c r="X73" s="1576"/>
      <c r="Y73" s="1572"/>
      <c r="Z73" s="1575"/>
      <c r="AA73" s="1575"/>
      <c r="AB73" s="1576"/>
      <c r="AC73" s="1572"/>
      <c r="AD73" s="1575"/>
      <c r="AE73" s="1575"/>
      <c r="AF73" s="1576"/>
      <c r="AG73" s="1572"/>
      <c r="AH73" s="1575"/>
      <c r="AI73" s="1575"/>
      <c r="AJ73" s="1576"/>
      <c r="AK73" s="1572"/>
      <c r="AL73" s="1575"/>
      <c r="AM73" s="1575"/>
      <c r="AN73" s="1576"/>
      <c r="AO73" s="1572"/>
      <c r="AP73" s="1575"/>
      <c r="AQ73" s="1575"/>
      <c r="AR73" s="1576"/>
      <c r="AS73" s="1329"/>
      <c r="AT73" s="1330"/>
      <c r="AU73" s="1330"/>
      <c r="AV73" s="1330"/>
      <c r="AW73" s="1319"/>
      <c r="AX73" s="1320"/>
      <c r="AY73" s="685"/>
      <c r="AZ73" s="1326"/>
      <c r="BA73" s="1324"/>
      <c r="BB73" s="1324"/>
      <c r="BC73" s="1324"/>
      <c r="BD73" s="1324"/>
      <c r="BE73" s="1324"/>
      <c r="BF73" s="1324"/>
      <c r="BG73" s="1324"/>
      <c r="BH73" s="1324"/>
      <c r="BI73" s="1324"/>
      <c r="BJ73" s="1324"/>
      <c r="BK73" s="1324"/>
      <c r="BL73" s="1324"/>
      <c r="BM73" s="1324"/>
      <c r="BN73" s="1324"/>
      <c r="BO73" s="1324"/>
      <c r="BP73" s="1325"/>
      <c r="BZ73" s="238"/>
    </row>
    <row r="74" spans="2:78" ht="24" customHeight="1">
      <c r="B74" s="1489"/>
      <c r="C74" s="1393"/>
      <c r="D74" s="1393"/>
      <c r="E74" s="1572"/>
      <c r="F74" s="1573"/>
      <c r="G74" s="1573"/>
      <c r="H74" s="1574"/>
      <c r="I74" s="1572"/>
      <c r="J74" s="1573"/>
      <c r="K74" s="1573"/>
      <c r="L74" s="1574"/>
      <c r="M74" s="1572"/>
      <c r="N74" s="1573"/>
      <c r="O74" s="1573"/>
      <c r="P74" s="1574"/>
      <c r="Q74" s="1572"/>
      <c r="R74" s="1573"/>
      <c r="S74" s="1573"/>
      <c r="T74" s="1574"/>
      <c r="U74" s="1572"/>
      <c r="V74" s="1573"/>
      <c r="W74" s="1573"/>
      <c r="X74" s="1574"/>
      <c r="Y74" s="1572"/>
      <c r="Z74" s="1573"/>
      <c r="AA74" s="1573"/>
      <c r="AB74" s="1574"/>
      <c r="AC74" s="1572"/>
      <c r="AD74" s="1573"/>
      <c r="AE74" s="1573"/>
      <c r="AF74" s="1574"/>
      <c r="AG74" s="1572"/>
      <c r="AH74" s="1573"/>
      <c r="AI74" s="1573"/>
      <c r="AJ74" s="1574"/>
      <c r="AK74" s="1572"/>
      <c r="AL74" s="1573"/>
      <c r="AM74" s="1573"/>
      <c r="AN74" s="1574"/>
      <c r="AO74" s="1572"/>
      <c r="AP74" s="1573"/>
      <c r="AQ74" s="1573"/>
      <c r="AR74" s="1574"/>
      <c r="AS74" s="1329"/>
      <c r="AT74" s="1330"/>
      <c r="AU74" s="1330"/>
      <c r="AV74" s="1330"/>
      <c r="AW74" s="1319"/>
      <c r="AX74" s="1320"/>
      <c r="AY74" s="685"/>
      <c r="AZ74" s="1326"/>
      <c r="BA74" s="1324"/>
      <c r="BB74" s="1324"/>
      <c r="BC74" s="1324"/>
      <c r="BD74" s="1324"/>
      <c r="BE74" s="1324"/>
      <c r="BF74" s="1324"/>
      <c r="BG74" s="1324"/>
      <c r="BH74" s="1324"/>
      <c r="BI74" s="1324"/>
      <c r="BJ74" s="1324"/>
      <c r="BK74" s="1324"/>
      <c r="BL74" s="1324"/>
      <c r="BM74" s="1324"/>
      <c r="BN74" s="1324"/>
      <c r="BO74" s="1324"/>
      <c r="BP74" s="1325"/>
      <c r="BZ74" s="238"/>
    </row>
    <row r="75" spans="2:78" ht="24.75" customHeight="1" thickBot="1">
      <c r="B75" s="1490"/>
      <c r="C75" s="1402"/>
      <c r="D75" s="1402"/>
      <c r="E75" s="1503"/>
      <c r="F75" s="1504"/>
      <c r="G75" s="1504"/>
      <c r="H75" s="1505"/>
      <c r="I75" s="1503"/>
      <c r="J75" s="1504"/>
      <c r="K75" s="1504"/>
      <c r="L75" s="1505"/>
      <c r="M75" s="1503"/>
      <c r="N75" s="1504"/>
      <c r="O75" s="1504"/>
      <c r="P75" s="1505"/>
      <c r="Q75" s="1503"/>
      <c r="R75" s="1504"/>
      <c r="S75" s="1504"/>
      <c r="T75" s="1505"/>
      <c r="U75" s="1503"/>
      <c r="V75" s="1504"/>
      <c r="W75" s="1504"/>
      <c r="X75" s="1505"/>
      <c r="Y75" s="1503"/>
      <c r="Z75" s="1504"/>
      <c r="AA75" s="1504"/>
      <c r="AB75" s="1505"/>
      <c r="AC75" s="1503"/>
      <c r="AD75" s="1504"/>
      <c r="AE75" s="1504"/>
      <c r="AF75" s="1505"/>
      <c r="AG75" s="1503"/>
      <c r="AH75" s="1504"/>
      <c r="AI75" s="1504"/>
      <c r="AJ75" s="1505"/>
      <c r="AK75" s="1503"/>
      <c r="AL75" s="1504"/>
      <c r="AM75" s="1504"/>
      <c r="AN75" s="1505"/>
      <c r="AO75" s="1503"/>
      <c r="AP75" s="1504"/>
      <c r="AQ75" s="1504"/>
      <c r="AR75" s="1505"/>
      <c r="AS75" s="1331"/>
      <c r="AT75" s="1332"/>
      <c r="AU75" s="1332"/>
      <c r="AV75" s="1332"/>
      <c r="AW75" s="1321"/>
      <c r="AX75" s="1322"/>
      <c r="AY75" s="685"/>
      <c r="AZ75" s="1326"/>
      <c r="BA75" s="1324"/>
      <c r="BB75" s="1324"/>
      <c r="BC75" s="1324"/>
      <c r="BD75" s="1324"/>
      <c r="BE75" s="1324"/>
      <c r="BF75" s="1324"/>
      <c r="BG75" s="1324"/>
      <c r="BH75" s="1324"/>
      <c r="BI75" s="1324"/>
      <c r="BJ75" s="1324"/>
      <c r="BK75" s="1324"/>
      <c r="BL75" s="1324"/>
      <c r="BM75" s="1324"/>
      <c r="BN75" s="1324"/>
      <c r="BO75" s="1324"/>
      <c r="BP75" s="1325"/>
      <c r="BZ75" s="238"/>
    </row>
    <row r="76" spans="2:78">
      <c r="AP76" s="680"/>
      <c r="AQ76" s="680"/>
      <c r="AR76" s="680"/>
      <c r="AS76" s="680"/>
      <c r="AT76" s="680"/>
      <c r="AU76" s="680"/>
      <c r="AV76" s="680"/>
      <c r="AW76" s="680"/>
      <c r="AX76" s="680"/>
      <c r="AY76" s="680"/>
      <c r="AZ76" s="680"/>
      <c r="BD76" s="680"/>
      <c r="BE76" s="680"/>
      <c r="BG76" s="680"/>
    </row>
    <row r="77" spans="2:78" s="681" customFormat="1" ht="45" customHeight="1">
      <c r="B77" s="1351" t="str">
        <f xml:space="preserve">
"３．配置情報　　【総合判定】"&amp;AZ77&amp;"："&amp;BG77&amp;CHAR(10)&amp;
"　　コロナ患者入院対応を行う職員分のみ入力すること"</f>
        <v>３．配置情報　　【総合判定】×：上段の「２．職員情報」が入力不十分です。（上の段から適切に入力していくようにしてください。）
　　コロナ患者入院対応を行う職員分のみ入力すること</v>
      </c>
      <c r="C77" s="1526"/>
      <c r="D77" s="1526"/>
      <c r="E77" s="1526"/>
      <c r="F77" s="1526"/>
      <c r="G77" s="1526"/>
      <c r="H77" s="1526"/>
      <c r="I77" s="1526"/>
      <c r="J77" s="1526"/>
      <c r="K77" s="1526"/>
      <c r="L77" s="1526"/>
      <c r="M77" s="1526"/>
      <c r="N77" s="1526"/>
      <c r="O77" s="1526"/>
      <c r="P77" s="1526"/>
      <c r="Q77" s="1526"/>
      <c r="R77" s="1526"/>
      <c r="S77" s="1526"/>
      <c r="T77" s="1526"/>
      <c r="U77" s="1526"/>
      <c r="V77" s="1526"/>
      <c r="W77" s="1526"/>
      <c r="X77" s="1526"/>
      <c r="Y77" s="1526"/>
      <c r="Z77" s="1526"/>
      <c r="AA77" s="1526"/>
      <c r="AB77" s="1526"/>
      <c r="AC77" s="1526"/>
      <c r="AD77" s="1526"/>
      <c r="AE77" s="1526"/>
      <c r="AF77" s="1526"/>
      <c r="AG77" s="1526"/>
      <c r="AH77" s="1526"/>
      <c r="AI77" s="1526"/>
      <c r="AJ77" s="1526"/>
      <c r="AK77" s="1526"/>
      <c r="AL77" s="1526"/>
      <c r="AM77" s="1526"/>
      <c r="AN77" s="1526"/>
      <c r="AO77" s="1526"/>
      <c r="AP77" s="1526"/>
      <c r="AQ77" s="1526"/>
      <c r="AR77" s="1526"/>
      <c r="AS77" s="1526"/>
      <c r="AT77" s="1526"/>
      <c r="AU77" s="1526"/>
      <c r="AV77" s="1526"/>
      <c r="AW77" s="1526"/>
      <c r="AX77" s="1526"/>
      <c r="AY77" s="1526"/>
      <c r="AZ77" s="239" t="str">
        <f xml:space="preserve">
IF(AZ63="×","×",
IF(COUNTIF(AP84:AP97,"○")=2,"○","×"))</f>
        <v>×</v>
      </c>
      <c r="BD77" s="239"/>
      <c r="BE77" s="239"/>
      <c r="BF77" s="239"/>
      <c r="BG77" s="585" t="str">
        <f xml:space="preserve">
IF(AZ63="×","上段の「２．職員情報」が入力不十分です。（上の段から適切に入力していくようにしてください。）",
IF(COUNTIF(AP84:AP97,"○")=2,"適切に入力がされました。","各月の入院患者情報、各月の医師看護職員の配置員数または勤務時間数計が未入力の状態または修正が必要です。"))</f>
        <v>上段の「２．職員情報」が入力不十分です。（上の段から適切に入力していくようにしてください。）</v>
      </c>
    </row>
    <row r="78" spans="2:78" ht="48" customHeight="1">
      <c r="B78" s="1287" t="s">
        <v>1199</v>
      </c>
      <c r="C78" s="1591"/>
      <c r="D78" s="1591"/>
      <c r="E78" s="1591"/>
      <c r="F78" s="1591"/>
      <c r="G78" s="1591"/>
      <c r="H78" s="1591"/>
      <c r="I78" s="1591"/>
      <c r="J78" s="1591"/>
      <c r="K78" s="1591"/>
      <c r="L78" s="1591"/>
      <c r="M78" s="1591"/>
      <c r="N78" s="1591"/>
      <c r="O78" s="1591"/>
      <c r="P78" s="1591"/>
      <c r="Q78" s="1591"/>
      <c r="R78" s="1591"/>
      <c r="S78" s="1591"/>
      <c r="T78" s="1591"/>
      <c r="U78" s="1591"/>
      <c r="V78" s="1591"/>
      <c r="W78" s="1591"/>
      <c r="X78" s="1591"/>
      <c r="Y78" s="1591"/>
      <c r="Z78" s="1591"/>
      <c r="AA78" s="1591"/>
      <c r="AB78" s="1591"/>
      <c r="AC78" s="1591"/>
      <c r="AD78" s="1591"/>
      <c r="AE78" s="1591"/>
      <c r="AF78" s="1591"/>
      <c r="AG78" s="1591"/>
      <c r="AH78" s="1591"/>
      <c r="AI78" s="1591"/>
      <c r="AJ78" s="1591"/>
      <c r="AK78" s="1591"/>
      <c r="AL78" s="1591"/>
      <c r="AM78" s="1591"/>
      <c r="AN78" s="1591"/>
      <c r="AO78" s="1591"/>
      <c r="AP78" s="1591"/>
      <c r="AQ78" s="1591"/>
      <c r="AR78" s="1591"/>
      <c r="AS78" s="1591"/>
      <c r="AT78" s="1591"/>
      <c r="AU78" s="1591"/>
      <c r="AV78" s="1591"/>
      <c r="AW78" s="1591"/>
      <c r="AX78" s="1592"/>
      <c r="AY78" s="1592"/>
      <c r="BD78" s="223"/>
      <c r="BE78" s="223"/>
      <c r="BF78" s="223"/>
      <c r="BG78" s="223"/>
    </row>
    <row r="79" spans="2:78" ht="48" customHeight="1">
      <c r="B79" s="1211" t="s">
        <v>1182</v>
      </c>
      <c r="C79" s="1212"/>
      <c r="D79" s="1212"/>
      <c r="E79" s="1212"/>
      <c r="F79" s="1212"/>
      <c r="G79" s="1212"/>
      <c r="H79" s="1212"/>
      <c r="I79" s="1212"/>
      <c r="J79" s="1212"/>
      <c r="K79" s="1212"/>
      <c r="L79" s="1212"/>
      <c r="M79" s="1212"/>
      <c r="N79" s="1212"/>
      <c r="O79" s="1212"/>
      <c r="P79" s="1212"/>
      <c r="Q79" s="1212"/>
      <c r="R79" s="1212"/>
      <c r="S79" s="1212"/>
      <c r="T79" s="1212"/>
      <c r="U79" s="1212"/>
      <c r="V79" s="1212"/>
      <c r="W79" s="1212"/>
      <c r="X79" s="1212"/>
      <c r="Y79" s="1212"/>
      <c r="Z79" s="1212"/>
      <c r="AA79" s="1212"/>
      <c r="AB79" s="1212"/>
      <c r="AC79" s="1212"/>
      <c r="AD79" s="1212"/>
      <c r="AE79" s="1212"/>
      <c r="AF79" s="1212"/>
      <c r="AG79" s="1212"/>
      <c r="AH79" s="1212"/>
      <c r="AI79" s="1212"/>
      <c r="AJ79" s="1212"/>
      <c r="AK79" s="1212"/>
      <c r="AL79" s="1212"/>
      <c r="AM79" s="1212"/>
      <c r="AN79" s="1212"/>
      <c r="AO79" s="1212"/>
      <c r="AP79" s="1212"/>
      <c r="AQ79" s="1212"/>
      <c r="AR79" s="1212"/>
      <c r="AS79" s="1212"/>
      <c r="AT79" s="1212"/>
      <c r="AU79" s="1212"/>
      <c r="AV79" s="1212"/>
      <c r="AW79" s="1212"/>
      <c r="AX79" s="1592"/>
      <c r="AY79" s="1592"/>
      <c r="BD79" s="223"/>
      <c r="BE79" s="223"/>
      <c r="BF79" s="223"/>
      <c r="BG79" s="223"/>
    </row>
    <row r="80" spans="2:78" ht="48" customHeight="1" thickBot="1">
      <c r="B80" s="1211" t="s">
        <v>1075</v>
      </c>
      <c r="C80" s="1210"/>
      <c r="D80" s="1210"/>
      <c r="E80" s="1210"/>
      <c r="F80" s="1210"/>
      <c r="G80" s="1210"/>
      <c r="H80" s="1210"/>
      <c r="I80" s="1210"/>
      <c r="J80" s="1210"/>
      <c r="K80" s="1210"/>
      <c r="L80" s="1210"/>
      <c r="M80" s="1210"/>
      <c r="N80" s="1210"/>
      <c r="O80" s="1210"/>
      <c r="P80" s="1210"/>
      <c r="Q80" s="1210"/>
      <c r="R80" s="1210"/>
      <c r="S80" s="1210"/>
      <c r="T80" s="1210"/>
      <c r="U80" s="1210"/>
      <c r="V80" s="1210"/>
      <c r="W80" s="1210"/>
      <c r="X80" s="1210"/>
      <c r="Y80" s="1210"/>
      <c r="Z80" s="1210"/>
      <c r="AA80" s="1210"/>
      <c r="AB80" s="1210"/>
      <c r="AC80" s="1210"/>
      <c r="AD80" s="1210"/>
      <c r="AE80" s="1210"/>
      <c r="AF80" s="1210"/>
      <c r="AG80" s="1210"/>
      <c r="AH80" s="1210"/>
      <c r="AI80" s="1210"/>
      <c r="AJ80" s="1210"/>
      <c r="AK80" s="1210"/>
      <c r="AL80" s="1210"/>
      <c r="AM80" s="1210"/>
      <c r="AN80" s="1210"/>
      <c r="AO80" s="1210"/>
      <c r="AP80" s="1210"/>
      <c r="AQ80" s="1210"/>
      <c r="AR80" s="1210"/>
      <c r="AS80" s="1210"/>
      <c r="AT80" s="1210"/>
      <c r="AU80" s="1210"/>
      <c r="AV80" s="1210"/>
      <c r="AW80" s="1210"/>
      <c r="AX80" s="1210"/>
      <c r="AY80" s="1592"/>
      <c r="BD80" s="223"/>
      <c r="BE80" s="223"/>
      <c r="BF80" s="223"/>
      <c r="BG80" s="223"/>
    </row>
    <row r="81" spans="2:67" ht="48" hidden="1" customHeight="1">
      <c r="B81" s="683"/>
      <c r="C81" s="682"/>
      <c r="D81" s="682"/>
      <c r="E81" s="682"/>
      <c r="F81" s="682"/>
      <c r="G81" s="682"/>
      <c r="H81" s="682"/>
      <c r="I81" s="682"/>
      <c r="J81" s="682"/>
      <c r="K81" s="682"/>
      <c r="L81" s="682"/>
      <c r="M81" s="682"/>
      <c r="N81" s="682"/>
      <c r="O81" s="682"/>
      <c r="P81" s="682"/>
      <c r="Q81" s="682"/>
      <c r="R81" s="682"/>
      <c r="S81" s="682"/>
      <c r="T81" s="682"/>
      <c r="U81" s="682"/>
      <c r="V81" s="682"/>
      <c r="W81" s="682"/>
      <c r="X81" s="682"/>
      <c r="Y81" s="682"/>
      <c r="Z81" s="682"/>
      <c r="AA81" s="682"/>
      <c r="AB81" s="682"/>
      <c r="AC81" s="682"/>
      <c r="AD81" s="682"/>
      <c r="AE81" s="682"/>
      <c r="AF81" s="682"/>
      <c r="AG81" s="682"/>
      <c r="AH81" s="682"/>
      <c r="AI81" s="682"/>
      <c r="AJ81" s="682"/>
      <c r="AK81" s="682"/>
      <c r="AL81" s="682"/>
      <c r="AM81" s="682"/>
      <c r="AN81" s="682"/>
      <c r="AO81" s="682"/>
      <c r="AP81" s="682"/>
      <c r="AQ81" s="682"/>
      <c r="AR81" s="682"/>
      <c r="AS81" s="682"/>
      <c r="AT81" s="682"/>
      <c r="AU81" s="682"/>
      <c r="AV81" s="682"/>
      <c r="AW81" s="682"/>
      <c r="AX81" s="682"/>
      <c r="BD81" s="223"/>
      <c r="BE81" s="223"/>
      <c r="BF81" s="223"/>
      <c r="BG81" s="223"/>
    </row>
    <row r="82" spans="2:67" ht="48" hidden="1" customHeight="1" thickBot="1">
      <c r="B82" s="683"/>
      <c r="C82" s="682"/>
      <c r="D82" s="682"/>
      <c r="E82" s="682"/>
      <c r="F82" s="682"/>
      <c r="G82" s="682"/>
      <c r="H82" s="682"/>
      <c r="I82" s="682"/>
      <c r="J82" s="682"/>
      <c r="K82" s="682"/>
      <c r="L82" s="682"/>
      <c r="M82" s="682"/>
      <c r="N82" s="682"/>
      <c r="O82" s="682"/>
      <c r="P82" s="682"/>
      <c r="Q82" s="682"/>
      <c r="R82" s="682"/>
      <c r="S82" s="682"/>
      <c r="T82" s="682"/>
      <c r="U82" s="682"/>
      <c r="V82" s="682"/>
      <c r="W82" s="682"/>
      <c r="X82" s="682"/>
      <c r="Y82" s="682"/>
      <c r="Z82" s="682"/>
      <c r="AA82" s="682"/>
      <c r="AB82" s="682"/>
      <c r="AC82" s="682"/>
      <c r="AD82" s="682"/>
      <c r="AE82" s="682"/>
      <c r="AF82" s="682"/>
      <c r="AG82" s="682"/>
      <c r="AH82" s="682"/>
      <c r="AI82" s="682"/>
      <c r="AJ82" s="682"/>
      <c r="AK82" s="682"/>
      <c r="AL82" s="682"/>
      <c r="AM82" s="682"/>
      <c r="AN82" s="682"/>
      <c r="AO82" s="682"/>
      <c r="AP82" s="682"/>
      <c r="AQ82" s="682"/>
      <c r="AR82" s="682"/>
      <c r="AS82" s="682"/>
      <c r="AT82" s="682"/>
      <c r="AU82" s="682"/>
      <c r="AV82" s="682"/>
      <c r="AW82" s="682"/>
      <c r="AX82" s="682"/>
      <c r="BD82" s="223"/>
      <c r="BE82" s="223"/>
      <c r="BF82" s="223"/>
      <c r="BG82" s="223"/>
    </row>
    <row r="83" spans="2:67" ht="24" customHeight="1">
      <c r="B83" s="1394" t="s">
        <v>498</v>
      </c>
      <c r="C83" s="1395"/>
      <c r="D83" s="1395"/>
      <c r="E83" s="1395"/>
      <c r="F83" s="1395"/>
      <c r="G83" s="1395"/>
      <c r="H83" s="1395"/>
      <c r="I83" s="1395"/>
      <c r="J83" s="1395"/>
      <c r="K83" s="1395"/>
      <c r="L83" s="1396"/>
      <c r="M83" s="1406">
        <f>G16</f>
        <v>10</v>
      </c>
      <c r="N83" s="1396"/>
      <c r="O83" s="1396"/>
      <c r="P83" s="1396"/>
      <c r="Q83" s="1406">
        <f>L16</f>
        <v>11</v>
      </c>
      <c r="R83" s="1396"/>
      <c r="S83" s="1396"/>
      <c r="T83" s="1396"/>
      <c r="U83" s="1406">
        <f>Q16</f>
        <v>12</v>
      </c>
      <c r="V83" s="1396"/>
      <c r="W83" s="1396"/>
      <c r="X83" s="1396"/>
      <c r="Y83" s="1406">
        <f>V16</f>
        <v>1</v>
      </c>
      <c r="Z83" s="1396"/>
      <c r="AA83" s="1396"/>
      <c r="AB83" s="1396"/>
      <c r="AC83" s="1406">
        <f>AA16</f>
        <v>2</v>
      </c>
      <c r="AD83" s="1396"/>
      <c r="AE83" s="1396"/>
      <c r="AF83" s="1396"/>
      <c r="AG83" s="1406">
        <f>AF16</f>
        <v>3</v>
      </c>
      <c r="AH83" s="1396"/>
      <c r="AI83" s="1396"/>
      <c r="AJ83" s="1396"/>
      <c r="AK83" s="1567" t="s">
        <v>1124</v>
      </c>
      <c r="AL83" s="1487"/>
      <c r="AM83" s="1487"/>
      <c r="AN83" s="1487"/>
      <c r="AO83" s="1487"/>
      <c r="AP83" s="1568" t="s">
        <v>100</v>
      </c>
      <c r="AQ83" s="1487"/>
      <c r="AR83" s="1487"/>
      <c r="AS83" s="1487"/>
      <c r="AT83" s="1487"/>
      <c r="AU83" s="1487"/>
      <c r="AV83" s="1487"/>
      <c r="AW83" s="1487"/>
      <c r="AX83" s="1569"/>
      <c r="BD83" s="223"/>
      <c r="BE83" s="223"/>
      <c r="BF83" s="223"/>
      <c r="BG83" s="223"/>
    </row>
    <row r="84" spans="2:67" ht="24" customHeight="1">
      <c r="B84" s="1391" t="s">
        <v>1204</v>
      </c>
      <c r="C84" s="1392"/>
      <c r="D84" s="1392"/>
      <c r="E84" s="1392"/>
      <c r="F84" s="1392"/>
      <c r="G84" s="1392"/>
      <c r="H84" s="1392"/>
      <c r="I84" s="1392"/>
      <c r="J84" s="1393"/>
      <c r="K84" s="1393"/>
      <c r="L84" s="908"/>
      <c r="M84" s="1407" t="str">
        <f>IF(AU24="○",AO23,"")</f>
        <v/>
      </c>
      <c r="N84" s="1408"/>
      <c r="O84" s="1408"/>
      <c r="P84" s="1408"/>
      <c r="Q84" s="1407" t="str">
        <f>IF(AU31="○",AO30,"")</f>
        <v/>
      </c>
      <c r="R84" s="1408"/>
      <c r="S84" s="1408"/>
      <c r="T84" s="1408"/>
      <c r="U84" s="1407" t="str">
        <f>IF(AU38="○",AO37,"")</f>
        <v/>
      </c>
      <c r="V84" s="1408"/>
      <c r="W84" s="1408"/>
      <c r="X84" s="1408"/>
      <c r="Y84" s="1407" t="str">
        <f>IF(AU45="○",AO44,"")</f>
        <v/>
      </c>
      <c r="Z84" s="908"/>
      <c r="AA84" s="908"/>
      <c r="AB84" s="908"/>
      <c r="AC84" s="1407" t="str">
        <f>IF(AU52="○",AO51,"")</f>
        <v/>
      </c>
      <c r="AD84" s="908"/>
      <c r="AE84" s="908"/>
      <c r="AF84" s="908"/>
      <c r="AG84" s="1407" t="str">
        <f>IF(AU59="○",AO58,"")</f>
        <v/>
      </c>
      <c r="AH84" s="908"/>
      <c r="AI84" s="908"/>
      <c r="AJ84" s="908"/>
      <c r="AK84" s="1561" t="str">
        <f>IF(AP84="×","×",IFERROR(SUM(M84:AJ84),0))</f>
        <v>×</v>
      </c>
      <c r="AL84" s="1561"/>
      <c r="AM84" s="1562"/>
      <c r="AN84" s="1562"/>
      <c r="AO84" s="1562"/>
      <c r="AP84" s="1410" t="str">
        <f>IF(COUNTIF(M87:AJ87,"○")=6,"○","×")</f>
        <v>×</v>
      </c>
      <c r="AQ84" s="1533" t="str">
        <f xml:space="preserve">
IF(COUNTIF(M87:AJ87,"○")=6,"適切に入力がされました。",
"【要修正】"&amp;CHAR(10)&amp;"「×」表示の入力内容"&amp;CHAR(10)&amp;"を確認してください。")</f>
        <v>【要修正】
「×」表示の入力内容
を確認してください。</v>
      </c>
      <c r="AR84" s="1538"/>
      <c r="AS84" s="1538"/>
      <c r="AT84" s="1538"/>
      <c r="AU84" s="1538"/>
      <c r="AV84" s="1538"/>
      <c r="AW84" s="1538"/>
      <c r="AX84" s="1539"/>
      <c r="AY84" s="685"/>
      <c r="AZ84" s="1305" t="s">
        <v>1125</v>
      </c>
      <c r="BA84" s="1563"/>
      <c r="BB84" s="1563"/>
      <c r="BC84" s="1563"/>
      <c r="BD84" s="1563"/>
      <c r="BE84" s="1563"/>
      <c r="BF84" s="1563"/>
      <c r="BG84" s="1563"/>
      <c r="BH84" s="1563"/>
      <c r="BI84" s="1563"/>
      <c r="BJ84" s="1563"/>
      <c r="BK84" s="1563"/>
      <c r="BL84" s="1563"/>
      <c r="BM84" s="1563"/>
      <c r="BN84" s="1563"/>
      <c r="BO84" s="1564"/>
    </row>
    <row r="85" spans="2:67" ht="24" customHeight="1">
      <c r="B85" s="1391" t="s">
        <v>1202</v>
      </c>
      <c r="C85" s="1392"/>
      <c r="D85" s="1392"/>
      <c r="E85" s="1392"/>
      <c r="F85" s="1392"/>
      <c r="G85" s="1392"/>
      <c r="H85" s="1392"/>
      <c r="I85" s="1392"/>
      <c r="J85" s="1393"/>
      <c r="K85" s="1393"/>
      <c r="L85" s="908"/>
      <c r="M85" s="1409" t="str">
        <f>IF(AU24="○",AO24,"")</f>
        <v/>
      </c>
      <c r="N85" s="1408"/>
      <c r="O85" s="1408"/>
      <c r="P85" s="1408"/>
      <c r="Q85" s="1409" t="str">
        <f>IF(AU31="○",AO31,"")</f>
        <v/>
      </c>
      <c r="R85" s="1408"/>
      <c r="S85" s="1408"/>
      <c r="T85" s="1408"/>
      <c r="U85" s="1409" t="str">
        <f>IF(AU38="○",AO38,"")</f>
        <v/>
      </c>
      <c r="V85" s="1408"/>
      <c r="W85" s="1408"/>
      <c r="X85" s="1408"/>
      <c r="Y85" s="1409" t="str">
        <f>IF(AU45="○",AO45,"")</f>
        <v/>
      </c>
      <c r="Z85" s="908"/>
      <c r="AA85" s="908"/>
      <c r="AB85" s="908"/>
      <c r="AC85" s="1409" t="str">
        <f>IF(AU52="○",AO52,"")</f>
        <v/>
      </c>
      <c r="AD85" s="908"/>
      <c r="AE85" s="908"/>
      <c r="AF85" s="908"/>
      <c r="AG85" s="1409" t="str">
        <f>IF(AU59="○",AO59,"")</f>
        <v/>
      </c>
      <c r="AH85" s="908"/>
      <c r="AI85" s="908"/>
      <c r="AJ85" s="908"/>
      <c r="AK85" s="1561" t="str">
        <f>IF(AP84="×","×",IFERROR(SUM(M85:AJ85),0))</f>
        <v>×</v>
      </c>
      <c r="AL85" s="1561"/>
      <c r="AM85" s="1562"/>
      <c r="AN85" s="1562"/>
      <c r="AO85" s="1562"/>
      <c r="AP85" s="1534"/>
      <c r="AQ85" s="1538"/>
      <c r="AR85" s="1538"/>
      <c r="AS85" s="1538"/>
      <c r="AT85" s="1538"/>
      <c r="AU85" s="1538"/>
      <c r="AV85" s="1538"/>
      <c r="AW85" s="1538"/>
      <c r="AX85" s="1539"/>
      <c r="AY85" s="685"/>
      <c r="AZ85" s="1326"/>
      <c r="BA85" s="1565"/>
      <c r="BB85" s="1565"/>
      <c r="BC85" s="1565"/>
      <c r="BD85" s="1565"/>
      <c r="BE85" s="1565"/>
      <c r="BF85" s="1565"/>
      <c r="BG85" s="1565"/>
      <c r="BH85" s="1565"/>
      <c r="BI85" s="1565"/>
      <c r="BJ85" s="1565"/>
      <c r="BK85" s="1565"/>
      <c r="BL85" s="1565"/>
      <c r="BM85" s="1565"/>
      <c r="BN85" s="1565"/>
      <c r="BO85" s="1566"/>
    </row>
    <row r="86" spans="2:67" ht="24">
      <c r="B86" s="1391" t="s">
        <v>1203</v>
      </c>
      <c r="C86" s="1392"/>
      <c r="D86" s="1392"/>
      <c r="E86" s="1392"/>
      <c r="F86" s="1392"/>
      <c r="G86" s="1392"/>
      <c r="H86" s="1392"/>
      <c r="I86" s="1392"/>
      <c r="J86" s="1393"/>
      <c r="K86" s="1393"/>
      <c r="L86" s="908"/>
      <c r="M86" s="1409" t="str">
        <f>IF(AU24="○",AO25,"")</f>
        <v/>
      </c>
      <c r="N86" s="1408"/>
      <c r="O86" s="1408"/>
      <c r="P86" s="1408"/>
      <c r="Q86" s="1409" t="str">
        <f>IF(AU31="○",AO32,"")</f>
        <v/>
      </c>
      <c r="R86" s="1408"/>
      <c r="S86" s="1408"/>
      <c r="T86" s="1408"/>
      <c r="U86" s="1409" t="str">
        <f>IF(AU38="○",AO39,"")</f>
        <v/>
      </c>
      <c r="V86" s="1408"/>
      <c r="W86" s="1408"/>
      <c r="X86" s="1408"/>
      <c r="Y86" s="1409" t="str">
        <f>IF(AU45="○",AO46,"")</f>
        <v/>
      </c>
      <c r="Z86" s="908"/>
      <c r="AA86" s="908"/>
      <c r="AB86" s="908"/>
      <c r="AC86" s="1409" t="str">
        <f>IF(AU52="○",AO53,"")</f>
        <v/>
      </c>
      <c r="AD86" s="908"/>
      <c r="AE86" s="908"/>
      <c r="AF86" s="908"/>
      <c r="AG86" s="1409" t="str">
        <f>IF(AU59="○",AO60,"")</f>
        <v/>
      </c>
      <c r="AH86" s="908"/>
      <c r="AI86" s="908"/>
      <c r="AJ86" s="908"/>
      <c r="AK86" s="1570" t="str">
        <f xml:space="preserve">
IF(AP84="×","×",IFERROR(SUM(M86:AJ86),0))</f>
        <v>×</v>
      </c>
      <c r="AL86" s="1570"/>
      <c r="AM86" s="1571"/>
      <c r="AN86" s="1571"/>
      <c r="AO86" s="1571"/>
      <c r="AP86" s="1534"/>
      <c r="AQ86" s="1538"/>
      <c r="AR86" s="1538"/>
      <c r="AS86" s="1538"/>
      <c r="AT86" s="1538"/>
      <c r="AU86" s="1538"/>
      <c r="AV86" s="1538"/>
      <c r="AW86" s="1538"/>
      <c r="AX86" s="1539"/>
      <c r="AY86" s="685"/>
      <c r="AZ86" s="1527"/>
      <c r="BA86" s="1528"/>
      <c r="BB86" s="1528"/>
      <c r="BC86" s="1528"/>
      <c r="BD86" s="1528"/>
      <c r="BE86" s="1528"/>
      <c r="BF86" s="1528"/>
      <c r="BG86" s="1528"/>
      <c r="BH86" s="1528"/>
      <c r="BI86" s="1528"/>
      <c r="BJ86" s="1528"/>
      <c r="BK86" s="1528"/>
      <c r="BL86" s="1528"/>
      <c r="BM86" s="1528"/>
      <c r="BN86" s="1528"/>
      <c r="BO86" s="1528"/>
    </row>
    <row r="87" spans="2:67" ht="18.75">
      <c r="B87" s="1391" t="s">
        <v>100</v>
      </c>
      <c r="C87" s="1392"/>
      <c r="D87" s="1392"/>
      <c r="E87" s="1392"/>
      <c r="F87" s="1392"/>
      <c r="G87" s="1392"/>
      <c r="H87" s="1392"/>
      <c r="I87" s="1392"/>
      <c r="J87" s="1393"/>
      <c r="K87" s="1393"/>
      <c r="L87" s="908"/>
      <c r="M87" s="1410" t="str">
        <f>AU24</f>
        <v>×</v>
      </c>
      <c r="N87" s="908"/>
      <c r="O87" s="908"/>
      <c r="P87" s="908"/>
      <c r="Q87" s="1410" t="str">
        <f>AU31</f>
        <v>×</v>
      </c>
      <c r="R87" s="908"/>
      <c r="S87" s="908"/>
      <c r="T87" s="908"/>
      <c r="U87" s="1410" t="str">
        <f>AU38</f>
        <v>×</v>
      </c>
      <c r="V87" s="908"/>
      <c r="W87" s="908"/>
      <c r="X87" s="908"/>
      <c r="Y87" s="1410" t="str">
        <f>AU45</f>
        <v>×</v>
      </c>
      <c r="Z87" s="908"/>
      <c r="AA87" s="908"/>
      <c r="AB87" s="908"/>
      <c r="AC87" s="1410" t="str">
        <f>AU52</f>
        <v>×</v>
      </c>
      <c r="AD87" s="908"/>
      <c r="AE87" s="908"/>
      <c r="AF87" s="908"/>
      <c r="AG87" s="1410" t="str">
        <f>AU59</f>
        <v>×</v>
      </c>
      <c r="AH87" s="908"/>
      <c r="AI87" s="908"/>
      <c r="AJ87" s="908"/>
      <c r="AK87" s="1559" t="s">
        <v>1200</v>
      </c>
      <c r="AL87" s="1560"/>
      <c r="AM87" s="1560"/>
      <c r="AN87" s="1560"/>
      <c r="AO87" s="1560"/>
      <c r="AP87" s="1534"/>
      <c r="AQ87" s="1538"/>
      <c r="AR87" s="1538"/>
      <c r="AS87" s="1538"/>
      <c r="AT87" s="1538"/>
      <c r="AU87" s="1538"/>
      <c r="AV87" s="1538"/>
      <c r="AW87" s="1538"/>
      <c r="AX87" s="1539"/>
      <c r="AY87" s="685"/>
      <c r="AZ87" s="314"/>
      <c r="BA87" s="314"/>
      <c r="BB87" s="314"/>
      <c r="BC87" s="314"/>
      <c r="BD87" s="314"/>
      <c r="BE87" s="314"/>
      <c r="BF87" s="314"/>
      <c r="BG87" s="314"/>
      <c r="BH87" s="314"/>
      <c r="BI87" s="314"/>
      <c r="BJ87" s="314"/>
      <c r="BK87" s="314"/>
      <c r="BL87" s="314"/>
      <c r="BM87" s="314"/>
      <c r="BN87" s="314"/>
      <c r="BO87" s="314"/>
    </row>
    <row r="88" spans="2:67" ht="24" hidden="1">
      <c r="B88" s="586"/>
      <c r="C88" s="587"/>
      <c r="D88" s="587"/>
      <c r="E88" s="587"/>
      <c r="F88" s="587"/>
      <c r="G88" s="587"/>
      <c r="H88" s="587"/>
      <c r="I88" s="587"/>
      <c r="J88" s="587"/>
      <c r="K88" s="587"/>
      <c r="L88" s="283"/>
      <c r="M88" s="588"/>
      <c r="N88" s="588"/>
      <c r="O88" s="588"/>
      <c r="P88" s="588"/>
      <c r="Q88" s="588"/>
      <c r="R88" s="588"/>
      <c r="S88" s="588"/>
      <c r="T88" s="588"/>
      <c r="U88" s="588"/>
      <c r="V88" s="283"/>
      <c r="W88" s="588"/>
      <c r="X88" s="588"/>
      <c r="Y88" s="588"/>
      <c r="Z88" s="588"/>
      <c r="AA88" s="283"/>
      <c r="AB88" s="283"/>
      <c r="AC88" s="588"/>
      <c r="AD88" s="588"/>
      <c r="AE88" s="588"/>
      <c r="AF88" s="283"/>
      <c r="AG88" s="588"/>
      <c r="AH88" s="588"/>
      <c r="AI88" s="588"/>
      <c r="AJ88" s="588"/>
      <c r="AK88" s="589"/>
      <c r="AL88" s="589"/>
      <c r="AM88" s="589"/>
      <c r="AN88" s="589"/>
      <c r="AO88" s="589"/>
      <c r="AP88" s="587"/>
      <c r="AQ88" s="590"/>
      <c r="AR88" s="587"/>
      <c r="AS88" s="587"/>
      <c r="AT88" s="587"/>
      <c r="AU88" s="587"/>
      <c r="AV88" s="587"/>
      <c r="AW88" s="587"/>
      <c r="AX88" s="591"/>
      <c r="AY88" s="685"/>
      <c r="AZ88" s="1527"/>
      <c r="BA88" s="1528"/>
      <c r="BB88" s="1528"/>
      <c r="BC88" s="1528"/>
      <c r="BD88" s="1528"/>
      <c r="BE88" s="1528"/>
      <c r="BF88" s="1528"/>
      <c r="BG88" s="1528"/>
      <c r="BH88" s="1528"/>
      <c r="BI88" s="1528"/>
      <c r="BJ88" s="1528"/>
      <c r="BK88" s="1528"/>
      <c r="BL88" s="1528"/>
      <c r="BM88" s="1528"/>
      <c r="BN88" s="1528"/>
      <c r="BO88" s="1528"/>
    </row>
    <row r="89" spans="2:67" ht="24">
      <c r="B89" s="1391" t="s">
        <v>1127</v>
      </c>
      <c r="C89" s="1393"/>
      <c r="D89" s="1393"/>
      <c r="E89" s="1393"/>
      <c r="F89" s="1393"/>
      <c r="G89" s="1393"/>
      <c r="H89" s="1393"/>
      <c r="I89" s="1393"/>
      <c r="J89" s="1393"/>
      <c r="K89" s="1393"/>
      <c r="L89" s="908"/>
      <c r="M89" s="1411">
        <f>IFERROR(ROUNDDOWN(M96/(24*M84),1),0)</f>
        <v>0</v>
      </c>
      <c r="N89" s="908"/>
      <c r="O89" s="908"/>
      <c r="P89" s="908"/>
      <c r="Q89" s="1411">
        <f>IFERROR(ROUNDDOWN(Q96/(24*Q84),1),0)</f>
        <v>0</v>
      </c>
      <c r="R89" s="908"/>
      <c r="S89" s="908"/>
      <c r="T89" s="908"/>
      <c r="U89" s="1411">
        <f>IFERROR(ROUNDDOWN(U96/(24*U84),3),0)</f>
        <v>0</v>
      </c>
      <c r="V89" s="908"/>
      <c r="W89" s="908"/>
      <c r="X89" s="908"/>
      <c r="Y89" s="1411">
        <f>IFERROR(ROUNDDOWN(Y96/(24*Y84),1),0)</f>
        <v>0</v>
      </c>
      <c r="Z89" s="908"/>
      <c r="AA89" s="908"/>
      <c r="AB89" s="908"/>
      <c r="AC89" s="1411">
        <f>IFERROR(ROUNDDOWN(AC96/(24*AC84),3),0)</f>
        <v>0</v>
      </c>
      <c r="AD89" s="908"/>
      <c r="AE89" s="908"/>
      <c r="AF89" s="908"/>
      <c r="AG89" s="1411">
        <f>IFERROR(ROUNDDOWN(AG96/(24*AG84),1),0)</f>
        <v>0</v>
      </c>
      <c r="AH89" s="908"/>
      <c r="AI89" s="908"/>
      <c r="AJ89" s="908"/>
      <c r="AK89" s="1553" t="str">
        <f>IF(AP94="○",ROUNDDOWN(SUM(M96:AJ96)/(24*AK84),2),"×")</f>
        <v>×</v>
      </c>
      <c r="AL89" s="1553"/>
      <c r="AM89" s="1554"/>
      <c r="AN89" s="1554"/>
      <c r="AO89" s="1498"/>
      <c r="AP89" s="689" t="s">
        <v>1200</v>
      </c>
      <c r="AQ89" s="1555" t="s">
        <v>1200</v>
      </c>
      <c r="AR89" s="1555"/>
      <c r="AS89" s="1555"/>
      <c r="AT89" s="1555"/>
      <c r="AU89" s="1555"/>
      <c r="AV89" s="1555"/>
      <c r="AW89" s="1555"/>
      <c r="AX89" s="1556"/>
      <c r="AY89" s="685"/>
      <c r="AZ89" s="1527"/>
      <c r="BA89" s="1528"/>
      <c r="BB89" s="1528"/>
      <c r="BC89" s="1528"/>
      <c r="BD89" s="1528"/>
      <c r="BE89" s="1528"/>
      <c r="BF89" s="1528"/>
      <c r="BG89" s="1528"/>
      <c r="BH89" s="1528"/>
      <c r="BI89" s="1528"/>
      <c r="BJ89" s="1528"/>
      <c r="BK89" s="1528"/>
      <c r="BL89" s="1528"/>
      <c r="BM89" s="1528"/>
      <c r="BN89" s="1528"/>
      <c r="BO89" s="1528"/>
    </row>
    <row r="90" spans="2:67" ht="24" hidden="1">
      <c r="B90" s="586"/>
      <c r="C90" s="587"/>
      <c r="D90" s="587"/>
      <c r="E90" s="587"/>
      <c r="F90" s="587"/>
      <c r="G90" s="587"/>
      <c r="H90" s="587"/>
      <c r="I90" s="587"/>
      <c r="J90" s="587"/>
      <c r="K90" s="587"/>
      <c r="L90" s="283"/>
      <c r="M90" s="588"/>
      <c r="N90" s="588"/>
      <c r="O90" s="588"/>
      <c r="P90" s="588"/>
      <c r="Q90" s="588"/>
      <c r="R90" s="588"/>
      <c r="S90" s="588"/>
      <c r="T90" s="588"/>
      <c r="U90" s="588"/>
      <c r="V90" s="283"/>
      <c r="W90" s="588"/>
      <c r="X90" s="588"/>
      <c r="Y90" s="588"/>
      <c r="Z90" s="588"/>
      <c r="AA90" s="283"/>
      <c r="AB90" s="283"/>
      <c r="AC90" s="588"/>
      <c r="AD90" s="588"/>
      <c r="AE90" s="588"/>
      <c r="AF90" s="283"/>
      <c r="AG90" s="588"/>
      <c r="AH90" s="588"/>
      <c r="AI90" s="588"/>
      <c r="AJ90" s="588"/>
      <c r="AK90" s="589"/>
      <c r="AL90" s="589"/>
      <c r="AM90" s="589"/>
      <c r="AN90" s="589"/>
      <c r="AO90" s="589"/>
      <c r="AP90" s="587"/>
      <c r="AQ90" s="587"/>
      <c r="AR90" s="587"/>
      <c r="AS90" s="587"/>
      <c r="AT90" s="587"/>
      <c r="AU90" s="587"/>
      <c r="AV90" s="587"/>
      <c r="AW90" s="587"/>
      <c r="AX90" s="591"/>
      <c r="AY90" s="685"/>
      <c r="AZ90" s="1527" t="s">
        <v>1128</v>
      </c>
      <c r="BA90" s="1528"/>
      <c r="BB90" s="1528"/>
      <c r="BC90" s="1528"/>
      <c r="BD90" s="1528"/>
      <c r="BE90" s="1528"/>
      <c r="BF90" s="1528"/>
      <c r="BG90" s="1528"/>
      <c r="BH90" s="1528"/>
      <c r="BI90" s="1528"/>
      <c r="BJ90" s="1528"/>
      <c r="BK90" s="1528"/>
      <c r="BL90" s="1528"/>
      <c r="BM90" s="1528"/>
      <c r="BN90" s="1528"/>
      <c r="BO90" s="1528"/>
    </row>
    <row r="91" spans="2:67" ht="24" hidden="1">
      <c r="B91" s="1497"/>
      <c r="C91" s="1498"/>
      <c r="D91" s="1498"/>
      <c r="E91" s="1500"/>
      <c r="F91" s="1502"/>
      <c r="G91" s="1502"/>
      <c r="H91" s="1502"/>
      <c r="I91" s="1502"/>
      <c r="J91" s="1502"/>
      <c r="K91" s="1502"/>
      <c r="L91" s="283"/>
      <c r="M91" s="592"/>
      <c r="N91" s="593"/>
      <c r="O91" s="593"/>
      <c r="P91" s="593"/>
      <c r="Q91" s="592"/>
      <c r="R91" s="593"/>
      <c r="S91" s="593"/>
      <c r="T91" s="593"/>
      <c r="U91" s="592"/>
      <c r="V91" s="283"/>
      <c r="W91" s="593"/>
      <c r="X91" s="593"/>
      <c r="Y91" s="592"/>
      <c r="Z91" s="593"/>
      <c r="AA91" s="283"/>
      <c r="AB91" s="283"/>
      <c r="AC91" s="592"/>
      <c r="AD91" s="593"/>
      <c r="AE91" s="593"/>
      <c r="AF91" s="283"/>
      <c r="AG91" s="592"/>
      <c r="AH91" s="593"/>
      <c r="AI91" s="593"/>
      <c r="AJ91" s="593"/>
      <c r="AK91" s="1557"/>
      <c r="AL91" s="1557"/>
      <c r="AM91" s="1558"/>
      <c r="AN91" s="1558"/>
      <c r="AO91" s="1558"/>
      <c r="AP91" s="594"/>
      <c r="AQ91" s="1542"/>
      <c r="AR91" s="1542"/>
      <c r="AS91" s="1542"/>
      <c r="AT91" s="1542"/>
      <c r="AU91" s="1542"/>
      <c r="AV91" s="1542"/>
      <c r="AW91" s="1542"/>
      <c r="AX91" s="1543"/>
      <c r="AY91" s="339"/>
      <c r="AZ91" s="1549"/>
      <c r="BA91" s="1550"/>
      <c r="BB91" s="1550"/>
      <c r="BC91" s="1550"/>
      <c r="BD91" s="1550"/>
      <c r="BE91" s="1550"/>
      <c r="BF91" s="1550"/>
      <c r="BG91" s="1550"/>
      <c r="BH91" s="1550"/>
      <c r="BI91" s="1550"/>
      <c r="BJ91" s="1550"/>
      <c r="BK91" s="1550"/>
      <c r="BL91" s="1550"/>
      <c r="BM91" s="1550"/>
      <c r="BN91" s="1550"/>
      <c r="BO91" s="1550"/>
    </row>
    <row r="92" spans="2:67" ht="24" hidden="1">
      <c r="B92" s="1499"/>
      <c r="C92" s="1498"/>
      <c r="D92" s="1498"/>
      <c r="E92" s="1500"/>
      <c r="F92" s="1501"/>
      <c r="G92" s="1501"/>
      <c r="H92" s="1501"/>
      <c r="I92" s="1501"/>
      <c r="J92" s="1501"/>
      <c r="K92" s="1501"/>
      <c r="L92" s="283"/>
      <c r="M92" s="595"/>
      <c r="N92" s="596"/>
      <c r="O92" s="596"/>
      <c r="P92" s="596"/>
      <c r="Q92" s="595"/>
      <c r="R92" s="596"/>
      <c r="S92" s="596"/>
      <c r="T92" s="596"/>
      <c r="U92" s="595"/>
      <c r="V92" s="283"/>
      <c r="W92" s="596"/>
      <c r="X92" s="596"/>
      <c r="Y92" s="595"/>
      <c r="Z92" s="596"/>
      <c r="AA92" s="283"/>
      <c r="AB92" s="283"/>
      <c r="AC92" s="595"/>
      <c r="AD92" s="596"/>
      <c r="AE92" s="596"/>
      <c r="AF92" s="283"/>
      <c r="AG92" s="595"/>
      <c r="AH92" s="596"/>
      <c r="AI92" s="596"/>
      <c r="AJ92" s="596"/>
      <c r="AK92" s="1531"/>
      <c r="AL92" s="1531"/>
      <c r="AM92" s="1498"/>
      <c r="AN92" s="1498"/>
      <c r="AO92" s="1498"/>
      <c r="AP92" s="340"/>
      <c r="AQ92" s="1551"/>
      <c r="AR92" s="1551"/>
      <c r="AS92" s="1551"/>
      <c r="AT92" s="1551"/>
      <c r="AU92" s="1551"/>
      <c r="AV92" s="1551"/>
      <c r="AW92" s="1551"/>
      <c r="AX92" s="1552"/>
      <c r="AY92" s="339"/>
      <c r="AZ92" s="1549"/>
      <c r="BA92" s="1550"/>
      <c r="BB92" s="1550"/>
      <c r="BC92" s="1550"/>
      <c r="BD92" s="1550"/>
      <c r="BE92" s="1550"/>
      <c r="BF92" s="1550"/>
      <c r="BG92" s="1550"/>
      <c r="BH92" s="1550"/>
      <c r="BI92" s="1550"/>
      <c r="BJ92" s="1550"/>
      <c r="BK92" s="1550"/>
      <c r="BL92" s="1550"/>
      <c r="BM92" s="1550"/>
      <c r="BN92" s="1550"/>
      <c r="BO92" s="1550"/>
    </row>
    <row r="93" spans="2:67" ht="24" hidden="1">
      <c r="B93" s="1499"/>
      <c r="C93" s="1498"/>
      <c r="D93" s="1498"/>
      <c r="E93" s="1500"/>
      <c r="F93" s="1501"/>
      <c r="G93" s="1501"/>
      <c r="H93" s="1501"/>
      <c r="I93" s="1501"/>
      <c r="J93" s="1501"/>
      <c r="K93" s="1501"/>
      <c r="L93" s="283"/>
      <c r="M93" s="597"/>
      <c r="N93" s="596"/>
      <c r="O93" s="596"/>
      <c r="P93" s="596"/>
      <c r="Q93" s="597"/>
      <c r="R93" s="596"/>
      <c r="S93" s="596"/>
      <c r="T93" s="596"/>
      <c r="U93" s="597"/>
      <c r="V93" s="283"/>
      <c r="W93" s="596"/>
      <c r="X93" s="596"/>
      <c r="Y93" s="597"/>
      <c r="Z93" s="596"/>
      <c r="AA93" s="283"/>
      <c r="AB93" s="283"/>
      <c r="AC93" s="597"/>
      <c r="AD93" s="596"/>
      <c r="AE93" s="596"/>
      <c r="AF93" s="283"/>
      <c r="AG93" s="597"/>
      <c r="AH93" s="596"/>
      <c r="AI93" s="596"/>
      <c r="AJ93" s="596"/>
      <c r="AK93" s="1547"/>
      <c r="AL93" s="1548"/>
      <c r="AM93" s="1548"/>
      <c r="AN93" s="1548"/>
      <c r="AO93" s="1548"/>
      <c r="AP93" s="692"/>
      <c r="AQ93" s="1542"/>
      <c r="AR93" s="1542"/>
      <c r="AS93" s="1542"/>
      <c r="AT93" s="1542"/>
      <c r="AU93" s="1542"/>
      <c r="AV93" s="1542"/>
      <c r="AW93" s="1542"/>
      <c r="AX93" s="1543"/>
      <c r="AY93" s="339"/>
      <c r="AZ93" s="1544"/>
      <c r="BA93" s="1545"/>
      <c r="BB93" s="1545"/>
      <c r="BC93" s="1545"/>
      <c r="BD93" s="1545"/>
      <c r="BE93" s="1545"/>
      <c r="BF93" s="1545"/>
      <c r="BG93" s="1545"/>
      <c r="BH93" s="1545"/>
      <c r="BI93" s="1545"/>
      <c r="BJ93" s="1545"/>
      <c r="BK93" s="1545"/>
      <c r="BL93" s="1545"/>
      <c r="BM93" s="1545"/>
      <c r="BN93" s="1545"/>
      <c r="BO93" s="1546"/>
    </row>
    <row r="94" spans="2:67" ht="24.75" customHeight="1">
      <c r="B94" s="1403" t="s">
        <v>1304</v>
      </c>
      <c r="C94" s="1404"/>
      <c r="D94" s="1404"/>
      <c r="E94" s="1392" t="s">
        <v>1129</v>
      </c>
      <c r="F94" s="1393"/>
      <c r="G94" s="1393"/>
      <c r="H94" s="1393"/>
      <c r="I94" s="1393"/>
      <c r="J94" s="1393"/>
      <c r="K94" s="1393"/>
      <c r="L94" s="908"/>
      <c r="M94" s="1412"/>
      <c r="N94" s="1413"/>
      <c r="O94" s="1413"/>
      <c r="P94" s="1413"/>
      <c r="Q94" s="1412"/>
      <c r="R94" s="1413"/>
      <c r="S94" s="1413"/>
      <c r="T94" s="1413"/>
      <c r="U94" s="1412"/>
      <c r="V94" s="1413"/>
      <c r="W94" s="1413"/>
      <c r="X94" s="1413"/>
      <c r="Y94" s="1412"/>
      <c r="Z94" s="1413"/>
      <c r="AA94" s="1413"/>
      <c r="AB94" s="1413"/>
      <c r="AC94" s="1412"/>
      <c r="AD94" s="1413"/>
      <c r="AE94" s="1413"/>
      <c r="AF94" s="1413"/>
      <c r="AG94" s="1412"/>
      <c r="AH94" s="1413"/>
      <c r="AI94" s="1413"/>
      <c r="AJ94" s="1413"/>
      <c r="AK94" s="1531" t="s">
        <v>1200</v>
      </c>
      <c r="AL94" s="1531"/>
      <c r="AM94" s="1532"/>
      <c r="AN94" s="1498"/>
      <c r="AO94" s="1498"/>
      <c r="AP94" s="1533" t="str">
        <f>IF(COUNTIF(M97:AJ97,"○")=6,"○","×")</f>
        <v>×</v>
      </c>
      <c r="AQ94" s="1536" t="str">
        <f xml:space="preserve">
IF(COUNTIF(M97:AJ97,"○")=6,"適切に入力がされました。",
"【要修正】"&amp;CHAR(10)&amp;"「×」表示の入力内容"&amp;CHAR(10)&amp;"を確認してください。")</f>
        <v>【要修正】
「×」表示の入力内容
を確認してください。</v>
      </c>
      <c r="AR94" s="1536"/>
      <c r="AS94" s="1536"/>
      <c r="AT94" s="1536"/>
      <c r="AU94" s="1536"/>
      <c r="AV94" s="1536"/>
      <c r="AW94" s="1536"/>
      <c r="AX94" s="1537"/>
      <c r="AY94" s="685"/>
      <c r="AZ94" s="1527" t="s">
        <v>1309</v>
      </c>
      <c r="BA94" s="1528"/>
      <c r="BB94" s="1528"/>
      <c r="BC94" s="1528"/>
      <c r="BD94" s="1528"/>
      <c r="BE94" s="1528"/>
      <c r="BF94" s="1528"/>
      <c r="BG94" s="1528"/>
      <c r="BH94" s="1528"/>
      <c r="BI94" s="1528"/>
      <c r="BJ94" s="1528"/>
      <c r="BK94" s="1528"/>
      <c r="BL94" s="1528"/>
      <c r="BM94" s="1528"/>
      <c r="BN94" s="1528"/>
      <c r="BO94" s="1528"/>
    </row>
    <row r="95" spans="2:67" ht="24">
      <c r="B95" s="1405"/>
      <c r="C95" s="1404"/>
      <c r="D95" s="1404"/>
      <c r="E95" s="1392" t="s">
        <v>1201</v>
      </c>
      <c r="F95" s="1393"/>
      <c r="G95" s="1393"/>
      <c r="H95" s="1393"/>
      <c r="I95" s="1393"/>
      <c r="J95" s="1393"/>
      <c r="K95" s="1393"/>
      <c r="L95" s="908"/>
      <c r="M95" s="1414">
        <f>IF(OR(M87="×",$AZ$15="×"),0,IFERROR(ROUNDUP(M85/$G$18*24,1),0))</f>
        <v>0</v>
      </c>
      <c r="N95" s="1369"/>
      <c r="O95" s="1369"/>
      <c r="P95" s="1369"/>
      <c r="Q95" s="1414">
        <f>IF(OR(Q87="×",$AZ$15="×"),0,IFERROR(ROUNDUP(Q85/$L$18*24,1),0))</f>
        <v>0</v>
      </c>
      <c r="R95" s="1369"/>
      <c r="S95" s="1369"/>
      <c r="T95" s="1369"/>
      <c r="U95" s="1414">
        <f>IF(OR(U87="×",$AZ$15="×"),0,IFERROR(ROUNDUP(U85/$Q$18*24,1),0))</f>
        <v>0</v>
      </c>
      <c r="V95" s="1369"/>
      <c r="W95" s="1369"/>
      <c r="X95" s="1369"/>
      <c r="Y95" s="1414">
        <f>IF(OR(Y87="×",$AZ$15="×"),0,IFERROR(ROUNDUP(Y85/$V$18*24,1),0))</f>
        <v>0</v>
      </c>
      <c r="Z95" s="1369"/>
      <c r="AA95" s="1369"/>
      <c r="AB95" s="1369"/>
      <c r="AC95" s="1414">
        <f>IF(OR(AC87="×",$AZ$15="×"),0,IFERROR(ROUNDUP(AC85/$AA$18*24,1),0))</f>
        <v>0</v>
      </c>
      <c r="AD95" s="1369"/>
      <c r="AE95" s="1369"/>
      <c r="AF95" s="1369"/>
      <c r="AG95" s="1414">
        <f>IF(OR(AG87="×",$AZ$15="×"),0,IFERROR(ROUNDUP(AG85/$AF$18*24,1),0))</f>
        <v>0</v>
      </c>
      <c r="AH95" s="1369"/>
      <c r="AI95" s="1369"/>
      <c r="AJ95" s="1369"/>
      <c r="AK95" s="1529" t="s">
        <v>1200</v>
      </c>
      <c r="AL95" s="1530"/>
      <c r="AM95" s="1530"/>
      <c r="AN95" s="1530"/>
      <c r="AO95" s="1530"/>
      <c r="AP95" s="1534"/>
      <c r="AQ95" s="1538"/>
      <c r="AR95" s="1538"/>
      <c r="AS95" s="1538"/>
      <c r="AT95" s="1538"/>
      <c r="AU95" s="1538"/>
      <c r="AV95" s="1538"/>
      <c r="AW95" s="1538"/>
      <c r="AX95" s="1539"/>
      <c r="AY95" s="685"/>
      <c r="AZ95" s="1527" t="s">
        <v>1310</v>
      </c>
      <c r="BA95" s="1528"/>
      <c r="BB95" s="1528"/>
      <c r="BC95" s="1528"/>
      <c r="BD95" s="1528"/>
      <c r="BE95" s="1528"/>
      <c r="BF95" s="1528"/>
      <c r="BG95" s="1528"/>
      <c r="BH95" s="1528"/>
      <c r="BI95" s="1528"/>
      <c r="BJ95" s="1528"/>
      <c r="BK95" s="1528"/>
      <c r="BL95" s="1528"/>
      <c r="BM95" s="1528"/>
      <c r="BN95" s="1528"/>
      <c r="BO95" s="1528"/>
    </row>
    <row r="96" spans="2:67" ht="24">
      <c r="B96" s="1405"/>
      <c r="C96" s="1404"/>
      <c r="D96" s="1404"/>
      <c r="E96" s="1392" t="s">
        <v>1130</v>
      </c>
      <c r="F96" s="1393"/>
      <c r="G96" s="1393"/>
      <c r="H96" s="1393"/>
      <c r="I96" s="1393"/>
      <c r="J96" s="1393"/>
      <c r="K96" s="1393"/>
      <c r="L96" s="908"/>
      <c r="M96" s="1397"/>
      <c r="N96" s="1371"/>
      <c r="O96" s="1371"/>
      <c r="P96" s="1371"/>
      <c r="Q96" s="1397"/>
      <c r="R96" s="1371"/>
      <c r="S96" s="1371"/>
      <c r="T96" s="1371"/>
      <c r="U96" s="1397"/>
      <c r="V96" s="1371"/>
      <c r="W96" s="1371"/>
      <c r="X96" s="1371"/>
      <c r="Y96" s="1397"/>
      <c r="Z96" s="1371"/>
      <c r="AA96" s="1371"/>
      <c r="AB96" s="1371"/>
      <c r="AC96" s="1397"/>
      <c r="AD96" s="1371"/>
      <c r="AE96" s="1371"/>
      <c r="AF96" s="1371"/>
      <c r="AG96" s="1397"/>
      <c r="AH96" s="1371"/>
      <c r="AI96" s="1371"/>
      <c r="AJ96" s="1371"/>
      <c r="AK96" s="1529" t="s">
        <v>1200</v>
      </c>
      <c r="AL96" s="1530"/>
      <c r="AM96" s="1530"/>
      <c r="AN96" s="1530"/>
      <c r="AO96" s="1530"/>
      <c r="AP96" s="1534"/>
      <c r="AQ96" s="1538"/>
      <c r="AR96" s="1538"/>
      <c r="AS96" s="1538"/>
      <c r="AT96" s="1538"/>
      <c r="AU96" s="1538"/>
      <c r="AV96" s="1538"/>
      <c r="AW96" s="1538"/>
      <c r="AX96" s="1539"/>
      <c r="AY96" s="267"/>
      <c r="AZ96" s="1527" t="s">
        <v>1126</v>
      </c>
      <c r="BA96" s="1528"/>
      <c r="BB96" s="1528"/>
      <c r="BC96" s="1528"/>
      <c r="BD96" s="1528"/>
      <c r="BE96" s="1528"/>
      <c r="BF96" s="1528"/>
      <c r="BG96" s="1528"/>
      <c r="BH96" s="1528"/>
      <c r="BI96" s="1528"/>
      <c r="BJ96" s="1528"/>
      <c r="BK96" s="1528"/>
      <c r="BL96" s="1528"/>
      <c r="BM96" s="1528"/>
      <c r="BN96" s="1528"/>
      <c r="BO96" s="1528"/>
    </row>
    <row r="97" spans="2:78" ht="24.75" thickBot="1">
      <c r="B97" s="1400" t="s">
        <v>100</v>
      </c>
      <c r="C97" s="1401"/>
      <c r="D97" s="1401"/>
      <c r="E97" s="1401"/>
      <c r="F97" s="1401"/>
      <c r="G97" s="1401"/>
      <c r="H97" s="1401"/>
      <c r="I97" s="1401"/>
      <c r="J97" s="1402"/>
      <c r="K97" s="1402"/>
      <c r="L97" s="1399"/>
      <c r="M97" s="1398" t="str">
        <f xml:space="preserve">
IF(COUNTA(M94,M96)&lt;&gt;2,"×",
IF(AND(M95=0,M96&lt;&gt;0),"×",
IF(AND(COUNTA(M94,M96)=2,M94&lt;=SUM($AS$65:$AV$75),M96&gt;=M95),"○","×")))</f>
        <v>×</v>
      </c>
      <c r="N97" s="1399"/>
      <c r="O97" s="1399"/>
      <c r="P97" s="1399"/>
      <c r="Q97" s="1398" t="str">
        <f xml:space="preserve">
IF(COUNTA(Q94,Q96)&lt;&gt;2,"×",
IF(AND(Q95=0,Q96&lt;&gt;0),"×",
IF(AND(COUNTA(Q94,Q96)=2,Q94&lt;=SUM($AS$65:$AV$75),Q96&gt;=Q95),"○","×")))</f>
        <v>×</v>
      </c>
      <c r="R97" s="1399"/>
      <c r="S97" s="1399"/>
      <c r="T97" s="1399"/>
      <c r="U97" s="1398" t="str">
        <f xml:space="preserve">
IF(COUNTA(U94,U96)&lt;&gt;2,"×",
IF(AND(U95=0,U96&lt;&gt;0),"×",
IF(AND(COUNTA(U94,U96)=2,U94&lt;=SUM($AS$65:$AV$75),U96&gt;=U95),"○","×")))</f>
        <v>×</v>
      </c>
      <c r="V97" s="1399"/>
      <c r="W97" s="1399"/>
      <c r="X97" s="1399"/>
      <c r="Y97" s="1398" t="str">
        <f xml:space="preserve">
IF(COUNTA(Y94,Y96)&lt;&gt;2,"×",
IF(AND(Y95=0,Y96&lt;&gt;0),"×",
IF(AND(COUNTA(Y94,Y96)=2,Y94&lt;=SUM($AS$65:$AV$75),Y96&gt;=Y95),"○","×")))</f>
        <v>×</v>
      </c>
      <c r="Z97" s="1399"/>
      <c r="AA97" s="1399"/>
      <c r="AB97" s="1399"/>
      <c r="AC97" s="1398" t="str">
        <f xml:space="preserve">
IF(COUNTA(AC94,AC96)&lt;&gt;2,"×",
IF(AND(AC95=0,AC96&lt;&gt;0),"×",
IF(AND(COUNTA(AC94,AC96)=2,AC94&lt;=SUM($AS$65:$AV$75),AC96&gt;=AC95),"○","×")))</f>
        <v>×</v>
      </c>
      <c r="AD97" s="1399"/>
      <c r="AE97" s="1399"/>
      <c r="AF97" s="1399"/>
      <c r="AG97" s="1398" t="str">
        <f xml:space="preserve">
IF(COUNTA(AG94,AG96)&lt;&gt;2,"×",
IF(AND(AG95=0,AG96&lt;&gt;0),"×",
IF(AND(COUNTA(AG94,AG96)=2,AG94&lt;=SUM($AS$65:$AV$75),AG96&gt;=AG95),"○","×")))</f>
        <v>×</v>
      </c>
      <c r="AH97" s="1399"/>
      <c r="AI97" s="1399"/>
      <c r="AJ97" s="1399"/>
      <c r="AK97" s="1511" t="s">
        <v>1200</v>
      </c>
      <c r="AL97" s="1512"/>
      <c r="AM97" s="1512"/>
      <c r="AN97" s="1512"/>
      <c r="AO97" s="1512"/>
      <c r="AP97" s="1535"/>
      <c r="AQ97" s="1540"/>
      <c r="AR97" s="1540"/>
      <c r="AS97" s="1540"/>
      <c r="AT97" s="1540"/>
      <c r="AU97" s="1540"/>
      <c r="AV97" s="1540"/>
      <c r="AW97" s="1540"/>
      <c r="AX97" s="1541"/>
      <c r="AY97" s="267"/>
      <c r="AZ97" s="341"/>
      <c r="BA97" s="342"/>
      <c r="BB97" s="342"/>
      <c r="BC97" s="342"/>
      <c r="BD97" s="342"/>
      <c r="BE97" s="342"/>
      <c r="BF97" s="342"/>
      <c r="BG97" s="342"/>
      <c r="BH97" s="342"/>
      <c r="BI97" s="342"/>
      <c r="BJ97" s="342"/>
      <c r="BK97" s="342"/>
      <c r="BL97" s="342"/>
      <c r="BM97" s="342"/>
      <c r="BN97" s="342"/>
      <c r="BO97" s="342"/>
    </row>
    <row r="98" spans="2:78" ht="24">
      <c r="B98" s="1523" t="s">
        <v>1268</v>
      </c>
      <c r="C98" s="1524"/>
      <c r="D98" s="1524"/>
      <c r="E98" s="1524"/>
      <c r="F98" s="1524"/>
      <c r="G98" s="1524"/>
      <c r="H98" s="1524"/>
      <c r="I98" s="1524"/>
      <c r="J98" s="1524"/>
      <c r="K98" s="1524"/>
      <c r="L98" s="1524"/>
      <c r="M98" s="1524"/>
      <c r="N98" s="1524"/>
      <c r="O98" s="1524"/>
      <c r="P98" s="1524"/>
      <c r="Q98" s="1524"/>
      <c r="R98" s="1524"/>
      <c r="S98" s="1524"/>
      <c r="T98" s="1524"/>
      <c r="U98" s="1524"/>
      <c r="V98" s="1524"/>
      <c r="W98" s="1524"/>
      <c r="X98" s="1524"/>
      <c r="Y98" s="1524"/>
      <c r="Z98" s="1524"/>
      <c r="AA98" s="1524"/>
      <c r="AB98" s="1524"/>
      <c r="AC98" s="1524"/>
      <c r="AD98" s="1524"/>
      <c r="AE98" s="1524"/>
      <c r="AF98" s="1524"/>
      <c r="AG98" s="1524"/>
      <c r="AH98" s="1524"/>
      <c r="AI98" s="1524"/>
      <c r="AJ98" s="1524"/>
      <c r="AK98" s="1525"/>
      <c r="AL98" s="1525"/>
      <c r="AM98" s="1525"/>
      <c r="AN98" s="1525"/>
      <c r="AO98" s="1525"/>
      <c r="AP98" s="1524"/>
      <c r="AQ98" s="1524"/>
      <c r="AR98" s="1524"/>
      <c r="AS98" s="1524"/>
      <c r="AT98" s="1524"/>
      <c r="AU98" s="1524"/>
      <c r="AV98" s="1524"/>
      <c r="AW98" s="1524"/>
      <c r="AX98" s="1524"/>
      <c r="AZ98" s="225"/>
      <c r="BA98" s="1160"/>
      <c r="BB98" s="1160"/>
      <c r="BC98" s="1160"/>
      <c r="BD98" s="272"/>
      <c r="BF98" s="273"/>
      <c r="BG98" s="226"/>
      <c r="BH98" s="274"/>
      <c r="BI98" s="274"/>
      <c r="BJ98" s="275"/>
      <c r="BK98" s="274"/>
      <c r="BL98" s="226"/>
    </row>
    <row r="99" spans="2:78" s="681" customFormat="1" ht="45" customHeight="1">
      <c r="B99" s="1351" t="str">
        <f xml:space="preserve">
"４．入院患者あたり対応人数及び品目毎の平均着脱使用枚数"&amp;CHAR(10)&amp;
"　　【総合判定】"&amp;AZ99&amp;"："&amp;BG99</f>
        <v>４．入院患者あたり対応人数及び品目毎の平均着脱使用枚数
　　【総合判定】×：上段の「３．配置情報」が入力不十分です。（上の段から適切に入力していくようにしてください。）</v>
      </c>
      <c r="C99" s="1526"/>
      <c r="D99" s="1526"/>
      <c r="E99" s="1526"/>
      <c r="F99" s="1526"/>
      <c r="G99" s="1526"/>
      <c r="H99" s="1526"/>
      <c r="I99" s="1526"/>
      <c r="J99" s="1526"/>
      <c r="K99" s="1526"/>
      <c r="L99" s="1526"/>
      <c r="M99" s="1526"/>
      <c r="N99" s="1526"/>
      <c r="O99" s="1526"/>
      <c r="P99" s="1526"/>
      <c r="Q99" s="1526"/>
      <c r="R99" s="1526"/>
      <c r="S99" s="1526"/>
      <c r="T99" s="1526"/>
      <c r="U99" s="1526"/>
      <c r="V99" s="1526"/>
      <c r="W99" s="1526"/>
      <c r="X99" s="1526"/>
      <c r="Y99" s="1526"/>
      <c r="Z99" s="1526"/>
      <c r="AA99" s="1526"/>
      <c r="AB99" s="1526"/>
      <c r="AC99" s="1526"/>
      <c r="AD99" s="1526"/>
      <c r="AE99" s="1526"/>
      <c r="AF99" s="1526"/>
      <c r="AG99" s="1526"/>
      <c r="AH99" s="1526"/>
      <c r="AI99" s="1526"/>
      <c r="AJ99" s="1526"/>
      <c r="AK99" s="1526"/>
      <c r="AL99" s="1526"/>
      <c r="AM99" s="1526"/>
      <c r="AN99" s="1526"/>
      <c r="AO99" s="1526"/>
      <c r="AP99" s="1526"/>
      <c r="AQ99" s="1526"/>
      <c r="AR99" s="1526"/>
      <c r="AS99" s="1526"/>
      <c r="AT99" s="1526"/>
      <c r="AU99" s="1526"/>
      <c r="AV99" s="1526"/>
      <c r="AW99" s="1526"/>
      <c r="AX99" s="1526"/>
      <c r="AY99" s="1526"/>
      <c r="AZ99" s="239" t="str">
        <f xml:space="preserve">
IF(AZ77="×","×",
IF(SUM(COUNTIF(T109,"○"),COUNTIF(AD116:AE154,"○"))=14,"○","×"))</f>
        <v>×</v>
      </c>
      <c r="BA99" s="1208"/>
      <c r="BB99" s="1208"/>
      <c r="BC99" s="1208"/>
      <c r="BD99" s="276"/>
      <c r="BE99" s="277"/>
      <c r="BF99" s="278"/>
      <c r="BG99" s="277" t="str">
        <f xml:space="preserve">
IF(AZ77="×","上段の「３．配置情報」が入力不十分です。（上の段から適切に入力していくようにしてください。）",
IF(SUM(COUNTIF(T109,"○"),COUNTIF(AD116:AE154,"○"))=14,"適切に入力がされました。","平均訪室回数、１訪室あたり平均対応員数または各品目の１訪室スタッフ１名あたり平均着脱使用量のいずれかが入力不十分です。"))</f>
        <v>上段の「３．配置情報」が入力不十分です。（上の段から適切に入力していくようにしてください。）</v>
      </c>
      <c r="BH99" s="279"/>
      <c r="BI99" s="279"/>
      <c r="BJ99" s="280"/>
      <c r="BK99" s="279"/>
      <c r="BL99" s="277"/>
    </row>
    <row r="100" spans="2:78" ht="24">
      <c r="B100" s="1209" t="s">
        <v>1192</v>
      </c>
      <c r="C100" s="1210"/>
      <c r="D100" s="1210"/>
      <c r="E100" s="1210"/>
      <c r="F100" s="1210"/>
      <c r="G100" s="1210"/>
      <c r="H100" s="1210"/>
      <c r="I100" s="1210"/>
      <c r="J100" s="1210"/>
      <c r="K100" s="1210"/>
      <c r="L100" s="1210"/>
      <c r="M100" s="1210"/>
      <c r="N100" s="1210"/>
      <c r="O100" s="1210"/>
      <c r="P100" s="1210"/>
      <c r="Q100" s="1210"/>
      <c r="R100" s="1210"/>
      <c r="S100" s="1210"/>
      <c r="T100" s="1210"/>
      <c r="U100" s="1210"/>
      <c r="V100" s="1210"/>
      <c r="W100" s="1210"/>
      <c r="X100" s="1210"/>
      <c r="Y100" s="1210"/>
      <c r="Z100" s="1210"/>
      <c r="AA100" s="1210"/>
      <c r="AB100" s="1210"/>
      <c r="AC100" s="1210"/>
      <c r="AD100" s="1210"/>
      <c r="AE100" s="1210"/>
      <c r="AF100" s="1210"/>
      <c r="AG100" s="1210"/>
      <c r="AH100" s="1210"/>
      <c r="AI100" s="1210"/>
      <c r="AJ100" s="1210"/>
      <c r="AK100" s="1210"/>
      <c r="AL100" s="1210"/>
      <c r="AM100" s="1210"/>
      <c r="AN100" s="1210"/>
      <c r="AO100" s="1210"/>
      <c r="AP100" s="1210"/>
      <c r="AQ100" s="1210"/>
      <c r="AR100" s="1210"/>
      <c r="AS100" s="1210"/>
      <c r="AT100" s="1210"/>
      <c r="AU100" s="1210"/>
      <c r="AV100" s="1210"/>
      <c r="AW100" s="1210"/>
      <c r="AX100" s="1210"/>
      <c r="AZ100" s="225"/>
      <c r="BD100" s="272"/>
      <c r="BF100" s="273"/>
      <c r="BG100" s="226"/>
      <c r="BH100" s="274"/>
      <c r="BI100" s="274"/>
      <c r="BJ100" s="275"/>
      <c r="BK100" s="274"/>
      <c r="BL100" s="226"/>
    </row>
    <row r="101" spans="2:78" ht="48" customHeight="1">
      <c r="B101" s="1211" t="s">
        <v>1189</v>
      </c>
      <c r="C101" s="1212"/>
      <c r="D101" s="1212"/>
      <c r="E101" s="1212"/>
      <c r="F101" s="1212"/>
      <c r="G101" s="1212"/>
      <c r="H101" s="1212"/>
      <c r="I101" s="1212"/>
      <c r="J101" s="1212"/>
      <c r="K101" s="1212"/>
      <c r="L101" s="1212"/>
      <c r="M101" s="1212"/>
      <c r="N101" s="1212"/>
      <c r="O101" s="1212"/>
      <c r="P101" s="1212"/>
      <c r="Q101" s="1212"/>
      <c r="R101" s="1212"/>
      <c r="S101" s="1212"/>
      <c r="T101" s="1212"/>
      <c r="U101" s="1212"/>
      <c r="V101" s="1212"/>
      <c r="W101" s="1212"/>
      <c r="X101" s="1212"/>
      <c r="Y101" s="1212"/>
      <c r="Z101" s="1212"/>
      <c r="AA101" s="1212"/>
      <c r="AB101" s="1212"/>
      <c r="AC101" s="1212"/>
      <c r="AD101" s="1212"/>
      <c r="AE101" s="1212"/>
      <c r="AF101" s="1212"/>
      <c r="AG101" s="1212"/>
      <c r="AH101" s="1212"/>
      <c r="AI101" s="1212"/>
      <c r="AJ101" s="1212"/>
      <c r="AK101" s="1212"/>
      <c r="AL101" s="1212"/>
      <c r="AM101" s="1212"/>
      <c r="AN101" s="1212"/>
      <c r="AO101" s="1212"/>
      <c r="AP101" s="1212"/>
      <c r="AQ101" s="1212"/>
      <c r="AR101" s="1212"/>
      <c r="AS101" s="1212"/>
      <c r="AT101" s="1212"/>
      <c r="AU101" s="1212"/>
      <c r="AV101" s="1212"/>
      <c r="AW101" s="1212"/>
      <c r="AX101" s="1212"/>
      <c r="AZ101" s="225"/>
      <c r="BD101" s="272"/>
      <c r="BF101" s="273"/>
      <c r="BG101" s="226"/>
      <c r="BH101" s="274"/>
      <c r="BI101" s="274"/>
      <c r="BJ101" s="275"/>
      <c r="BK101" s="274"/>
      <c r="BL101" s="226"/>
    </row>
    <row r="102" spans="2:78" ht="24" customHeight="1" thickBot="1">
      <c r="B102" s="680"/>
      <c r="C102" s="680"/>
      <c r="D102" s="680"/>
      <c r="E102" s="680"/>
      <c r="F102" s="680"/>
      <c r="G102" s="680"/>
      <c r="H102" s="680"/>
      <c r="I102" s="680"/>
      <c r="J102" s="680"/>
      <c r="K102" s="680"/>
      <c r="L102" s="680"/>
      <c r="M102" s="680"/>
      <c r="N102" s="680"/>
      <c r="O102" s="680"/>
      <c r="P102" s="680"/>
      <c r="Q102" s="680"/>
      <c r="R102" s="680"/>
      <c r="S102" s="680"/>
      <c r="T102" s="680"/>
      <c r="U102" s="680"/>
      <c r="V102" s="680"/>
      <c r="W102" s="680"/>
      <c r="X102" s="680"/>
      <c r="Y102" s="680"/>
      <c r="Z102" s="680"/>
      <c r="AA102" s="680"/>
      <c r="AB102" s="680"/>
      <c r="AC102" s="680"/>
      <c r="AD102" s="680"/>
      <c r="AE102" s="680"/>
      <c r="AF102" s="680"/>
      <c r="AG102" s="680"/>
      <c r="AH102" s="680"/>
      <c r="AI102" s="680"/>
      <c r="AJ102" s="680"/>
      <c r="AK102" s="680"/>
      <c r="AL102" s="680"/>
      <c r="AM102" s="680"/>
      <c r="AN102" s="680"/>
      <c r="AO102" s="680"/>
      <c r="AZ102" s="1516"/>
      <c r="BA102" s="1517"/>
      <c r="BB102" s="1517"/>
      <c r="BC102" s="1517"/>
      <c r="BD102" s="1517"/>
      <c r="BE102" s="1517"/>
      <c r="BF102" s="1517"/>
      <c r="BG102" s="1517"/>
      <c r="BH102" s="1517"/>
      <c r="BI102" s="1517"/>
      <c r="BJ102" s="1517"/>
      <c r="BK102" s="1517"/>
      <c r="BL102" s="1517"/>
      <c r="BM102" s="1517"/>
      <c r="BN102" s="1517"/>
      <c r="BO102" s="1518"/>
    </row>
    <row r="103" spans="2:78" ht="24" customHeight="1" thickTop="1">
      <c r="B103" s="1213" t="s">
        <v>1278</v>
      </c>
      <c r="C103" s="1214"/>
      <c r="D103" s="1214"/>
      <c r="E103" s="1214"/>
      <c r="F103" s="1214"/>
      <c r="G103" s="1214"/>
      <c r="H103" s="1214"/>
      <c r="I103" s="1214"/>
      <c r="J103" s="1214"/>
      <c r="K103" s="1214"/>
      <c r="L103" s="1214"/>
      <c r="M103" s="1214"/>
      <c r="N103" s="1214"/>
      <c r="O103" s="1214"/>
      <c r="P103" s="1214"/>
      <c r="Q103" s="1214"/>
      <c r="R103" s="1214"/>
      <c r="S103" s="1214"/>
      <c r="T103" s="1214"/>
      <c r="U103" s="1214"/>
      <c r="V103" s="1214"/>
      <c r="W103" s="1214"/>
      <c r="X103" s="1214"/>
      <c r="Y103" s="1214"/>
      <c r="Z103" s="1214"/>
      <c r="AA103" s="1214"/>
      <c r="AB103" s="1214"/>
      <c r="AC103" s="1214"/>
      <c r="AD103" s="1214"/>
      <c r="AE103" s="1214"/>
      <c r="AF103" s="1214"/>
      <c r="AG103" s="1214"/>
      <c r="AH103" s="1214"/>
      <c r="AI103" s="1214"/>
      <c r="AJ103" s="1214"/>
      <c r="AK103" s="1214"/>
      <c r="AL103" s="1214"/>
      <c r="AM103" s="1214"/>
      <c r="AN103" s="1214"/>
      <c r="AO103" s="1214"/>
      <c r="AP103" s="1214"/>
      <c r="AQ103" s="1214"/>
      <c r="AR103" s="1214"/>
      <c r="AS103" s="1214"/>
      <c r="AT103" s="1214"/>
      <c r="AU103" s="1214"/>
      <c r="AV103" s="1214"/>
      <c r="AW103" s="1215"/>
      <c r="AX103" s="1216"/>
      <c r="AY103" s="680"/>
      <c r="AZ103" s="1516"/>
      <c r="BA103" s="1517"/>
      <c r="BB103" s="1517"/>
      <c r="BC103" s="1517"/>
      <c r="BD103" s="1517"/>
      <c r="BE103" s="1517"/>
      <c r="BF103" s="1517"/>
      <c r="BG103" s="1517"/>
      <c r="BH103" s="1517"/>
      <c r="BI103" s="1517"/>
      <c r="BJ103" s="1517"/>
      <c r="BK103" s="1517"/>
      <c r="BL103" s="1517"/>
      <c r="BM103" s="1517"/>
      <c r="BN103" s="1517"/>
      <c r="BO103" s="1518"/>
    </row>
    <row r="104" spans="2:78" ht="24" customHeight="1">
      <c r="B104" s="1217"/>
      <c r="C104" s="1218"/>
      <c r="D104" s="1218"/>
      <c r="E104" s="1218"/>
      <c r="F104" s="1218"/>
      <c r="G104" s="1218"/>
      <c r="H104" s="1218"/>
      <c r="I104" s="1218"/>
      <c r="J104" s="1218"/>
      <c r="K104" s="1218"/>
      <c r="L104" s="1218"/>
      <c r="M104" s="1218"/>
      <c r="N104" s="1218"/>
      <c r="O104" s="1218"/>
      <c r="P104" s="1218"/>
      <c r="Q104" s="1218"/>
      <c r="R104" s="1218"/>
      <c r="S104" s="1218"/>
      <c r="T104" s="1218"/>
      <c r="U104" s="1218"/>
      <c r="V104" s="1218"/>
      <c r="W104" s="1218"/>
      <c r="X104" s="1218"/>
      <c r="Y104" s="1218"/>
      <c r="Z104" s="1218"/>
      <c r="AA104" s="1218"/>
      <c r="AB104" s="1218"/>
      <c r="AC104" s="1218"/>
      <c r="AD104" s="1218"/>
      <c r="AE104" s="1218"/>
      <c r="AF104" s="1218"/>
      <c r="AG104" s="1218"/>
      <c r="AH104" s="1218"/>
      <c r="AI104" s="1218"/>
      <c r="AJ104" s="1218"/>
      <c r="AK104" s="1218"/>
      <c r="AL104" s="1218"/>
      <c r="AM104" s="1218"/>
      <c r="AN104" s="1218"/>
      <c r="AO104" s="1218"/>
      <c r="AP104" s="1218"/>
      <c r="AQ104" s="1218"/>
      <c r="AR104" s="1218"/>
      <c r="AS104" s="1218"/>
      <c r="AT104" s="1218"/>
      <c r="AU104" s="1218"/>
      <c r="AV104" s="1218"/>
      <c r="AW104" s="1207"/>
      <c r="AX104" s="1219"/>
      <c r="AY104" s="680"/>
      <c r="AZ104" s="1519" t="s">
        <v>1311</v>
      </c>
      <c r="BA104" s="1520"/>
      <c r="BB104" s="1520"/>
      <c r="BC104" s="1520"/>
      <c r="BD104" s="1520"/>
      <c r="BE104" s="1520"/>
      <c r="BF104" s="1520"/>
      <c r="BG104" s="1520"/>
      <c r="BH104" s="1520"/>
      <c r="BI104" s="1520"/>
      <c r="BJ104" s="1520"/>
      <c r="BK104" s="1520"/>
      <c r="BL104" s="1520"/>
      <c r="BM104" s="1520"/>
      <c r="BN104" s="1520"/>
      <c r="BO104" s="1521"/>
      <c r="BZ104" s="238"/>
    </row>
    <row r="105" spans="2:78" ht="24" customHeight="1">
      <c r="B105" s="1217"/>
      <c r="C105" s="1218"/>
      <c r="D105" s="1218"/>
      <c r="E105" s="1218"/>
      <c r="F105" s="1218"/>
      <c r="G105" s="1218"/>
      <c r="H105" s="1218"/>
      <c r="I105" s="1218"/>
      <c r="J105" s="1218"/>
      <c r="K105" s="1218"/>
      <c r="L105" s="1218"/>
      <c r="M105" s="1218"/>
      <c r="N105" s="1218"/>
      <c r="O105" s="1218"/>
      <c r="P105" s="1218"/>
      <c r="Q105" s="1218"/>
      <c r="R105" s="1218"/>
      <c r="S105" s="1218"/>
      <c r="T105" s="1218"/>
      <c r="U105" s="1218"/>
      <c r="V105" s="1218"/>
      <c r="W105" s="1218"/>
      <c r="X105" s="1218"/>
      <c r="Y105" s="1218"/>
      <c r="Z105" s="1218"/>
      <c r="AA105" s="1218"/>
      <c r="AB105" s="1218"/>
      <c r="AC105" s="1218"/>
      <c r="AD105" s="1218"/>
      <c r="AE105" s="1218"/>
      <c r="AF105" s="1218"/>
      <c r="AG105" s="1218"/>
      <c r="AH105" s="1218"/>
      <c r="AI105" s="1218"/>
      <c r="AJ105" s="1218"/>
      <c r="AK105" s="1218"/>
      <c r="AL105" s="1218"/>
      <c r="AM105" s="1218"/>
      <c r="AN105" s="1218"/>
      <c r="AO105" s="1218"/>
      <c r="AP105" s="1218"/>
      <c r="AQ105" s="1218"/>
      <c r="AR105" s="1218"/>
      <c r="AS105" s="1218"/>
      <c r="AT105" s="1218"/>
      <c r="AU105" s="1218"/>
      <c r="AV105" s="1218"/>
      <c r="AW105" s="1207"/>
      <c r="AX105" s="1219"/>
      <c r="AZ105" s="1522"/>
      <c r="BA105" s="1520"/>
      <c r="BB105" s="1520"/>
      <c r="BC105" s="1520"/>
      <c r="BD105" s="1520"/>
      <c r="BE105" s="1520"/>
      <c r="BF105" s="1520"/>
      <c r="BG105" s="1520"/>
      <c r="BH105" s="1520"/>
      <c r="BI105" s="1520"/>
      <c r="BJ105" s="1520"/>
      <c r="BK105" s="1520"/>
      <c r="BL105" s="1520"/>
      <c r="BM105" s="1520"/>
      <c r="BN105" s="1520"/>
      <c r="BO105" s="1521"/>
      <c r="BZ105" s="238"/>
    </row>
    <row r="106" spans="2:78" ht="24" customHeight="1" thickBot="1">
      <c r="B106" s="1220"/>
      <c r="C106" s="1221"/>
      <c r="D106" s="1221"/>
      <c r="E106" s="1221"/>
      <c r="F106" s="1221"/>
      <c r="G106" s="1221"/>
      <c r="H106" s="1221"/>
      <c r="I106" s="1221"/>
      <c r="J106" s="1221"/>
      <c r="K106" s="1221"/>
      <c r="L106" s="1221"/>
      <c r="M106" s="1221"/>
      <c r="N106" s="1221"/>
      <c r="O106" s="1221"/>
      <c r="P106" s="1221"/>
      <c r="Q106" s="1221"/>
      <c r="R106" s="1221"/>
      <c r="S106" s="1221"/>
      <c r="T106" s="1221"/>
      <c r="U106" s="1221"/>
      <c r="V106" s="1221"/>
      <c r="W106" s="1221"/>
      <c r="X106" s="1221"/>
      <c r="Y106" s="1221"/>
      <c r="Z106" s="1221"/>
      <c r="AA106" s="1221"/>
      <c r="AB106" s="1221"/>
      <c r="AC106" s="1221"/>
      <c r="AD106" s="1221"/>
      <c r="AE106" s="1221"/>
      <c r="AF106" s="1221"/>
      <c r="AG106" s="1221"/>
      <c r="AH106" s="1221"/>
      <c r="AI106" s="1221"/>
      <c r="AJ106" s="1221"/>
      <c r="AK106" s="1221"/>
      <c r="AL106" s="1221"/>
      <c r="AM106" s="1221"/>
      <c r="AN106" s="1221"/>
      <c r="AO106" s="1221"/>
      <c r="AP106" s="1221"/>
      <c r="AQ106" s="1221"/>
      <c r="AR106" s="1221"/>
      <c r="AS106" s="1221"/>
      <c r="AT106" s="1221"/>
      <c r="AU106" s="1221"/>
      <c r="AV106" s="1221"/>
      <c r="AW106" s="1222"/>
      <c r="AX106" s="1223"/>
      <c r="AZ106" s="680"/>
      <c r="BD106" s="680"/>
      <c r="BE106" s="680"/>
      <c r="BG106" s="680"/>
    </row>
    <row r="107" spans="2:78" ht="24" customHeight="1" thickTop="1" thickBot="1">
      <c r="B107" s="343"/>
      <c r="C107" s="343"/>
      <c r="D107" s="343"/>
      <c r="E107" s="343"/>
      <c r="F107" s="343"/>
      <c r="G107" s="343"/>
      <c r="H107" s="343"/>
      <c r="I107" s="343"/>
      <c r="J107" s="343"/>
      <c r="K107" s="343"/>
      <c r="L107" s="343"/>
      <c r="M107" s="343"/>
      <c r="N107" s="343"/>
      <c r="O107" s="343"/>
      <c r="P107" s="343"/>
      <c r="Q107" s="343"/>
      <c r="R107" s="343"/>
      <c r="S107" s="343"/>
      <c r="T107" s="343"/>
      <c r="U107" s="343"/>
      <c r="V107" s="343"/>
      <c r="W107" s="343"/>
      <c r="X107" s="343"/>
      <c r="Y107" s="343"/>
      <c r="Z107" s="343"/>
      <c r="AA107" s="343"/>
      <c r="AB107" s="343"/>
      <c r="AC107" s="343"/>
      <c r="AD107" s="343"/>
      <c r="AE107" s="343"/>
      <c r="AF107" s="343"/>
      <c r="AG107" s="343"/>
      <c r="AH107" s="343"/>
      <c r="AI107" s="343"/>
      <c r="AJ107" s="343"/>
      <c r="AK107" s="343"/>
      <c r="AL107" s="343"/>
      <c r="AM107" s="343"/>
      <c r="AN107" s="343"/>
      <c r="AO107" s="343"/>
      <c r="AP107" s="343"/>
      <c r="AQ107" s="343"/>
      <c r="AR107" s="343"/>
      <c r="AS107" s="343"/>
      <c r="AT107" s="343"/>
      <c r="AU107" s="343"/>
      <c r="AV107" s="343"/>
      <c r="AW107" s="342"/>
      <c r="AX107" s="342"/>
      <c r="AZ107" s="680"/>
      <c r="BD107" s="680"/>
      <c r="BE107" s="680"/>
      <c r="BG107" s="680"/>
    </row>
    <row r="108" spans="2:78" ht="24" customHeight="1" thickTop="1">
      <c r="B108" s="1163" t="s">
        <v>1190</v>
      </c>
      <c r="C108" s="1369"/>
      <c r="D108" s="1369"/>
      <c r="E108" s="1369"/>
      <c r="F108" s="1369"/>
      <c r="G108" s="1369"/>
      <c r="H108" s="1163" t="s">
        <v>1191</v>
      </c>
      <c r="I108" s="1030"/>
      <c r="J108" s="1030"/>
      <c r="K108" s="1030"/>
      <c r="L108" s="1030"/>
      <c r="M108" s="1030"/>
      <c r="N108" s="1163" t="s">
        <v>1193</v>
      </c>
      <c r="O108" s="1374"/>
      <c r="P108" s="1374"/>
      <c r="Q108" s="1374"/>
      <c r="R108" s="1374"/>
      <c r="S108" s="1375"/>
      <c r="T108" s="1161" t="s">
        <v>100</v>
      </c>
      <c r="U108" s="1162"/>
      <c r="V108" s="680"/>
      <c r="W108" s="680"/>
      <c r="X108" s="1163" t="s">
        <v>1089</v>
      </c>
      <c r="Y108" s="1164"/>
      <c r="Z108" s="1164"/>
      <c r="AA108" s="1164"/>
      <c r="AB108" s="1164"/>
      <c r="AC108" s="1163" t="s">
        <v>1090</v>
      </c>
      <c r="AD108" s="1164"/>
      <c r="AE108" s="1164"/>
      <c r="AF108" s="1164"/>
      <c r="AG108" s="1164"/>
      <c r="AH108" s="680"/>
      <c r="AI108" s="1165" t="str">
        <f>"補助対象期間中の患者数("&amp;X109&amp;"人、N95・ハイラックマスクは"&amp;AC109&amp;"人)＊患者１名あたり平均対応員数(計"&amp;N109&amp;"人)＊品目毎の患者１名あたり使用数で算出されます。"</f>
        <v>補助対象期間中の患者数(×人、N95・ハイラックマスクは×人)＊患者１名あたり平均対応員数(計0人)＊品目毎の患者１名あたり使用数で算出されます。</v>
      </c>
      <c r="AJ108" s="1166"/>
      <c r="AK108" s="1166"/>
      <c r="AL108" s="1166"/>
      <c r="AM108" s="1166"/>
      <c r="AN108" s="1166"/>
      <c r="AO108" s="1166"/>
      <c r="AP108" s="1166"/>
      <c r="AQ108" s="1166"/>
      <c r="AR108" s="1166"/>
      <c r="AS108" s="1166"/>
      <c r="AT108" s="1166"/>
      <c r="AU108" s="1166"/>
      <c r="AV108" s="1166"/>
      <c r="AW108" s="1166"/>
      <c r="AX108" s="1167"/>
      <c r="AZ108" s="680"/>
      <c r="BD108" s="680"/>
      <c r="BE108" s="680"/>
      <c r="BG108" s="680"/>
    </row>
    <row r="109" spans="2:78" ht="24" customHeight="1">
      <c r="B109" s="1370"/>
      <c r="C109" s="1371"/>
      <c r="D109" s="1371"/>
      <c r="E109" s="1371"/>
      <c r="F109" s="1371"/>
      <c r="G109" s="1371"/>
      <c r="H109" s="1372"/>
      <c r="I109" s="1373"/>
      <c r="J109" s="1373"/>
      <c r="K109" s="1373"/>
      <c r="L109" s="1373"/>
      <c r="M109" s="1373"/>
      <c r="N109" s="1376">
        <f>SUM(B109*H109)</f>
        <v>0</v>
      </c>
      <c r="O109" s="1377"/>
      <c r="P109" s="1377"/>
      <c r="Q109" s="1377"/>
      <c r="R109" s="1377"/>
      <c r="S109" s="1378"/>
      <c r="T109" s="1183" t="str">
        <f xml:space="preserve">
IF($AZ$77&lt;&gt;"○","×",
IF(COUNTA($B$109:$M$110)&lt;&gt;2,"×","○"))</f>
        <v>×</v>
      </c>
      <c r="U109" s="1184"/>
      <c r="V109" s="680"/>
      <c r="W109" s="680"/>
      <c r="X109" s="1187" t="str">
        <f>AK85</f>
        <v>×</v>
      </c>
      <c r="Y109" s="1188"/>
      <c r="Z109" s="1188"/>
      <c r="AA109" s="1188"/>
      <c r="AB109" s="1188"/>
      <c r="AC109" s="1187" t="str">
        <f>AK86</f>
        <v>×</v>
      </c>
      <c r="AD109" s="1188"/>
      <c r="AE109" s="1188"/>
      <c r="AF109" s="1188"/>
      <c r="AG109" s="1188"/>
      <c r="AH109" s="680"/>
      <c r="AI109" s="1168"/>
      <c r="AJ109" s="1169"/>
      <c r="AK109" s="1169"/>
      <c r="AL109" s="1169"/>
      <c r="AM109" s="1169"/>
      <c r="AN109" s="1169"/>
      <c r="AO109" s="1169"/>
      <c r="AP109" s="1169"/>
      <c r="AQ109" s="1169"/>
      <c r="AR109" s="1169"/>
      <c r="AS109" s="1169"/>
      <c r="AT109" s="1169"/>
      <c r="AU109" s="1169"/>
      <c r="AV109" s="1169"/>
      <c r="AW109" s="1169"/>
      <c r="AX109" s="1170"/>
      <c r="AZ109" s="680"/>
      <c r="BD109" s="680"/>
      <c r="BE109" s="680"/>
      <c r="BG109" s="680"/>
    </row>
    <row r="110" spans="2:78" ht="24" customHeight="1" thickBot="1">
      <c r="B110" s="1371"/>
      <c r="C110" s="1371"/>
      <c r="D110" s="1371"/>
      <c r="E110" s="1371"/>
      <c r="F110" s="1371"/>
      <c r="G110" s="1371"/>
      <c r="H110" s="1373"/>
      <c r="I110" s="1373"/>
      <c r="J110" s="1373"/>
      <c r="K110" s="1373"/>
      <c r="L110" s="1373"/>
      <c r="M110" s="1373"/>
      <c r="N110" s="1377"/>
      <c r="O110" s="1377"/>
      <c r="P110" s="1377"/>
      <c r="Q110" s="1377"/>
      <c r="R110" s="1377"/>
      <c r="S110" s="1378"/>
      <c r="T110" s="1185"/>
      <c r="U110" s="1186"/>
      <c r="V110" s="680"/>
      <c r="W110" s="680"/>
      <c r="X110" s="1188"/>
      <c r="Y110" s="1188"/>
      <c r="Z110" s="1188"/>
      <c r="AA110" s="1188"/>
      <c r="AB110" s="1188"/>
      <c r="AC110" s="1188"/>
      <c r="AD110" s="1188"/>
      <c r="AE110" s="1188"/>
      <c r="AF110" s="1188"/>
      <c r="AG110" s="1188"/>
      <c r="AH110" s="680"/>
      <c r="AI110" s="1171"/>
      <c r="AJ110" s="1172"/>
      <c r="AK110" s="1172"/>
      <c r="AL110" s="1172"/>
      <c r="AM110" s="1172"/>
      <c r="AN110" s="1172"/>
      <c r="AO110" s="1172"/>
      <c r="AP110" s="1172"/>
      <c r="AQ110" s="1172"/>
      <c r="AR110" s="1172"/>
      <c r="AS110" s="1172"/>
      <c r="AT110" s="1172"/>
      <c r="AU110" s="1172"/>
      <c r="AV110" s="1172"/>
      <c r="AW110" s="1172"/>
      <c r="AX110" s="1173"/>
      <c r="AZ110" s="680"/>
      <c r="BD110" s="680"/>
      <c r="BE110" s="680"/>
      <c r="BG110" s="680"/>
    </row>
    <row r="111" spans="2:78" ht="24" customHeight="1" thickTop="1" thickBot="1">
      <c r="B111" s="1389" t="str">
        <f xml:space="preserve">
IF($AZ$77&lt;&gt;"○","→【要修正】本シートの上段１～３が入力不十分です。（本欄入力前に適切に入力してください。）",
IF(COUNTA($B$109:$M$110)&lt;&gt;2,"→【要修正】平均訪室回数及び平均対応員数のいずれの欄も入力するようにしてください。","→適切に入力がされました。"))</f>
        <v>→【要修正】本シートの上段１～３が入力不十分です。（本欄入力前に適切に入力してください。）</v>
      </c>
      <c r="C111" s="1390"/>
      <c r="D111" s="1390"/>
      <c r="E111" s="1390"/>
      <c r="F111" s="1390"/>
      <c r="G111" s="1390"/>
      <c r="H111" s="1390"/>
      <c r="I111" s="1390"/>
      <c r="J111" s="1390"/>
      <c r="K111" s="1390"/>
      <c r="L111" s="1390"/>
      <c r="M111" s="1390"/>
      <c r="N111" s="1390"/>
      <c r="O111" s="1390"/>
      <c r="P111" s="1390"/>
      <c r="Q111" s="1390"/>
      <c r="R111" s="1390"/>
      <c r="S111" s="1390"/>
      <c r="T111" s="1390"/>
      <c r="U111" s="1390"/>
      <c r="V111" s="1390"/>
      <c r="W111" s="1390"/>
      <c r="X111" s="1390"/>
      <c r="Y111" s="1390"/>
      <c r="Z111" s="1390"/>
      <c r="AA111" s="1390"/>
      <c r="AB111" s="1390"/>
      <c r="AI111" s="680"/>
      <c r="AJ111" s="680"/>
      <c r="AK111" s="680"/>
      <c r="AL111" s="680"/>
      <c r="AM111" s="680"/>
      <c r="AN111" s="680"/>
      <c r="AO111" s="680"/>
      <c r="BZ111" s="238"/>
    </row>
    <row r="112" spans="2:78" ht="24" customHeight="1" thickTop="1">
      <c r="B112" s="1131" t="s">
        <v>1091</v>
      </c>
      <c r="C112" s="1379"/>
      <c r="D112" s="1379"/>
      <c r="E112" s="1379"/>
      <c r="F112" s="1379"/>
      <c r="G112" s="1379"/>
      <c r="H112" s="1379"/>
      <c r="I112" s="1379"/>
      <c r="J112" s="1379"/>
      <c r="K112" s="1379"/>
      <c r="L112" s="1379"/>
      <c r="M112" s="1379"/>
      <c r="N112" s="1192" t="s">
        <v>1194</v>
      </c>
      <c r="O112" s="1193"/>
      <c r="P112" s="1193"/>
      <c r="Q112" s="1193"/>
      <c r="R112" s="1193"/>
      <c r="S112" s="1193"/>
      <c r="T112" s="1193"/>
      <c r="U112" s="1193"/>
      <c r="V112" s="1193"/>
      <c r="W112" s="1193"/>
      <c r="X112" s="1193"/>
      <c r="Y112" s="1193"/>
      <c r="Z112" s="1194"/>
      <c r="AA112" s="1194"/>
      <c r="AB112" s="1194"/>
      <c r="AC112" s="1195"/>
      <c r="AD112" s="1189" t="s">
        <v>100</v>
      </c>
      <c r="AE112" s="1190"/>
      <c r="AF112" s="1174" t="s">
        <v>61</v>
      </c>
      <c r="AG112" s="1174"/>
      <c r="AH112" s="1174"/>
      <c r="AI112" s="1174"/>
      <c r="AJ112" s="1174"/>
      <c r="AK112" s="1174"/>
      <c r="AL112" s="1174"/>
      <c r="AM112" s="1174"/>
      <c r="AN112" s="1174"/>
      <c r="AO112" s="1174"/>
      <c r="AP112" s="1175"/>
      <c r="AQ112" s="1175"/>
      <c r="AR112" s="1175"/>
      <c r="AS112" s="1175"/>
      <c r="AT112" s="1175"/>
      <c r="AU112" s="1175"/>
      <c r="AV112" s="1175"/>
      <c r="AW112" s="1175"/>
      <c r="AX112" s="1176"/>
      <c r="AY112" s="680"/>
      <c r="AZ112" s="680"/>
      <c r="BD112" s="680"/>
      <c r="BE112" s="680"/>
      <c r="BG112" s="680"/>
    </row>
    <row r="113" spans="2:80" ht="24" customHeight="1" thickBot="1">
      <c r="B113" s="1129"/>
      <c r="C113" s="1380"/>
      <c r="D113" s="1380"/>
      <c r="E113" s="1380"/>
      <c r="F113" s="1380"/>
      <c r="G113" s="1380"/>
      <c r="H113" s="1380"/>
      <c r="I113" s="1380"/>
      <c r="J113" s="1380"/>
      <c r="K113" s="1380"/>
      <c r="L113" s="1380"/>
      <c r="M113" s="1380"/>
      <c r="N113" s="1196"/>
      <c r="O113" s="1197"/>
      <c r="P113" s="1197"/>
      <c r="Q113" s="1197"/>
      <c r="R113" s="1197"/>
      <c r="S113" s="1197"/>
      <c r="T113" s="1197"/>
      <c r="U113" s="1197"/>
      <c r="V113" s="1197"/>
      <c r="W113" s="1197"/>
      <c r="X113" s="1197"/>
      <c r="Y113" s="1197"/>
      <c r="Z113" s="1198"/>
      <c r="AA113" s="1198"/>
      <c r="AB113" s="1198"/>
      <c r="AC113" s="1199"/>
      <c r="AD113" s="1095"/>
      <c r="AE113" s="1191"/>
      <c r="AF113" s="1174"/>
      <c r="AG113" s="1174"/>
      <c r="AH113" s="1174"/>
      <c r="AI113" s="1174"/>
      <c r="AJ113" s="1174"/>
      <c r="AK113" s="1174"/>
      <c r="AL113" s="1174"/>
      <c r="AM113" s="1174"/>
      <c r="AN113" s="1174"/>
      <c r="AO113" s="1174"/>
      <c r="AP113" s="1175"/>
      <c r="AQ113" s="1175"/>
      <c r="AR113" s="1175"/>
      <c r="AS113" s="1175"/>
      <c r="AT113" s="1175"/>
      <c r="AU113" s="1175"/>
      <c r="AV113" s="1175"/>
      <c r="AW113" s="1175"/>
      <c r="AX113" s="1176"/>
      <c r="AY113" s="680"/>
      <c r="AZ113" s="680"/>
      <c r="BD113" s="680"/>
      <c r="BE113" s="680"/>
      <c r="BG113" s="680"/>
    </row>
    <row r="114" spans="2:80" ht="24" customHeight="1" thickTop="1">
      <c r="B114" s="1381"/>
      <c r="C114" s="1380"/>
      <c r="D114" s="1380"/>
      <c r="E114" s="1380"/>
      <c r="F114" s="1380"/>
      <c r="G114" s="1380"/>
      <c r="H114" s="1380"/>
      <c r="I114" s="1380"/>
      <c r="J114" s="1380"/>
      <c r="K114" s="1380"/>
      <c r="L114" s="1380"/>
      <c r="M114" s="1380"/>
      <c r="N114" s="1177" t="s">
        <v>1464</v>
      </c>
      <c r="O114" s="1178"/>
      <c r="P114" s="1178"/>
      <c r="Q114" s="1179"/>
      <c r="R114" s="1129" t="s">
        <v>1195</v>
      </c>
      <c r="S114" s="1178"/>
      <c r="T114" s="1178"/>
      <c r="U114" s="1179"/>
      <c r="V114" s="1177" t="s">
        <v>1426</v>
      </c>
      <c r="W114" s="1178"/>
      <c r="X114" s="1178"/>
      <c r="Y114" s="1179"/>
      <c r="Z114" s="1515" t="s">
        <v>1463</v>
      </c>
      <c r="AA114" s="1201"/>
      <c r="AB114" s="1201"/>
      <c r="AC114" s="1202"/>
      <c r="AD114" s="1042"/>
      <c r="AE114" s="1191"/>
      <c r="AF114" s="1174"/>
      <c r="AG114" s="1174"/>
      <c r="AH114" s="1174"/>
      <c r="AI114" s="1174"/>
      <c r="AJ114" s="1174"/>
      <c r="AK114" s="1174"/>
      <c r="AL114" s="1174"/>
      <c r="AM114" s="1174"/>
      <c r="AN114" s="1174"/>
      <c r="AO114" s="1174"/>
      <c r="AP114" s="1175"/>
      <c r="AQ114" s="1175"/>
      <c r="AR114" s="1175"/>
      <c r="AS114" s="1175"/>
      <c r="AT114" s="1175"/>
      <c r="AU114" s="1175"/>
      <c r="AV114" s="1175"/>
      <c r="AW114" s="1175"/>
      <c r="AX114" s="1176"/>
      <c r="AZ114" s="225"/>
      <c r="BA114" s="1160"/>
      <c r="BB114" s="1160"/>
      <c r="BC114" s="1160"/>
      <c r="BD114" s="272"/>
      <c r="BF114" s="273"/>
      <c r="BG114" s="226"/>
      <c r="BH114" s="274"/>
      <c r="BI114" s="274"/>
      <c r="BJ114" s="275"/>
      <c r="BK114" s="274"/>
      <c r="BL114" s="226"/>
      <c r="BZ114" s="238"/>
    </row>
    <row r="115" spans="2:80" ht="24" customHeight="1">
      <c r="B115" s="1382"/>
      <c r="C115" s="1383"/>
      <c r="D115" s="1383"/>
      <c r="E115" s="1383"/>
      <c r="F115" s="1383"/>
      <c r="G115" s="1383"/>
      <c r="H115" s="1383"/>
      <c r="I115" s="1383"/>
      <c r="J115" s="1383"/>
      <c r="K115" s="1383"/>
      <c r="L115" s="1383"/>
      <c r="M115" s="1383"/>
      <c r="N115" s="1180"/>
      <c r="O115" s="1181"/>
      <c r="P115" s="1181"/>
      <c r="Q115" s="1182"/>
      <c r="R115" s="1180"/>
      <c r="S115" s="1181"/>
      <c r="T115" s="1181"/>
      <c r="U115" s="1182"/>
      <c r="V115" s="1180"/>
      <c r="W115" s="1181"/>
      <c r="X115" s="1181"/>
      <c r="Y115" s="1182"/>
      <c r="Z115" s="1203"/>
      <c r="AA115" s="1204"/>
      <c r="AB115" s="1204"/>
      <c r="AC115" s="1205"/>
      <c r="AD115" s="1042"/>
      <c r="AE115" s="1191"/>
      <c r="AF115" s="1174"/>
      <c r="AG115" s="1174"/>
      <c r="AH115" s="1174"/>
      <c r="AI115" s="1174"/>
      <c r="AJ115" s="1174"/>
      <c r="AK115" s="1174"/>
      <c r="AL115" s="1174"/>
      <c r="AM115" s="1174"/>
      <c r="AN115" s="1174"/>
      <c r="AO115" s="1174"/>
      <c r="AP115" s="1175"/>
      <c r="AQ115" s="1175"/>
      <c r="AR115" s="1175"/>
      <c r="AS115" s="1175"/>
      <c r="AT115" s="1175"/>
      <c r="AU115" s="1175"/>
      <c r="AV115" s="1175"/>
      <c r="AW115" s="1175"/>
      <c r="AX115" s="1176"/>
      <c r="AZ115" s="225"/>
      <c r="BA115" s="1160"/>
      <c r="BB115" s="1160"/>
      <c r="BC115" s="1160"/>
      <c r="BD115" s="272"/>
      <c r="BF115" s="273"/>
      <c r="BG115" s="226"/>
      <c r="BH115" s="274"/>
      <c r="BI115" s="274"/>
      <c r="BJ115" s="275"/>
      <c r="BK115" s="274"/>
      <c r="BL115" s="226"/>
      <c r="BZ115" s="238"/>
    </row>
    <row r="116" spans="2:80" ht="18" customHeight="1">
      <c r="B116" s="1131" t="s">
        <v>474</v>
      </c>
      <c r="C116" s="1108"/>
      <c r="D116" s="1108"/>
      <c r="E116" s="1109"/>
      <c r="F116" s="1091" t="s">
        <v>1092</v>
      </c>
      <c r="G116" s="1108"/>
      <c r="H116" s="1108"/>
      <c r="I116" s="1108"/>
      <c r="J116" s="1108"/>
      <c r="K116" s="1108"/>
      <c r="L116" s="1108"/>
      <c r="M116" s="1109"/>
      <c r="N116" s="1116"/>
      <c r="O116" s="1117"/>
      <c r="P116" s="1117"/>
      <c r="Q116" s="1117"/>
      <c r="R116" s="1118">
        <f>IF($X$109="×",0,$X$109)</f>
        <v>0</v>
      </c>
      <c r="S116" s="1119"/>
      <c r="T116" s="1119"/>
      <c r="U116" s="1119"/>
      <c r="V116" s="1506">
        <f>$N$109*N116</f>
        <v>0</v>
      </c>
      <c r="W116" s="1507"/>
      <c r="X116" s="1507"/>
      <c r="Y116" s="1507"/>
      <c r="Z116" s="1508">
        <f>R116*V116</f>
        <v>0</v>
      </c>
      <c r="AA116" s="1509"/>
      <c r="AB116" s="1509"/>
      <c r="AC116" s="1510"/>
      <c r="AD116" s="1095" t="str">
        <f xml:space="preserve">
IF($AZ$77&lt;&gt;"○","×",
IF(COUNTA($B$109:$M$110)&lt;&gt;2,"×",
IF(COUNTA(N116)&lt;&gt;1,"×",
IF(AND(COUNTA(N116)=1,N116&lt;=AZ116),"○",
IF(AND(COUNTA(N116)=1,N116&gt;AZ116),"○")))))</f>
        <v>×</v>
      </c>
      <c r="AE116" s="1096"/>
      <c r="AF116" s="1099" t="str">
        <f xml:space="preserve">
IF($AZ$77&lt;&gt;"○","【要修正】本シートの上段１から３までの項目を適切に入力してください。",
IF(COUNTA($B$109:$M$110)&lt;&gt;2,"【要修正】上段の平均訪室回数及び平均対応員数を入力してください。",
IF(COUNTA(N116)&lt;&gt;1,"【要修正】患者１人に対しスタッフ１人の訪室１回あたりの使用数を入力してください。(０の場合は０を入力)",
IF(AND(COUNTA(N116)=1,N116&lt;=AZ116),"適切に入力されました。",
IF(AND(COUNTA(N116)=1,N116&gt;AZ116),"患者１人への訪室１回あたりスタッフ１名が"&amp;AZ116&amp;"個を超える使用量が入力されているため、着脱を行う手順及び手順毎の数量を下段の欄に記入してください。")))))</f>
        <v>【要修正】本シートの上段１から３までの項目を適切に入力してください。</v>
      </c>
      <c r="AG116" s="1100"/>
      <c r="AH116" s="1100"/>
      <c r="AI116" s="1100"/>
      <c r="AJ116" s="1100"/>
      <c r="AK116" s="1100"/>
      <c r="AL116" s="1100"/>
      <c r="AM116" s="1100"/>
      <c r="AN116" s="1100"/>
      <c r="AO116" s="1100"/>
      <c r="AP116" s="1101"/>
      <c r="AQ116" s="1102"/>
      <c r="AR116" s="1102"/>
      <c r="AS116" s="1102"/>
      <c r="AT116" s="1102"/>
      <c r="AU116" s="1102"/>
      <c r="AV116" s="1102"/>
      <c r="AW116" s="1102"/>
      <c r="AX116" s="1103"/>
      <c r="AZ116" s="1387">
        <v>2</v>
      </c>
      <c r="BA116" s="1160"/>
      <c r="BB116" s="1160"/>
      <c r="BC116" s="1160"/>
      <c r="BD116" s="272"/>
      <c r="BF116" s="273"/>
      <c r="BG116" s="226"/>
      <c r="BH116" s="274"/>
      <c r="BI116" s="274"/>
      <c r="BJ116" s="275"/>
      <c r="BK116" s="274"/>
      <c r="BL116" s="226"/>
      <c r="BZ116" s="238"/>
    </row>
    <row r="117" spans="2:80" ht="18" customHeight="1">
      <c r="B117" s="1110"/>
      <c r="C117" s="1111"/>
      <c r="D117" s="1111"/>
      <c r="E117" s="1112"/>
      <c r="F117" s="1110"/>
      <c r="G117" s="1111"/>
      <c r="H117" s="1111"/>
      <c r="I117" s="1111"/>
      <c r="J117" s="1111"/>
      <c r="K117" s="1111"/>
      <c r="L117" s="1111"/>
      <c r="M117" s="1112"/>
      <c r="N117" s="1154"/>
      <c r="O117" s="1155"/>
      <c r="P117" s="1155"/>
      <c r="Q117" s="1156"/>
      <c r="R117" s="1144"/>
      <c r="S117" s="1145"/>
      <c r="T117" s="1145"/>
      <c r="U117" s="1146"/>
      <c r="V117" s="1506"/>
      <c r="W117" s="1507"/>
      <c r="X117" s="1507"/>
      <c r="Y117" s="1507"/>
      <c r="Z117" s="1508"/>
      <c r="AA117" s="1509"/>
      <c r="AB117" s="1509"/>
      <c r="AC117" s="1510"/>
      <c r="AD117" s="1095"/>
      <c r="AE117" s="1096"/>
      <c r="AF117" s="1099"/>
      <c r="AG117" s="1100"/>
      <c r="AH117" s="1100"/>
      <c r="AI117" s="1100"/>
      <c r="AJ117" s="1100"/>
      <c r="AK117" s="1100"/>
      <c r="AL117" s="1100"/>
      <c r="AM117" s="1100"/>
      <c r="AN117" s="1100"/>
      <c r="AO117" s="1100"/>
      <c r="AP117" s="1101"/>
      <c r="AQ117" s="1102"/>
      <c r="AR117" s="1102"/>
      <c r="AS117" s="1102"/>
      <c r="AT117" s="1102"/>
      <c r="AU117" s="1102"/>
      <c r="AV117" s="1102"/>
      <c r="AW117" s="1102"/>
      <c r="AX117" s="1103"/>
      <c r="AZ117" s="1388"/>
      <c r="BZ117" s="238"/>
    </row>
    <row r="118" spans="2:80" ht="18" customHeight="1">
      <c r="B118" s="1110"/>
      <c r="C118" s="1111"/>
      <c r="D118" s="1111"/>
      <c r="E118" s="1112"/>
      <c r="F118" s="1113"/>
      <c r="G118" s="1114"/>
      <c r="H118" s="1114"/>
      <c r="I118" s="1114"/>
      <c r="J118" s="1114"/>
      <c r="K118" s="1114"/>
      <c r="L118" s="1114"/>
      <c r="M118" s="1115"/>
      <c r="N118" s="1157"/>
      <c r="O118" s="1158"/>
      <c r="P118" s="1158"/>
      <c r="Q118" s="1159"/>
      <c r="R118" s="1147"/>
      <c r="S118" s="1148"/>
      <c r="T118" s="1148"/>
      <c r="U118" s="1149"/>
      <c r="V118" s="1507"/>
      <c r="W118" s="1507"/>
      <c r="X118" s="1507"/>
      <c r="Y118" s="1507"/>
      <c r="Z118" s="1509"/>
      <c r="AA118" s="1509"/>
      <c r="AB118" s="1509"/>
      <c r="AC118" s="1510"/>
      <c r="AD118" s="1130"/>
      <c r="AE118" s="1096"/>
      <c r="AF118" s="1100"/>
      <c r="AG118" s="1100"/>
      <c r="AH118" s="1100"/>
      <c r="AI118" s="1100"/>
      <c r="AJ118" s="1100"/>
      <c r="AK118" s="1100"/>
      <c r="AL118" s="1100"/>
      <c r="AM118" s="1100"/>
      <c r="AN118" s="1100"/>
      <c r="AO118" s="1100"/>
      <c r="AP118" s="1101"/>
      <c r="AQ118" s="1102"/>
      <c r="AR118" s="1102"/>
      <c r="AS118" s="1102"/>
      <c r="AT118" s="1102"/>
      <c r="AU118" s="1102"/>
      <c r="AV118" s="1102"/>
      <c r="AW118" s="1102"/>
      <c r="AX118" s="1103"/>
      <c r="AZ118" s="1388"/>
      <c r="BZ118" s="238"/>
    </row>
    <row r="119" spans="2:80" ht="18" customHeight="1">
      <c r="B119" s="1110"/>
      <c r="C119" s="1111"/>
      <c r="D119" s="1111"/>
      <c r="E119" s="1112"/>
      <c r="F119" s="1091" t="s">
        <v>1093</v>
      </c>
      <c r="G119" s="1108"/>
      <c r="H119" s="1108"/>
      <c r="I119" s="1108"/>
      <c r="J119" s="1108"/>
      <c r="K119" s="1108"/>
      <c r="L119" s="1108"/>
      <c r="M119" s="1109"/>
      <c r="N119" s="1151"/>
      <c r="O119" s="1152"/>
      <c r="P119" s="1152"/>
      <c r="Q119" s="1153"/>
      <c r="R119" s="1118">
        <f>IF($X$109="×",0,$X$109)</f>
        <v>0</v>
      </c>
      <c r="S119" s="1119"/>
      <c r="T119" s="1119"/>
      <c r="U119" s="1119"/>
      <c r="V119" s="1506">
        <f t="shared" ref="V119" si="156">$N$109*N119</f>
        <v>0</v>
      </c>
      <c r="W119" s="1507"/>
      <c r="X119" s="1507"/>
      <c r="Y119" s="1507"/>
      <c r="Z119" s="1508">
        <f>R119*V119</f>
        <v>0</v>
      </c>
      <c r="AA119" s="1509"/>
      <c r="AB119" s="1509"/>
      <c r="AC119" s="1510"/>
      <c r="AD119" s="1095" t="str">
        <f t="shared" ref="AD119" si="157" xml:space="preserve">
IF($AZ$77&lt;&gt;"○","×",
IF(COUNTA($B$109:$M$110)&lt;&gt;2,"×",
IF(COUNTA(N119)&lt;&gt;1,"×",
IF(AND(COUNTA(N119)=1,N119&lt;=AZ119),"○",
IF(AND(COUNTA(N119)=1,N119&gt;AZ119),"○")))))</f>
        <v>×</v>
      </c>
      <c r="AE119" s="1096"/>
      <c r="AF119" s="1099" t="str">
        <f t="shared" ref="AF119" si="158" xml:space="preserve">
IF($AZ$77&lt;&gt;"○","【要修正】本シートの上段１から３までの項目を適切に入力してください。",
IF(COUNTA($B$109:$M$110)&lt;&gt;2,"【要修正】上段の平均訪室回数及び平均対応員数を入力してください。",
IF(COUNTA(N119)&lt;&gt;1,"【要修正】患者１人に対しスタッフ１人の訪室１回あたりの使用数を入力してください。(０の場合は０を入力)",
IF(AND(COUNTA(N119)=1,N119&lt;=AZ119),"適切に入力されました。",
IF(AND(COUNTA(N119)=1,N119&gt;AZ119),"患者１人への訪室１回あたりスタッフ１名が"&amp;AZ119&amp;"個を超える使用量が入力されているため、着脱を行う手順及び手順毎の数量を下段の欄に記入してください。")))))</f>
        <v>【要修正】本シートの上段１から３までの項目を適切に入力してください。</v>
      </c>
      <c r="AG119" s="1100"/>
      <c r="AH119" s="1100"/>
      <c r="AI119" s="1100"/>
      <c r="AJ119" s="1100"/>
      <c r="AK119" s="1100"/>
      <c r="AL119" s="1100"/>
      <c r="AM119" s="1100"/>
      <c r="AN119" s="1100"/>
      <c r="AO119" s="1100"/>
      <c r="AP119" s="1101"/>
      <c r="AQ119" s="1102"/>
      <c r="AR119" s="1102"/>
      <c r="AS119" s="1102"/>
      <c r="AT119" s="1102"/>
      <c r="AU119" s="1102"/>
      <c r="AV119" s="1102"/>
      <c r="AW119" s="1102"/>
      <c r="AX119" s="1103"/>
      <c r="AZ119" s="1387">
        <v>1</v>
      </c>
      <c r="BQ119" s="562"/>
      <c r="BR119" s="316"/>
      <c r="BS119" s="316"/>
      <c r="BT119" s="561"/>
      <c r="BZ119" s="238"/>
    </row>
    <row r="120" spans="2:80" ht="18" customHeight="1">
      <c r="B120" s="1110"/>
      <c r="C120" s="1111"/>
      <c r="D120" s="1111"/>
      <c r="E120" s="1112"/>
      <c r="F120" s="1110"/>
      <c r="G120" s="1111"/>
      <c r="H120" s="1111"/>
      <c r="I120" s="1111"/>
      <c r="J120" s="1111"/>
      <c r="K120" s="1111"/>
      <c r="L120" s="1111"/>
      <c r="M120" s="1112"/>
      <c r="N120" s="1154"/>
      <c r="O120" s="1155"/>
      <c r="P120" s="1155"/>
      <c r="Q120" s="1156"/>
      <c r="R120" s="1144"/>
      <c r="S120" s="1145"/>
      <c r="T120" s="1145"/>
      <c r="U120" s="1146"/>
      <c r="V120" s="1506"/>
      <c r="W120" s="1507"/>
      <c r="X120" s="1507"/>
      <c r="Y120" s="1507"/>
      <c r="Z120" s="1508"/>
      <c r="AA120" s="1509"/>
      <c r="AB120" s="1509"/>
      <c r="AC120" s="1510"/>
      <c r="AD120" s="1095"/>
      <c r="AE120" s="1096"/>
      <c r="AF120" s="1099"/>
      <c r="AG120" s="1100"/>
      <c r="AH120" s="1100"/>
      <c r="AI120" s="1100"/>
      <c r="AJ120" s="1100"/>
      <c r="AK120" s="1100"/>
      <c r="AL120" s="1100"/>
      <c r="AM120" s="1100"/>
      <c r="AN120" s="1100"/>
      <c r="AO120" s="1100"/>
      <c r="AP120" s="1101"/>
      <c r="AQ120" s="1102"/>
      <c r="AR120" s="1102"/>
      <c r="AS120" s="1102"/>
      <c r="AT120" s="1102"/>
      <c r="AU120" s="1102"/>
      <c r="AV120" s="1102"/>
      <c r="AW120" s="1102"/>
      <c r="AX120" s="1103"/>
      <c r="AZ120" s="1388"/>
      <c r="BQ120" s="562"/>
      <c r="BR120" s="316"/>
      <c r="BS120" s="562"/>
      <c r="BT120" s="563"/>
      <c r="BZ120" s="238"/>
    </row>
    <row r="121" spans="2:80" ht="18" customHeight="1">
      <c r="B121" s="1110"/>
      <c r="C121" s="1111"/>
      <c r="D121" s="1111"/>
      <c r="E121" s="1112"/>
      <c r="F121" s="1113"/>
      <c r="G121" s="1114"/>
      <c r="H121" s="1114"/>
      <c r="I121" s="1114"/>
      <c r="J121" s="1114"/>
      <c r="K121" s="1114"/>
      <c r="L121" s="1114"/>
      <c r="M121" s="1115"/>
      <c r="N121" s="1157"/>
      <c r="O121" s="1158"/>
      <c r="P121" s="1158"/>
      <c r="Q121" s="1159"/>
      <c r="R121" s="1147"/>
      <c r="S121" s="1148"/>
      <c r="T121" s="1148"/>
      <c r="U121" s="1149"/>
      <c r="V121" s="1507"/>
      <c r="W121" s="1507"/>
      <c r="X121" s="1507"/>
      <c r="Y121" s="1507"/>
      <c r="Z121" s="1509"/>
      <c r="AA121" s="1509"/>
      <c r="AB121" s="1509"/>
      <c r="AC121" s="1510"/>
      <c r="AD121" s="1130"/>
      <c r="AE121" s="1096"/>
      <c r="AF121" s="1100"/>
      <c r="AG121" s="1100"/>
      <c r="AH121" s="1100"/>
      <c r="AI121" s="1100"/>
      <c r="AJ121" s="1100"/>
      <c r="AK121" s="1100"/>
      <c r="AL121" s="1100"/>
      <c r="AM121" s="1100"/>
      <c r="AN121" s="1100"/>
      <c r="AO121" s="1100"/>
      <c r="AP121" s="1101"/>
      <c r="AQ121" s="1102"/>
      <c r="AR121" s="1102"/>
      <c r="AS121" s="1102"/>
      <c r="AT121" s="1102"/>
      <c r="AU121" s="1102"/>
      <c r="AV121" s="1102"/>
      <c r="AW121" s="1102"/>
      <c r="AX121" s="1103"/>
      <c r="AZ121" s="1388"/>
      <c r="BQ121" s="562"/>
      <c r="BR121" s="316"/>
      <c r="BS121" s="562"/>
      <c r="BT121" s="563"/>
      <c r="BZ121" s="238"/>
    </row>
    <row r="122" spans="2:80" ht="18" customHeight="1">
      <c r="B122" s="1110"/>
      <c r="C122" s="1111"/>
      <c r="D122" s="1111"/>
      <c r="E122" s="1112"/>
      <c r="F122" s="1125" t="s">
        <v>1094</v>
      </c>
      <c r="G122" s="1108"/>
      <c r="H122" s="1108"/>
      <c r="I122" s="1108"/>
      <c r="J122" s="1108"/>
      <c r="K122" s="1108"/>
      <c r="L122" s="1108"/>
      <c r="M122" s="1109"/>
      <c r="N122" s="1151"/>
      <c r="O122" s="1152"/>
      <c r="P122" s="1152"/>
      <c r="Q122" s="1153"/>
      <c r="R122" s="1141">
        <f>IF($AC$109="×",0,$AC$109)</f>
        <v>0</v>
      </c>
      <c r="S122" s="1142"/>
      <c r="T122" s="1142"/>
      <c r="U122" s="1143"/>
      <c r="V122" s="1506">
        <f t="shared" ref="V122" si="159">$N$109*N122</f>
        <v>0</v>
      </c>
      <c r="W122" s="1507"/>
      <c r="X122" s="1507"/>
      <c r="Y122" s="1507"/>
      <c r="Z122" s="1508">
        <f>R122*V122</f>
        <v>0</v>
      </c>
      <c r="AA122" s="1509"/>
      <c r="AB122" s="1509"/>
      <c r="AC122" s="1510"/>
      <c r="AD122" s="1095" t="str">
        <f t="shared" ref="AD122" si="160" xml:space="preserve">
IF($AZ$77&lt;&gt;"○","×",
IF(COUNTA($B$109:$M$110)&lt;&gt;2,"×",
IF(COUNTA(N122)&lt;&gt;1,"×",
IF(AND(COUNTA(N122)=1,N122&lt;=AZ122),"○",
IF(AND(COUNTA(N122)=1,N122&gt;AZ122),"○")))))</f>
        <v>×</v>
      </c>
      <c r="AE122" s="1096"/>
      <c r="AF122" s="1099" t="str">
        <f t="shared" ref="AF122" si="161" xml:space="preserve">
IF($AZ$77&lt;&gt;"○","【要修正】本シートの上段１から３までの項目を適切に入力してください。",
IF(COUNTA($B$109:$M$110)&lt;&gt;2,"【要修正】上段の平均訪室回数及び平均対応員数を入力してください。",
IF(COUNTA(N122)&lt;&gt;1,"【要修正】患者１人に対しスタッフ１人の訪室１回あたりの使用数を入力してください。(０の場合は０を入力)",
IF(AND(COUNTA(N122)=1,N122&lt;=AZ122),"適切に入力されました。",
IF(AND(COUNTA(N122)=1,N122&gt;AZ122),"患者１人への訪室１回あたりスタッフ１名が"&amp;AZ122&amp;"個を超える使用量が入力されているため、着脱を行う手順及び手順毎の数量を下段の欄に記入してください。")))))</f>
        <v>【要修正】本シートの上段１から３までの項目を適切に入力してください。</v>
      </c>
      <c r="AG122" s="1100"/>
      <c r="AH122" s="1100"/>
      <c r="AI122" s="1100"/>
      <c r="AJ122" s="1100"/>
      <c r="AK122" s="1100"/>
      <c r="AL122" s="1100"/>
      <c r="AM122" s="1100"/>
      <c r="AN122" s="1100"/>
      <c r="AO122" s="1100"/>
      <c r="AP122" s="1101"/>
      <c r="AQ122" s="1102"/>
      <c r="AR122" s="1102"/>
      <c r="AS122" s="1102"/>
      <c r="AT122" s="1102"/>
      <c r="AU122" s="1102"/>
      <c r="AV122" s="1102"/>
      <c r="AW122" s="1102"/>
      <c r="AX122" s="1103"/>
      <c r="AZ122" s="1387">
        <v>1</v>
      </c>
      <c r="BQ122" s="562"/>
      <c r="BR122" s="316"/>
      <c r="BS122" s="562"/>
      <c r="BT122" s="563"/>
      <c r="BZ122" s="238"/>
    </row>
    <row r="123" spans="2:80" ht="18" customHeight="1">
      <c r="B123" s="1110"/>
      <c r="C123" s="1111"/>
      <c r="D123" s="1111"/>
      <c r="E123" s="1112"/>
      <c r="F123" s="1110"/>
      <c r="G123" s="1111"/>
      <c r="H123" s="1111"/>
      <c r="I123" s="1111"/>
      <c r="J123" s="1111"/>
      <c r="K123" s="1111"/>
      <c r="L123" s="1111"/>
      <c r="M123" s="1112"/>
      <c r="N123" s="1154"/>
      <c r="O123" s="1155"/>
      <c r="P123" s="1155"/>
      <c r="Q123" s="1156"/>
      <c r="R123" s="1144"/>
      <c r="S123" s="1145"/>
      <c r="T123" s="1145"/>
      <c r="U123" s="1146"/>
      <c r="V123" s="1506"/>
      <c r="W123" s="1507"/>
      <c r="X123" s="1507"/>
      <c r="Y123" s="1507"/>
      <c r="Z123" s="1508"/>
      <c r="AA123" s="1509"/>
      <c r="AB123" s="1509"/>
      <c r="AC123" s="1510"/>
      <c r="AD123" s="1095"/>
      <c r="AE123" s="1096"/>
      <c r="AF123" s="1099"/>
      <c r="AG123" s="1100"/>
      <c r="AH123" s="1100"/>
      <c r="AI123" s="1100"/>
      <c r="AJ123" s="1100"/>
      <c r="AK123" s="1100"/>
      <c r="AL123" s="1100"/>
      <c r="AM123" s="1100"/>
      <c r="AN123" s="1100"/>
      <c r="AO123" s="1100"/>
      <c r="AP123" s="1101"/>
      <c r="AQ123" s="1102"/>
      <c r="AR123" s="1102"/>
      <c r="AS123" s="1102"/>
      <c r="AT123" s="1102"/>
      <c r="AU123" s="1102"/>
      <c r="AV123" s="1102"/>
      <c r="AW123" s="1102"/>
      <c r="AX123" s="1103"/>
      <c r="AZ123" s="1388"/>
      <c r="BQ123" s="562"/>
      <c r="BR123" s="316"/>
      <c r="BS123" s="562"/>
      <c r="BT123" s="563"/>
      <c r="BZ123" s="238"/>
    </row>
    <row r="124" spans="2:80" ht="18" customHeight="1">
      <c r="B124" s="1113"/>
      <c r="C124" s="1114"/>
      <c r="D124" s="1114"/>
      <c r="E124" s="1115"/>
      <c r="F124" s="1113"/>
      <c r="G124" s="1114"/>
      <c r="H124" s="1114"/>
      <c r="I124" s="1114"/>
      <c r="J124" s="1114"/>
      <c r="K124" s="1114"/>
      <c r="L124" s="1114"/>
      <c r="M124" s="1115"/>
      <c r="N124" s="1157"/>
      <c r="O124" s="1158"/>
      <c r="P124" s="1158"/>
      <c r="Q124" s="1159"/>
      <c r="R124" s="1147"/>
      <c r="S124" s="1148"/>
      <c r="T124" s="1148"/>
      <c r="U124" s="1149"/>
      <c r="V124" s="1507"/>
      <c r="W124" s="1507"/>
      <c r="X124" s="1507"/>
      <c r="Y124" s="1507"/>
      <c r="Z124" s="1509"/>
      <c r="AA124" s="1509"/>
      <c r="AB124" s="1509"/>
      <c r="AC124" s="1510"/>
      <c r="AD124" s="1130"/>
      <c r="AE124" s="1096"/>
      <c r="AF124" s="1100"/>
      <c r="AG124" s="1100"/>
      <c r="AH124" s="1100"/>
      <c r="AI124" s="1100"/>
      <c r="AJ124" s="1100"/>
      <c r="AK124" s="1100"/>
      <c r="AL124" s="1100"/>
      <c r="AM124" s="1100"/>
      <c r="AN124" s="1100"/>
      <c r="AO124" s="1100"/>
      <c r="AP124" s="1101"/>
      <c r="AQ124" s="1102"/>
      <c r="AR124" s="1102"/>
      <c r="AS124" s="1102"/>
      <c r="AT124" s="1102"/>
      <c r="AU124" s="1102"/>
      <c r="AV124" s="1102"/>
      <c r="AW124" s="1102"/>
      <c r="AX124" s="1103"/>
      <c r="AZ124" s="1388"/>
      <c r="BQ124" s="562"/>
      <c r="BR124" s="316"/>
      <c r="BS124" s="562"/>
      <c r="BT124" s="561"/>
      <c r="BZ124" s="238"/>
      <c r="CB124" s="223"/>
    </row>
    <row r="125" spans="2:80" ht="18" customHeight="1">
      <c r="B125" s="1107" t="s">
        <v>476</v>
      </c>
      <c r="C125" s="1108"/>
      <c r="D125" s="1108"/>
      <c r="E125" s="1108"/>
      <c r="F125" s="1108"/>
      <c r="G125" s="1108"/>
      <c r="H125" s="1108"/>
      <c r="I125" s="1108"/>
      <c r="J125" s="1108"/>
      <c r="K125" s="1108"/>
      <c r="L125" s="1108"/>
      <c r="M125" s="1108"/>
      <c r="N125" s="1132"/>
      <c r="O125" s="1133"/>
      <c r="P125" s="1133"/>
      <c r="Q125" s="1134"/>
      <c r="R125" s="1118">
        <f>IF($X$109="×",0,$X$109)</f>
        <v>0</v>
      </c>
      <c r="S125" s="1119"/>
      <c r="T125" s="1119"/>
      <c r="U125" s="1119"/>
      <c r="V125" s="1506">
        <f t="shared" ref="V125" si="162">$N$109*N125</f>
        <v>0</v>
      </c>
      <c r="W125" s="1507"/>
      <c r="X125" s="1507"/>
      <c r="Y125" s="1507"/>
      <c r="Z125" s="1508">
        <f>R125*V125</f>
        <v>0</v>
      </c>
      <c r="AA125" s="1509"/>
      <c r="AB125" s="1509"/>
      <c r="AC125" s="1510"/>
      <c r="AD125" s="1095" t="str">
        <f t="shared" ref="AD125" si="163" xml:space="preserve">
IF($AZ$77&lt;&gt;"○","×",
IF(COUNTA($B$109:$M$110)&lt;&gt;2,"×",
IF(COUNTA(N125)&lt;&gt;1,"×",
IF(AND(COUNTA(N125)=1,N125&lt;=AZ125),"○",
IF(AND(COUNTA(N125)=1,N125&gt;AZ125),"○")))))</f>
        <v>×</v>
      </c>
      <c r="AE125" s="1096"/>
      <c r="AF125" s="1099" t="str">
        <f t="shared" ref="AF125" si="164" xml:space="preserve">
IF($AZ$77&lt;&gt;"○","【要修正】本シートの上段１から３までの項目を適切に入力してください。",
IF(COUNTA($B$109:$M$110)&lt;&gt;2,"【要修正】上段の平均訪室回数及び平均対応員数を入力してください。",
IF(COUNTA(N125)&lt;&gt;1,"【要修正】患者１人に対しスタッフ１人の訪室１回あたりの使用数を入力してください。(０の場合は０を入力)",
IF(AND(COUNTA(N125)=1,N125&lt;=AZ125),"適切に入力されました。",
IF(AND(COUNTA(N125)=1,N125&gt;AZ125),"患者１人への訪室１回あたりスタッフ１名が"&amp;AZ125&amp;"個を超える使用量が入力されているため、着脱を行う手順及び手順毎の数量を下段の欄に記入してください。")))))</f>
        <v>【要修正】本シートの上段１から３までの項目を適切に入力してください。</v>
      </c>
      <c r="AG125" s="1100"/>
      <c r="AH125" s="1100"/>
      <c r="AI125" s="1100"/>
      <c r="AJ125" s="1100"/>
      <c r="AK125" s="1100"/>
      <c r="AL125" s="1100"/>
      <c r="AM125" s="1100"/>
      <c r="AN125" s="1100"/>
      <c r="AO125" s="1100"/>
      <c r="AP125" s="1101"/>
      <c r="AQ125" s="1102"/>
      <c r="AR125" s="1102"/>
      <c r="AS125" s="1102"/>
      <c r="AT125" s="1102"/>
      <c r="AU125" s="1102"/>
      <c r="AV125" s="1102"/>
      <c r="AW125" s="1102"/>
      <c r="AX125" s="1103"/>
      <c r="AZ125" s="1387">
        <v>1</v>
      </c>
      <c r="BQ125" s="562"/>
      <c r="BR125" s="316"/>
      <c r="BS125" s="562"/>
      <c r="BT125" s="563"/>
      <c r="BZ125" s="238"/>
    </row>
    <row r="126" spans="2:80" ht="18" customHeight="1">
      <c r="B126" s="1129"/>
      <c r="C126" s="1111"/>
      <c r="D126" s="1111"/>
      <c r="E126" s="1111"/>
      <c r="F126" s="1111"/>
      <c r="G126" s="1111"/>
      <c r="H126" s="1111"/>
      <c r="I126" s="1111"/>
      <c r="J126" s="1111"/>
      <c r="K126" s="1111"/>
      <c r="L126" s="1111"/>
      <c r="M126" s="1111"/>
      <c r="N126" s="1135"/>
      <c r="O126" s="1136"/>
      <c r="P126" s="1136"/>
      <c r="Q126" s="1137"/>
      <c r="R126" s="1144"/>
      <c r="S126" s="1145"/>
      <c r="T126" s="1145"/>
      <c r="U126" s="1146"/>
      <c r="V126" s="1506"/>
      <c r="W126" s="1507"/>
      <c r="X126" s="1507"/>
      <c r="Y126" s="1507"/>
      <c r="Z126" s="1508"/>
      <c r="AA126" s="1509"/>
      <c r="AB126" s="1509"/>
      <c r="AC126" s="1510"/>
      <c r="AD126" s="1095"/>
      <c r="AE126" s="1096"/>
      <c r="AF126" s="1099"/>
      <c r="AG126" s="1100"/>
      <c r="AH126" s="1100"/>
      <c r="AI126" s="1100"/>
      <c r="AJ126" s="1100"/>
      <c r="AK126" s="1100"/>
      <c r="AL126" s="1100"/>
      <c r="AM126" s="1100"/>
      <c r="AN126" s="1100"/>
      <c r="AO126" s="1100"/>
      <c r="AP126" s="1101"/>
      <c r="AQ126" s="1102"/>
      <c r="AR126" s="1102"/>
      <c r="AS126" s="1102"/>
      <c r="AT126" s="1102"/>
      <c r="AU126" s="1102"/>
      <c r="AV126" s="1102"/>
      <c r="AW126" s="1102"/>
      <c r="AX126" s="1103"/>
      <c r="AZ126" s="1388"/>
      <c r="BQ126" s="562"/>
      <c r="BR126" s="316"/>
      <c r="BS126" s="562"/>
      <c r="BT126" s="563"/>
      <c r="BZ126" s="238"/>
    </row>
    <row r="127" spans="2:80" ht="18" customHeight="1">
      <c r="B127" s="1113"/>
      <c r="C127" s="1114"/>
      <c r="D127" s="1114"/>
      <c r="E127" s="1114"/>
      <c r="F127" s="1114"/>
      <c r="G127" s="1114"/>
      <c r="H127" s="1114"/>
      <c r="I127" s="1114"/>
      <c r="J127" s="1114"/>
      <c r="K127" s="1114"/>
      <c r="L127" s="1114"/>
      <c r="M127" s="1114"/>
      <c r="N127" s="1138"/>
      <c r="O127" s="1139"/>
      <c r="P127" s="1139"/>
      <c r="Q127" s="1140"/>
      <c r="R127" s="1147"/>
      <c r="S127" s="1148"/>
      <c r="T127" s="1148"/>
      <c r="U127" s="1149"/>
      <c r="V127" s="1507"/>
      <c r="W127" s="1507"/>
      <c r="X127" s="1507"/>
      <c r="Y127" s="1507"/>
      <c r="Z127" s="1509"/>
      <c r="AA127" s="1509"/>
      <c r="AB127" s="1509"/>
      <c r="AC127" s="1510"/>
      <c r="AD127" s="1130"/>
      <c r="AE127" s="1096"/>
      <c r="AF127" s="1100"/>
      <c r="AG127" s="1100"/>
      <c r="AH127" s="1100"/>
      <c r="AI127" s="1100"/>
      <c r="AJ127" s="1100"/>
      <c r="AK127" s="1100"/>
      <c r="AL127" s="1100"/>
      <c r="AM127" s="1100"/>
      <c r="AN127" s="1100"/>
      <c r="AO127" s="1100"/>
      <c r="AP127" s="1101"/>
      <c r="AQ127" s="1102"/>
      <c r="AR127" s="1102"/>
      <c r="AS127" s="1102"/>
      <c r="AT127" s="1102"/>
      <c r="AU127" s="1102"/>
      <c r="AV127" s="1102"/>
      <c r="AW127" s="1102"/>
      <c r="AX127" s="1103"/>
      <c r="AZ127" s="1388"/>
      <c r="BQ127" s="562"/>
      <c r="BR127" s="316"/>
      <c r="BS127" s="562"/>
      <c r="BT127" s="563"/>
      <c r="BZ127" s="238"/>
    </row>
    <row r="128" spans="2:80" ht="18" customHeight="1">
      <c r="B128" s="1107" t="s">
        <v>477</v>
      </c>
      <c r="C128" s="1108"/>
      <c r="D128" s="1108"/>
      <c r="E128" s="1108"/>
      <c r="F128" s="1108"/>
      <c r="G128" s="1108"/>
      <c r="H128" s="1108"/>
      <c r="I128" s="1108"/>
      <c r="J128" s="1108"/>
      <c r="K128" s="1108"/>
      <c r="L128" s="1108"/>
      <c r="M128" s="1108"/>
      <c r="N128" s="1116"/>
      <c r="O128" s="1117"/>
      <c r="P128" s="1117"/>
      <c r="Q128" s="1117"/>
      <c r="R128" s="1118">
        <f>IF($X$109="×",0,$X$109)</f>
        <v>0</v>
      </c>
      <c r="S128" s="1119"/>
      <c r="T128" s="1119"/>
      <c r="U128" s="1119"/>
      <c r="V128" s="1506">
        <f t="shared" ref="V128" si="165">$N$109*N128</f>
        <v>0</v>
      </c>
      <c r="W128" s="1507"/>
      <c r="X128" s="1507"/>
      <c r="Y128" s="1507"/>
      <c r="Z128" s="1508">
        <f>R128*V128</f>
        <v>0</v>
      </c>
      <c r="AA128" s="1509"/>
      <c r="AB128" s="1509"/>
      <c r="AC128" s="1510"/>
      <c r="AD128" s="1095" t="str">
        <f t="shared" ref="AD128" si="166" xml:space="preserve">
IF($AZ$77&lt;&gt;"○","×",
IF(COUNTA($B$109:$M$110)&lt;&gt;2,"×",
IF(COUNTA(N128)&lt;&gt;1,"×",
IF(AND(COUNTA(N128)=1,N128&lt;=AZ128),"○",
IF(AND(COUNTA(N128)=1,N128&gt;AZ128),"○")))))</f>
        <v>×</v>
      </c>
      <c r="AE128" s="1096"/>
      <c r="AF128" s="1099" t="str">
        <f t="shared" ref="AF128" si="167" xml:space="preserve">
IF($AZ$77&lt;&gt;"○","【要修正】本シートの上段１から３までの項目を適切に入力してください。",
IF(COUNTA($B$109:$M$110)&lt;&gt;2,"【要修正】上段の平均訪室回数及び平均対応員数を入力してください。",
IF(COUNTA(N128)&lt;&gt;1,"【要修正】患者１人に対しスタッフ１人の訪室１回あたりの使用数を入力してください。(０の場合は０を入力)",
IF(AND(COUNTA(N128)=1,N128&lt;=AZ128),"適切に入力されました。",
IF(AND(COUNTA(N128)=1,N128&gt;AZ128),"患者１人への訪室１回あたりスタッフ１名が"&amp;AZ128&amp;"個を超える使用量が入力されているため、着脱を行う手順及び手順毎の数量を下段の欄に記入してください。")))))</f>
        <v>【要修正】本シートの上段１から３までの項目を適切に入力してください。</v>
      </c>
      <c r="AG128" s="1100"/>
      <c r="AH128" s="1100"/>
      <c r="AI128" s="1100"/>
      <c r="AJ128" s="1100"/>
      <c r="AK128" s="1100"/>
      <c r="AL128" s="1100"/>
      <c r="AM128" s="1100"/>
      <c r="AN128" s="1100"/>
      <c r="AO128" s="1100"/>
      <c r="AP128" s="1101"/>
      <c r="AQ128" s="1102"/>
      <c r="AR128" s="1102"/>
      <c r="AS128" s="1102"/>
      <c r="AT128" s="1102"/>
      <c r="AU128" s="1102"/>
      <c r="AV128" s="1102"/>
      <c r="AW128" s="1102"/>
      <c r="AX128" s="1103"/>
      <c r="AZ128" s="1387">
        <v>8</v>
      </c>
      <c r="BQ128" s="562"/>
      <c r="BR128" s="316"/>
      <c r="BS128" s="562"/>
      <c r="BT128" s="563"/>
      <c r="BZ128" s="238"/>
    </row>
    <row r="129" spans="2:78" ht="18" customHeight="1">
      <c r="B129" s="1129"/>
      <c r="C129" s="1111"/>
      <c r="D129" s="1111"/>
      <c r="E129" s="1111"/>
      <c r="F129" s="1111"/>
      <c r="G129" s="1111"/>
      <c r="H129" s="1111"/>
      <c r="I129" s="1111"/>
      <c r="J129" s="1111"/>
      <c r="K129" s="1111"/>
      <c r="L129" s="1111"/>
      <c r="M129" s="1111"/>
      <c r="N129" s="1116"/>
      <c r="O129" s="1117"/>
      <c r="P129" s="1117"/>
      <c r="Q129" s="1117"/>
      <c r="R129" s="1144"/>
      <c r="S129" s="1145"/>
      <c r="T129" s="1145"/>
      <c r="U129" s="1146"/>
      <c r="V129" s="1506"/>
      <c r="W129" s="1507"/>
      <c r="X129" s="1507"/>
      <c r="Y129" s="1507"/>
      <c r="Z129" s="1508"/>
      <c r="AA129" s="1509"/>
      <c r="AB129" s="1509"/>
      <c r="AC129" s="1510"/>
      <c r="AD129" s="1095"/>
      <c r="AE129" s="1096"/>
      <c r="AF129" s="1099"/>
      <c r="AG129" s="1100"/>
      <c r="AH129" s="1100"/>
      <c r="AI129" s="1100"/>
      <c r="AJ129" s="1100"/>
      <c r="AK129" s="1100"/>
      <c r="AL129" s="1100"/>
      <c r="AM129" s="1100"/>
      <c r="AN129" s="1100"/>
      <c r="AO129" s="1100"/>
      <c r="AP129" s="1101"/>
      <c r="AQ129" s="1102"/>
      <c r="AR129" s="1102"/>
      <c r="AS129" s="1102"/>
      <c r="AT129" s="1102"/>
      <c r="AU129" s="1102"/>
      <c r="AV129" s="1102"/>
      <c r="AW129" s="1102"/>
      <c r="AX129" s="1103"/>
      <c r="AZ129" s="1388"/>
      <c r="BQ129" s="562"/>
      <c r="BR129" s="316"/>
      <c r="BS129" s="562"/>
      <c r="BT129" s="563"/>
      <c r="BZ129" s="238"/>
    </row>
    <row r="130" spans="2:78" ht="18" customHeight="1">
      <c r="B130" s="1113"/>
      <c r="C130" s="1114"/>
      <c r="D130" s="1114"/>
      <c r="E130" s="1114"/>
      <c r="F130" s="1114"/>
      <c r="G130" s="1114"/>
      <c r="H130" s="1114"/>
      <c r="I130" s="1114"/>
      <c r="J130" s="1114"/>
      <c r="K130" s="1114"/>
      <c r="L130" s="1114"/>
      <c r="M130" s="1114"/>
      <c r="N130" s="1117"/>
      <c r="O130" s="1117"/>
      <c r="P130" s="1117"/>
      <c r="Q130" s="1117"/>
      <c r="R130" s="1147"/>
      <c r="S130" s="1148"/>
      <c r="T130" s="1148"/>
      <c r="U130" s="1149"/>
      <c r="V130" s="1507"/>
      <c r="W130" s="1507"/>
      <c r="X130" s="1507"/>
      <c r="Y130" s="1507"/>
      <c r="Z130" s="1509"/>
      <c r="AA130" s="1509"/>
      <c r="AB130" s="1509"/>
      <c r="AC130" s="1510"/>
      <c r="AD130" s="1130"/>
      <c r="AE130" s="1096"/>
      <c r="AF130" s="1100"/>
      <c r="AG130" s="1100"/>
      <c r="AH130" s="1100"/>
      <c r="AI130" s="1100"/>
      <c r="AJ130" s="1100"/>
      <c r="AK130" s="1100"/>
      <c r="AL130" s="1100"/>
      <c r="AM130" s="1100"/>
      <c r="AN130" s="1100"/>
      <c r="AO130" s="1100"/>
      <c r="AP130" s="1101"/>
      <c r="AQ130" s="1102"/>
      <c r="AR130" s="1102"/>
      <c r="AS130" s="1102"/>
      <c r="AT130" s="1102"/>
      <c r="AU130" s="1102"/>
      <c r="AV130" s="1102"/>
      <c r="AW130" s="1102"/>
      <c r="AX130" s="1103"/>
      <c r="AZ130" s="1388"/>
      <c r="BQ130" s="562"/>
      <c r="BR130" s="316"/>
      <c r="BS130" s="562"/>
      <c r="BT130" s="563"/>
      <c r="BZ130" s="238"/>
    </row>
    <row r="131" spans="2:78" ht="18" customHeight="1">
      <c r="B131" s="1131" t="s">
        <v>475</v>
      </c>
      <c r="C131" s="1108"/>
      <c r="D131" s="1108"/>
      <c r="E131" s="1109"/>
      <c r="F131" s="1125" t="s">
        <v>1095</v>
      </c>
      <c r="G131" s="1108"/>
      <c r="H131" s="1108"/>
      <c r="I131" s="1108"/>
      <c r="J131" s="1108"/>
      <c r="K131" s="1108"/>
      <c r="L131" s="1108"/>
      <c r="M131" s="1109"/>
      <c r="N131" s="1126"/>
      <c r="O131" s="1127"/>
      <c r="P131" s="1127"/>
      <c r="Q131" s="1127"/>
      <c r="R131" s="1118">
        <f>IF($X$109="×",0,$X$109)</f>
        <v>0</v>
      </c>
      <c r="S131" s="1119"/>
      <c r="T131" s="1119"/>
      <c r="U131" s="1119"/>
      <c r="V131" s="1506">
        <f t="shared" ref="V131" si="168">$N$109*N131</f>
        <v>0</v>
      </c>
      <c r="W131" s="1507"/>
      <c r="X131" s="1507"/>
      <c r="Y131" s="1507"/>
      <c r="Z131" s="1508">
        <f>R131*V131</f>
        <v>0</v>
      </c>
      <c r="AA131" s="1509"/>
      <c r="AB131" s="1509"/>
      <c r="AC131" s="1510"/>
      <c r="AD131" s="1095" t="str">
        <f t="shared" ref="AD131" si="169" xml:space="preserve">
IF($AZ$77&lt;&gt;"○","×",
IF(COUNTA($B$109:$M$110)&lt;&gt;2,"×",
IF(COUNTA(N131)&lt;&gt;1,"×",
IF(AND(COUNTA(N131)=1,N131&lt;=AZ131),"○",
IF(AND(COUNTA(N131)=1,N131&gt;AZ131),"○")))))</f>
        <v>×</v>
      </c>
      <c r="AE131" s="1096"/>
      <c r="AF131" s="1099" t="str">
        <f t="shared" ref="AF131" si="170" xml:space="preserve">
IF($AZ$77&lt;&gt;"○","【要修正】本シートの上段１から３までの項目を適切に入力してください。",
IF(COUNTA($B$109:$M$110)&lt;&gt;2,"【要修正】上段の平均訪室回数及び平均対応員数を入力してください。",
IF(COUNTA(N131)&lt;&gt;1,"【要修正】患者１人に対しスタッフ１人の訪室１回あたりの使用数を入力してください。(０の場合は０を入力)",
IF(AND(COUNTA(N131)=1,N131&lt;=AZ131),"適切に入力されました。",
IF(AND(COUNTA(N131)=1,N131&gt;AZ131),"患者１人への訪室１回あたりスタッフ１名が"&amp;AZ131&amp;"個を超える使用量が入力されているため、着脱を行う手順及び手順毎の数量を下段の欄に記入してください。")))))</f>
        <v>【要修正】本シートの上段１から３までの項目を適切に入力してください。</v>
      </c>
      <c r="AG131" s="1100"/>
      <c r="AH131" s="1100"/>
      <c r="AI131" s="1100"/>
      <c r="AJ131" s="1100"/>
      <c r="AK131" s="1100"/>
      <c r="AL131" s="1100"/>
      <c r="AM131" s="1100"/>
      <c r="AN131" s="1100"/>
      <c r="AO131" s="1100"/>
      <c r="AP131" s="1101"/>
      <c r="AQ131" s="1102"/>
      <c r="AR131" s="1102"/>
      <c r="AS131" s="1102"/>
      <c r="AT131" s="1102"/>
      <c r="AU131" s="1102"/>
      <c r="AV131" s="1102"/>
      <c r="AW131" s="1102"/>
      <c r="AX131" s="1103"/>
      <c r="AZ131" s="1387">
        <v>1</v>
      </c>
      <c r="BQ131" s="562"/>
      <c r="BR131" s="316"/>
      <c r="BS131" s="562"/>
      <c r="BT131" s="563"/>
      <c r="BZ131" s="238"/>
    </row>
    <row r="132" spans="2:78" ht="18" customHeight="1">
      <c r="B132" s="1110"/>
      <c r="C132" s="1111"/>
      <c r="D132" s="1111"/>
      <c r="E132" s="1112"/>
      <c r="F132" s="1110"/>
      <c r="G132" s="1111"/>
      <c r="H132" s="1111"/>
      <c r="I132" s="1111"/>
      <c r="J132" s="1111"/>
      <c r="K132" s="1111"/>
      <c r="L132" s="1111"/>
      <c r="M132" s="1112"/>
      <c r="N132" s="1126"/>
      <c r="O132" s="1127"/>
      <c r="P132" s="1127"/>
      <c r="Q132" s="1127"/>
      <c r="R132" s="1144"/>
      <c r="S132" s="1145"/>
      <c r="T132" s="1145"/>
      <c r="U132" s="1146"/>
      <c r="V132" s="1506"/>
      <c r="W132" s="1507"/>
      <c r="X132" s="1507"/>
      <c r="Y132" s="1507"/>
      <c r="Z132" s="1508"/>
      <c r="AA132" s="1509"/>
      <c r="AB132" s="1509"/>
      <c r="AC132" s="1510"/>
      <c r="AD132" s="1095"/>
      <c r="AE132" s="1096"/>
      <c r="AF132" s="1099"/>
      <c r="AG132" s="1100"/>
      <c r="AH132" s="1100"/>
      <c r="AI132" s="1100"/>
      <c r="AJ132" s="1100"/>
      <c r="AK132" s="1100"/>
      <c r="AL132" s="1100"/>
      <c r="AM132" s="1100"/>
      <c r="AN132" s="1100"/>
      <c r="AO132" s="1100"/>
      <c r="AP132" s="1101"/>
      <c r="AQ132" s="1102"/>
      <c r="AR132" s="1102"/>
      <c r="AS132" s="1102"/>
      <c r="AT132" s="1102"/>
      <c r="AU132" s="1102"/>
      <c r="AV132" s="1102"/>
      <c r="AW132" s="1102"/>
      <c r="AX132" s="1103"/>
      <c r="AZ132" s="1388"/>
      <c r="BQ132" s="562"/>
      <c r="BR132" s="316"/>
      <c r="BS132" s="562"/>
      <c r="BT132" s="563"/>
      <c r="BZ132" s="238"/>
    </row>
    <row r="133" spans="2:78" ht="18" customHeight="1">
      <c r="B133" s="1110"/>
      <c r="C133" s="1111"/>
      <c r="D133" s="1111"/>
      <c r="E133" s="1112"/>
      <c r="F133" s="1113"/>
      <c r="G133" s="1114"/>
      <c r="H133" s="1114"/>
      <c r="I133" s="1114"/>
      <c r="J133" s="1114"/>
      <c r="K133" s="1114"/>
      <c r="L133" s="1114"/>
      <c r="M133" s="1115"/>
      <c r="N133" s="1127"/>
      <c r="O133" s="1127"/>
      <c r="P133" s="1127"/>
      <c r="Q133" s="1127"/>
      <c r="R133" s="1147"/>
      <c r="S133" s="1148"/>
      <c r="T133" s="1148"/>
      <c r="U133" s="1149"/>
      <c r="V133" s="1507"/>
      <c r="W133" s="1507"/>
      <c r="X133" s="1507"/>
      <c r="Y133" s="1507"/>
      <c r="Z133" s="1509"/>
      <c r="AA133" s="1509"/>
      <c r="AB133" s="1509"/>
      <c r="AC133" s="1510"/>
      <c r="AD133" s="1130"/>
      <c r="AE133" s="1096"/>
      <c r="AF133" s="1100"/>
      <c r="AG133" s="1100"/>
      <c r="AH133" s="1100"/>
      <c r="AI133" s="1100"/>
      <c r="AJ133" s="1100"/>
      <c r="AK133" s="1100"/>
      <c r="AL133" s="1100"/>
      <c r="AM133" s="1100"/>
      <c r="AN133" s="1100"/>
      <c r="AO133" s="1100"/>
      <c r="AP133" s="1101"/>
      <c r="AQ133" s="1102"/>
      <c r="AR133" s="1102"/>
      <c r="AS133" s="1102"/>
      <c r="AT133" s="1102"/>
      <c r="AU133" s="1102"/>
      <c r="AV133" s="1102"/>
      <c r="AW133" s="1102"/>
      <c r="AX133" s="1103"/>
      <c r="AZ133" s="1388"/>
      <c r="BQ133" s="562"/>
      <c r="BR133" s="316"/>
      <c r="BS133" s="562"/>
      <c r="BT133" s="563"/>
      <c r="BZ133" s="238"/>
    </row>
    <row r="134" spans="2:78" ht="18" customHeight="1">
      <c r="B134" s="1110"/>
      <c r="C134" s="1111"/>
      <c r="D134" s="1111"/>
      <c r="E134" s="1112"/>
      <c r="F134" s="1125" t="s">
        <v>1096</v>
      </c>
      <c r="G134" s="1108"/>
      <c r="H134" s="1108"/>
      <c r="I134" s="1108"/>
      <c r="J134" s="1108"/>
      <c r="K134" s="1108"/>
      <c r="L134" s="1108"/>
      <c r="M134" s="1109"/>
      <c r="N134" s="1126"/>
      <c r="O134" s="1127"/>
      <c r="P134" s="1127"/>
      <c r="Q134" s="1127"/>
      <c r="R134" s="1118">
        <f>IF($X$109="×",0,$X$109)</f>
        <v>0</v>
      </c>
      <c r="S134" s="1119"/>
      <c r="T134" s="1119"/>
      <c r="U134" s="1119"/>
      <c r="V134" s="1506">
        <f t="shared" ref="V134" si="171">$N$109*N134</f>
        <v>0</v>
      </c>
      <c r="W134" s="1507"/>
      <c r="X134" s="1507"/>
      <c r="Y134" s="1507"/>
      <c r="Z134" s="1508">
        <f>R134*V134</f>
        <v>0</v>
      </c>
      <c r="AA134" s="1509"/>
      <c r="AB134" s="1509"/>
      <c r="AC134" s="1510"/>
      <c r="AD134" s="1095" t="str">
        <f t="shared" ref="AD134" si="172" xml:space="preserve">
IF($AZ$77&lt;&gt;"○","×",
IF(COUNTA($B$109:$M$110)&lt;&gt;2,"×",
IF(COUNTA(N134)&lt;&gt;1,"×",
IF(AND(COUNTA(N134)=1,N134&lt;=AZ134),"○",
IF(AND(COUNTA(N134)=1,N134&gt;AZ134),"○")))))</f>
        <v>×</v>
      </c>
      <c r="AE134" s="1096"/>
      <c r="AF134" s="1099" t="str">
        <f t="shared" ref="AF134" si="173" xml:space="preserve">
IF($AZ$77&lt;&gt;"○","【要修正】本シートの上段１から３までの項目を適切に入力してください。",
IF(COUNTA($B$109:$M$110)&lt;&gt;2,"【要修正】上段の平均訪室回数及び平均対応員数を入力してください。",
IF(COUNTA(N134)&lt;&gt;1,"【要修正】患者１人に対しスタッフ１人の訪室１回あたりの使用数を入力してください。(０の場合は０を入力)",
IF(AND(COUNTA(N134)=1,N134&lt;=AZ134),"適切に入力されました。",
IF(AND(COUNTA(N134)=1,N134&gt;AZ134),"患者１人への訪室１回あたりスタッフ１名が"&amp;AZ134&amp;"個を超える使用量が入力されているため、着脱を行う手順及び手順毎の数量を下段の欄に記入してください。")))))</f>
        <v>【要修正】本シートの上段１から３までの項目を適切に入力してください。</v>
      </c>
      <c r="AG134" s="1100"/>
      <c r="AH134" s="1100"/>
      <c r="AI134" s="1100"/>
      <c r="AJ134" s="1100"/>
      <c r="AK134" s="1100"/>
      <c r="AL134" s="1100"/>
      <c r="AM134" s="1100"/>
      <c r="AN134" s="1100"/>
      <c r="AO134" s="1100"/>
      <c r="AP134" s="1101"/>
      <c r="AQ134" s="1102"/>
      <c r="AR134" s="1102"/>
      <c r="AS134" s="1102"/>
      <c r="AT134" s="1102"/>
      <c r="AU134" s="1102"/>
      <c r="AV134" s="1102"/>
      <c r="AW134" s="1102"/>
      <c r="AX134" s="1103"/>
      <c r="AZ134" s="1387">
        <v>0.5</v>
      </c>
      <c r="BQ134" s="562"/>
      <c r="BR134" s="316"/>
      <c r="BS134" s="562"/>
      <c r="BT134" s="563"/>
      <c r="BZ134" s="238"/>
    </row>
    <row r="135" spans="2:78" ht="18" customHeight="1">
      <c r="B135" s="1110"/>
      <c r="C135" s="1111"/>
      <c r="D135" s="1111"/>
      <c r="E135" s="1112"/>
      <c r="F135" s="1110"/>
      <c r="G135" s="1111"/>
      <c r="H135" s="1111"/>
      <c r="I135" s="1111"/>
      <c r="J135" s="1111"/>
      <c r="K135" s="1111"/>
      <c r="L135" s="1111"/>
      <c r="M135" s="1112"/>
      <c r="N135" s="1126"/>
      <c r="O135" s="1127"/>
      <c r="P135" s="1127"/>
      <c r="Q135" s="1127"/>
      <c r="R135" s="1144"/>
      <c r="S135" s="1145"/>
      <c r="T135" s="1145"/>
      <c r="U135" s="1146"/>
      <c r="V135" s="1506"/>
      <c r="W135" s="1507"/>
      <c r="X135" s="1507"/>
      <c r="Y135" s="1507"/>
      <c r="Z135" s="1508"/>
      <c r="AA135" s="1509"/>
      <c r="AB135" s="1509"/>
      <c r="AC135" s="1510"/>
      <c r="AD135" s="1095"/>
      <c r="AE135" s="1096"/>
      <c r="AF135" s="1099"/>
      <c r="AG135" s="1100"/>
      <c r="AH135" s="1100"/>
      <c r="AI135" s="1100"/>
      <c r="AJ135" s="1100"/>
      <c r="AK135" s="1100"/>
      <c r="AL135" s="1100"/>
      <c r="AM135" s="1100"/>
      <c r="AN135" s="1100"/>
      <c r="AO135" s="1100"/>
      <c r="AP135" s="1101"/>
      <c r="AQ135" s="1102"/>
      <c r="AR135" s="1102"/>
      <c r="AS135" s="1102"/>
      <c r="AT135" s="1102"/>
      <c r="AU135" s="1102"/>
      <c r="AV135" s="1102"/>
      <c r="AW135" s="1102"/>
      <c r="AX135" s="1103"/>
      <c r="AZ135" s="1388"/>
      <c r="BQ135" s="562"/>
      <c r="BR135" s="316"/>
      <c r="BS135" s="562"/>
      <c r="BT135" s="563"/>
      <c r="BZ135" s="238"/>
    </row>
    <row r="136" spans="2:78" ht="18" customHeight="1">
      <c r="B136" s="1110"/>
      <c r="C136" s="1111"/>
      <c r="D136" s="1111"/>
      <c r="E136" s="1112"/>
      <c r="F136" s="1113"/>
      <c r="G136" s="1114"/>
      <c r="H136" s="1114"/>
      <c r="I136" s="1114"/>
      <c r="J136" s="1114"/>
      <c r="K136" s="1114"/>
      <c r="L136" s="1114"/>
      <c r="M136" s="1115"/>
      <c r="N136" s="1127"/>
      <c r="O136" s="1127"/>
      <c r="P136" s="1127"/>
      <c r="Q136" s="1127"/>
      <c r="R136" s="1147"/>
      <c r="S136" s="1148"/>
      <c r="T136" s="1148"/>
      <c r="U136" s="1149"/>
      <c r="V136" s="1507"/>
      <c r="W136" s="1507"/>
      <c r="X136" s="1507"/>
      <c r="Y136" s="1507"/>
      <c r="Z136" s="1509"/>
      <c r="AA136" s="1509"/>
      <c r="AB136" s="1509"/>
      <c r="AC136" s="1510"/>
      <c r="AD136" s="1130"/>
      <c r="AE136" s="1096"/>
      <c r="AF136" s="1100"/>
      <c r="AG136" s="1100"/>
      <c r="AH136" s="1100"/>
      <c r="AI136" s="1100"/>
      <c r="AJ136" s="1100"/>
      <c r="AK136" s="1100"/>
      <c r="AL136" s="1100"/>
      <c r="AM136" s="1100"/>
      <c r="AN136" s="1100"/>
      <c r="AO136" s="1100"/>
      <c r="AP136" s="1101"/>
      <c r="AQ136" s="1102"/>
      <c r="AR136" s="1102"/>
      <c r="AS136" s="1102"/>
      <c r="AT136" s="1102"/>
      <c r="AU136" s="1102"/>
      <c r="AV136" s="1102"/>
      <c r="AW136" s="1102"/>
      <c r="AX136" s="1103"/>
      <c r="AZ136" s="1388"/>
      <c r="BQ136" s="562"/>
      <c r="BR136" s="316"/>
      <c r="BS136" s="562"/>
      <c r="BT136" s="563"/>
      <c r="BZ136" s="238"/>
    </row>
    <row r="137" spans="2:78" ht="18" customHeight="1">
      <c r="B137" s="1110"/>
      <c r="C137" s="1111"/>
      <c r="D137" s="1111"/>
      <c r="E137" s="1112"/>
      <c r="F137" s="1091" t="s">
        <v>1097</v>
      </c>
      <c r="G137" s="1108"/>
      <c r="H137" s="1108"/>
      <c r="I137" s="1108"/>
      <c r="J137" s="1108"/>
      <c r="K137" s="1108"/>
      <c r="L137" s="1108"/>
      <c r="M137" s="1109"/>
      <c r="N137" s="1126"/>
      <c r="O137" s="1127"/>
      <c r="P137" s="1127"/>
      <c r="Q137" s="1127"/>
      <c r="R137" s="1118">
        <f>IF($X$109="×",0,$X$109)</f>
        <v>0</v>
      </c>
      <c r="S137" s="1119"/>
      <c r="T137" s="1119"/>
      <c r="U137" s="1119"/>
      <c r="V137" s="1506">
        <f t="shared" ref="V137" si="174">$N$109*N137</f>
        <v>0</v>
      </c>
      <c r="W137" s="1507"/>
      <c r="X137" s="1507"/>
      <c r="Y137" s="1507"/>
      <c r="Z137" s="1508">
        <f>R137*V137</f>
        <v>0</v>
      </c>
      <c r="AA137" s="1509"/>
      <c r="AB137" s="1509"/>
      <c r="AC137" s="1510"/>
      <c r="AD137" s="1095" t="str">
        <f t="shared" ref="AD137" si="175" xml:space="preserve">
IF($AZ$77&lt;&gt;"○","×",
IF(COUNTA($B$109:$M$110)&lt;&gt;2,"×",
IF(COUNTA(N137)&lt;&gt;1,"×",
IF(AND(COUNTA(N137)=1,N137&lt;=AZ137),"○",
IF(AND(COUNTA(N137)=1,N137&gt;AZ137),"○")))))</f>
        <v>×</v>
      </c>
      <c r="AE137" s="1096"/>
      <c r="AF137" s="1099" t="str">
        <f t="shared" ref="AF137" si="176" xml:space="preserve">
IF($AZ$77&lt;&gt;"○","【要修正】本シートの上段１から３までの項目を適切に入力してください。",
IF(COUNTA($B$109:$M$110)&lt;&gt;2,"【要修正】上段の平均訪室回数及び平均対応員数を入力してください。",
IF(COUNTA(N137)&lt;&gt;1,"【要修正】患者１人に対しスタッフ１人の訪室１回あたりの使用数を入力してください。(０の場合は０を入力)",
IF(AND(COUNTA(N137)=1,N137&lt;=AZ137),"適切に入力されました。",
IF(AND(COUNTA(N137)=1,N137&gt;AZ137),"患者１人への訪室１回あたりスタッフ１名が"&amp;AZ137&amp;"個を超える使用量が入力されているため、着脱を行う手順及び手順毎の数量を下段の欄に記入してください。")))))</f>
        <v>【要修正】本シートの上段１から３までの項目を適切に入力してください。</v>
      </c>
      <c r="AG137" s="1100"/>
      <c r="AH137" s="1100"/>
      <c r="AI137" s="1100"/>
      <c r="AJ137" s="1100"/>
      <c r="AK137" s="1100"/>
      <c r="AL137" s="1100"/>
      <c r="AM137" s="1100"/>
      <c r="AN137" s="1100"/>
      <c r="AO137" s="1100"/>
      <c r="AP137" s="1101"/>
      <c r="AQ137" s="1102"/>
      <c r="AR137" s="1102"/>
      <c r="AS137" s="1102"/>
      <c r="AT137" s="1102"/>
      <c r="AU137" s="1102"/>
      <c r="AV137" s="1102"/>
      <c r="AW137" s="1102"/>
      <c r="AX137" s="1103"/>
      <c r="AZ137" s="1387">
        <v>1</v>
      </c>
      <c r="BQ137" s="562"/>
      <c r="BR137" s="316"/>
      <c r="BS137" s="562"/>
      <c r="BT137" s="563"/>
      <c r="BZ137" s="238"/>
    </row>
    <row r="138" spans="2:78" ht="18" customHeight="1">
      <c r="B138" s="1110"/>
      <c r="C138" s="1111"/>
      <c r="D138" s="1111"/>
      <c r="E138" s="1112"/>
      <c r="F138" s="1110"/>
      <c r="G138" s="1111"/>
      <c r="H138" s="1111"/>
      <c r="I138" s="1111"/>
      <c r="J138" s="1111"/>
      <c r="K138" s="1111"/>
      <c r="L138" s="1111"/>
      <c r="M138" s="1112"/>
      <c r="N138" s="1126"/>
      <c r="O138" s="1127"/>
      <c r="P138" s="1127"/>
      <c r="Q138" s="1127"/>
      <c r="R138" s="1144"/>
      <c r="S138" s="1145"/>
      <c r="T138" s="1145"/>
      <c r="U138" s="1146"/>
      <c r="V138" s="1506"/>
      <c r="W138" s="1507"/>
      <c r="X138" s="1507"/>
      <c r="Y138" s="1507"/>
      <c r="Z138" s="1508"/>
      <c r="AA138" s="1509"/>
      <c r="AB138" s="1509"/>
      <c r="AC138" s="1510"/>
      <c r="AD138" s="1095"/>
      <c r="AE138" s="1096"/>
      <c r="AF138" s="1099"/>
      <c r="AG138" s="1100"/>
      <c r="AH138" s="1100"/>
      <c r="AI138" s="1100"/>
      <c r="AJ138" s="1100"/>
      <c r="AK138" s="1100"/>
      <c r="AL138" s="1100"/>
      <c r="AM138" s="1100"/>
      <c r="AN138" s="1100"/>
      <c r="AO138" s="1100"/>
      <c r="AP138" s="1101"/>
      <c r="AQ138" s="1102"/>
      <c r="AR138" s="1102"/>
      <c r="AS138" s="1102"/>
      <c r="AT138" s="1102"/>
      <c r="AU138" s="1102"/>
      <c r="AV138" s="1102"/>
      <c r="AW138" s="1102"/>
      <c r="AX138" s="1103"/>
      <c r="AZ138" s="1388"/>
      <c r="BQ138" s="562"/>
      <c r="BR138" s="316"/>
      <c r="BS138" s="562"/>
      <c r="BT138" s="563"/>
      <c r="BZ138" s="238"/>
    </row>
    <row r="139" spans="2:78" ht="18" customHeight="1">
      <c r="B139" s="1113"/>
      <c r="C139" s="1114"/>
      <c r="D139" s="1114"/>
      <c r="E139" s="1115"/>
      <c r="F139" s="1113"/>
      <c r="G139" s="1114"/>
      <c r="H139" s="1114"/>
      <c r="I139" s="1114"/>
      <c r="J139" s="1114"/>
      <c r="K139" s="1114"/>
      <c r="L139" s="1114"/>
      <c r="M139" s="1115"/>
      <c r="N139" s="1127"/>
      <c r="O139" s="1127"/>
      <c r="P139" s="1127"/>
      <c r="Q139" s="1127"/>
      <c r="R139" s="1147"/>
      <c r="S139" s="1148"/>
      <c r="T139" s="1148"/>
      <c r="U139" s="1149"/>
      <c r="V139" s="1507"/>
      <c r="W139" s="1507"/>
      <c r="X139" s="1507"/>
      <c r="Y139" s="1507"/>
      <c r="Z139" s="1509"/>
      <c r="AA139" s="1509"/>
      <c r="AB139" s="1509"/>
      <c r="AC139" s="1510"/>
      <c r="AD139" s="1130"/>
      <c r="AE139" s="1096"/>
      <c r="AF139" s="1100"/>
      <c r="AG139" s="1100"/>
      <c r="AH139" s="1100"/>
      <c r="AI139" s="1100"/>
      <c r="AJ139" s="1100"/>
      <c r="AK139" s="1100"/>
      <c r="AL139" s="1100"/>
      <c r="AM139" s="1100"/>
      <c r="AN139" s="1100"/>
      <c r="AO139" s="1100"/>
      <c r="AP139" s="1101"/>
      <c r="AQ139" s="1102"/>
      <c r="AR139" s="1102"/>
      <c r="AS139" s="1102"/>
      <c r="AT139" s="1102"/>
      <c r="AU139" s="1102"/>
      <c r="AV139" s="1102"/>
      <c r="AW139" s="1102"/>
      <c r="AX139" s="1103"/>
      <c r="AZ139" s="1388"/>
      <c r="BQ139" s="562"/>
      <c r="BR139" s="316"/>
      <c r="BS139" s="562"/>
      <c r="BT139" s="563"/>
      <c r="BZ139" s="238"/>
    </row>
    <row r="140" spans="2:78" ht="18" customHeight="1">
      <c r="B140" s="1107" t="s">
        <v>478</v>
      </c>
      <c r="C140" s="1108"/>
      <c r="D140" s="1108"/>
      <c r="E140" s="1108"/>
      <c r="F140" s="1108"/>
      <c r="G140" s="1108"/>
      <c r="H140" s="1108"/>
      <c r="I140" s="1108"/>
      <c r="J140" s="1108"/>
      <c r="K140" s="1108"/>
      <c r="L140" s="1108"/>
      <c r="M140" s="1108"/>
      <c r="N140" s="1116"/>
      <c r="O140" s="1117"/>
      <c r="P140" s="1117"/>
      <c r="Q140" s="1117"/>
      <c r="R140" s="1118">
        <f>IF($X$109="×",0,$X$109)</f>
        <v>0</v>
      </c>
      <c r="S140" s="1119"/>
      <c r="T140" s="1119"/>
      <c r="U140" s="1119"/>
      <c r="V140" s="1506">
        <f t="shared" ref="V140" si="177">$N$109*N140</f>
        <v>0</v>
      </c>
      <c r="W140" s="1507"/>
      <c r="X140" s="1507"/>
      <c r="Y140" s="1507"/>
      <c r="Z140" s="1508">
        <f>R140*V140</f>
        <v>0</v>
      </c>
      <c r="AA140" s="1509"/>
      <c r="AB140" s="1509"/>
      <c r="AC140" s="1510"/>
      <c r="AD140" s="1095" t="str">
        <f t="shared" ref="AD140" si="178" xml:space="preserve">
IF($AZ$77&lt;&gt;"○","×",
IF(COUNTA($B$109:$M$110)&lt;&gt;2,"×",
IF(COUNTA(N140)&lt;&gt;1,"×",
IF(AND(COUNTA(N140)=1,N140&lt;=AZ140),"○",
IF(AND(COUNTA(N140)=1,N140&gt;AZ140),"○")))))</f>
        <v>×</v>
      </c>
      <c r="AE140" s="1096"/>
      <c r="AF140" s="1099" t="str">
        <f t="shared" ref="AF140" si="179" xml:space="preserve">
IF($AZ$77&lt;&gt;"○","【要修正】本シートの上段１から３までの項目を適切に入力してください。",
IF(COUNTA($B$109:$M$110)&lt;&gt;2,"【要修正】上段の平均訪室回数及び平均対応員数を入力してください。",
IF(COUNTA(N140)&lt;&gt;1,"【要修正】患者１人に対しスタッフ１人の訪室１回あたりの使用数を入力してください。(０の場合は０を入力)",
IF(AND(COUNTA(N140)=1,N140&lt;=AZ140),"適切に入力されました。",
IF(AND(COUNTA(N140)=1,N140&gt;AZ140),"患者１人への訪室１回あたりスタッフ１名が"&amp;AZ140&amp;"個を超える使用量が入力されているため、着脱を行う手順及び手順毎の数量を下段の欄に記入してください。")))))</f>
        <v>【要修正】本シートの上段１から３までの項目を適切に入力してください。</v>
      </c>
      <c r="AG140" s="1100"/>
      <c r="AH140" s="1100"/>
      <c r="AI140" s="1100"/>
      <c r="AJ140" s="1100"/>
      <c r="AK140" s="1100"/>
      <c r="AL140" s="1100"/>
      <c r="AM140" s="1100"/>
      <c r="AN140" s="1100"/>
      <c r="AO140" s="1100"/>
      <c r="AP140" s="1101"/>
      <c r="AQ140" s="1102"/>
      <c r="AR140" s="1102"/>
      <c r="AS140" s="1102"/>
      <c r="AT140" s="1102"/>
      <c r="AU140" s="1102"/>
      <c r="AV140" s="1102"/>
      <c r="AW140" s="1102"/>
      <c r="AX140" s="1103"/>
      <c r="AZ140" s="1387">
        <v>1</v>
      </c>
      <c r="BQ140" s="562"/>
      <c r="BR140" s="316"/>
      <c r="BS140" s="562"/>
      <c r="BT140" s="563"/>
      <c r="BZ140" s="238"/>
    </row>
    <row r="141" spans="2:78" ht="18" customHeight="1">
      <c r="B141" s="1129"/>
      <c r="C141" s="1111"/>
      <c r="D141" s="1111"/>
      <c r="E141" s="1111"/>
      <c r="F141" s="1111"/>
      <c r="G141" s="1111"/>
      <c r="H141" s="1111"/>
      <c r="I141" s="1111"/>
      <c r="J141" s="1111"/>
      <c r="K141" s="1111"/>
      <c r="L141" s="1111"/>
      <c r="M141" s="1111"/>
      <c r="N141" s="1116"/>
      <c r="O141" s="1117"/>
      <c r="P141" s="1117"/>
      <c r="Q141" s="1117"/>
      <c r="R141" s="1144"/>
      <c r="S141" s="1145"/>
      <c r="T141" s="1145"/>
      <c r="U141" s="1146"/>
      <c r="V141" s="1506"/>
      <c r="W141" s="1507"/>
      <c r="X141" s="1507"/>
      <c r="Y141" s="1507"/>
      <c r="Z141" s="1508"/>
      <c r="AA141" s="1509"/>
      <c r="AB141" s="1509"/>
      <c r="AC141" s="1510"/>
      <c r="AD141" s="1095"/>
      <c r="AE141" s="1096"/>
      <c r="AF141" s="1099"/>
      <c r="AG141" s="1100"/>
      <c r="AH141" s="1100"/>
      <c r="AI141" s="1100"/>
      <c r="AJ141" s="1100"/>
      <c r="AK141" s="1100"/>
      <c r="AL141" s="1100"/>
      <c r="AM141" s="1100"/>
      <c r="AN141" s="1100"/>
      <c r="AO141" s="1100"/>
      <c r="AP141" s="1101"/>
      <c r="AQ141" s="1102"/>
      <c r="AR141" s="1102"/>
      <c r="AS141" s="1102"/>
      <c r="AT141" s="1102"/>
      <c r="AU141" s="1102"/>
      <c r="AV141" s="1102"/>
      <c r="AW141" s="1102"/>
      <c r="AX141" s="1103"/>
      <c r="AZ141" s="1388"/>
      <c r="BQ141" s="562"/>
      <c r="BR141" s="316"/>
      <c r="BS141" s="562"/>
      <c r="BT141" s="563"/>
      <c r="BZ141" s="238"/>
    </row>
    <row r="142" spans="2:78" ht="18" customHeight="1">
      <c r="B142" s="1113"/>
      <c r="C142" s="1114"/>
      <c r="D142" s="1114"/>
      <c r="E142" s="1114"/>
      <c r="F142" s="1114"/>
      <c r="G142" s="1114"/>
      <c r="H142" s="1114"/>
      <c r="I142" s="1114"/>
      <c r="J142" s="1114"/>
      <c r="K142" s="1114"/>
      <c r="L142" s="1114"/>
      <c r="M142" s="1114"/>
      <c r="N142" s="1117"/>
      <c r="O142" s="1117"/>
      <c r="P142" s="1117"/>
      <c r="Q142" s="1117"/>
      <c r="R142" s="1147"/>
      <c r="S142" s="1148"/>
      <c r="T142" s="1148"/>
      <c r="U142" s="1149"/>
      <c r="V142" s="1507"/>
      <c r="W142" s="1507"/>
      <c r="X142" s="1507"/>
      <c r="Y142" s="1507"/>
      <c r="Z142" s="1509"/>
      <c r="AA142" s="1509"/>
      <c r="AB142" s="1509"/>
      <c r="AC142" s="1510"/>
      <c r="AD142" s="1130"/>
      <c r="AE142" s="1096"/>
      <c r="AF142" s="1100"/>
      <c r="AG142" s="1100"/>
      <c r="AH142" s="1100"/>
      <c r="AI142" s="1100"/>
      <c r="AJ142" s="1100"/>
      <c r="AK142" s="1100"/>
      <c r="AL142" s="1100"/>
      <c r="AM142" s="1100"/>
      <c r="AN142" s="1100"/>
      <c r="AO142" s="1100"/>
      <c r="AP142" s="1101"/>
      <c r="AQ142" s="1102"/>
      <c r="AR142" s="1102"/>
      <c r="AS142" s="1102"/>
      <c r="AT142" s="1102"/>
      <c r="AU142" s="1102"/>
      <c r="AV142" s="1102"/>
      <c r="AW142" s="1102"/>
      <c r="AX142" s="1103"/>
      <c r="AZ142" s="1388"/>
      <c r="BQ142" s="562"/>
      <c r="BR142" s="316"/>
      <c r="BS142" s="562"/>
      <c r="BT142" s="563"/>
      <c r="BZ142" s="238"/>
    </row>
    <row r="143" spans="2:78" ht="18" customHeight="1">
      <c r="B143" s="1107" t="s">
        <v>1098</v>
      </c>
      <c r="C143" s="1108"/>
      <c r="D143" s="1108"/>
      <c r="E143" s="1109"/>
      <c r="F143" s="1091" t="s">
        <v>1099</v>
      </c>
      <c r="G143" s="1108"/>
      <c r="H143" s="1108"/>
      <c r="I143" s="1108"/>
      <c r="J143" s="1108"/>
      <c r="K143" s="1108"/>
      <c r="L143" s="1108"/>
      <c r="M143" s="1109"/>
      <c r="N143" s="1116"/>
      <c r="O143" s="1117"/>
      <c r="P143" s="1117"/>
      <c r="Q143" s="1117"/>
      <c r="R143" s="1118">
        <f>IF($X$109="×",0,$X$109)</f>
        <v>0</v>
      </c>
      <c r="S143" s="1119"/>
      <c r="T143" s="1119"/>
      <c r="U143" s="1119"/>
      <c r="V143" s="1506">
        <f t="shared" ref="V143" si="180">$N$109*N143</f>
        <v>0</v>
      </c>
      <c r="W143" s="1507"/>
      <c r="X143" s="1507"/>
      <c r="Y143" s="1507"/>
      <c r="Z143" s="1508">
        <f>R143*V143</f>
        <v>0</v>
      </c>
      <c r="AA143" s="1509"/>
      <c r="AB143" s="1509"/>
      <c r="AC143" s="1510"/>
      <c r="AD143" s="1095" t="str">
        <f t="shared" ref="AD143" si="181" xml:space="preserve">
IF($AZ$77&lt;&gt;"○","×",
IF(COUNTA($B$109:$M$110)&lt;&gt;2,"×",
IF(COUNTA(N143)&lt;&gt;1,"×",
IF(AND(COUNTA(N143)=1,N143&lt;=AZ143),"○",
IF(AND(COUNTA(N143)=1,N143&gt;AZ143),"○")))))</f>
        <v>×</v>
      </c>
      <c r="AE143" s="1096"/>
      <c r="AF143" s="1099" t="str">
        <f t="shared" ref="AF143" si="182" xml:space="preserve">
IF($AZ$77&lt;&gt;"○","【要修正】本シートの上段１から３までの項目を適切に入力してください。",
IF(COUNTA($B$109:$M$110)&lt;&gt;2,"【要修正】上段の平均訪室回数及び平均対応員数を入力してください。",
IF(COUNTA(N143)&lt;&gt;1,"【要修正】患者１人に対しスタッフ１人の訪室１回あたりの使用数を入力してください。(０の場合は０を入力)",
IF(AND(COUNTA(N143)=1,N143&lt;=AZ143),"適切に入力されました。",
IF(AND(COUNTA(N143)=1,N143&gt;AZ143),"患者１人への訪室１回あたりスタッフ１名が"&amp;AZ143&amp;"個を超える使用量が入力されているため、着脱を行う手順及び手順毎の数量を下段の欄に記入してください。")))))</f>
        <v>【要修正】本シートの上段１から３までの項目を適切に入力してください。</v>
      </c>
      <c r="AG143" s="1100"/>
      <c r="AH143" s="1100"/>
      <c r="AI143" s="1100"/>
      <c r="AJ143" s="1100"/>
      <c r="AK143" s="1100"/>
      <c r="AL143" s="1100"/>
      <c r="AM143" s="1100"/>
      <c r="AN143" s="1100"/>
      <c r="AO143" s="1100"/>
      <c r="AP143" s="1101"/>
      <c r="AQ143" s="1102"/>
      <c r="AR143" s="1102"/>
      <c r="AS143" s="1102"/>
      <c r="AT143" s="1102"/>
      <c r="AU143" s="1102"/>
      <c r="AV143" s="1102"/>
      <c r="AW143" s="1102"/>
      <c r="AX143" s="1103"/>
      <c r="AZ143" s="1387">
        <v>1</v>
      </c>
      <c r="BQ143" s="562"/>
      <c r="BR143" s="316"/>
      <c r="BS143" s="562"/>
      <c r="BT143" s="563"/>
      <c r="BZ143" s="238"/>
    </row>
    <row r="144" spans="2:78" ht="18" customHeight="1">
      <c r="B144" s="1110"/>
      <c r="C144" s="1111"/>
      <c r="D144" s="1111"/>
      <c r="E144" s="1112"/>
      <c r="F144" s="1110"/>
      <c r="G144" s="1111"/>
      <c r="H144" s="1111"/>
      <c r="I144" s="1111"/>
      <c r="J144" s="1111"/>
      <c r="K144" s="1111"/>
      <c r="L144" s="1111"/>
      <c r="M144" s="1112"/>
      <c r="N144" s="1116"/>
      <c r="O144" s="1117"/>
      <c r="P144" s="1117"/>
      <c r="Q144" s="1117"/>
      <c r="R144" s="1144"/>
      <c r="S144" s="1145"/>
      <c r="T144" s="1145"/>
      <c r="U144" s="1146"/>
      <c r="V144" s="1506"/>
      <c r="W144" s="1507"/>
      <c r="X144" s="1507"/>
      <c r="Y144" s="1507"/>
      <c r="Z144" s="1508"/>
      <c r="AA144" s="1509"/>
      <c r="AB144" s="1509"/>
      <c r="AC144" s="1510"/>
      <c r="AD144" s="1095"/>
      <c r="AE144" s="1096"/>
      <c r="AF144" s="1099"/>
      <c r="AG144" s="1100"/>
      <c r="AH144" s="1100"/>
      <c r="AI144" s="1100"/>
      <c r="AJ144" s="1100"/>
      <c r="AK144" s="1100"/>
      <c r="AL144" s="1100"/>
      <c r="AM144" s="1100"/>
      <c r="AN144" s="1100"/>
      <c r="AO144" s="1100"/>
      <c r="AP144" s="1101"/>
      <c r="AQ144" s="1102"/>
      <c r="AR144" s="1102"/>
      <c r="AS144" s="1102"/>
      <c r="AT144" s="1102"/>
      <c r="AU144" s="1102"/>
      <c r="AV144" s="1102"/>
      <c r="AW144" s="1102"/>
      <c r="AX144" s="1103"/>
      <c r="AZ144" s="1388"/>
      <c r="BQ144" s="562"/>
      <c r="BR144" s="316"/>
      <c r="BS144" s="562"/>
      <c r="BT144" s="563"/>
      <c r="BZ144" s="238"/>
    </row>
    <row r="145" spans="2:78" ht="18" customHeight="1">
      <c r="B145" s="1110"/>
      <c r="C145" s="1111"/>
      <c r="D145" s="1111"/>
      <c r="E145" s="1112"/>
      <c r="F145" s="1113"/>
      <c r="G145" s="1114"/>
      <c r="H145" s="1114"/>
      <c r="I145" s="1114"/>
      <c r="J145" s="1114"/>
      <c r="K145" s="1114"/>
      <c r="L145" s="1114"/>
      <c r="M145" s="1115"/>
      <c r="N145" s="1117"/>
      <c r="O145" s="1117"/>
      <c r="P145" s="1117"/>
      <c r="Q145" s="1117"/>
      <c r="R145" s="1147"/>
      <c r="S145" s="1148"/>
      <c r="T145" s="1148"/>
      <c r="U145" s="1149"/>
      <c r="V145" s="1507"/>
      <c r="W145" s="1507"/>
      <c r="X145" s="1507"/>
      <c r="Y145" s="1507"/>
      <c r="Z145" s="1509"/>
      <c r="AA145" s="1509"/>
      <c r="AB145" s="1509"/>
      <c r="AC145" s="1510"/>
      <c r="AD145" s="1130"/>
      <c r="AE145" s="1096"/>
      <c r="AF145" s="1100"/>
      <c r="AG145" s="1100"/>
      <c r="AH145" s="1100"/>
      <c r="AI145" s="1100"/>
      <c r="AJ145" s="1100"/>
      <c r="AK145" s="1100"/>
      <c r="AL145" s="1100"/>
      <c r="AM145" s="1100"/>
      <c r="AN145" s="1100"/>
      <c r="AO145" s="1100"/>
      <c r="AP145" s="1101"/>
      <c r="AQ145" s="1102"/>
      <c r="AR145" s="1102"/>
      <c r="AS145" s="1102"/>
      <c r="AT145" s="1102"/>
      <c r="AU145" s="1102"/>
      <c r="AV145" s="1102"/>
      <c r="AW145" s="1102"/>
      <c r="AX145" s="1103"/>
      <c r="AZ145" s="1388"/>
      <c r="BQ145" s="562"/>
      <c r="BR145" s="316"/>
      <c r="BS145" s="562"/>
      <c r="BT145" s="563"/>
      <c r="BZ145" s="238"/>
    </row>
    <row r="146" spans="2:78" ht="18" customHeight="1">
      <c r="B146" s="1110"/>
      <c r="C146" s="1111"/>
      <c r="D146" s="1111"/>
      <c r="E146" s="1112"/>
      <c r="F146" s="1125" t="s">
        <v>1100</v>
      </c>
      <c r="G146" s="1108"/>
      <c r="H146" s="1108"/>
      <c r="I146" s="1108"/>
      <c r="J146" s="1108"/>
      <c r="K146" s="1108"/>
      <c r="L146" s="1108"/>
      <c r="M146" s="1109"/>
      <c r="N146" s="1126"/>
      <c r="O146" s="1127"/>
      <c r="P146" s="1127"/>
      <c r="Q146" s="1127"/>
      <c r="R146" s="1118">
        <f>IF($X$109="×",0,$X$109)</f>
        <v>0</v>
      </c>
      <c r="S146" s="1119"/>
      <c r="T146" s="1119"/>
      <c r="U146" s="1119"/>
      <c r="V146" s="1506">
        <f t="shared" ref="V146" si="183">$N$109*N146</f>
        <v>0</v>
      </c>
      <c r="W146" s="1507"/>
      <c r="X146" s="1507"/>
      <c r="Y146" s="1507"/>
      <c r="Z146" s="1508">
        <f>R146*V146</f>
        <v>0</v>
      </c>
      <c r="AA146" s="1509"/>
      <c r="AB146" s="1509"/>
      <c r="AC146" s="1510"/>
      <c r="AD146" s="1095" t="str">
        <f t="shared" ref="AD146" si="184" xml:space="preserve">
IF($AZ$77&lt;&gt;"○","×",
IF(COUNTA($B$109:$M$110)&lt;&gt;2,"×",
IF(COUNTA(N146)&lt;&gt;1,"×",
IF(AND(COUNTA(N146)=1,N146&lt;=AZ146),"○",
IF(AND(COUNTA(N146)=1,N146&gt;AZ146),"○")))))</f>
        <v>×</v>
      </c>
      <c r="AE146" s="1096"/>
      <c r="AF146" s="1099" t="str">
        <f t="shared" ref="AF146" si="185" xml:space="preserve">
IF($AZ$77&lt;&gt;"○","【要修正】本シートの上段１から３までの項目を適切に入力してください。",
IF(COUNTA($B$109:$M$110)&lt;&gt;2,"【要修正】上段の平均訪室回数及び平均対応員数を入力してください。",
IF(COUNTA(N146)&lt;&gt;1,"【要修正】患者１人に対しスタッフ１人の訪室１回あたりの使用数を入力してください。(０の場合は０を入力)",
IF(AND(COUNTA(N146)=1,N146&lt;=AZ146),"適切に入力されました。",
IF(AND(COUNTA(N146)=1,N146&gt;AZ146),"患者１人への訪室１回あたりスタッフ１名が"&amp;AZ146&amp;"個を超える使用量が入力されているため、着脱を行う手順及び手順毎の数量を下段の欄に記入してください。")))))</f>
        <v>【要修正】本シートの上段１から３までの項目を適切に入力してください。</v>
      </c>
      <c r="AG146" s="1100"/>
      <c r="AH146" s="1100"/>
      <c r="AI146" s="1100"/>
      <c r="AJ146" s="1100"/>
      <c r="AK146" s="1100"/>
      <c r="AL146" s="1100"/>
      <c r="AM146" s="1100"/>
      <c r="AN146" s="1100"/>
      <c r="AO146" s="1100"/>
      <c r="AP146" s="1101"/>
      <c r="AQ146" s="1102"/>
      <c r="AR146" s="1102"/>
      <c r="AS146" s="1102"/>
      <c r="AT146" s="1102"/>
      <c r="AU146" s="1102"/>
      <c r="AV146" s="1102"/>
      <c r="AW146" s="1102"/>
      <c r="AX146" s="1103"/>
      <c r="AZ146" s="1387">
        <v>0.5</v>
      </c>
      <c r="BQ146" s="562"/>
      <c r="BR146" s="316"/>
      <c r="BS146" s="562"/>
      <c r="BT146" s="563"/>
      <c r="BZ146" s="238"/>
    </row>
    <row r="147" spans="2:78" ht="18" customHeight="1">
      <c r="B147" s="1110"/>
      <c r="C147" s="1111"/>
      <c r="D147" s="1111"/>
      <c r="E147" s="1112"/>
      <c r="F147" s="1110"/>
      <c r="G147" s="1111"/>
      <c r="H147" s="1111"/>
      <c r="I147" s="1111"/>
      <c r="J147" s="1111"/>
      <c r="K147" s="1111"/>
      <c r="L147" s="1111"/>
      <c r="M147" s="1112"/>
      <c r="N147" s="1126"/>
      <c r="O147" s="1127"/>
      <c r="P147" s="1127"/>
      <c r="Q147" s="1127"/>
      <c r="R147" s="1144"/>
      <c r="S147" s="1145"/>
      <c r="T147" s="1145"/>
      <c r="U147" s="1146"/>
      <c r="V147" s="1506"/>
      <c r="W147" s="1507"/>
      <c r="X147" s="1507"/>
      <c r="Y147" s="1507"/>
      <c r="Z147" s="1508"/>
      <c r="AA147" s="1509"/>
      <c r="AB147" s="1509"/>
      <c r="AC147" s="1510"/>
      <c r="AD147" s="1095"/>
      <c r="AE147" s="1096"/>
      <c r="AF147" s="1099"/>
      <c r="AG147" s="1100"/>
      <c r="AH147" s="1100"/>
      <c r="AI147" s="1100"/>
      <c r="AJ147" s="1100"/>
      <c r="AK147" s="1100"/>
      <c r="AL147" s="1100"/>
      <c r="AM147" s="1100"/>
      <c r="AN147" s="1100"/>
      <c r="AO147" s="1100"/>
      <c r="AP147" s="1101"/>
      <c r="AQ147" s="1102"/>
      <c r="AR147" s="1102"/>
      <c r="AS147" s="1102"/>
      <c r="AT147" s="1102"/>
      <c r="AU147" s="1102"/>
      <c r="AV147" s="1102"/>
      <c r="AW147" s="1102"/>
      <c r="AX147" s="1103"/>
      <c r="AZ147" s="1388"/>
      <c r="BQ147" s="562"/>
      <c r="BR147" s="316"/>
      <c r="BS147" s="562"/>
      <c r="BT147" s="563"/>
      <c r="BZ147" s="238"/>
    </row>
    <row r="148" spans="2:78" ht="18" customHeight="1">
      <c r="B148" s="1110"/>
      <c r="C148" s="1111"/>
      <c r="D148" s="1111"/>
      <c r="E148" s="1112"/>
      <c r="F148" s="1113"/>
      <c r="G148" s="1114"/>
      <c r="H148" s="1114"/>
      <c r="I148" s="1114"/>
      <c r="J148" s="1114"/>
      <c r="K148" s="1114"/>
      <c r="L148" s="1114"/>
      <c r="M148" s="1115"/>
      <c r="N148" s="1127"/>
      <c r="O148" s="1127"/>
      <c r="P148" s="1127"/>
      <c r="Q148" s="1127"/>
      <c r="R148" s="1147"/>
      <c r="S148" s="1148"/>
      <c r="T148" s="1148"/>
      <c r="U148" s="1149"/>
      <c r="V148" s="1507"/>
      <c r="W148" s="1507"/>
      <c r="X148" s="1507"/>
      <c r="Y148" s="1507"/>
      <c r="Z148" s="1509"/>
      <c r="AA148" s="1509"/>
      <c r="AB148" s="1509"/>
      <c r="AC148" s="1510"/>
      <c r="AD148" s="1130"/>
      <c r="AE148" s="1096"/>
      <c r="AF148" s="1100"/>
      <c r="AG148" s="1100"/>
      <c r="AH148" s="1100"/>
      <c r="AI148" s="1100"/>
      <c r="AJ148" s="1100"/>
      <c r="AK148" s="1100"/>
      <c r="AL148" s="1100"/>
      <c r="AM148" s="1100"/>
      <c r="AN148" s="1100"/>
      <c r="AO148" s="1100"/>
      <c r="AP148" s="1101"/>
      <c r="AQ148" s="1102"/>
      <c r="AR148" s="1102"/>
      <c r="AS148" s="1102"/>
      <c r="AT148" s="1102"/>
      <c r="AU148" s="1102"/>
      <c r="AV148" s="1102"/>
      <c r="AW148" s="1102"/>
      <c r="AX148" s="1103"/>
      <c r="AZ148" s="1388"/>
      <c r="BQ148" s="562"/>
      <c r="BR148" s="316"/>
      <c r="BS148" s="562"/>
      <c r="BT148" s="563"/>
      <c r="BZ148" s="238"/>
    </row>
    <row r="149" spans="2:78" ht="18" customHeight="1">
      <c r="B149" s="1110"/>
      <c r="C149" s="1111"/>
      <c r="D149" s="1111"/>
      <c r="E149" s="1112"/>
      <c r="F149" s="1091" t="s">
        <v>1101</v>
      </c>
      <c r="G149" s="1108"/>
      <c r="H149" s="1108"/>
      <c r="I149" s="1108"/>
      <c r="J149" s="1108"/>
      <c r="K149" s="1108"/>
      <c r="L149" s="1108"/>
      <c r="M149" s="1109"/>
      <c r="N149" s="1116"/>
      <c r="O149" s="1117"/>
      <c r="P149" s="1117"/>
      <c r="Q149" s="1117"/>
      <c r="R149" s="1118">
        <f>IF($X$109="×",0,$X$109)</f>
        <v>0</v>
      </c>
      <c r="S149" s="1119"/>
      <c r="T149" s="1119"/>
      <c r="U149" s="1119"/>
      <c r="V149" s="1506">
        <f t="shared" ref="V149" si="186">$N$109*N149</f>
        <v>0</v>
      </c>
      <c r="W149" s="1507"/>
      <c r="X149" s="1507"/>
      <c r="Y149" s="1507"/>
      <c r="Z149" s="1508">
        <f>R149*V149</f>
        <v>0</v>
      </c>
      <c r="AA149" s="1509"/>
      <c r="AB149" s="1509"/>
      <c r="AC149" s="1510"/>
      <c r="AD149" s="1095" t="str">
        <f t="shared" ref="AD149" si="187" xml:space="preserve">
IF($AZ$77&lt;&gt;"○","×",
IF(COUNTA($B$109:$M$110)&lt;&gt;2,"×",
IF(COUNTA(N149)&lt;&gt;1,"×",
IF(AND(COUNTA(N149)=1,N149&lt;=AZ149),"○",
IF(AND(COUNTA(N149)=1,N149&gt;AZ149),"○")))))</f>
        <v>×</v>
      </c>
      <c r="AE149" s="1096"/>
      <c r="AF149" s="1099" t="str">
        <f t="shared" ref="AF149" si="188" xml:space="preserve">
IF($AZ$77&lt;&gt;"○","【要修正】本シートの上段１から３までの項目を適切に入力してください。",
IF(COUNTA($B$109:$M$110)&lt;&gt;2,"【要修正】上段の平均訪室回数及び平均対応員数を入力してください。",
IF(COUNTA(N149)&lt;&gt;1,"【要修正】患者１人に対しスタッフ１人の訪室１回あたりの使用数を入力してください。(０の場合は０を入力)",
IF(AND(COUNTA(N149)=1,N149&lt;=AZ149),"適切に入力されました。",
IF(AND(COUNTA(N149)=1,N149&gt;AZ149),"患者１人への訪室１回あたりスタッフ１名が"&amp;AZ149&amp;"個を超える使用量が入力されているため、着脱を行う手順及び手順毎の数量を下段の欄に記入してください。")))))</f>
        <v>【要修正】本シートの上段１から３までの項目を適切に入力してください。</v>
      </c>
      <c r="AG149" s="1100"/>
      <c r="AH149" s="1100"/>
      <c r="AI149" s="1100"/>
      <c r="AJ149" s="1100"/>
      <c r="AK149" s="1100"/>
      <c r="AL149" s="1100"/>
      <c r="AM149" s="1100"/>
      <c r="AN149" s="1100"/>
      <c r="AO149" s="1100"/>
      <c r="AP149" s="1101"/>
      <c r="AQ149" s="1102"/>
      <c r="AR149" s="1102"/>
      <c r="AS149" s="1102"/>
      <c r="AT149" s="1102"/>
      <c r="AU149" s="1102"/>
      <c r="AV149" s="1102"/>
      <c r="AW149" s="1102"/>
      <c r="AX149" s="1103"/>
      <c r="AZ149" s="1387">
        <v>1</v>
      </c>
      <c r="BQ149" s="562"/>
      <c r="BR149" s="316"/>
      <c r="BS149" s="562"/>
      <c r="BT149" s="563"/>
      <c r="BZ149" s="238"/>
    </row>
    <row r="150" spans="2:78" ht="18" customHeight="1">
      <c r="B150" s="1110"/>
      <c r="C150" s="1111"/>
      <c r="D150" s="1111"/>
      <c r="E150" s="1112"/>
      <c r="F150" s="1110"/>
      <c r="G150" s="1111"/>
      <c r="H150" s="1111"/>
      <c r="I150" s="1111"/>
      <c r="J150" s="1111"/>
      <c r="K150" s="1111"/>
      <c r="L150" s="1111"/>
      <c r="M150" s="1112"/>
      <c r="N150" s="1116"/>
      <c r="O150" s="1117"/>
      <c r="P150" s="1117"/>
      <c r="Q150" s="1117"/>
      <c r="R150" s="1144"/>
      <c r="S150" s="1145"/>
      <c r="T150" s="1145"/>
      <c r="U150" s="1146"/>
      <c r="V150" s="1506"/>
      <c r="W150" s="1507"/>
      <c r="X150" s="1507"/>
      <c r="Y150" s="1507"/>
      <c r="Z150" s="1508"/>
      <c r="AA150" s="1509"/>
      <c r="AB150" s="1509"/>
      <c r="AC150" s="1510"/>
      <c r="AD150" s="1095"/>
      <c r="AE150" s="1096"/>
      <c r="AF150" s="1099"/>
      <c r="AG150" s="1100"/>
      <c r="AH150" s="1100"/>
      <c r="AI150" s="1100"/>
      <c r="AJ150" s="1100"/>
      <c r="AK150" s="1100"/>
      <c r="AL150" s="1100"/>
      <c r="AM150" s="1100"/>
      <c r="AN150" s="1100"/>
      <c r="AO150" s="1100"/>
      <c r="AP150" s="1101"/>
      <c r="AQ150" s="1102"/>
      <c r="AR150" s="1102"/>
      <c r="AS150" s="1102"/>
      <c r="AT150" s="1102"/>
      <c r="AU150" s="1102"/>
      <c r="AV150" s="1102"/>
      <c r="AW150" s="1102"/>
      <c r="AX150" s="1103"/>
      <c r="AZ150" s="1388"/>
      <c r="BQ150" s="562"/>
      <c r="BR150" s="316"/>
      <c r="BS150" s="562"/>
      <c r="BT150" s="563"/>
      <c r="BZ150" s="238"/>
    </row>
    <row r="151" spans="2:78" ht="18" customHeight="1">
      <c r="B151" s="1110"/>
      <c r="C151" s="1111"/>
      <c r="D151" s="1111"/>
      <c r="E151" s="1112"/>
      <c r="F151" s="1113"/>
      <c r="G151" s="1114"/>
      <c r="H151" s="1114"/>
      <c r="I151" s="1114"/>
      <c r="J151" s="1114"/>
      <c r="K151" s="1114"/>
      <c r="L151" s="1114"/>
      <c r="M151" s="1115"/>
      <c r="N151" s="1117"/>
      <c r="O151" s="1117"/>
      <c r="P151" s="1117"/>
      <c r="Q151" s="1117"/>
      <c r="R151" s="1147"/>
      <c r="S151" s="1148"/>
      <c r="T151" s="1148"/>
      <c r="U151" s="1149"/>
      <c r="V151" s="1507"/>
      <c r="W151" s="1507"/>
      <c r="X151" s="1507"/>
      <c r="Y151" s="1507"/>
      <c r="Z151" s="1509"/>
      <c r="AA151" s="1509"/>
      <c r="AB151" s="1509"/>
      <c r="AC151" s="1510"/>
      <c r="AD151" s="1130"/>
      <c r="AE151" s="1096"/>
      <c r="AF151" s="1100"/>
      <c r="AG151" s="1100"/>
      <c r="AH151" s="1100"/>
      <c r="AI151" s="1100"/>
      <c r="AJ151" s="1100"/>
      <c r="AK151" s="1100"/>
      <c r="AL151" s="1100"/>
      <c r="AM151" s="1100"/>
      <c r="AN151" s="1100"/>
      <c r="AO151" s="1100"/>
      <c r="AP151" s="1101"/>
      <c r="AQ151" s="1102"/>
      <c r="AR151" s="1102"/>
      <c r="AS151" s="1102"/>
      <c r="AT151" s="1102"/>
      <c r="AU151" s="1102"/>
      <c r="AV151" s="1102"/>
      <c r="AW151" s="1102"/>
      <c r="AX151" s="1103"/>
      <c r="AZ151" s="1388"/>
      <c r="BQ151" s="562"/>
      <c r="BR151" s="316"/>
      <c r="BS151" s="562"/>
      <c r="BT151" s="563"/>
      <c r="BZ151" s="238"/>
    </row>
    <row r="152" spans="2:78" ht="18" customHeight="1">
      <c r="B152" s="1110"/>
      <c r="C152" s="1111"/>
      <c r="D152" s="1111"/>
      <c r="E152" s="1112"/>
      <c r="F152" s="1125" t="s">
        <v>1102</v>
      </c>
      <c r="G152" s="1108"/>
      <c r="H152" s="1108"/>
      <c r="I152" s="1108"/>
      <c r="J152" s="1108"/>
      <c r="K152" s="1108"/>
      <c r="L152" s="1108"/>
      <c r="M152" s="1109"/>
      <c r="N152" s="1116"/>
      <c r="O152" s="1117"/>
      <c r="P152" s="1117"/>
      <c r="Q152" s="1117"/>
      <c r="R152" s="1118">
        <f>IF($X$109="×",0,$X$109)</f>
        <v>0</v>
      </c>
      <c r="S152" s="1119"/>
      <c r="T152" s="1119"/>
      <c r="U152" s="1119"/>
      <c r="V152" s="1506">
        <f t="shared" ref="V152" si="189">$N$109*N152</f>
        <v>0</v>
      </c>
      <c r="W152" s="1507"/>
      <c r="X152" s="1507"/>
      <c r="Y152" s="1507"/>
      <c r="Z152" s="1508">
        <f>R152*V152</f>
        <v>0</v>
      </c>
      <c r="AA152" s="1509"/>
      <c r="AB152" s="1509"/>
      <c r="AC152" s="1510"/>
      <c r="AD152" s="1095" t="str">
        <f t="shared" ref="AD152" si="190" xml:space="preserve">
IF($AZ$77&lt;&gt;"○","×",
IF(COUNTA($B$109:$M$110)&lt;&gt;2,"×",
IF(COUNTA(N152)&lt;&gt;1,"×",
IF(AND(COUNTA(N152)=1,N152&lt;=AZ152),"○",
IF(AND(COUNTA(N152)=1,N152&gt;AZ152),"○")))))</f>
        <v>×</v>
      </c>
      <c r="AE152" s="1096"/>
      <c r="AF152" s="1099" t="str">
        <f t="shared" ref="AF152" si="191" xml:space="preserve">
IF($AZ$77&lt;&gt;"○","【要修正】本シートの上段１から３までの項目を適切に入力してください。",
IF(COUNTA($B$109:$M$110)&lt;&gt;2,"【要修正】上段の平均訪室回数及び平均対応員数を入力してください。",
IF(COUNTA(N152)&lt;&gt;1,"【要修正】患者１人に対しスタッフ１人の訪室１回あたりの使用数を入力してください。(０の場合は０を入力)",
IF(AND(COUNTA(N152)=1,N152&lt;=AZ152),"適切に入力されました。",
IF(AND(COUNTA(N152)=1,N152&gt;AZ152),"患者１人への訪室１回あたりスタッフ１名が"&amp;AZ152&amp;"個を超える使用量が入力されているため、着脱を行う手順及び手順毎の数量を下段の欄に記入してください。")))))</f>
        <v>【要修正】本シートの上段１から３までの項目を適切に入力してください。</v>
      </c>
      <c r="AG152" s="1100"/>
      <c r="AH152" s="1100"/>
      <c r="AI152" s="1100"/>
      <c r="AJ152" s="1100"/>
      <c r="AK152" s="1100"/>
      <c r="AL152" s="1100"/>
      <c r="AM152" s="1100"/>
      <c r="AN152" s="1100"/>
      <c r="AO152" s="1100"/>
      <c r="AP152" s="1101"/>
      <c r="AQ152" s="1102"/>
      <c r="AR152" s="1102"/>
      <c r="AS152" s="1102"/>
      <c r="AT152" s="1102"/>
      <c r="AU152" s="1102"/>
      <c r="AV152" s="1102"/>
      <c r="AW152" s="1102"/>
      <c r="AX152" s="1103"/>
      <c r="AZ152" s="1387">
        <v>0.5</v>
      </c>
      <c r="BQ152" s="562"/>
      <c r="BR152" s="316"/>
      <c r="BS152" s="562"/>
      <c r="BT152" s="563"/>
      <c r="BZ152" s="238"/>
    </row>
    <row r="153" spans="2:78" ht="18" customHeight="1">
      <c r="B153" s="1110"/>
      <c r="C153" s="1111"/>
      <c r="D153" s="1111"/>
      <c r="E153" s="1112"/>
      <c r="F153" s="1110"/>
      <c r="G153" s="1111"/>
      <c r="H153" s="1111"/>
      <c r="I153" s="1111"/>
      <c r="J153" s="1111"/>
      <c r="K153" s="1111"/>
      <c r="L153" s="1111"/>
      <c r="M153" s="1112"/>
      <c r="N153" s="1116"/>
      <c r="O153" s="1117"/>
      <c r="P153" s="1117"/>
      <c r="Q153" s="1117"/>
      <c r="R153" s="1144"/>
      <c r="S153" s="1145"/>
      <c r="T153" s="1145"/>
      <c r="U153" s="1146"/>
      <c r="V153" s="1506"/>
      <c r="W153" s="1507"/>
      <c r="X153" s="1507"/>
      <c r="Y153" s="1507"/>
      <c r="Z153" s="1508"/>
      <c r="AA153" s="1509"/>
      <c r="AB153" s="1509"/>
      <c r="AC153" s="1510"/>
      <c r="AD153" s="1095"/>
      <c r="AE153" s="1096"/>
      <c r="AF153" s="1099"/>
      <c r="AG153" s="1100"/>
      <c r="AH153" s="1100"/>
      <c r="AI153" s="1100"/>
      <c r="AJ153" s="1100"/>
      <c r="AK153" s="1100"/>
      <c r="AL153" s="1100"/>
      <c r="AM153" s="1100"/>
      <c r="AN153" s="1100"/>
      <c r="AO153" s="1100"/>
      <c r="AP153" s="1101"/>
      <c r="AQ153" s="1102"/>
      <c r="AR153" s="1102"/>
      <c r="AS153" s="1102"/>
      <c r="AT153" s="1102"/>
      <c r="AU153" s="1102"/>
      <c r="AV153" s="1102"/>
      <c r="AW153" s="1102"/>
      <c r="AX153" s="1103"/>
      <c r="AZ153" s="1388"/>
      <c r="BQ153" s="562"/>
      <c r="BR153" s="316"/>
      <c r="BS153" s="562"/>
      <c r="BT153" s="563"/>
      <c r="BZ153" s="238"/>
    </row>
    <row r="154" spans="2:78" ht="18.75" customHeight="1" thickBot="1">
      <c r="B154" s="1113"/>
      <c r="C154" s="1114"/>
      <c r="D154" s="1114"/>
      <c r="E154" s="1115"/>
      <c r="F154" s="1113"/>
      <c r="G154" s="1114"/>
      <c r="H154" s="1114"/>
      <c r="I154" s="1114"/>
      <c r="J154" s="1114"/>
      <c r="K154" s="1114"/>
      <c r="L154" s="1114"/>
      <c r="M154" s="1115"/>
      <c r="N154" s="1117"/>
      <c r="O154" s="1117"/>
      <c r="P154" s="1117"/>
      <c r="Q154" s="1117"/>
      <c r="R154" s="1147"/>
      <c r="S154" s="1148"/>
      <c r="T154" s="1148"/>
      <c r="U154" s="1149"/>
      <c r="V154" s="1507"/>
      <c r="W154" s="1507"/>
      <c r="X154" s="1507"/>
      <c r="Y154" s="1507"/>
      <c r="Z154" s="1509"/>
      <c r="AA154" s="1509"/>
      <c r="AB154" s="1509"/>
      <c r="AC154" s="1510"/>
      <c r="AD154" s="1097"/>
      <c r="AE154" s="1098"/>
      <c r="AF154" s="1100"/>
      <c r="AG154" s="1100"/>
      <c r="AH154" s="1100"/>
      <c r="AI154" s="1100"/>
      <c r="AJ154" s="1100"/>
      <c r="AK154" s="1100"/>
      <c r="AL154" s="1100"/>
      <c r="AM154" s="1100"/>
      <c r="AN154" s="1100"/>
      <c r="AO154" s="1100"/>
      <c r="AP154" s="1101"/>
      <c r="AQ154" s="1102"/>
      <c r="AR154" s="1102"/>
      <c r="AS154" s="1102"/>
      <c r="AT154" s="1102"/>
      <c r="AU154" s="1102"/>
      <c r="AV154" s="1102"/>
      <c r="AW154" s="1102"/>
      <c r="AX154" s="1103"/>
      <c r="AZ154" s="1388"/>
      <c r="BQ154" s="562"/>
      <c r="BR154" s="316"/>
      <c r="BS154" s="562"/>
      <c r="BT154" s="563"/>
      <c r="BZ154" s="238"/>
    </row>
    <row r="155" spans="2:78" ht="18.75" thickTop="1">
      <c r="BQ155" s="562"/>
      <c r="BR155" s="316"/>
      <c r="BS155" s="562"/>
      <c r="BT155" s="563"/>
      <c r="BZ155" s="238"/>
    </row>
    <row r="156" spans="2:78" ht="24.75" thickBot="1">
      <c r="B156" s="1104" t="s">
        <v>1103</v>
      </c>
      <c r="C156" s="1105"/>
      <c r="D156" s="1105"/>
      <c r="E156" s="1105"/>
      <c r="F156" s="1105"/>
      <c r="G156" s="1105"/>
      <c r="H156" s="1105"/>
      <c r="I156" s="1105"/>
      <c r="J156" s="1105"/>
      <c r="K156" s="1105"/>
      <c r="L156" s="1105"/>
      <c r="M156" s="1105"/>
      <c r="N156" s="1105"/>
      <c r="O156" s="1105"/>
      <c r="P156" s="1105"/>
      <c r="Q156" s="1105"/>
      <c r="R156" s="1105"/>
      <c r="S156" s="1105"/>
      <c r="T156" s="1105"/>
      <c r="U156" s="1105"/>
      <c r="V156" s="1105"/>
      <c r="W156" s="1105"/>
      <c r="X156" s="1105"/>
      <c r="Y156" s="1105"/>
      <c r="Z156" s="1105"/>
      <c r="AA156" s="1105"/>
      <c r="AB156" s="1105"/>
      <c r="AC156" s="1105"/>
      <c r="AD156" s="1105"/>
      <c r="AE156" s="1105"/>
      <c r="AF156" s="1105"/>
      <c r="AG156" s="1105"/>
      <c r="AH156" s="1105"/>
      <c r="AI156" s="1105"/>
      <c r="AJ156" s="1105"/>
      <c r="AK156" s="1105"/>
      <c r="AL156" s="1105"/>
      <c r="AM156" s="1105"/>
      <c r="AN156" s="1105"/>
      <c r="AO156" s="1105"/>
      <c r="AP156" s="1105"/>
      <c r="AQ156" s="1105"/>
      <c r="AR156" s="1105"/>
      <c r="AS156" s="1105"/>
      <c r="AT156" s="1105"/>
      <c r="AU156" s="1106"/>
      <c r="AV156" s="1106"/>
      <c r="AW156" s="1106"/>
      <c r="AX156" s="1106"/>
      <c r="BQ156" s="562"/>
      <c r="BR156" s="316"/>
      <c r="BS156" s="562"/>
      <c r="BT156" s="563"/>
      <c r="BZ156" s="238"/>
    </row>
    <row r="157" spans="2:78" ht="18.75" thickTop="1">
      <c r="B157" s="1078" t="s">
        <v>473</v>
      </c>
      <c r="C157" s="1079"/>
      <c r="D157" s="1079"/>
      <c r="E157" s="1079"/>
      <c r="F157" s="1079"/>
      <c r="G157" s="1080"/>
      <c r="H157" s="1080"/>
      <c r="I157" s="1080"/>
      <c r="J157" s="1081"/>
      <c r="K157" s="1086" t="s">
        <v>1198</v>
      </c>
      <c r="L157" s="1087"/>
      <c r="M157" s="1087"/>
      <c r="N157" s="1088"/>
      <c r="O157" s="1088"/>
      <c r="P157" s="1089"/>
      <c r="Q157" s="1091" t="s">
        <v>1104</v>
      </c>
      <c r="R157" s="1080"/>
      <c r="S157" s="1080"/>
      <c r="T157" s="1080"/>
      <c r="U157" s="1080"/>
      <c r="V157" s="1080"/>
      <c r="W157" s="1080"/>
      <c r="X157" s="1080"/>
      <c r="Y157" s="1080"/>
      <c r="Z157" s="1080"/>
      <c r="AA157" s="1080"/>
      <c r="AB157" s="1080"/>
      <c r="AC157" s="1080"/>
      <c r="AD157" s="1080"/>
      <c r="AE157" s="1080"/>
      <c r="AF157" s="1080"/>
      <c r="AG157" s="1080"/>
      <c r="AH157" s="1080"/>
      <c r="AI157" s="1080"/>
      <c r="AJ157" s="1080"/>
      <c r="AK157" s="1080"/>
      <c r="AL157" s="1080"/>
      <c r="AM157" s="1080"/>
      <c r="AN157" s="1080"/>
      <c r="AO157" s="1080"/>
      <c r="AP157" s="1080"/>
      <c r="AQ157" s="1080"/>
      <c r="AR157" s="1080"/>
      <c r="AS157" s="1080"/>
      <c r="AT157" s="1092"/>
      <c r="AU157" s="1072" t="s">
        <v>100</v>
      </c>
      <c r="AV157" s="1073"/>
      <c r="AW157" s="1074"/>
      <c r="AX157" s="1075"/>
      <c r="BQ157" s="562"/>
      <c r="BR157" s="316"/>
      <c r="BS157" s="562"/>
      <c r="BT157" s="563"/>
      <c r="BZ157" s="238"/>
    </row>
    <row r="158" spans="2:78">
      <c r="B158" s="1082"/>
      <c r="C158" s="1083"/>
      <c r="D158" s="1083"/>
      <c r="E158" s="1083"/>
      <c r="F158" s="1083"/>
      <c r="G158" s="1084"/>
      <c r="H158" s="1084"/>
      <c r="I158" s="1084"/>
      <c r="J158" s="1085"/>
      <c r="K158" s="1090"/>
      <c r="L158" s="1087"/>
      <c r="M158" s="1087"/>
      <c r="N158" s="1088"/>
      <c r="O158" s="1088"/>
      <c r="P158" s="1089"/>
      <c r="Q158" s="1093"/>
      <c r="R158" s="1084"/>
      <c r="S158" s="1084"/>
      <c r="T158" s="1084"/>
      <c r="U158" s="1084"/>
      <c r="V158" s="1084"/>
      <c r="W158" s="1084"/>
      <c r="X158" s="1084"/>
      <c r="Y158" s="1084"/>
      <c r="Z158" s="1084"/>
      <c r="AA158" s="1084"/>
      <c r="AB158" s="1084"/>
      <c r="AC158" s="1084"/>
      <c r="AD158" s="1084"/>
      <c r="AE158" s="1084"/>
      <c r="AF158" s="1084"/>
      <c r="AG158" s="1084"/>
      <c r="AH158" s="1084"/>
      <c r="AI158" s="1084"/>
      <c r="AJ158" s="1084"/>
      <c r="AK158" s="1084"/>
      <c r="AL158" s="1084"/>
      <c r="AM158" s="1084"/>
      <c r="AN158" s="1084"/>
      <c r="AO158" s="1084"/>
      <c r="AP158" s="1084"/>
      <c r="AQ158" s="1084"/>
      <c r="AR158" s="1084"/>
      <c r="AS158" s="1084"/>
      <c r="AT158" s="1094"/>
      <c r="AU158" s="1076"/>
      <c r="AV158" s="1077"/>
      <c r="AW158" s="1044"/>
      <c r="AX158" s="1045"/>
      <c r="BQ158" s="562"/>
      <c r="BR158" s="316"/>
      <c r="BS158" s="562"/>
      <c r="BT158" s="563"/>
      <c r="BZ158" s="238"/>
    </row>
    <row r="159" spans="2:78" ht="18" customHeight="1">
      <c r="B159" s="1514" t="s">
        <v>1454</v>
      </c>
      <c r="C159" s="1039"/>
      <c r="D159" s="1039"/>
      <c r="E159" s="1039"/>
      <c r="F159" s="1039"/>
      <c r="G159" s="1040"/>
      <c r="H159" s="1040"/>
      <c r="I159" s="1040"/>
      <c r="J159" s="1041"/>
      <c r="K159" s="1051">
        <f>SUM(N116:Q121)</f>
        <v>0</v>
      </c>
      <c r="L159" s="1052"/>
      <c r="M159" s="1052"/>
      <c r="N159" s="1053"/>
      <c r="O159" s="1053"/>
      <c r="P159" s="1054"/>
      <c r="Q159" s="1060"/>
      <c r="R159" s="1061"/>
      <c r="S159" s="1061"/>
      <c r="T159" s="1061"/>
      <c r="U159" s="1061"/>
      <c r="V159" s="1061"/>
      <c r="W159" s="1061"/>
      <c r="X159" s="1061"/>
      <c r="Y159" s="1061"/>
      <c r="Z159" s="1061"/>
      <c r="AA159" s="1061"/>
      <c r="AB159" s="1061"/>
      <c r="AC159" s="1061"/>
      <c r="AD159" s="1061"/>
      <c r="AE159" s="1061"/>
      <c r="AF159" s="1061"/>
      <c r="AG159" s="1061"/>
      <c r="AH159" s="1061"/>
      <c r="AI159" s="1061"/>
      <c r="AJ159" s="1061"/>
      <c r="AK159" s="1061"/>
      <c r="AL159" s="1061"/>
      <c r="AM159" s="1061"/>
      <c r="AN159" s="1061"/>
      <c r="AO159" s="1061"/>
      <c r="AP159" s="1061"/>
      <c r="AQ159" s="1061"/>
      <c r="AR159" s="1061"/>
      <c r="AS159" s="1061"/>
      <c r="AT159" s="1062"/>
      <c r="AU159" s="1042" t="str">
        <f xml:space="preserve">
IF(AND(K159&gt;3,COUNTA(Q159)&lt;&gt;1),"要入力",
IF(AND(K159&gt;3,COUNTA(Q159)=1),"入力済",
IF(K159&lt;=3,"入力"&amp;CHAR(10)&amp;"不要")))</f>
        <v>入力
不要</v>
      </c>
      <c r="AV159" s="1043"/>
      <c r="AW159" s="1044"/>
      <c r="AX159" s="1045"/>
      <c r="BQ159" s="562"/>
      <c r="BR159" s="316"/>
      <c r="BS159" s="562"/>
      <c r="BT159" s="563"/>
      <c r="BZ159" s="238"/>
    </row>
    <row r="160" spans="2:78" ht="18" customHeight="1">
      <c r="B160" s="1038"/>
      <c r="C160" s="1039"/>
      <c r="D160" s="1039"/>
      <c r="E160" s="1039"/>
      <c r="F160" s="1039"/>
      <c r="G160" s="1040"/>
      <c r="H160" s="1040"/>
      <c r="I160" s="1040"/>
      <c r="J160" s="1041"/>
      <c r="K160" s="1055"/>
      <c r="L160" s="1052"/>
      <c r="M160" s="1052"/>
      <c r="N160" s="1053"/>
      <c r="O160" s="1053"/>
      <c r="P160" s="1054"/>
      <c r="Q160" s="1063"/>
      <c r="R160" s="1064"/>
      <c r="S160" s="1064"/>
      <c r="T160" s="1064"/>
      <c r="U160" s="1064"/>
      <c r="V160" s="1064"/>
      <c r="W160" s="1064"/>
      <c r="X160" s="1064"/>
      <c r="Y160" s="1064"/>
      <c r="Z160" s="1064"/>
      <c r="AA160" s="1064"/>
      <c r="AB160" s="1064"/>
      <c r="AC160" s="1064"/>
      <c r="AD160" s="1064"/>
      <c r="AE160" s="1064"/>
      <c r="AF160" s="1064"/>
      <c r="AG160" s="1064"/>
      <c r="AH160" s="1064"/>
      <c r="AI160" s="1064"/>
      <c r="AJ160" s="1064"/>
      <c r="AK160" s="1064"/>
      <c r="AL160" s="1064"/>
      <c r="AM160" s="1064"/>
      <c r="AN160" s="1064"/>
      <c r="AO160" s="1064"/>
      <c r="AP160" s="1064"/>
      <c r="AQ160" s="1064"/>
      <c r="AR160" s="1064"/>
      <c r="AS160" s="1064"/>
      <c r="AT160" s="1065"/>
      <c r="AU160" s="1042"/>
      <c r="AV160" s="1043"/>
      <c r="AW160" s="1044"/>
      <c r="AX160" s="1045"/>
      <c r="BQ160" s="562"/>
      <c r="BR160" s="316"/>
      <c r="BS160" s="562"/>
      <c r="BT160" s="563"/>
      <c r="BZ160" s="238"/>
    </row>
    <row r="161" spans="2:78" ht="18" customHeight="1">
      <c r="B161" s="1513" t="s">
        <v>1455</v>
      </c>
      <c r="C161" s="1039"/>
      <c r="D161" s="1039"/>
      <c r="E161" s="1039"/>
      <c r="F161" s="1039"/>
      <c r="G161" s="1040"/>
      <c r="H161" s="1040"/>
      <c r="I161" s="1040"/>
      <c r="J161" s="1041"/>
      <c r="K161" s="1051">
        <f>N122</f>
        <v>0</v>
      </c>
      <c r="L161" s="1052"/>
      <c r="M161" s="1052"/>
      <c r="N161" s="1053"/>
      <c r="O161" s="1053"/>
      <c r="P161" s="1054"/>
      <c r="Q161" s="1060"/>
      <c r="R161" s="1061"/>
      <c r="S161" s="1061"/>
      <c r="T161" s="1061"/>
      <c r="U161" s="1061"/>
      <c r="V161" s="1061"/>
      <c r="W161" s="1061"/>
      <c r="X161" s="1061"/>
      <c r="Y161" s="1061"/>
      <c r="Z161" s="1061"/>
      <c r="AA161" s="1061"/>
      <c r="AB161" s="1061"/>
      <c r="AC161" s="1061"/>
      <c r="AD161" s="1061"/>
      <c r="AE161" s="1061"/>
      <c r="AF161" s="1061"/>
      <c r="AG161" s="1061"/>
      <c r="AH161" s="1061"/>
      <c r="AI161" s="1061"/>
      <c r="AJ161" s="1061"/>
      <c r="AK161" s="1061"/>
      <c r="AL161" s="1061"/>
      <c r="AM161" s="1061"/>
      <c r="AN161" s="1061"/>
      <c r="AO161" s="1061"/>
      <c r="AP161" s="1061"/>
      <c r="AQ161" s="1061"/>
      <c r="AR161" s="1061"/>
      <c r="AS161" s="1061"/>
      <c r="AT161" s="1062"/>
      <c r="AU161" s="1042" t="str">
        <f xml:space="preserve">
IF(AND(K161&gt;1,COUNTA(Q161)&lt;&gt;1),"要入力",
IF(AND(K161&gt;1,COUNTA(Q161)=1),"入力済",
IF(K161&lt;=1,"入力"&amp;CHAR(10)&amp;"不要")))</f>
        <v>入力
不要</v>
      </c>
      <c r="AV161" s="1043"/>
      <c r="AW161" s="1044"/>
      <c r="AX161" s="1045"/>
      <c r="BQ161" s="562"/>
      <c r="BR161" s="316"/>
      <c r="BS161" s="562"/>
      <c r="BT161" s="563"/>
      <c r="BZ161" s="238"/>
    </row>
    <row r="162" spans="2:78" ht="18" customHeight="1">
      <c r="B162" s="1038"/>
      <c r="C162" s="1039"/>
      <c r="D162" s="1039"/>
      <c r="E162" s="1039"/>
      <c r="F162" s="1039"/>
      <c r="G162" s="1040"/>
      <c r="H162" s="1040"/>
      <c r="I162" s="1040"/>
      <c r="J162" s="1041"/>
      <c r="K162" s="1055"/>
      <c r="L162" s="1052"/>
      <c r="M162" s="1052"/>
      <c r="N162" s="1053"/>
      <c r="O162" s="1053"/>
      <c r="P162" s="1054"/>
      <c r="Q162" s="1063"/>
      <c r="R162" s="1064"/>
      <c r="S162" s="1064"/>
      <c r="T162" s="1064"/>
      <c r="U162" s="1064"/>
      <c r="V162" s="1064"/>
      <c r="W162" s="1064"/>
      <c r="X162" s="1064"/>
      <c r="Y162" s="1064"/>
      <c r="Z162" s="1064"/>
      <c r="AA162" s="1064"/>
      <c r="AB162" s="1064"/>
      <c r="AC162" s="1064"/>
      <c r="AD162" s="1064"/>
      <c r="AE162" s="1064"/>
      <c r="AF162" s="1064"/>
      <c r="AG162" s="1064"/>
      <c r="AH162" s="1064"/>
      <c r="AI162" s="1064"/>
      <c r="AJ162" s="1064"/>
      <c r="AK162" s="1064"/>
      <c r="AL162" s="1064"/>
      <c r="AM162" s="1064"/>
      <c r="AN162" s="1064"/>
      <c r="AO162" s="1064"/>
      <c r="AP162" s="1064"/>
      <c r="AQ162" s="1064"/>
      <c r="AR162" s="1064"/>
      <c r="AS162" s="1064"/>
      <c r="AT162" s="1065"/>
      <c r="AU162" s="1042"/>
      <c r="AV162" s="1043"/>
      <c r="AW162" s="1044"/>
      <c r="AX162" s="1045"/>
      <c r="BQ162" s="562"/>
      <c r="BR162" s="316"/>
      <c r="BS162" s="562"/>
      <c r="BT162" s="563"/>
      <c r="BZ162" s="238"/>
    </row>
    <row r="163" spans="2:78" ht="18" customHeight="1">
      <c r="B163" s="1066" t="s">
        <v>476</v>
      </c>
      <c r="C163" s="1039"/>
      <c r="D163" s="1039"/>
      <c r="E163" s="1039"/>
      <c r="F163" s="1039"/>
      <c r="G163" s="1040"/>
      <c r="H163" s="1040"/>
      <c r="I163" s="1040"/>
      <c r="J163" s="1041"/>
      <c r="K163" s="1067">
        <f>N125</f>
        <v>0</v>
      </c>
      <c r="L163" s="1068"/>
      <c r="M163" s="1068"/>
      <c r="N163" s="1069"/>
      <c r="O163" s="1069"/>
      <c r="P163" s="1070"/>
      <c r="Q163" s="1060"/>
      <c r="R163" s="1061"/>
      <c r="S163" s="1061"/>
      <c r="T163" s="1061"/>
      <c r="U163" s="1061"/>
      <c r="V163" s="1061"/>
      <c r="W163" s="1061"/>
      <c r="X163" s="1061"/>
      <c r="Y163" s="1061"/>
      <c r="Z163" s="1061"/>
      <c r="AA163" s="1061"/>
      <c r="AB163" s="1061"/>
      <c r="AC163" s="1061"/>
      <c r="AD163" s="1061"/>
      <c r="AE163" s="1061"/>
      <c r="AF163" s="1061"/>
      <c r="AG163" s="1061"/>
      <c r="AH163" s="1061"/>
      <c r="AI163" s="1061"/>
      <c r="AJ163" s="1061"/>
      <c r="AK163" s="1061"/>
      <c r="AL163" s="1061"/>
      <c r="AM163" s="1061"/>
      <c r="AN163" s="1061"/>
      <c r="AO163" s="1061"/>
      <c r="AP163" s="1061"/>
      <c r="AQ163" s="1061"/>
      <c r="AR163" s="1061"/>
      <c r="AS163" s="1061"/>
      <c r="AT163" s="1062"/>
      <c r="AU163" s="1042" t="str">
        <f xml:space="preserve">
IF(AND(K163&gt;1,COUNTA(Q163)&lt;&gt;1),"要入力",
IF(AND(K163&gt;1,COUNTA(Q163)=1),"入力済",
IF(K163&lt;=1,"入力"&amp;CHAR(10)&amp;"不要")))</f>
        <v>入力
不要</v>
      </c>
      <c r="AV163" s="1043"/>
      <c r="AW163" s="1044"/>
      <c r="AX163" s="1045"/>
      <c r="BQ163" s="562"/>
      <c r="BR163" s="316"/>
      <c r="BS163" s="562"/>
      <c r="BT163" s="563"/>
      <c r="BZ163" s="238"/>
    </row>
    <row r="164" spans="2:78" ht="18" customHeight="1">
      <c r="B164" s="1038"/>
      <c r="C164" s="1039"/>
      <c r="D164" s="1039"/>
      <c r="E164" s="1039"/>
      <c r="F164" s="1039"/>
      <c r="G164" s="1040"/>
      <c r="H164" s="1040"/>
      <c r="I164" s="1040"/>
      <c r="J164" s="1041"/>
      <c r="K164" s="1071"/>
      <c r="L164" s="1068"/>
      <c r="M164" s="1068"/>
      <c r="N164" s="1069"/>
      <c r="O164" s="1069"/>
      <c r="P164" s="1070"/>
      <c r="Q164" s="1063"/>
      <c r="R164" s="1064"/>
      <c r="S164" s="1064"/>
      <c r="T164" s="1064"/>
      <c r="U164" s="1064"/>
      <c r="V164" s="1064"/>
      <c r="W164" s="1064"/>
      <c r="X164" s="1064"/>
      <c r="Y164" s="1064"/>
      <c r="Z164" s="1064"/>
      <c r="AA164" s="1064"/>
      <c r="AB164" s="1064"/>
      <c r="AC164" s="1064"/>
      <c r="AD164" s="1064"/>
      <c r="AE164" s="1064"/>
      <c r="AF164" s="1064"/>
      <c r="AG164" s="1064"/>
      <c r="AH164" s="1064"/>
      <c r="AI164" s="1064"/>
      <c r="AJ164" s="1064"/>
      <c r="AK164" s="1064"/>
      <c r="AL164" s="1064"/>
      <c r="AM164" s="1064"/>
      <c r="AN164" s="1064"/>
      <c r="AO164" s="1064"/>
      <c r="AP164" s="1064"/>
      <c r="AQ164" s="1064"/>
      <c r="AR164" s="1064"/>
      <c r="AS164" s="1064"/>
      <c r="AT164" s="1065"/>
      <c r="AU164" s="1042"/>
      <c r="AV164" s="1043"/>
      <c r="AW164" s="1044"/>
      <c r="AX164" s="1045"/>
      <c r="BQ164" s="562"/>
      <c r="BR164" s="316"/>
      <c r="BS164" s="562"/>
      <c r="BT164" s="563"/>
      <c r="BZ164" s="238"/>
    </row>
    <row r="165" spans="2:78" ht="18" customHeight="1">
      <c r="B165" s="1038" t="s">
        <v>477</v>
      </c>
      <c r="C165" s="1039"/>
      <c r="D165" s="1039"/>
      <c r="E165" s="1039"/>
      <c r="F165" s="1039"/>
      <c r="G165" s="1040"/>
      <c r="H165" s="1040"/>
      <c r="I165" s="1040"/>
      <c r="J165" s="1041"/>
      <c r="K165" s="1051">
        <f>N128</f>
        <v>0</v>
      </c>
      <c r="L165" s="1052"/>
      <c r="M165" s="1052"/>
      <c r="N165" s="1053"/>
      <c r="O165" s="1053"/>
      <c r="P165" s="1054"/>
      <c r="Q165" s="1060"/>
      <c r="R165" s="1061"/>
      <c r="S165" s="1061"/>
      <c r="T165" s="1061"/>
      <c r="U165" s="1061"/>
      <c r="V165" s="1061"/>
      <c r="W165" s="1061"/>
      <c r="X165" s="1061"/>
      <c r="Y165" s="1061"/>
      <c r="Z165" s="1061"/>
      <c r="AA165" s="1061"/>
      <c r="AB165" s="1061"/>
      <c r="AC165" s="1061"/>
      <c r="AD165" s="1061"/>
      <c r="AE165" s="1061"/>
      <c r="AF165" s="1061"/>
      <c r="AG165" s="1061"/>
      <c r="AH165" s="1061"/>
      <c r="AI165" s="1061"/>
      <c r="AJ165" s="1061"/>
      <c r="AK165" s="1061"/>
      <c r="AL165" s="1061"/>
      <c r="AM165" s="1061"/>
      <c r="AN165" s="1061"/>
      <c r="AO165" s="1061"/>
      <c r="AP165" s="1061"/>
      <c r="AQ165" s="1061"/>
      <c r="AR165" s="1061"/>
      <c r="AS165" s="1061"/>
      <c r="AT165" s="1062"/>
      <c r="AU165" s="1042" t="str">
        <f xml:space="preserve">
IF(AND(K165&gt;8,COUNTA(Q165)&lt;&gt;1),"要入力",
IF(AND(K165&gt;8,COUNTA(Q165)=1),"入力済",
IF(K165&lt;=8,"入力"&amp;CHAR(10)&amp;"不要")))</f>
        <v>入力
不要</v>
      </c>
      <c r="AV165" s="1043"/>
      <c r="AW165" s="1044"/>
      <c r="AX165" s="1045"/>
      <c r="BQ165" s="562"/>
      <c r="BR165" s="316"/>
      <c r="BS165" s="562"/>
      <c r="BT165" s="563"/>
      <c r="BZ165" s="238"/>
    </row>
    <row r="166" spans="2:78" ht="18" customHeight="1">
      <c r="B166" s="1038"/>
      <c r="C166" s="1039"/>
      <c r="D166" s="1039"/>
      <c r="E166" s="1039"/>
      <c r="F166" s="1039"/>
      <c r="G166" s="1040"/>
      <c r="H166" s="1040"/>
      <c r="I166" s="1040"/>
      <c r="J166" s="1041"/>
      <c r="K166" s="1055"/>
      <c r="L166" s="1052"/>
      <c r="M166" s="1052"/>
      <c r="N166" s="1053"/>
      <c r="O166" s="1053"/>
      <c r="P166" s="1054"/>
      <c r="Q166" s="1063"/>
      <c r="R166" s="1064"/>
      <c r="S166" s="1064"/>
      <c r="T166" s="1064"/>
      <c r="U166" s="1064"/>
      <c r="V166" s="1064"/>
      <c r="W166" s="1064"/>
      <c r="X166" s="1064"/>
      <c r="Y166" s="1064"/>
      <c r="Z166" s="1064"/>
      <c r="AA166" s="1064"/>
      <c r="AB166" s="1064"/>
      <c r="AC166" s="1064"/>
      <c r="AD166" s="1064"/>
      <c r="AE166" s="1064"/>
      <c r="AF166" s="1064"/>
      <c r="AG166" s="1064"/>
      <c r="AH166" s="1064"/>
      <c r="AI166" s="1064"/>
      <c r="AJ166" s="1064"/>
      <c r="AK166" s="1064"/>
      <c r="AL166" s="1064"/>
      <c r="AM166" s="1064"/>
      <c r="AN166" s="1064"/>
      <c r="AO166" s="1064"/>
      <c r="AP166" s="1064"/>
      <c r="AQ166" s="1064"/>
      <c r="AR166" s="1064"/>
      <c r="AS166" s="1064"/>
      <c r="AT166" s="1065"/>
      <c r="AU166" s="1042"/>
      <c r="AV166" s="1043"/>
      <c r="AW166" s="1044"/>
      <c r="AX166" s="1045"/>
      <c r="BQ166" s="562"/>
      <c r="BR166" s="316"/>
      <c r="BS166" s="562"/>
      <c r="BT166" s="563"/>
      <c r="BZ166" s="238"/>
    </row>
    <row r="167" spans="2:78" ht="18" customHeight="1">
      <c r="B167" s="1066" t="s">
        <v>1456</v>
      </c>
      <c r="C167" s="1039"/>
      <c r="D167" s="1039"/>
      <c r="E167" s="1039"/>
      <c r="F167" s="1039"/>
      <c r="G167" s="1040"/>
      <c r="H167" s="1040"/>
      <c r="I167" s="1040"/>
      <c r="J167" s="1041"/>
      <c r="K167" s="1046">
        <f>N131</f>
        <v>0</v>
      </c>
      <c r="L167" s="1047"/>
      <c r="M167" s="1047"/>
      <c r="N167" s="1048"/>
      <c r="O167" s="1048"/>
      <c r="P167" s="1049"/>
      <c r="Q167" s="1060"/>
      <c r="R167" s="1061"/>
      <c r="S167" s="1061"/>
      <c r="T167" s="1061"/>
      <c r="U167" s="1061"/>
      <c r="V167" s="1061"/>
      <c r="W167" s="1061"/>
      <c r="X167" s="1061"/>
      <c r="Y167" s="1061"/>
      <c r="Z167" s="1061"/>
      <c r="AA167" s="1061"/>
      <c r="AB167" s="1061"/>
      <c r="AC167" s="1061"/>
      <c r="AD167" s="1061"/>
      <c r="AE167" s="1061"/>
      <c r="AF167" s="1061"/>
      <c r="AG167" s="1061"/>
      <c r="AH167" s="1061"/>
      <c r="AI167" s="1061"/>
      <c r="AJ167" s="1061"/>
      <c r="AK167" s="1061"/>
      <c r="AL167" s="1061"/>
      <c r="AM167" s="1061"/>
      <c r="AN167" s="1061"/>
      <c r="AO167" s="1061"/>
      <c r="AP167" s="1061"/>
      <c r="AQ167" s="1061"/>
      <c r="AR167" s="1061"/>
      <c r="AS167" s="1061"/>
      <c r="AT167" s="1062"/>
      <c r="AU167" s="1042" t="str">
        <f xml:space="preserve">
IF(AND(K167&gt;0.5,COUNTA(Q167)&lt;&gt;1),"要入力",
IF(AND(K167&gt;0.5,COUNTA(Q167)=1),"入力済",
IF(K167&lt;=0.5,"入力"&amp;CHAR(10)&amp;"不要")))</f>
        <v>入力
不要</v>
      </c>
      <c r="AV167" s="1043"/>
      <c r="AW167" s="1044"/>
      <c r="AX167" s="1045"/>
      <c r="BQ167" s="562"/>
      <c r="BR167" s="316"/>
      <c r="BS167" s="562"/>
      <c r="BT167" s="563"/>
      <c r="BZ167" s="238"/>
    </row>
    <row r="168" spans="2:78" ht="18" customHeight="1">
      <c r="B168" s="1038"/>
      <c r="C168" s="1039"/>
      <c r="D168" s="1039"/>
      <c r="E168" s="1039"/>
      <c r="F168" s="1039"/>
      <c r="G168" s="1040"/>
      <c r="H168" s="1040"/>
      <c r="I168" s="1040"/>
      <c r="J168" s="1041"/>
      <c r="K168" s="1050"/>
      <c r="L168" s="1047"/>
      <c r="M168" s="1047"/>
      <c r="N168" s="1048"/>
      <c r="O168" s="1048"/>
      <c r="P168" s="1049"/>
      <c r="Q168" s="1063"/>
      <c r="R168" s="1064"/>
      <c r="S168" s="1064"/>
      <c r="T168" s="1064"/>
      <c r="U168" s="1064"/>
      <c r="V168" s="1064"/>
      <c r="W168" s="1064"/>
      <c r="X168" s="1064"/>
      <c r="Y168" s="1064"/>
      <c r="Z168" s="1064"/>
      <c r="AA168" s="1064"/>
      <c r="AB168" s="1064"/>
      <c r="AC168" s="1064"/>
      <c r="AD168" s="1064"/>
      <c r="AE168" s="1064"/>
      <c r="AF168" s="1064"/>
      <c r="AG168" s="1064"/>
      <c r="AH168" s="1064"/>
      <c r="AI168" s="1064"/>
      <c r="AJ168" s="1064"/>
      <c r="AK168" s="1064"/>
      <c r="AL168" s="1064"/>
      <c r="AM168" s="1064"/>
      <c r="AN168" s="1064"/>
      <c r="AO168" s="1064"/>
      <c r="AP168" s="1064"/>
      <c r="AQ168" s="1064"/>
      <c r="AR168" s="1064"/>
      <c r="AS168" s="1064"/>
      <c r="AT168" s="1065"/>
      <c r="AU168" s="1042"/>
      <c r="AV168" s="1043"/>
      <c r="AW168" s="1044"/>
      <c r="AX168" s="1045"/>
      <c r="BQ168" s="562"/>
      <c r="BR168" s="316"/>
      <c r="BS168" s="562"/>
      <c r="BT168" s="563"/>
      <c r="BZ168" s="238"/>
    </row>
    <row r="169" spans="2:78" ht="18" customHeight="1">
      <c r="B169" s="1038" t="s">
        <v>1457</v>
      </c>
      <c r="C169" s="1039"/>
      <c r="D169" s="1039"/>
      <c r="E169" s="1039"/>
      <c r="F169" s="1039"/>
      <c r="G169" s="1040"/>
      <c r="H169" s="1040"/>
      <c r="I169" s="1040"/>
      <c r="J169" s="1041"/>
      <c r="K169" s="1046">
        <f>N134</f>
        <v>0</v>
      </c>
      <c r="L169" s="1047"/>
      <c r="M169" s="1047"/>
      <c r="N169" s="1048"/>
      <c r="O169" s="1048"/>
      <c r="P169" s="1049"/>
      <c r="Q169" s="1060"/>
      <c r="R169" s="1061"/>
      <c r="S169" s="1061"/>
      <c r="T169" s="1061"/>
      <c r="U169" s="1061"/>
      <c r="V169" s="1061"/>
      <c r="W169" s="1061"/>
      <c r="X169" s="1061"/>
      <c r="Y169" s="1061"/>
      <c r="Z169" s="1061"/>
      <c r="AA169" s="1061"/>
      <c r="AB169" s="1061"/>
      <c r="AC169" s="1061"/>
      <c r="AD169" s="1061"/>
      <c r="AE169" s="1061"/>
      <c r="AF169" s="1061"/>
      <c r="AG169" s="1061"/>
      <c r="AH169" s="1061"/>
      <c r="AI169" s="1061"/>
      <c r="AJ169" s="1061"/>
      <c r="AK169" s="1061"/>
      <c r="AL169" s="1061"/>
      <c r="AM169" s="1061"/>
      <c r="AN169" s="1061"/>
      <c r="AO169" s="1061"/>
      <c r="AP169" s="1061"/>
      <c r="AQ169" s="1061"/>
      <c r="AR169" s="1061"/>
      <c r="AS169" s="1061"/>
      <c r="AT169" s="1062"/>
      <c r="AU169" s="1042" t="str">
        <f xml:space="preserve">
IF(AND(K169&gt;0.5,COUNTA(Q169)&lt;&gt;1),"要入力",
IF(AND(K169&gt;0.5,COUNTA(Q169)=1),"入力済",
IF(K169&lt;=0.5,"入力"&amp;CHAR(10)&amp;"不要")))</f>
        <v>入力
不要</v>
      </c>
      <c r="AV169" s="1043"/>
      <c r="AW169" s="1044"/>
      <c r="AX169" s="1045"/>
      <c r="BQ169" s="562"/>
      <c r="BR169" s="316"/>
      <c r="BS169" s="562"/>
      <c r="BT169" s="563"/>
      <c r="BZ169" s="238"/>
    </row>
    <row r="170" spans="2:78" ht="18" customHeight="1">
      <c r="B170" s="1038"/>
      <c r="C170" s="1039"/>
      <c r="D170" s="1039"/>
      <c r="E170" s="1039"/>
      <c r="F170" s="1039"/>
      <c r="G170" s="1040"/>
      <c r="H170" s="1040"/>
      <c r="I170" s="1040"/>
      <c r="J170" s="1041"/>
      <c r="K170" s="1050"/>
      <c r="L170" s="1047"/>
      <c r="M170" s="1047"/>
      <c r="N170" s="1048"/>
      <c r="O170" s="1048"/>
      <c r="P170" s="1049"/>
      <c r="Q170" s="1063"/>
      <c r="R170" s="1064"/>
      <c r="S170" s="1064"/>
      <c r="T170" s="1064"/>
      <c r="U170" s="1064"/>
      <c r="V170" s="1064"/>
      <c r="W170" s="1064"/>
      <c r="X170" s="1064"/>
      <c r="Y170" s="1064"/>
      <c r="Z170" s="1064"/>
      <c r="AA170" s="1064"/>
      <c r="AB170" s="1064"/>
      <c r="AC170" s="1064"/>
      <c r="AD170" s="1064"/>
      <c r="AE170" s="1064"/>
      <c r="AF170" s="1064"/>
      <c r="AG170" s="1064"/>
      <c r="AH170" s="1064"/>
      <c r="AI170" s="1064"/>
      <c r="AJ170" s="1064"/>
      <c r="AK170" s="1064"/>
      <c r="AL170" s="1064"/>
      <c r="AM170" s="1064"/>
      <c r="AN170" s="1064"/>
      <c r="AO170" s="1064"/>
      <c r="AP170" s="1064"/>
      <c r="AQ170" s="1064"/>
      <c r="AR170" s="1064"/>
      <c r="AS170" s="1064"/>
      <c r="AT170" s="1065"/>
      <c r="AU170" s="1042"/>
      <c r="AV170" s="1043"/>
      <c r="AW170" s="1044"/>
      <c r="AX170" s="1045"/>
      <c r="BQ170" s="562"/>
      <c r="BR170" s="316"/>
      <c r="BS170" s="562"/>
      <c r="BT170" s="563"/>
      <c r="BZ170" s="238"/>
    </row>
    <row r="171" spans="2:78" ht="18" customHeight="1">
      <c r="B171" s="1038" t="s">
        <v>1458</v>
      </c>
      <c r="C171" s="1039"/>
      <c r="D171" s="1039"/>
      <c r="E171" s="1039"/>
      <c r="F171" s="1039"/>
      <c r="G171" s="1040"/>
      <c r="H171" s="1040"/>
      <c r="I171" s="1040"/>
      <c r="J171" s="1041"/>
      <c r="K171" s="1046">
        <f>N137</f>
        <v>0</v>
      </c>
      <c r="L171" s="1047"/>
      <c r="M171" s="1047"/>
      <c r="N171" s="1048"/>
      <c r="O171" s="1048"/>
      <c r="P171" s="1049"/>
      <c r="Q171" s="1060"/>
      <c r="R171" s="1061"/>
      <c r="S171" s="1061"/>
      <c r="T171" s="1061"/>
      <c r="U171" s="1061"/>
      <c r="V171" s="1061"/>
      <c r="W171" s="1061"/>
      <c r="X171" s="1061"/>
      <c r="Y171" s="1061"/>
      <c r="Z171" s="1061"/>
      <c r="AA171" s="1061"/>
      <c r="AB171" s="1061"/>
      <c r="AC171" s="1061"/>
      <c r="AD171" s="1061"/>
      <c r="AE171" s="1061"/>
      <c r="AF171" s="1061"/>
      <c r="AG171" s="1061"/>
      <c r="AH171" s="1061"/>
      <c r="AI171" s="1061"/>
      <c r="AJ171" s="1061"/>
      <c r="AK171" s="1061"/>
      <c r="AL171" s="1061"/>
      <c r="AM171" s="1061"/>
      <c r="AN171" s="1061"/>
      <c r="AO171" s="1061"/>
      <c r="AP171" s="1061"/>
      <c r="AQ171" s="1061"/>
      <c r="AR171" s="1061"/>
      <c r="AS171" s="1061"/>
      <c r="AT171" s="1062"/>
      <c r="AU171" s="1042" t="str">
        <f xml:space="preserve">
IF(AND(K171&gt;1,COUNTA(Q171)&lt;&gt;1),"要入力",
IF(AND(K171&gt;1,COUNTA(Q171)=1),"入力済",
IF(K171&lt;=1,"入力"&amp;CHAR(10)&amp;"不要")))</f>
        <v>入力
不要</v>
      </c>
      <c r="AV171" s="1043"/>
      <c r="AW171" s="1044"/>
      <c r="AX171" s="1045"/>
      <c r="BQ171" s="562"/>
      <c r="BR171" s="316"/>
      <c r="BS171" s="562"/>
      <c r="BT171" s="563"/>
      <c r="BZ171" s="238"/>
    </row>
    <row r="172" spans="2:78" ht="18" customHeight="1">
      <c r="B172" s="1038"/>
      <c r="C172" s="1039"/>
      <c r="D172" s="1039"/>
      <c r="E172" s="1039"/>
      <c r="F172" s="1039"/>
      <c r="G172" s="1040"/>
      <c r="H172" s="1040"/>
      <c r="I172" s="1040"/>
      <c r="J172" s="1041"/>
      <c r="K172" s="1050"/>
      <c r="L172" s="1047"/>
      <c r="M172" s="1047"/>
      <c r="N172" s="1048"/>
      <c r="O172" s="1048"/>
      <c r="P172" s="1049"/>
      <c r="Q172" s="1063"/>
      <c r="R172" s="1064"/>
      <c r="S172" s="1064"/>
      <c r="T172" s="1064"/>
      <c r="U172" s="1064"/>
      <c r="V172" s="1064"/>
      <c r="W172" s="1064"/>
      <c r="X172" s="1064"/>
      <c r="Y172" s="1064"/>
      <c r="Z172" s="1064"/>
      <c r="AA172" s="1064"/>
      <c r="AB172" s="1064"/>
      <c r="AC172" s="1064"/>
      <c r="AD172" s="1064"/>
      <c r="AE172" s="1064"/>
      <c r="AF172" s="1064"/>
      <c r="AG172" s="1064"/>
      <c r="AH172" s="1064"/>
      <c r="AI172" s="1064"/>
      <c r="AJ172" s="1064"/>
      <c r="AK172" s="1064"/>
      <c r="AL172" s="1064"/>
      <c r="AM172" s="1064"/>
      <c r="AN172" s="1064"/>
      <c r="AO172" s="1064"/>
      <c r="AP172" s="1064"/>
      <c r="AQ172" s="1064"/>
      <c r="AR172" s="1064"/>
      <c r="AS172" s="1064"/>
      <c r="AT172" s="1065"/>
      <c r="AU172" s="1042"/>
      <c r="AV172" s="1043"/>
      <c r="AW172" s="1044"/>
      <c r="AX172" s="1045"/>
      <c r="BQ172" s="562"/>
      <c r="BR172" s="316"/>
      <c r="BS172" s="562"/>
      <c r="BT172" s="563"/>
      <c r="BZ172" s="238"/>
    </row>
    <row r="173" spans="2:78" ht="18" customHeight="1">
      <c r="B173" s="1038" t="s">
        <v>478</v>
      </c>
      <c r="C173" s="1039"/>
      <c r="D173" s="1039"/>
      <c r="E173" s="1039"/>
      <c r="F173" s="1039"/>
      <c r="G173" s="1040"/>
      <c r="H173" s="1040"/>
      <c r="I173" s="1040"/>
      <c r="J173" s="1041"/>
      <c r="K173" s="1051">
        <f>N140</f>
        <v>0</v>
      </c>
      <c r="L173" s="1052"/>
      <c r="M173" s="1052"/>
      <c r="N173" s="1053"/>
      <c r="O173" s="1053"/>
      <c r="P173" s="1054"/>
      <c r="Q173" s="1060"/>
      <c r="R173" s="1061"/>
      <c r="S173" s="1061"/>
      <c r="T173" s="1061"/>
      <c r="U173" s="1061"/>
      <c r="V173" s="1061"/>
      <c r="W173" s="1061"/>
      <c r="X173" s="1061"/>
      <c r="Y173" s="1061"/>
      <c r="Z173" s="1061"/>
      <c r="AA173" s="1061"/>
      <c r="AB173" s="1061"/>
      <c r="AC173" s="1061"/>
      <c r="AD173" s="1061"/>
      <c r="AE173" s="1061"/>
      <c r="AF173" s="1061"/>
      <c r="AG173" s="1061"/>
      <c r="AH173" s="1061"/>
      <c r="AI173" s="1061"/>
      <c r="AJ173" s="1061"/>
      <c r="AK173" s="1061"/>
      <c r="AL173" s="1061"/>
      <c r="AM173" s="1061"/>
      <c r="AN173" s="1061"/>
      <c r="AO173" s="1061"/>
      <c r="AP173" s="1061"/>
      <c r="AQ173" s="1061"/>
      <c r="AR173" s="1061"/>
      <c r="AS173" s="1061"/>
      <c r="AT173" s="1062"/>
      <c r="AU173" s="1042" t="str">
        <f xml:space="preserve">
IF(AND(K173&gt;1,COUNTA(Q173)&lt;&gt;1),"要入力",
IF(AND(K173&gt;1,COUNTA(Q173)=1),"入力済",
IF(K173&lt;=1,"入力"&amp;CHAR(10)&amp;"不要")))</f>
        <v>入力
不要</v>
      </c>
      <c r="AV173" s="1043"/>
      <c r="AW173" s="1044"/>
      <c r="AX173" s="1045"/>
      <c r="BQ173" s="562"/>
      <c r="BR173" s="316"/>
      <c r="BS173" s="562"/>
      <c r="BT173" s="563"/>
      <c r="BZ173" s="238"/>
    </row>
    <row r="174" spans="2:78" ht="18" customHeight="1">
      <c r="B174" s="1038"/>
      <c r="C174" s="1039"/>
      <c r="D174" s="1039"/>
      <c r="E174" s="1039"/>
      <c r="F174" s="1039"/>
      <c r="G174" s="1040"/>
      <c r="H174" s="1040"/>
      <c r="I174" s="1040"/>
      <c r="J174" s="1041"/>
      <c r="K174" s="1055"/>
      <c r="L174" s="1052"/>
      <c r="M174" s="1052"/>
      <c r="N174" s="1053"/>
      <c r="O174" s="1053"/>
      <c r="P174" s="1054"/>
      <c r="Q174" s="1063"/>
      <c r="R174" s="1064"/>
      <c r="S174" s="1064"/>
      <c r="T174" s="1064"/>
      <c r="U174" s="1064"/>
      <c r="V174" s="1064"/>
      <c r="W174" s="1064"/>
      <c r="X174" s="1064"/>
      <c r="Y174" s="1064"/>
      <c r="Z174" s="1064"/>
      <c r="AA174" s="1064"/>
      <c r="AB174" s="1064"/>
      <c r="AC174" s="1064"/>
      <c r="AD174" s="1064"/>
      <c r="AE174" s="1064"/>
      <c r="AF174" s="1064"/>
      <c r="AG174" s="1064"/>
      <c r="AH174" s="1064"/>
      <c r="AI174" s="1064"/>
      <c r="AJ174" s="1064"/>
      <c r="AK174" s="1064"/>
      <c r="AL174" s="1064"/>
      <c r="AM174" s="1064"/>
      <c r="AN174" s="1064"/>
      <c r="AO174" s="1064"/>
      <c r="AP174" s="1064"/>
      <c r="AQ174" s="1064"/>
      <c r="AR174" s="1064"/>
      <c r="AS174" s="1064"/>
      <c r="AT174" s="1065"/>
      <c r="AU174" s="1042"/>
      <c r="AV174" s="1043"/>
      <c r="AW174" s="1044"/>
      <c r="AX174" s="1045"/>
      <c r="BQ174" s="562"/>
      <c r="BR174" s="316"/>
      <c r="BS174" s="562"/>
      <c r="BT174" s="563"/>
      <c r="BZ174" s="238"/>
    </row>
    <row r="175" spans="2:78" ht="18" customHeight="1">
      <c r="B175" s="1038" t="s">
        <v>1459</v>
      </c>
      <c r="C175" s="1039"/>
      <c r="D175" s="1039"/>
      <c r="E175" s="1039"/>
      <c r="F175" s="1039"/>
      <c r="G175" s="1040"/>
      <c r="H175" s="1040"/>
      <c r="I175" s="1040"/>
      <c r="J175" s="1041"/>
      <c r="K175" s="1051">
        <f>N143</f>
        <v>0</v>
      </c>
      <c r="L175" s="1052"/>
      <c r="M175" s="1052"/>
      <c r="N175" s="1053"/>
      <c r="O175" s="1053"/>
      <c r="P175" s="1054"/>
      <c r="Q175" s="1060"/>
      <c r="R175" s="1061"/>
      <c r="S175" s="1061"/>
      <c r="T175" s="1061"/>
      <c r="U175" s="1061"/>
      <c r="V175" s="1061"/>
      <c r="W175" s="1061"/>
      <c r="X175" s="1061"/>
      <c r="Y175" s="1061"/>
      <c r="Z175" s="1061"/>
      <c r="AA175" s="1061"/>
      <c r="AB175" s="1061"/>
      <c r="AC175" s="1061"/>
      <c r="AD175" s="1061"/>
      <c r="AE175" s="1061"/>
      <c r="AF175" s="1061"/>
      <c r="AG175" s="1061"/>
      <c r="AH175" s="1061"/>
      <c r="AI175" s="1061"/>
      <c r="AJ175" s="1061"/>
      <c r="AK175" s="1061"/>
      <c r="AL175" s="1061"/>
      <c r="AM175" s="1061"/>
      <c r="AN175" s="1061"/>
      <c r="AO175" s="1061"/>
      <c r="AP175" s="1061"/>
      <c r="AQ175" s="1061"/>
      <c r="AR175" s="1061"/>
      <c r="AS175" s="1061"/>
      <c r="AT175" s="1062"/>
      <c r="AU175" s="1042" t="str">
        <f xml:space="preserve">
IF(AND(K175&gt;1,COUNTA(Q175)&lt;&gt;1),"要入力",
IF(AND(K175&gt;1,COUNTA(Q175)=1),"入力済",
IF(K175&lt;=1,"入力"&amp;CHAR(10)&amp;"不要")))</f>
        <v>入力
不要</v>
      </c>
      <c r="AV175" s="1043"/>
      <c r="AW175" s="1044"/>
      <c r="AX175" s="1045"/>
      <c r="BQ175" s="562"/>
      <c r="BR175" s="316"/>
      <c r="BS175" s="562"/>
      <c r="BT175" s="563"/>
      <c r="BZ175" s="238"/>
    </row>
    <row r="176" spans="2:78" ht="18" customHeight="1">
      <c r="B176" s="1038"/>
      <c r="C176" s="1039"/>
      <c r="D176" s="1039"/>
      <c r="E176" s="1039"/>
      <c r="F176" s="1039"/>
      <c r="G176" s="1040"/>
      <c r="H176" s="1040"/>
      <c r="I176" s="1040"/>
      <c r="J176" s="1041"/>
      <c r="K176" s="1055"/>
      <c r="L176" s="1052"/>
      <c r="M176" s="1052"/>
      <c r="N176" s="1053"/>
      <c r="O176" s="1053"/>
      <c r="P176" s="1054"/>
      <c r="Q176" s="1063"/>
      <c r="R176" s="1064"/>
      <c r="S176" s="1064"/>
      <c r="T176" s="1064"/>
      <c r="U176" s="1064"/>
      <c r="V176" s="1064"/>
      <c r="W176" s="1064"/>
      <c r="X176" s="1064"/>
      <c r="Y176" s="1064"/>
      <c r="Z176" s="1064"/>
      <c r="AA176" s="1064"/>
      <c r="AB176" s="1064"/>
      <c r="AC176" s="1064"/>
      <c r="AD176" s="1064"/>
      <c r="AE176" s="1064"/>
      <c r="AF176" s="1064"/>
      <c r="AG176" s="1064"/>
      <c r="AH176" s="1064"/>
      <c r="AI176" s="1064"/>
      <c r="AJ176" s="1064"/>
      <c r="AK176" s="1064"/>
      <c r="AL176" s="1064"/>
      <c r="AM176" s="1064"/>
      <c r="AN176" s="1064"/>
      <c r="AO176" s="1064"/>
      <c r="AP176" s="1064"/>
      <c r="AQ176" s="1064"/>
      <c r="AR176" s="1064"/>
      <c r="AS176" s="1064"/>
      <c r="AT176" s="1065"/>
      <c r="AU176" s="1042"/>
      <c r="AV176" s="1043"/>
      <c r="AW176" s="1044"/>
      <c r="AX176" s="1045"/>
      <c r="BQ176" s="562"/>
      <c r="BR176" s="316"/>
      <c r="BS176" s="562"/>
      <c r="BT176" s="563"/>
      <c r="BZ176" s="238"/>
    </row>
    <row r="177" spans="2:78" ht="18" customHeight="1">
      <c r="B177" s="1038" t="s">
        <v>1460</v>
      </c>
      <c r="C177" s="1039"/>
      <c r="D177" s="1039"/>
      <c r="E177" s="1039"/>
      <c r="F177" s="1039"/>
      <c r="G177" s="1040"/>
      <c r="H177" s="1040"/>
      <c r="I177" s="1040"/>
      <c r="J177" s="1041"/>
      <c r="K177" s="1046">
        <f>N146</f>
        <v>0</v>
      </c>
      <c r="L177" s="1047"/>
      <c r="M177" s="1047"/>
      <c r="N177" s="1048"/>
      <c r="O177" s="1048"/>
      <c r="P177" s="1049"/>
      <c r="Q177" s="1060"/>
      <c r="R177" s="1061"/>
      <c r="S177" s="1061"/>
      <c r="T177" s="1061"/>
      <c r="U177" s="1061"/>
      <c r="V177" s="1061"/>
      <c r="W177" s="1061"/>
      <c r="X177" s="1061"/>
      <c r="Y177" s="1061"/>
      <c r="Z177" s="1061"/>
      <c r="AA177" s="1061"/>
      <c r="AB177" s="1061"/>
      <c r="AC177" s="1061"/>
      <c r="AD177" s="1061"/>
      <c r="AE177" s="1061"/>
      <c r="AF177" s="1061"/>
      <c r="AG177" s="1061"/>
      <c r="AH177" s="1061"/>
      <c r="AI177" s="1061"/>
      <c r="AJ177" s="1061"/>
      <c r="AK177" s="1061"/>
      <c r="AL177" s="1061"/>
      <c r="AM177" s="1061"/>
      <c r="AN177" s="1061"/>
      <c r="AO177" s="1061"/>
      <c r="AP177" s="1061"/>
      <c r="AQ177" s="1061"/>
      <c r="AR177" s="1061"/>
      <c r="AS177" s="1061"/>
      <c r="AT177" s="1062"/>
      <c r="AU177" s="1042" t="str">
        <f xml:space="preserve">
IF(AND(K177&gt;0.5,COUNTA(Q177)&lt;&gt;1),"要入力",
IF(AND(K177&gt;0.5,COUNTA(Q177)=1),"入力済",
IF(K177&lt;=0.5,"入力"&amp;CHAR(10)&amp;"不要")))</f>
        <v>入力
不要</v>
      </c>
      <c r="AV177" s="1043"/>
      <c r="AW177" s="1044"/>
      <c r="AX177" s="1045"/>
      <c r="BQ177" s="562"/>
      <c r="BR177" s="316"/>
      <c r="BS177" s="562"/>
      <c r="BT177" s="563"/>
      <c r="BZ177" s="238"/>
    </row>
    <row r="178" spans="2:78" ht="18" customHeight="1">
      <c r="B178" s="1038"/>
      <c r="C178" s="1039"/>
      <c r="D178" s="1039"/>
      <c r="E178" s="1039"/>
      <c r="F178" s="1039"/>
      <c r="G178" s="1040"/>
      <c r="H178" s="1040"/>
      <c r="I178" s="1040"/>
      <c r="J178" s="1041"/>
      <c r="K178" s="1050"/>
      <c r="L178" s="1047"/>
      <c r="M178" s="1047"/>
      <c r="N178" s="1048"/>
      <c r="O178" s="1048"/>
      <c r="P178" s="1049"/>
      <c r="Q178" s="1063"/>
      <c r="R178" s="1064"/>
      <c r="S178" s="1064"/>
      <c r="T178" s="1064"/>
      <c r="U178" s="1064"/>
      <c r="V178" s="1064"/>
      <c r="W178" s="1064"/>
      <c r="X178" s="1064"/>
      <c r="Y178" s="1064"/>
      <c r="Z178" s="1064"/>
      <c r="AA178" s="1064"/>
      <c r="AB178" s="1064"/>
      <c r="AC178" s="1064"/>
      <c r="AD178" s="1064"/>
      <c r="AE178" s="1064"/>
      <c r="AF178" s="1064"/>
      <c r="AG178" s="1064"/>
      <c r="AH178" s="1064"/>
      <c r="AI178" s="1064"/>
      <c r="AJ178" s="1064"/>
      <c r="AK178" s="1064"/>
      <c r="AL178" s="1064"/>
      <c r="AM178" s="1064"/>
      <c r="AN178" s="1064"/>
      <c r="AO178" s="1064"/>
      <c r="AP178" s="1064"/>
      <c r="AQ178" s="1064"/>
      <c r="AR178" s="1064"/>
      <c r="AS178" s="1064"/>
      <c r="AT178" s="1065"/>
      <c r="AU178" s="1042"/>
      <c r="AV178" s="1043"/>
      <c r="AW178" s="1044"/>
      <c r="AX178" s="1045"/>
      <c r="BQ178" s="562"/>
      <c r="BR178" s="316"/>
      <c r="BS178" s="562"/>
      <c r="BT178" s="563"/>
      <c r="BZ178" s="238"/>
    </row>
    <row r="179" spans="2:78" ht="18" customHeight="1">
      <c r="B179" s="1038" t="s">
        <v>1461</v>
      </c>
      <c r="C179" s="1039"/>
      <c r="D179" s="1039"/>
      <c r="E179" s="1039"/>
      <c r="F179" s="1039"/>
      <c r="G179" s="1040"/>
      <c r="H179" s="1040"/>
      <c r="I179" s="1040"/>
      <c r="J179" s="1041"/>
      <c r="K179" s="1051">
        <f>N149</f>
        <v>0</v>
      </c>
      <c r="L179" s="1052"/>
      <c r="M179" s="1052"/>
      <c r="N179" s="1053"/>
      <c r="O179" s="1053"/>
      <c r="P179" s="1054"/>
      <c r="Q179" s="1060"/>
      <c r="R179" s="1061"/>
      <c r="S179" s="1061"/>
      <c r="T179" s="1061"/>
      <c r="U179" s="1061"/>
      <c r="V179" s="1061"/>
      <c r="W179" s="1061"/>
      <c r="X179" s="1061"/>
      <c r="Y179" s="1061"/>
      <c r="Z179" s="1061"/>
      <c r="AA179" s="1061"/>
      <c r="AB179" s="1061"/>
      <c r="AC179" s="1061"/>
      <c r="AD179" s="1061"/>
      <c r="AE179" s="1061"/>
      <c r="AF179" s="1061"/>
      <c r="AG179" s="1061"/>
      <c r="AH179" s="1061"/>
      <c r="AI179" s="1061"/>
      <c r="AJ179" s="1061"/>
      <c r="AK179" s="1061"/>
      <c r="AL179" s="1061"/>
      <c r="AM179" s="1061"/>
      <c r="AN179" s="1061"/>
      <c r="AO179" s="1061"/>
      <c r="AP179" s="1061"/>
      <c r="AQ179" s="1061"/>
      <c r="AR179" s="1061"/>
      <c r="AS179" s="1061"/>
      <c r="AT179" s="1062"/>
      <c r="AU179" s="1042" t="str">
        <f xml:space="preserve">
IF(AND(K179&gt;1,COUNTA(Q179)&lt;&gt;1),"要入力",
IF(AND(K179&gt;1,COUNTA(Q179)=1),"入力済",
IF(K179&lt;=1,"入力"&amp;CHAR(10)&amp;"不要")))</f>
        <v>入力
不要</v>
      </c>
      <c r="AV179" s="1043"/>
      <c r="AW179" s="1044"/>
      <c r="AX179" s="1045"/>
      <c r="BQ179" s="562"/>
      <c r="BR179" s="316"/>
      <c r="BS179" s="562"/>
      <c r="BT179" s="563"/>
      <c r="BZ179" s="238"/>
    </row>
    <row r="180" spans="2:78" ht="18" customHeight="1">
      <c r="B180" s="1038"/>
      <c r="C180" s="1039"/>
      <c r="D180" s="1039"/>
      <c r="E180" s="1039"/>
      <c r="F180" s="1039"/>
      <c r="G180" s="1040"/>
      <c r="H180" s="1040"/>
      <c r="I180" s="1040"/>
      <c r="J180" s="1041"/>
      <c r="K180" s="1055"/>
      <c r="L180" s="1052"/>
      <c r="M180" s="1052"/>
      <c r="N180" s="1053"/>
      <c r="O180" s="1053"/>
      <c r="P180" s="1054"/>
      <c r="Q180" s="1063"/>
      <c r="R180" s="1064"/>
      <c r="S180" s="1064"/>
      <c r="T180" s="1064"/>
      <c r="U180" s="1064"/>
      <c r="V180" s="1064"/>
      <c r="W180" s="1064"/>
      <c r="X180" s="1064"/>
      <c r="Y180" s="1064"/>
      <c r="Z180" s="1064"/>
      <c r="AA180" s="1064"/>
      <c r="AB180" s="1064"/>
      <c r="AC180" s="1064"/>
      <c r="AD180" s="1064"/>
      <c r="AE180" s="1064"/>
      <c r="AF180" s="1064"/>
      <c r="AG180" s="1064"/>
      <c r="AH180" s="1064"/>
      <c r="AI180" s="1064"/>
      <c r="AJ180" s="1064"/>
      <c r="AK180" s="1064"/>
      <c r="AL180" s="1064"/>
      <c r="AM180" s="1064"/>
      <c r="AN180" s="1064"/>
      <c r="AO180" s="1064"/>
      <c r="AP180" s="1064"/>
      <c r="AQ180" s="1064"/>
      <c r="AR180" s="1064"/>
      <c r="AS180" s="1064"/>
      <c r="AT180" s="1065"/>
      <c r="AU180" s="1042"/>
      <c r="AV180" s="1043"/>
      <c r="AW180" s="1044"/>
      <c r="AX180" s="1045"/>
      <c r="BQ180" s="562"/>
      <c r="BR180" s="316"/>
      <c r="BS180" s="562"/>
      <c r="BT180" s="563"/>
      <c r="BZ180" s="238"/>
    </row>
    <row r="181" spans="2:78" ht="18" customHeight="1">
      <c r="B181" s="1038" t="s">
        <v>1462</v>
      </c>
      <c r="C181" s="1039"/>
      <c r="D181" s="1039"/>
      <c r="E181" s="1039"/>
      <c r="F181" s="1039"/>
      <c r="G181" s="1040"/>
      <c r="H181" s="1040"/>
      <c r="I181" s="1040"/>
      <c r="J181" s="1041"/>
      <c r="K181" s="1051">
        <f>N152</f>
        <v>0</v>
      </c>
      <c r="L181" s="1052"/>
      <c r="M181" s="1052"/>
      <c r="N181" s="1053"/>
      <c r="O181" s="1053"/>
      <c r="P181" s="1054"/>
      <c r="Q181" s="1060"/>
      <c r="R181" s="1061"/>
      <c r="S181" s="1061"/>
      <c r="T181" s="1061"/>
      <c r="U181" s="1061"/>
      <c r="V181" s="1061"/>
      <c r="W181" s="1061"/>
      <c r="X181" s="1061"/>
      <c r="Y181" s="1061"/>
      <c r="Z181" s="1061"/>
      <c r="AA181" s="1061"/>
      <c r="AB181" s="1061"/>
      <c r="AC181" s="1061"/>
      <c r="AD181" s="1061"/>
      <c r="AE181" s="1061"/>
      <c r="AF181" s="1061"/>
      <c r="AG181" s="1061"/>
      <c r="AH181" s="1061"/>
      <c r="AI181" s="1061"/>
      <c r="AJ181" s="1061"/>
      <c r="AK181" s="1061"/>
      <c r="AL181" s="1061"/>
      <c r="AM181" s="1061"/>
      <c r="AN181" s="1061"/>
      <c r="AO181" s="1061"/>
      <c r="AP181" s="1061"/>
      <c r="AQ181" s="1061"/>
      <c r="AR181" s="1061"/>
      <c r="AS181" s="1061"/>
      <c r="AT181" s="1062"/>
      <c r="AU181" s="1042" t="str">
        <f xml:space="preserve">
IF(AND(K181&gt;0.5,COUNTA(Q181)&lt;&gt;1),"要入力",
IF(AND(K181&gt;0.5,COUNTA(Q181)=1),"入力済",
IF(K181&lt;=0.5,"入力"&amp;CHAR(10)&amp;"不要")))</f>
        <v>入力
不要</v>
      </c>
      <c r="AV181" s="1043"/>
      <c r="AW181" s="1044"/>
      <c r="AX181" s="1045"/>
      <c r="BQ181" s="562"/>
      <c r="BR181" s="316"/>
      <c r="BS181" s="562"/>
      <c r="BT181" s="563"/>
      <c r="BZ181" s="238"/>
    </row>
    <row r="182" spans="2:78" ht="18" customHeight="1" thickBot="1">
      <c r="B182" s="1038"/>
      <c r="C182" s="1039"/>
      <c r="D182" s="1039"/>
      <c r="E182" s="1039"/>
      <c r="F182" s="1039"/>
      <c r="G182" s="1040"/>
      <c r="H182" s="1040"/>
      <c r="I182" s="1040"/>
      <c r="J182" s="1041"/>
      <c r="K182" s="1055"/>
      <c r="L182" s="1052"/>
      <c r="M182" s="1052"/>
      <c r="N182" s="1053"/>
      <c r="O182" s="1053"/>
      <c r="P182" s="1054"/>
      <c r="Q182" s="1063"/>
      <c r="R182" s="1064"/>
      <c r="S182" s="1064"/>
      <c r="T182" s="1064"/>
      <c r="U182" s="1064"/>
      <c r="V182" s="1064"/>
      <c r="W182" s="1064"/>
      <c r="X182" s="1064"/>
      <c r="Y182" s="1064"/>
      <c r="Z182" s="1064"/>
      <c r="AA182" s="1064"/>
      <c r="AB182" s="1064"/>
      <c r="AC182" s="1064"/>
      <c r="AD182" s="1064"/>
      <c r="AE182" s="1064"/>
      <c r="AF182" s="1064"/>
      <c r="AG182" s="1064"/>
      <c r="AH182" s="1064"/>
      <c r="AI182" s="1064"/>
      <c r="AJ182" s="1064"/>
      <c r="AK182" s="1064"/>
      <c r="AL182" s="1064"/>
      <c r="AM182" s="1064"/>
      <c r="AN182" s="1064"/>
      <c r="AO182" s="1064"/>
      <c r="AP182" s="1064"/>
      <c r="AQ182" s="1064"/>
      <c r="AR182" s="1064"/>
      <c r="AS182" s="1064"/>
      <c r="AT182" s="1065"/>
      <c r="AU182" s="1056"/>
      <c r="AV182" s="1057"/>
      <c r="AW182" s="1058"/>
      <c r="AX182" s="1059"/>
      <c r="BQ182" s="562"/>
      <c r="BR182" s="316"/>
      <c r="BS182" s="562"/>
      <c r="BT182" s="563"/>
      <c r="BZ182" s="238"/>
    </row>
    <row r="183" spans="2:78" ht="18.75" thickTop="1">
      <c r="BQ183" s="562"/>
      <c r="BR183" s="316"/>
      <c r="BS183" s="562"/>
      <c r="BT183" s="563"/>
      <c r="BZ183" s="238"/>
    </row>
    <row r="184" spans="2:78">
      <c r="BQ184" s="562"/>
      <c r="BR184" s="316"/>
      <c r="BS184" s="562"/>
      <c r="BT184" s="563"/>
      <c r="BZ184" s="238"/>
    </row>
    <row r="185" spans="2:78">
      <c r="BQ185" s="562"/>
      <c r="BR185" s="316"/>
      <c r="BS185" s="562"/>
      <c r="BT185" s="563"/>
      <c r="BZ185" s="238"/>
    </row>
    <row r="186" spans="2:78">
      <c r="BQ186" s="562"/>
      <c r="BR186" s="316"/>
      <c r="BS186" s="562"/>
      <c r="BT186" s="563"/>
      <c r="BZ186" s="238"/>
    </row>
    <row r="187" spans="2:78">
      <c r="BQ187" s="562"/>
      <c r="BR187" s="316"/>
      <c r="BS187" s="562"/>
      <c r="BT187" s="563"/>
      <c r="BZ187" s="238"/>
    </row>
    <row r="188" spans="2:78">
      <c r="BQ188" s="562"/>
      <c r="BR188" s="316"/>
      <c r="BS188" s="562"/>
      <c r="BT188" s="563"/>
      <c r="BZ188" s="238"/>
    </row>
    <row r="189" spans="2:78">
      <c r="BQ189" s="562"/>
      <c r="BR189" s="316"/>
      <c r="BS189" s="562"/>
      <c r="BT189" s="563"/>
      <c r="BZ189" s="238"/>
    </row>
    <row r="190" spans="2:78">
      <c r="BQ190" s="562"/>
      <c r="BR190" s="316"/>
      <c r="BS190" s="562"/>
      <c r="BT190" s="563"/>
      <c r="BZ190" s="238"/>
    </row>
    <row r="191" spans="2:78">
      <c r="BQ191" s="562"/>
      <c r="BR191" s="316"/>
      <c r="BS191" s="562"/>
      <c r="BT191" s="563"/>
      <c r="BZ191" s="238"/>
    </row>
    <row r="192" spans="2:78">
      <c r="BQ192" s="562"/>
      <c r="BR192" s="316"/>
      <c r="BS192" s="562"/>
      <c r="BT192" s="563"/>
      <c r="BZ192" s="238"/>
    </row>
    <row r="193" spans="69:78">
      <c r="BQ193" s="562"/>
      <c r="BR193" s="316"/>
      <c r="BS193" s="562"/>
      <c r="BT193" s="563"/>
      <c r="BZ193" s="238"/>
    </row>
    <row r="194" spans="69:78">
      <c r="BQ194" s="562"/>
      <c r="BR194" s="316"/>
      <c r="BS194" s="562"/>
      <c r="BT194" s="563"/>
      <c r="BZ194" s="238"/>
    </row>
    <row r="195" spans="69:78">
      <c r="BQ195" s="562"/>
      <c r="BR195" s="316"/>
      <c r="BS195" s="562"/>
      <c r="BT195" s="563"/>
      <c r="BZ195" s="238"/>
    </row>
    <row r="196" spans="69:78">
      <c r="BQ196" s="562"/>
      <c r="BR196" s="316"/>
      <c r="BS196" s="562"/>
      <c r="BT196" s="563"/>
      <c r="BZ196" s="238"/>
    </row>
    <row r="197" spans="69:78">
      <c r="BQ197" s="562"/>
      <c r="BR197" s="316"/>
      <c r="BS197" s="562"/>
      <c r="BT197" s="563"/>
      <c r="BZ197" s="238"/>
    </row>
    <row r="198" spans="69:78">
      <c r="BQ198" s="562"/>
      <c r="BR198" s="316"/>
      <c r="BS198" s="562"/>
      <c r="BT198" s="563"/>
      <c r="BZ198" s="238"/>
    </row>
    <row r="199" spans="69:78">
      <c r="BQ199" s="562"/>
      <c r="BR199" s="316"/>
      <c r="BS199" s="562"/>
      <c r="BT199" s="563"/>
      <c r="BZ199" s="238"/>
    </row>
    <row r="200" spans="69:78">
      <c r="BQ200" s="562"/>
      <c r="BR200" s="316"/>
      <c r="BS200" s="562"/>
      <c r="BT200" s="563"/>
      <c r="BZ200" s="238"/>
    </row>
    <row r="201" spans="69:78">
      <c r="BQ201" s="562"/>
      <c r="BR201" s="316"/>
      <c r="BS201" s="562"/>
      <c r="BT201" s="563"/>
      <c r="BZ201" s="238"/>
    </row>
    <row r="202" spans="69:78">
      <c r="BQ202" s="562"/>
      <c r="BR202" s="316"/>
      <c r="BS202" s="562"/>
      <c r="BT202" s="563"/>
      <c r="BZ202" s="238"/>
    </row>
    <row r="203" spans="69:78">
      <c r="BQ203" s="562"/>
      <c r="BR203" s="316"/>
      <c r="BS203" s="562"/>
      <c r="BT203" s="563"/>
      <c r="BZ203" s="238"/>
    </row>
    <row r="204" spans="69:78">
      <c r="BQ204" s="562"/>
      <c r="BR204" s="316"/>
      <c r="BS204" s="562"/>
      <c r="BT204" s="563"/>
      <c r="BZ204" s="238"/>
    </row>
    <row r="205" spans="69:78">
      <c r="BQ205" s="562"/>
      <c r="BR205" s="316"/>
      <c r="BS205" s="562"/>
      <c r="BT205" s="563"/>
      <c r="BZ205" s="238"/>
    </row>
    <row r="206" spans="69:78">
      <c r="BQ206" s="562"/>
      <c r="BR206" s="316"/>
      <c r="BS206" s="562"/>
      <c r="BT206" s="563"/>
      <c r="BZ206" s="238"/>
    </row>
    <row r="207" spans="69:78">
      <c r="BQ207" s="562"/>
      <c r="BR207" s="316"/>
      <c r="BS207" s="562"/>
      <c r="BT207" s="563"/>
      <c r="BZ207" s="238"/>
    </row>
    <row r="208" spans="69:78">
      <c r="BQ208" s="562"/>
      <c r="BR208" s="316"/>
      <c r="BS208" s="562"/>
      <c r="BT208" s="563"/>
      <c r="BZ208" s="238"/>
    </row>
    <row r="209" spans="69:78">
      <c r="BQ209" s="562"/>
      <c r="BR209" s="316"/>
      <c r="BS209" s="562"/>
      <c r="BT209" s="563"/>
      <c r="BZ209" s="238"/>
    </row>
    <row r="210" spans="69:78">
      <c r="BQ210" s="562"/>
      <c r="BR210" s="316"/>
      <c r="BS210" s="562"/>
      <c r="BT210" s="563"/>
      <c r="BZ210" s="238"/>
    </row>
    <row r="211" spans="69:78">
      <c r="BQ211" s="562"/>
      <c r="BR211" s="316"/>
      <c r="BS211" s="562"/>
      <c r="BT211" s="563"/>
      <c r="BZ211" s="238"/>
    </row>
    <row r="212" spans="69:78">
      <c r="BQ212" s="562"/>
      <c r="BR212" s="316"/>
      <c r="BS212" s="562"/>
      <c r="BT212" s="563"/>
      <c r="BZ212" s="238"/>
    </row>
    <row r="213" spans="69:78">
      <c r="BQ213" s="562"/>
      <c r="BR213" s="316"/>
      <c r="BS213" s="562"/>
      <c r="BT213" s="563"/>
      <c r="BZ213" s="238"/>
    </row>
    <row r="214" spans="69:78">
      <c r="BQ214" s="562"/>
      <c r="BR214" s="316"/>
      <c r="BS214" s="562"/>
      <c r="BT214" s="563"/>
      <c r="BZ214" s="238"/>
    </row>
    <row r="215" spans="69:78">
      <c r="BQ215" s="562"/>
      <c r="BR215" s="316"/>
      <c r="BS215" s="562"/>
      <c r="BT215" s="563"/>
      <c r="BZ215" s="238"/>
    </row>
    <row r="216" spans="69:78">
      <c r="BQ216" s="562"/>
      <c r="BR216" s="316"/>
      <c r="BS216" s="562"/>
      <c r="BT216" s="563"/>
      <c r="BZ216" s="238"/>
    </row>
    <row r="217" spans="69:78">
      <c r="BQ217" s="562"/>
      <c r="BR217" s="316"/>
      <c r="BS217" s="562"/>
      <c r="BT217" s="563"/>
      <c r="BZ217" s="238"/>
    </row>
    <row r="218" spans="69:78">
      <c r="BQ218" s="562"/>
      <c r="BR218" s="316"/>
      <c r="BS218" s="562"/>
      <c r="BT218" s="563"/>
      <c r="BZ218" s="238"/>
    </row>
    <row r="219" spans="69:78">
      <c r="BQ219" s="562"/>
      <c r="BR219" s="316"/>
      <c r="BS219" s="562"/>
      <c r="BT219" s="563"/>
      <c r="BZ219" s="238"/>
    </row>
    <row r="220" spans="69:78">
      <c r="BQ220" s="562"/>
      <c r="BR220" s="316"/>
      <c r="BS220" s="562"/>
      <c r="BT220" s="563"/>
      <c r="BZ220" s="238"/>
    </row>
    <row r="221" spans="69:78">
      <c r="BQ221" s="562"/>
      <c r="BR221" s="316"/>
      <c r="BS221" s="562"/>
      <c r="BT221" s="563"/>
      <c r="BZ221" s="238"/>
    </row>
    <row r="222" spans="69:78">
      <c r="BQ222" s="562"/>
      <c r="BR222" s="316"/>
      <c r="BS222" s="562"/>
      <c r="BT222" s="563"/>
      <c r="BZ222" s="238"/>
    </row>
    <row r="223" spans="69:78">
      <c r="BQ223" s="562"/>
      <c r="BR223" s="316"/>
      <c r="BS223" s="562"/>
      <c r="BT223" s="563"/>
      <c r="BZ223" s="238"/>
    </row>
    <row r="224" spans="69:78">
      <c r="BQ224" s="562"/>
      <c r="BR224" s="316"/>
      <c r="BS224" s="562"/>
      <c r="BT224" s="563"/>
      <c r="BZ224" s="238"/>
    </row>
    <row r="225" spans="69:78">
      <c r="BQ225" s="562"/>
      <c r="BR225" s="316"/>
      <c r="BS225" s="562"/>
      <c r="BT225" s="563"/>
      <c r="BZ225" s="238"/>
    </row>
    <row r="226" spans="69:78">
      <c r="BQ226" s="562"/>
      <c r="BR226" s="316"/>
      <c r="BS226" s="562"/>
      <c r="BT226" s="563"/>
      <c r="BZ226" s="238"/>
    </row>
    <row r="227" spans="69:78">
      <c r="BQ227" s="562"/>
      <c r="BR227" s="316"/>
      <c r="BS227" s="562"/>
      <c r="BT227" s="563"/>
      <c r="BZ227" s="238"/>
    </row>
    <row r="228" spans="69:78">
      <c r="BQ228" s="562"/>
      <c r="BR228" s="316"/>
      <c r="BS228" s="562"/>
      <c r="BT228" s="563"/>
      <c r="BZ228" s="238"/>
    </row>
    <row r="229" spans="69:78">
      <c r="BQ229" s="562"/>
      <c r="BR229" s="316"/>
      <c r="BS229" s="562"/>
      <c r="BT229" s="563"/>
      <c r="BZ229" s="238"/>
    </row>
    <row r="230" spans="69:78">
      <c r="BQ230" s="562"/>
      <c r="BR230" s="316"/>
      <c r="BS230" s="562"/>
      <c r="BT230" s="563"/>
      <c r="BZ230" s="238"/>
    </row>
    <row r="231" spans="69:78">
      <c r="BQ231" s="562"/>
      <c r="BR231" s="316"/>
      <c r="BS231" s="562"/>
      <c r="BT231" s="563"/>
      <c r="BZ231" s="238"/>
    </row>
    <row r="232" spans="69:78">
      <c r="BQ232" s="562"/>
      <c r="BR232" s="316"/>
      <c r="BS232" s="562"/>
      <c r="BT232" s="563"/>
      <c r="BZ232" s="238"/>
    </row>
    <row r="233" spans="69:78">
      <c r="BQ233" s="562"/>
      <c r="BR233" s="316"/>
      <c r="BS233" s="562"/>
      <c r="BT233" s="563"/>
      <c r="BZ233" s="238"/>
    </row>
    <row r="234" spans="69:78">
      <c r="BQ234" s="562"/>
      <c r="BR234" s="316"/>
      <c r="BS234" s="562"/>
      <c r="BT234" s="563"/>
      <c r="BZ234" s="238"/>
    </row>
    <row r="235" spans="69:78">
      <c r="BQ235" s="562"/>
      <c r="BR235" s="316"/>
      <c r="BS235" s="562"/>
      <c r="BT235" s="563"/>
      <c r="BZ235" s="238"/>
    </row>
    <row r="236" spans="69:78">
      <c r="BQ236" s="562"/>
      <c r="BR236" s="316"/>
      <c r="BS236" s="562"/>
      <c r="BT236" s="563"/>
      <c r="BZ236" s="238"/>
    </row>
    <row r="237" spans="69:78">
      <c r="BQ237" s="562"/>
      <c r="BR237" s="316"/>
      <c r="BS237" s="562"/>
      <c r="BT237" s="563"/>
      <c r="BZ237" s="238"/>
    </row>
    <row r="238" spans="69:78">
      <c r="BQ238" s="562"/>
      <c r="BR238" s="316"/>
      <c r="BS238" s="562"/>
      <c r="BT238" s="563"/>
      <c r="BZ238" s="238"/>
    </row>
    <row r="239" spans="69:78">
      <c r="BQ239" s="562"/>
      <c r="BR239" s="316"/>
      <c r="BS239" s="562"/>
      <c r="BT239" s="563"/>
      <c r="BZ239" s="238"/>
    </row>
    <row r="240" spans="69:78">
      <c r="BQ240" s="562"/>
      <c r="BR240" s="316"/>
      <c r="BS240" s="562"/>
      <c r="BT240" s="563"/>
      <c r="BZ240" s="238"/>
    </row>
    <row r="241" spans="69:78">
      <c r="BQ241" s="562"/>
      <c r="BR241" s="316"/>
      <c r="BS241" s="562"/>
      <c r="BT241" s="563"/>
      <c r="BZ241" s="238"/>
    </row>
    <row r="242" spans="69:78">
      <c r="BQ242" s="562"/>
      <c r="BR242" s="316"/>
      <c r="BS242" s="562"/>
      <c r="BT242" s="563"/>
      <c r="BZ242" s="238"/>
    </row>
    <row r="243" spans="69:78">
      <c r="BQ243" s="562"/>
      <c r="BR243" s="316"/>
      <c r="BS243" s="562"/>
      <c r="BT243" s="563"/>
      <c r="BZ243" s="238"/>
    </row>
    <row r="244" spans="69:78">
      <c r="BQ244" s="562"/>
      <c r="BR244" s="316"/>
      <c r="BS244" s="562"/>
      <c r="BT244" s="563"/>
      <c r="BZ244" s="238"/>
    </row>
    <row r="245" spans="69:78">
      <c r="BQ245" s="562"/>
      <c r="BR245" s="316"/>
      <c r="BS245" s="562"/>
      <c r="BT245" s="563"/>
      <c r="BZ245" s="238"/>
    </row>
    <row r="246" spans="69:78">
      <c r="BQ246" s="562"/>
      <c r="BR246" s="316"/>
      <c r="BS246" s="562"/>
      <c r="BT246" s="563"/>
      <c r="BZ246" s="238"/>
    </row>
    <row r="247" spans="69:78">
      <c r="BQ247" s="562"/>
      <c r="BR247" s="316"/>
      <c r="BS247" s="562"/>
      <c r="BT247" s="563"/>
      <c r="BZ247" s="238"/>
    </row>
    <row r="248" spans="69:78">
      <c r="BQ248" s="562"/>
      <c r="BR248" s="316"/>
      <c r="BS248" s="562"/>
      <c r="BT248" s="563"/>
      <c r="BZ248" s="238"/>
    </row>
    <row r="249" spans="69:78">
      <c r="BQ249" s="562"/>
      <c r="BR249" s="316"/>
      <c r="BS249" s="562"/>
      <c r="BT249" s="563"/>
      <c r="BZ249" s="238"/>
    </row>
    <row r="250" spans="69:78">
      <c r="BQ250" s="562"/>
      <c r="BR250" s="316"/>
      <c r="BS250" s="562"/>
      <c r="BT250" s="563"/>
      <c r="BZ250" s="238"/>
    </row>
    <row r="251" spans="69:78">
      <c r="BQ251" s="562"/>
      <c r="BR251" s="316"/>
      <c r="BS251" s="562"/>
      <c r="BT251" s="563"/>
      <c r="BZ251" s="238"/>
    </row>
    <row r="252" spans="69:78">
      <c r="BQ252" s="562"/>
      <c r="BR252" s="316"/>
      <c r="BS252" s="562"/>
      <c r="BT252" s="563"/>
    </row>
    <row r="253" spans="69:78">
      <c r="BQ253" s="562"/>
      <c r="BR253" s="316"/>
      <c r="BS253" s="562"/>
      <c r="BT253" s="563"/>
    </row>
    <row r="254" spans="69:78">
      <c r="BQ254" s="562"/>
      <c r="BR254" s="316"/>
      <c r="BS254" s="562"/>
      <c r="BT254" s="563"/>
    </row>
    <row r="255" spans="69:78">
      <c r="BQ255" s="562"/>
      <c r="BR255" s="316"/>
      <c r="BS255" s="562"/>
      <c r="BT255" s="563"/>
    </row>
    <row r="256" spans="69:78">
      <c r="BQ256" s="562"/>
      <c r="BR256" s="316"/>
      <c r="BS256" s="562"/>
      <c r="BT256" s="563"/>
    </row>
    <row r="257" spans="69:72">
      <c r="BQ257" s="562"/>
      <c r="BR257" s="316"/>
      <c r="BS257" s="562"/>
      <c r="BT257" s="563"/>
    </row>
    <row r="258" spans="69:72">
      <c r="BQ258" s="562"/>
      <c r="BR258" s="316"/>
      <c r="BS258" s="562"/>
      <c r="BT258" s="563"/>
    </row>
    <row r="259" spans="69:72">
      <c r="BQ259" s="562"/>
      <c r="BR259" s="316"/>
      <c r="BS259" s="562"/>
      <c r="BT259" s="563"/>
    </row>
    <row r="260" spans="69:72">
      <c r="BQ260" s="562"/>
      <c r="BR260" s="316"/>
      <c r="BS260" s="562"/>
      <c r="BT260" s="563"/>
    </row>
    <row r="261" spans="69:72">
      <c r="BQ261" s="562"/>
      <c r="BR261" s="316"/>
      <c r="BS261" s="562"/>
      <c r="BT261" s="563"/>
    </row>
    <row r="262" spans="69:72">
      <c r="BQ262" s="562"/>
      <c r="BR262" s="316"/>
      <c r="BS262" s="562"/>
      <c r="BT262" s="563"/>
    </row>
    <row r="263" spans="69:72">
      <c r="BQ263" s="562"/>
      <c r="BR263" s="316"/>
      <c r="BS263" s="562"/>
      <c r="BT263" s="563"/>
    </row>
    <row r="264" spans="69:72">
      <c r="BQ264" s="562"/>
      <c r="BR264" s="316"/>
      <c r="BS264" s="562"/>
      <c r="BT264" s="563"/>
    </row>
    <row r="265" spans="69:72">
      <c r="BQ265" s="562"/>
      <c r="BR265" s="316"/>
      <c r="BS265" s="562"/>
      <c r="BT265" s="563"/>
    </row>
  </sheetData>
  <sheetProtection algorithmName="SHA-512" hashValue="tlVwdZVyWXhqB6NIJTjA3hQHDC9foVt9N+0ptFLBZvg5M/5BwTLTWXvaTY6XjUcZlS9iWS3nkdVgQhbPVir8ng==" saltValue="WEda/odSezsjtMaohVnF+w==" spinCount="100000" sheet="1" objects="1" scenarios="1"/>
  <mergeCells count="587">
    <mergeCell ref="B56:I58"/>
    <mergeCell ref="J56:AN56"/>
    <mergeCell ref="AO56:AQ57"/>
    <mergeCell ref="AR56:AT57"/>
    <mergeCell ref="AU56:AU58"/>
    <mergeCell ref="AO58:AQ58"/>
    <mergeCell ref="AR58:AT58"/>
    <mergeCell ref="B59:I59"/>
    <mergeCell ref="AO59:AQ59"/>
    <mergeCell ref="AR59:AT59"/>
    <mergeCell ref="AU59:AU61"/>
    <mergeCell ref="B60:I60"/>
    <mergeCell ref="AO60:AQ60"/>
    <mergeCell ref="AR60:AT60"/>
    <mergeCell ref="B61:I61"/>
    <mergeCell ref="AO61:AQ61"/>
    <mergeCell ref="AR61:AT61"/>
    <mergeCell ref="B49:I51"/>
    <mergeCell ref="J49:AN49"/>
    <mergeCell ref="AO49:AQ50"/>
    <mergeCell ref="AR49:AT50"/>
    <mergeCell ref="AU49:AU51"/>
    <mergeCell ref="AO51:AQ51"/>
    <mergeCell ref="AR51:AT51"/>
    <mergeCell ref="B52:I52"/>
    <mergeCell ref="AO52:AQ52"/>
    <mergeCell ref="AR52:AT52"/>
    <mergeCell ref="AU52:AU54"/>
    <mergeCell ref="B53:I53"/>
    <mergeCell ref="AO53:AQ53"/>
    <mergeCell ref="AR53:AT53"/>
    <mergeCell ref="B54:I54"/>
    <mergeCell ref="AO54:AQ54"/>
    <mergeCell ref="AR54:AT54"/>
    <mergeCell ref="B42:I44"/>
    <mergeCell ref="J42:AN42"/>
    <mergeCell ref="AO42:AQ43"/>
    <mergeCell ref="AR42:AT43"/>
    <mergeCell ref="AU42:AU44"/>
    <mergeCell ref="AO44:AQ44"/>
    <mergeCell ref="AR44:AT44"/>
    <mergeCell ref="B45:I45"/>
    <mergeCell ref="AO45:AQ45"/>
    <mergeCell ref="AR45:AT45"/>
    <mergeCell ref="AU45:AU47"/>
    <mergeCell ref="B46:I46"/>
    <mergeCell ref="AO46:AQ46"/>
    <mergeCell ref="AR46:AT46"/>
    <mergeCell ref="B47:I47"/>
    <mergeCell ref="AO47:AQ47"/>
    <mergeCell ref="AR47:AT47"/>
    <mergeCell ref="B15:AY15"/>
    <mergeCell ref="B20:AY20"/>
    <mergeCell ref="E70:H70"/>
    <mergeCell ref="I70:L70"/>
    <mergeCell ref="BA15:BD15"/>
    <mergeCell ref="A2:AY2"/>
    <mergeCell ref="B4:AX4"/>
    <mergeCell ref="B5:AX5"/>
    <mergeCell ref="B6:AX6"/>
    <mergeCell ref="B7:AX7"/>
    <mergeCell ref="B8:AX8"/>
    <mergeCell ref="BA19:BE19"/>
    <mergeCell ref="BA20:BE20"/>
    <mergeCell ref="BA16:BD16"/>
    <mergeCell ref="BA18:BE18"/>
    <mergeCell ref="B16:F17"/>
    <mergeCell ref="L16:P17"/>
    <mergeCell ref="Q16:U17"/>
    <mergeCell ref="B18:F19"/>
    <mergeCell ref="L18:M19"/>
    <mergeCell ref="N18:N19"/>
    <mergeCell ref="X18:X19"/>
    <mergeCell ref="Y18:Z19"/>
    <mergeCell ref="AA18:AB19"/>
    <mergeCell ref="AC18:AC19"/>
    <mergeCell ref="AD18:AE19"/>
    <mergeCell ref="AK65:AN65"/>
    <mergeCell ref="AO65:AR65"/>
    <mergeCell ref="AG66:AJ66"/>
    <mergeCell ref="AK66:AN66"/>
    <mergeCell ref="B78:AY78"/>
    <mergeCell ref="B79:AY79"/>
    <mergeCell ref="B80:AY80"/>
    <mergeCell ref="E71:H71"/>
    <mergeCell ref="I71:L71"/>
    <mergeCell ref="M71:P71"/>
    <mergeCell ref="Q71:T71"/>
    <mergeCell ref="AC68:AF68"/>
    <mergeCell ref="AG68:AJ68"/>
    <mergeCell ref="AK68:AN68"/>
    <mergeCell ref="AO68:AR68"/>
    <mergeCell ref="AS68:AV75"/>
    <mergeCell ref="AW68:AX75"/>
    <mergeCell ref="AO69:AR69"/>
    <mergeCell ref="AG70:AJ70"/>
    <mergeCell ref="AK70:AN70"/>
    <mergeCell ref="AO70:AR70"/>
    <mergeCell ref="AG71:AJ71"/>
    <mergeCell ref="B9:AX9"/>
    <mergeCell ref="B10:AX11"/>
    <mergeCell ref="B12:AX12"/>
    <mergeCell ref="B14:AY14"/>
    <mergeCell ref="E64:AR64"/>
    <mergeCell ref="AS64:AX64"/>
    <mergeCell ref="AO66:AR66"/>
    <mergeCell ref="E67:H67"/>
    <mergeCell ref="I67:L67"/>
    <mergeCell ref="M67:P67"/>
    <mergeCell ref="Q67:T67"/>
    <mergeCell ref="U67:X67"/>
    <mergeCell ref="Y67:AB67"/>
    <mergeCell ref="AC67:AF67"/>
    <mergeCell ref="AG67:AJ67"/>
    <mergeCell ref="AK67:AN67"/>
    <mergeCell ref="AO67:AR67"/>
    <mergeCell ref="B63:AY63"/>
    <mergeCell ref="B26:I26"/>
    <mergeCell ref="AO26:AQ26"/>
    <mergeCell ref="AO24:AQ24"/>
    <mergeCell ref="AO25:AQ25"/>
    <mergeCell ref="B24:I24"/>
    <mergeCell ref="B25:I25"/>
    <mergeCell ref="AZ64:BP64"/>
    <mergeCell ref="B65:D67"/>
    <mergeCell ref="E65:H65"/>
    <mergeCell ref="I65:L65"/>
    <mergeCell ref="M65:P65"/>
    <mergeCell ref="Q65:T65"/>
    <mergeCell ref="AS65:AV67"/>
    <mergeCell ref="AW65:AX67"/>
    <mergeCell ref="AZ65:BP67"/>
    <mergeCell ref="E66:H66"/>
    <mergeCell ref="I66:L66"/>
    <mergeCell ref="M66:P66"/>
    <mergeCell ref="Q66:T66"/>
    <mergeCell ref="U66:X66"/>
    <mergeCell ref="Y66:AB66"/>
    <mergeCell ref="AC66:AF66"/>
    <mergeCell ref="U65:X65"/>
    <mergeCell ref="Y65:AB65"/>
    <mergeCell ref="AC65:AF65"/>
    <mergeCell ref="AG65:AJ65"/>
    <mergeCell ref="B64:D64"/>
    <mergeCell ref="AK71:AN71"/>
    <mergeCell ref="E69:H69"/>
    <mergeCell ref="I69:L69"/>
    <mergeCell ref="M69:P69"/>
    <mergeCell ref="Q69:T69"/>
    <mergeCell ref="U69:X69"/>
    <mergeCell ref="Y69:AB69"/>
    <mergeCell ref="AC69:AF69"/>
    <mergeCell ref="AG69:AJ69"/>
    <mergeCell ref="AK69:AN69"/>
    <mergeCell ref="M70:P70"/>
    <mergeCell ref="Q70:T70"/>
    <mergeCell ref="U70:X70"/>
    <mergeCell ref="Y70:AB70"/>
    <mergeCell ref="AC70:AF70"/>
    <mergeCell ref="AO71:AR71"/>
    <mergeCell ref="AO72:AR72"/>
    <mergeCell ref="E73:H73"/>
    <mergeCell ref="I73:L73"/>
    <mergeCell ref="M73:P73"/>
    <mergeCell ref="Q73:T73"/>
    <mergeCell ref="U73:X73"/>
    <mergeCell ref="Y73:AB73"/>
    <mergeCell ref="AC73:AF73"/>
    <mergeCell ref="AG73:AJ73"/>
    <mergeCell ref="AK73:AN73"/>
    <mergeCell ref="AO73:AR73"/>
    <mergeCell ref="E72:H72"/>
    <mergeCell ref="I72:L72"/>
    <mergeCell ref="M72:P72"/>
    <mergeCell ref="Q72:T72"/>
    <mergeCell ref="U72:X72"/>
    <mergeCell ref="Y72:AB72"/>
    <mergeCell ref="AC72:AF72"/>
    <mergeCell ref="AG72:AJ72"/>
    <mergeCell ref="AK72:AN72"/>
    <mergeCell ref="U71:X71"/>
    <mergeCell ref="Y71:AB71"/>
    <mergeCell ref="AC71:AF71"/>
    <mergeCell ref="AO75:AR75"/>
    <mergeCell ref="E74:H74"/>
    <mergeCell ref="I74:L74"/>
    <mergeCell ref="M74:P74"/>
    <mergeCell ref="Q74:T74"/>
    <mergeCell ref="U74:X74"/>
    <mergeCell ref="Y74:AB74"/>
    <mergeCell ref="AC74:AF74"/>
    <mergeCell ref="AG74:AJ74"/>
    <mergeCell ref="AK74:AN74"/>
    <mergeCell ref="AO74:AR74"/>
    <mergeCell ref="AC75:AF75"/>
    <mergeCell ref="AG75:AJ75"/>
    <mergeCell ref="AK75:AN75"/>
    <mergeCell ref="AZ88:BO88"/>
    <mergeCell ref="AK87:AO87"/>
    <mergeCell ref="AG87:AJ87"/>
    <mergeCell ref="AG89:AJ89"/>
    <mergeCell ref="AC87:AF87"/>
    <mergeCell ref="AZ68:BP75"/>
    <mergeCell ref="AK85:AO85"/>
    <mergeCell ref="AZ86:BO86"/>
    <mergeCell ref="AZ84:BO84"/>
    <mergeCell ref="AZ85:BO85"/>
    <mergeCell ref="B77:AY77"/>
    <mergeCell ref="AK83:AO83"/>
    <mergeCell ref="AP83:AX83"/>
    <mergeCell ref="AK84:AO84"/>
    <mergeCell ref="AP84:AP87"/>
    <mergeCell ref="AQ84:AX87"/>
    <mergeCell ref="AK86:AO86"/>
    <mergeCell ref="AG83:AJ83"/>
    <mergeCell ref="AG84:AJ84"/>
    <mergeCell ref="AG85:AJ85"/>
    <mergeCell ref="AG86:AJ86"/>
    <mergeCell ref="AC86:AF86"/>
    <mergeCell ref="AC85:AF85"/>
    <mergeCell ref="AC84:AF84"/>
    <mergeCell ref="AQ91:AX91"/>
    <mergeCell ref="AZ91:BO91"/>
    <mergeCell ref="AK92:AO92"/>
    <mergeCell ref="AQ92:AX92"/>
    <mergeCell ref="AZ92:BO92"/>
    <mergeCell ref="AK89:AO89"/>
    <mergeCell ref="AQ89:AX89"/>
    <mergeCell ref="AZ90:BO90"/>
    <mergeCell ref="AZ89:BO89"/>
    <mergeCell ref="AK91:AO91"/>
    <mergeCell ref="AZ94:BO94"/>
    <mergeCell ref="AK95:AO95"/>
    <mergeCell ref="AK94:AO94"/>
    <mergeCell ref="AZ95:BO95"/>
    <mergeCell ref="AP94:AP97"/>
    <mergeCell ref="AQ94:AX97"/>
    <mergeCell ref="AK96:AO96"/>
    <mergeCell ref="AZ96:BO96"/>
    <mergeCell ref="E92:K92"/>
    <mergeCell ref="AQ93:AX93"/>
    <mergeCell ref="AZ93:BO93"/>
    <mergeCell ref="AK93:AO93"/>
    <mergeCell ref="AG94:AJ94"/>
    <mergeCell ref="AG95:AJ95"/>
    <mergeCell ref="AG96:AJ96"/>
    <mergeCell ref="AC96:AF96"/>
    <mergeCell ref="AC95:AF95"/>
    <mergeCell ref="AC94:AF94"/>
    <mergeCell ref="Y95:AB95"/>
    <mergeCell ref="Y96:AB96"/>
    <mergeCell ref="Y94:AB94"/>
    <mergeCell ref="U94:X94"/>
    <mergeCell ref="U95:X95"/>
    <mergeCell ref="U96:X96"/>
    <mergeCell ref="Z114:AC115"/>
    <mergeCell ref="AZ102:BO103"/>
    <mergeCell ref="AZ104:BO105"/>
    <mergeCell ref="B108:G108"/>
    <mergeCell ref="T108:U108"/>
    <mergeCell ref="X108:AB108"/>
    <mergeCell ref="AC108:AG108"/>
    <mergeCell ref="B103:AX106"/>
    <mergeCell ref="B98:AX98"/>
    <mergeCell ref="BA98:BC98"/>
    <mergeCell ref="B99:AY99"/>
    <mergeCell ref="BA99:BC99"/>
    <mergeCell ref="B100:AX100"/>
    <mergeCell ref="B101:AX101"/>
    <mergeCell ref="AI108:AX110"/>
    <mergeCell ref="B109:G110"/>
    <mergeCell ref="T109:U110"/>
    <mergeCell ref="X109:AB110"/>
    <mergeCell ref="AC109:AG110"/>
    <mergeCell ref="H108:M108"/>
    <mergeCell ref="N108:S108"/>
    <mergeCell ref="H109:M110"/>
    <mergeCell ref="N109:S110"/>
    <mergeCell ref="BA116:BC116"/>
    <mergeCell ref="F119:M121"/>
    <mergeCell ref="N119:Q121"/>
    <mergeCell ref="R119:U121"/>
    <mergeCell ref="V119:Y121"/>
    <mergeCell ref="Z119:AC121"/>
    <mergeCell ref="AD119:AE121"/>
    <mergeCell ref="AF119:AX121"/>
    <mergeCell ref="BA114:BC114"/>
    <mergeCell ref="BA115:BC115"/>
    <mergeCell ref="F116:M118"/>
    <mergeCell ref="N116:Q118"/>
    <mergeCell ref="R116:U118"/>
    <mergeCell ref="V116:Y118"/>
    <mergeCell ref="Z116:AC118"/>
    <mergeCell ref="AD116:AE118"/>
    <mergeCell ref="AF116:AX118"/>
    <mergeCell ref="B112:M115"/>
    <mergeCell ref="AD112:AE115"/>
    <mergeCell ref="AF112:AX115"/>
    <mergeCell ref="N114:Q115"/>
    <mergeCell ref="R114:U115"/>
    <mergeCell ref="V114:Y115"/>
    <mergeCell ref="N112:AC113"/>
    <mergeCell ref="AF122:AX124"/>
    <mergeCell ref="B125:M127"/>
    <mergeCell ref="N125:Q127"/>
    <mergeCell ref="R125:U127"/>
    <mergeCell ref="V125:Y127"/>
    <mergeCell ref="Z125:AC127"/>
    <mergeCell ref="AD125:AE127"/>
    <mergeCell ref="AF125:AX127"/>
    <mergeCell ref="F122:M124"/>
    <mergeCell ref="N122:Q124"/>
    <mergeCell ref="R122:U124"/>
    <mergeCell ref="V122:Y124"/>
    <mergeCell ref="Z122:AC124"/>
    <mergeCell ref="AD122:AE124"/>
    <mergeCell ref="B116:E124"/>
    <mergeCell ref="B128:M130"/>
    <mergeCell ref="N128:Q130"/>
    <mergeCell ref="R128:U130"/>
    <mergeCell ref="V128:Y130"/>
    <mergeCell ref="Z128:AC130"/>
    <mergeCell ref="AD128:AE130"/>
    <mergeCell ref="AF137:AX139"/>
    <mergeCell ref="F137:M139"/>
    <mergeCell ref="N137:Q139"/>
    <mergeCell ref="R137:U139"/>
    <mergeCell ref="V137:Y139"/>
    <mergeCell ref="Z137:AC139"/>
    <mergeCell ref="AD137:AE139"/>
    <mergeCell ref="B131:E139"/>
    <mergeCell ref="F131:M133"/>
    <mergeCell ref="N131:Q133"/>
    <mergeCell ref="R131:U133"/>
    <mergeCell ref="V131:Y133"/>
    <mergeCell ref="Z131:AC133"/>
    <mergeCell ref="AD131:AE133"/>
    <mergeCell ref="AF131:AX133"/>
    <mergeCell ref="F134:M136"/>
    <mergeCell ref="Z152:AC154"/>
    <mergeCell ref="AD152:AE154"/>
    <mergeCell ref="N143:Q145"/>
    <mergeCell ref="R143:U145"/>
    <mergeCell ref="V143:Y145"/>
    <mergeCell ref="Z143:AC145"/>
    <mergeCell ref="AD149:AE151"/>
    <mergeCell ref="AF134:AX136"/>
    <mergeCell ref="AF128:AX130"/>
    <mergeCell ref="AU165:AX166"/>
    <mergeCell ref="F152:M154"/>
    <mergeCell ref="N152:Q154"/>
    <mergeCell ref="B161:J162"/>
    <mergeCell ref="K161:P162"/>
    <mergeCell ref="Q161:AT162"/>
    <mergeCell ref="AU161:AX162"/>
    <mergeCell ref="B156:AX156"/>
    <mergeCell ref="B157:J158"/>
    <mergeCell ref="K157:P158"/>
    <mergeCell ref="Q157:AT158"/>
    <mergeCell ref="AU157:AX158"/>
    <mergeCell ref="B159:J160"/>
    <mergeCell ref="K159:P160"/>
    <mergeCell ref="Q159:AT160"/>
    <mergeCell ref="AU159:AX160"/>
    <mergeCell ref="AF152:AX154"/>
    <mergeCell ref="B143:E154"/>
    <mergeCell ref="F149:M151"/>
    <mergeCell ref="N149:Q151"/>
    <mergeCell ref="R149:U151"/>
    <mergeCell ref="V149:Y151"/>
    <mergeCell ref="Z149:AC151"/>
    <mergeCell ref="AD143:AE145"/>
    <mergeCell ref="B181:J182"/>
    <mergeCell ref="K181:P182"/>
    <mergeCell ref="Q181:AT182"/>
    <mergeCell ref="AU181:AX182"/>
    <mergeCell ref="B175:J176"/>
    <mergeCell ref="K175:P176"/>
    <mergeCell ref="Q175:AT176"/>
    <mergeCell ref="AU175:AX176"/>
    <mergeCell ref="B177:J178"/>
    <mergeCell ref="K177:P178"/>
    <mergeCell ref="Q177:AT178"/>
    <mergeCell ref="AU177:AX178"/>
    <mergeCell ref="B179:J180"/>
    <mergeCell ref="K179:P180"/>
    <mergeCell ref="Q179:AT180"/>
    <mergeCell ref="AU179:AX180"/>
    <mergeCell ref="AU171:AX172"/>
    <mergeCell ref="B173:J174"/>
    <mergeCell ref="K173:P174"/>
    <mergeCell ref="Q173:AT174"/>
    <mergeCell ref="AU173:AX174"/>
    <mergeCell ref="AK97:AO97"/>
    <mergeCell ref="AG97:AJ97"/>
    <mergeCell ref="AC97:AF97"/>
    <mergeCell ref="Y97:AB97"/>
    <mergeCell ref="B167:J168"/>
    <mergeCell ref="K167:P168"/>
    <mergeCell ref="Q167:AT168"/>
    <mergeCell ref="AU167:AX168"/>
    <mergeCell ref="B169:J170"/>
    <mergeCell ref="K169:P170"/>
    <mergeCell ref="Q169:AT170"/>
    <mergeCell ref="AU169:AX170"/>
    <mergeCell ref="B163:J164"/>
    <mergeCell ref="K163:P164"/>
    <mergeCell ref="Q163:AT164"/>
    <mergeCell ref="AU163:AX164"/>
    <mergeCell ref="B165:J166"/>
    <mergeCell ref="K165:P166"/>
    <mergeCell ref="Q165:AT166"/>
    <mergeCell ref="U83:X83"/>
    <mergeCell ref="U84:X84"/>
    <mergeCell ref="U85:X85"/>
    <mergeCell ref="U86:X86"/>
    <mergeCell ref="U87:X87"/>
    <mergeCell ref="B171:J172"/>
    <mergeCell ref="K171:P172"/>
    <mergeCell ref="Q171:AT172"/>
    <mergeCell ref="B140:M142"/>
    <mergeCell ref="N140:Q142"/>
    <mergeCell ref="R140:U142"/>
    <mergeCell ref="V140:Y142"/>
    <mergeCell ref="Z140:AC142"/>
    <mergeCell ref="AD140:AE142"/>
    <mergeCell ref="AF140:AX142"/>
    <mergeCell ref="AF143:AX145"/>
    <mergeCell ref="F146:M148"/>
    <mergeCell ref="N146:Q148"/>
    <mergeCell ref="R146:U148"/>
    <mergeCell ref="V146:Y148"/>
    <mergeCell ref="Z146:AC148"/>
    <mergeCell ref="AD146:AE148"/>
    <mergeCell ref="AC89:AF89"/>
    <mergeCell ref="AC83:AF83"/>
    <mergeCell ref="B68:D75"/>
    <mergeCell ref="E68:H68"/>
    <mergeCell ref="I68:L68"/>
    <mergeCell ref="M68:P68"/>
    <mergeCell ref="Q68:T68"/>
    <mergeCell ref="U68:X68"/>
    <mergeCell ref="Y68:AB68"/>
    <mergeCell ref="B91:D93"/>
    <mergeCell ref="E93:K93"/>
    <mergeCell ref="E91:K91"/>
    <mergeCell ref="E75:H75"/>
    <mergeCell ref="I75:L75"/>
    <mergeCell ref="M75:P75"/>
    <mergeCell ref="Q75:T75"/>
    <mergeCell ref="U75:X75"/>
    <mergeCell ref="Y75:AB75"/>
    <mergeCell ref="Y83:AB83"/>
    <mergeCell ref="Y84:AB84"/>
    <mergeCell ref="Y85:AB85"/>
    <mergeCell ref="Y86:AB86"/>
    <mergeCell ref="Y87:AB87"/>
    <mergeCell ref="Y89:AB89"/>
    <mergeCell ref="U89:X89"/>
    <mergeCell ref="Q84:T84"/>
    <mergeCell ref="B35:I37"/>
    <mergeCell ref="AO35:AQ36"/>
    <mergeCell ref="AO37:AQ37"/>
    <mergeCell ref="B38:I38"/>
    <mergeCell ref="AO38:AQ38"/>
    <mergeCell ref="B28:I30"/>
    <mergeCell ref="AO28:AQ29"/>
    <mergeCell ref="AO30:AQ30"/>
    <mergeCell ref="B31:I31"/>
    <mergeCell ref="AO31:AQ31"/>
    <mergeCell ref="B32:I32"/>
    <mergeCell ref="AO32:AQ32"/>
    <mergeCell ref="B39:I39"/>
    <mergeCell ref="AO39:AQ39"/>
    <mergeCell ref="B40:I40"/>
    <mergeCell ref="AO40:AQ40"/>
    <mergeCell ref="J28:AN28"/>
    <mergeCell ref="J21:AN21"/>
    <mergeCell ref="J35:AN35"/>
    <mergeCell ref="AU21:AU23"/>
    <mergeCell ref="AU24:AU26"/>
    <mergeCell ref="AU28:AU30"/>
    <mergeCell ref="AU31:AU33"/>
    <mergeCell ref="AU35:AU37"/>
    <mergeCell ref="AU38:AU40"/>
    <mergeCell ref="AR25:AT25"/>
    <mergeCell ref="AR26:AT26"/>
    <mergeCell ref="AR28:AT29"/>
    <mergeCell ref="AR30:AT30"/>
    <mergeCell ref="AR31:AT31"/>
    <mergeCell ref="AR32:AT32"/>
    <mergeCell ref="AR33:AT33"/>
    <mergeCell ref="AR35:AT36"/>
    <mergeCell ref="AR37:AT37"/>
    <mergeCell ref="AR38:AT38"/>
    <mergeCell ref="B33:I33"/>
    <mergeCell ref="G16:K17"/>
    <mergeCell ref="G18:H19"/>
    <mergeCell ref="I18:I19"/>
    <mergeCell ref="J18:K19"/>
    <mergeCell ref="AR21:AT22"/>
    <mergeCell ref="AR23:AT23"/>
    <mergeCell ref="AR24:AT24"/>
    <mergeCell ref="AL18:AO18"/>
    <mergeCell ref="AL16:AO16"/>
    <mergeCell ref="AL19:AO19"/>
    <mergeCell ref="AL17:AO17"/>
    <mergeCell ref="AH18:AH19"/>
    <mergeCell ref="AI18:AJ19"/>
    <mergeCell ref="AF16:AJ17"/>
    <mergeCell ref="AF18:AG19"/>
    <mergeCell ref="O18:P19"/>
    <mergeCell ref="Q18:R19"/>
    <mergeCell ref="S18:S19"/>
    <mergeCell ref="T18:U19"/>
    <mergeCell ref="V16:Z17"/>
    <mergeCell ref="AA16:AE17"/>
    <mergeCell ref="V18:W19"/>
    <mergeCell ref="B21:I23"/>
    <mergeCell ref="AO21:AQ22"/>
    <mergeCell ref="AR39:AT39"/>
    <mergeCell ref="AR40:AT40"/>
    <mergeCell ref="AP17:AR17"/>
    <mergeCell ref="AP18:AR18"/>
    <mergeCell ref="AP19:AR19"/>
    <mergeCell ref="AS17:AU17"/>
    <mergeCell ref="AS18:AU18"/>
    <mergeCell ref="AS19:AU19"/>
    <mergeCell ref="AP16:AR16"/>
    <mergeCell ref="AS16:AU16"/>
    <mergeCell ref="AO33:AQ33"/>
    <mergeCell ref="AO23:AQ23"/>
    <mergeCell ref="U97:X97"/>
    <mergeCell ref="Q97:T97"/>
    <mergeCell ref="Q96:T96"/>
    <mergeCell ref="Q95:T95"/>
    <mergeCell ref="Q94:T94"/>
    <mergeCell ref="Q89:T89"/>
    <mergeCell ref="Q87:T87"/>
    <mergeCell ref="Q86:T86"/>
    <mergeCell ref="Q85:T85"/>
    <mergeCell ref="Q83:T83"/>
    <mergeCell ref="M83:P83"/>
    <mergeCell ref="M84:P84"/>
    <mergeCell ref="M85:P85"/>
    <mergeCell ref="M86:P86"/>
    <mergeCell ref="M87:P87"/>
    <mergeCell ref="M89:P89"/>
    <mergeCell ref="M94:P94"/>
    <mergeCell ref="M95:P95"/>
    <mergeCell ref="B85:L85"/>
    <mergeCell ref="B84:L84"/>
    <mergeCell ref="B83:L83"/>
    <mergeCell ref="M96:P96"/>
    <mergeCell ref="M97:P97"/>
    <mergeCell ref="B97:L97"/>
    <mergeCell ref="E96:L96"/>
    <mergeCell ref="E95:L95"/>
    <mergeCell ref="E94:L94"/>
    <mergeCell ref="B89:L89"/>
    <mergeCell ref="B87:L87"/>
    <mergeCell ref="B86:L86"/>
    <mergeCell ref="B94:D96"/>
    <mergeCell ref="AZ140:AZ142"/>
    <mergeCell ref="AZ143:AZ145"/>
    <mergeCell ref="AZ146:AZ148"/>
    <mergeCell ref="AZ149:AZ151"/>
    <mergeCell ref="AZ152:AZ154"/>
    <mergeCell ref="B111:AB111"/>
    <mergeCell ref="AZ116:AZ118"/>
    <mergeCell ref="AZ119:AZ121"/>
    <mergeCell ref="AZ122:AZ124"/>
    <mergeCell ref="AZ125:AZ127"/>
    <mergeCell ref="AZ128:AZ130"/>
    <mergeCell ref="AZ131:AZ133"/>
    <mergeCell ref="AZ134:AZ136"/>
    <mergeCell ref="AZ137:AZ139"/>
    <mergeCell ref="AF146:AX148"/>
    <mergeCell ref="F143:M145"/>
    <mergeCell ref="AF149:AX151"/>
    <mergeCell ref="N134:Q136"/>
    <mergeCell ref="R134:U136"/>
    <mergeCell ref="V134:Y136"/>
    <mergeCell ref="Z134:AC136"/>
    <mergeCell ref="AD134:AE136"/>
    <mergeCell ref="R152:U154"/>
    <mergeCell ref="V152:Y154"/>
  </mergeCells>
  <phoneticPr fontId="9"/>
  <conditionalFormatting sqref="AM34:AO34">
    <cfRule type="containsText" dxfId="214" priority="347" operator="containsText" text="表示不可">
      <formula>NOT(ISERROR(SEARCH("表示不可",AM34)))</formula>
    </cfRule>
  </conditionalFormatting>
  <conditionalFormatting sqref="AC34:AH34">
    <cfRule type="containsText" dxfId="213" priority="329" operator="containsText" text="要修正">
      <formula>NOT(ISERROR(SEARCH("要修正",AC34)))</formula>
    </cfRule>
  </conditionalFormatting>
  <conditionalFormatting sqref="AK34">
    <cfRule type="containsText" dxfId="212" priority="328" operator="containsText" text="×">
      <formula>NOT(ISERROR(SEARCH("×",AK34)))</formula>
    </cfRule>
  </conditionalFormatting>
  <conditionalFormatting sqref="AI34:AJ34">
    <cfRule type="containsText" dxfId="211" priority="327" operator="containsText" text="表示不可">
      <formula>NOT(ISERROR(SEARCH("表示不可",AI34)))</formula>
    </cfRule>
  </conditionalFormatting>
  <conditionalFormatting sqref="AW65:AX75">
    <cfRule type="containsText" dxfId="210" priority="304" operator="containsText" text="×">
      <formula>NOT(ISERROR(SEARCH("×",AW65)))</formula>
    </cfRule>
  </conditionalFormatting>
  <conditionalFormatting sqref="AZ65:BP75">
    <cfRule type="containsText" dxfId="209" priority="302" operator="containsText" text="要修正">
      <formula>NOT(ISERROR(SEARCH("要修正",AZ65)))</formula>
    </cfRule>
  </conditionalFormatting>
  <conditionalFormatting sqref="B14:AY14">
    <cfRule type="containsText" dxfId="208" priority="300" operator="containsText" text="×">
      <formula>NOT(ISERROR(SEARCH("×",B14)))</formula>
    </cfRule>
  </conditionalFormatting>
  <conditionalFormatting sqref="B77:AY77">
    <cfRule type="containsText" dxfId="207" priority="299" operator="containsText" text="×">
      <formula>NOT(ISERROR(SEARCH("×",B77)))</formula>
    </cfRule>
  </conditionalFormatting>
  <conditionalFormatting sqref="M83:AX97">
    <cfRule type="containsText" dxfId="206" priority="295" operator="containsText" text="×">
      <formula>NOT(ISERROR(SEARCH("×",M83)))</formula>
    </cfRule>
  </conditionalFormatting>
  <conditionalFormatting sqref="B99:AY99">
    <cfRule type="containsText" dxfId="205" priority="291" operator="containsText" text="×">
      <formula>NOT(ISERROR(SEARCH("×",B99)))</formula>
    </cfRule>
  </conditionalFormatting>
  <conditionalFormatting sqref="T109:U110">
    <cfRule type="containsText" dxfId="204" priority="290" operator="containsText" text="×">
      <formula>NOT(ISERROR(SEARCH("×",T109)))</formula>
    </cfRule>
  </conditionalFormatting>
  <conditionalFormatting sqref="N116:Q118">
    <cfRule type="cellIs" dxfId="203" priority="288" operator="greaterThan">
      <formula>2</formula>
    </cfRule>
  </conditionalFormatting>
  <conditionalFormatting sqref="N119:Q121">
    <cfRule type="cellIs" dxfId="202" priority="287" operator="greaterThan">
      <formula>1</formula>
    </cfRule>
  </conditionalFormatting>
  <conditionalFormatting sqref="N122:Q124">
    <cfRule type="cellIs" dxfId="201" priority="286" operator="greaterThan">
      <formula>1</formula>
    </cfRule>
  </conditionalFormatting>
  <conditionalFormatting sqref="N128:Q130">
    <cfRule type="cellIs" dxfId="200" priority="285" operator="greaterThan">
      <formula>8</formula>
    </cfRule>
  </conditionalFormatting>
  <conditionalFormatting sqref="N131:Q133">
    <cfRule type="cellIs" dxfId="199" priority="284" operator="greaterThan">
      <formula>0.5</formula>
    </cfRule>
  </conditionalFormatting>
  <conditionalFormatting sqref="N134:Q136">
    <cfRule type="cellIs" dxfId="198" priority="283" operator="greaterThan">
      <formula>0.5</formula>
    </cfRule>
  </conditionalFormatting>
  <conditionalFormatting sqref="N137:Q139">
    <cfRule type="cellIs" dxfId="197" priority="282" operator="greaterThan">
      <formula>1</formula>
    </cfRule>
  </conditionalFormatting>
  <conditionalFormatting sqref="N140:Q142">
    <cfRule type="cellIs" dxfId="196" priority="281" operator="greaterThan">
      <formula>1</formula>
    </cfRule>
  </conditionalFormatting>
  <conditionalFormatting sqref="N143:Q145">
    <cfRule type="cellIs" dxfId="195" priority="280" operator="greaterThan">
      <formula>1</formula>
    </cfRule>
  </conditionalFormatting>
  <conditionalFormatting sqref="N146:Q148">
    <cfRule type="cellIs" dxfId="194" priority="279" operator="greaterThan">
      <formula>0.5</formula>
    </cfRule>
  </conditionalFormatting>
  <conditionalFormatting sqref="N149:Q151">
    <cfRule type="cellIs" dxfId="193" priority="278" operator="greaterThan">
      <formula>1</formula>
    </cfRule>
  </conditionalFormatting>
  <conditionalFormatting sqref="N152:Q154">
    <cfRule type="cellIs" dxfId="192" priority="277" operator="greaterThan">
      <formula>0.5</formula>
    </cfRule>
  </conditionalFormatting>
  <conditionalFormatting sqref="N125:Q127">
    <cfRule type="cellIs" dxfId="191" priority="276" operator="greaterThan">
      <formula>1</formula>
    </cfRule>
  </conditionalFormatting>
  <conditionalFormatting sqref="AU159:AV182">
    <cfRule type="cellIs" dxfId="190" priority="256" operator="greaterThan">
      <formula>"要入力"</formula>
    </cfRule>
  </conditionalFormatting>
  <conditionalFormatting sqref="AU159:AV182">
    <cfRule type="containsText" dxfId="189" priority="255" operator="containsText" text="要入力">
      <formula>NOT(ISERROR(SEARCH("要入力",AU159)))</formula>
    </cfRule>
  </conditionalFormatting>
  <conditionalFormatting sqref="AU159:AV182">
    <cfRule type="containsText" dxfId="188" priority="254" operator="containsText" text="入力済">
      <formula>NOT(ISERROR(SEARCH("入力済",AU159)))</formula>
    </cfRule>
  </conditionalFormatting>
  <conditionalFormatting sqref="B159:AX182">
    <cfRule type="expression" dxfId="187" priority="271">
      <formula>$AU159="入力"&amp;CHAR(10)&amp;"不要"</formula>
    </cfRule>
  </conditionalFormatting>
  <conditionalFormatting sqref="J25:AN25 J32:AN32 J39:AN39 J53:AN53 J60:AN60 J46:AN46">
    <cfRule type="cellIs" dxfId="186" priority="212" operator="greaterThan">
      <formula>IF(J24="",0,J24)</formula>
    </cfRule>
  </conditionalFormatting>
  <conditionalFormatting sqref="J26:AQ26 J33:AN33 J40:AN40 J47:AN47 J54:AN54 J61:AN61 AO28:AU33 AO35:AU40 AO42:AU47 AO49:AU54 AO56:AU61 AO21:AU26">
    <cfRule type="containsText" dxfId="185" priority="211" operator="containsText" text="×">
      <formula>NOT(ISERROR(SEARCH("×",J21)))</formula>
    </cfRule>
  </conditionalFormatting>
  <conditionalFormatting sqref="AP17:AR19">
    <cfRule type="expression" dxfId="184" priority="114">
      <formula>AND(#REF!="休",AP17&gt;0)</formula>
    </cfRule>
  </conditionalFormatting>
  <conditionalFormatting sqref="AS17:AU19">
    <cfRule type="expression" dxfId="183" priority="113">
      <formula>AND(#REF!="休",AS17&gt;0)</formula>
    </cfRule>
  </conditionalFormatting>
  <conditionalFormatting sqref="AF116:AS154">
    <cfRule type="containsText" dxfId="182" priority="110" operator="containsText" text="してください">
      <formula>NOT(ISERROR(SEARCH("してください",AF116)))</formula>
    </cfRule>
    <cfRule type="containsText" dxfId="181" priority="111" operator="containsText" text="理由">
      <formula>NOT(ISERROR(SEARCH("理由",AF116)))</formula>
    </cfRule>
  </conditionalFormatting>
  <conditionalFormatting sqref="AS65:AV75">
    <cfRule type="cellIs" dxfId="180" priority="109" operator="equal">
      <formula>0</formula>
    </cfRule>
  </conditionalFormatting>
  <conditionalFormatting sqref="R116:U154 Z116:AE154">
    <cfRule type="containsText" dxfId="179" priority="97" operator="containsText" text="×">
      <formula>NOT(ISERROR(SEARCH("×",R116)))</formula>
    </cfRule>
  </conditionalFormatting>
  <conditionalFormatting sqref="X109:AG110">
    <cfRule type="containsText" dxfId="178" priority="96" operator="containsText" text="×">
      <formula>NOT(ISERROR(SEARCH("×",X109)))</formula>
    </cfRule>
  </conditionalFormatting>
  <conditionalFormatting sqref="J22:AN26">
    <cfRule type="expression" dxfId="177" priority="50">
      <formula>J$22=""</formula>
    </cfRule>
  </conditionalFormatting>
  <conditionalFormatting sqref="J29:AN33">
    <cfRule type="expression" dxfId="176" priority="47">
      <formula>J$29=""</formula>
    </cfRule>
  </conditionalFormatting>
  <conditionalFormatting sqref="J36:AN40">
    <cfRule type="expression" dxfId="175" priority="43">
      <formula>J$36=""</formula>
    </cfRule>
  </conditionalFormatting>
  <conditionalFormatting sqref="J43:AN47">
    <cfRule type="expression" dxfId="174" priority="39">
      <formula>J$43=""</formula>
    </cfRule>
  </conditionalFormatting>
  <conditionalFormatting sqref="J50:AN54">
    <cfRule type="expression" dxfId="173" priority="31">
      <formula>J$50=""</formula>
    </cfRule>
  </conditionalFormatting>
  <conditionalFormatting sqref="J47:AN47">
    <cfRule type="expression" dxfId="172" priority="25">
      <formula>J$36=""</formula>
    </cfRule>
  </conditionalFormatting>
  <conditionalFormatting sqref="J57:AN61">
    <cfRule type="expression" dxfId="171" priority="20">
      <formula>J$57=""</formula>
    </cfRule>
  </conditionalFormatting>
  <conditionalFormatting sqref="M94:AJ94">
    <cfRule type="cellIs" dxfId="170" priority="12" operator="greaterThan">
      <formula>SUM($AS$65:$AV$75)</formula>
    </cfRule>
  </conditionalFormatting>
  <conditionalFormatting sqref="M86:AJ86">
    <cfRule type="cellIs" dxfId="169" priority="15" operator="greaterThan">
      <formula>M$85</formula>
    </cfRule>
  </conditionalFormatting>
  <conditionalFormatting sqref="M96:AJ96">
    <cfRule type="cellIs" dxfId="168" priority="9" operator="greaterThan">
      <formula>M$95*1.5</formula>
    </cfRule>
    <cfRule type="cellIs" dxfId="167" priority="10" operator="lessThan">
      <formula>M$95</formula>
    </cfRule>
  </conditionalFormatting>
  <conditionalFormatting sqref="B63:AY63">
    <cfRule type="containsText" dxfId="166" priority="3" operator="containsText" text="×">
      <formula>NOT(ISERROR(SEARCH("×",B63)))</formula>
    </cfRule>
  </conditionalFormatting>
  <conditionalFormatting sqref="B111:AB111">
    <cfRule type="containsText" dxfId="165" priority="2" operator="containsText" text="要修正">
      <formula>NOT(ISERROR(SEARCH("要修正",B111)))</formula>
    </cfRule>
  </conditionalFormatting>
  <conditionalFormatting sqref="K159:P182">
    <cfRule type="expression" dxfId="164" priority="1">
      <formula>$AU159="要入力"</formula>
    </cfRule>
  </conditionalFormatting>
  <dataValidations count="15">
    <dataValidation type="custom" allowBlank="1" showInputMessage="1" showErrorMessage="1" errorTitle="購入箱数を超過した値の入力" error="購入箱数の範囲内の数値を入力してください。" sqref="BJ114:BJ116 BJ98:BJ101" xr:uid="{A1706DDC-D29C-4184-94CE-0D84FC1236D1}">
      <formula1>BJ98&lt;=BF98</formula1>
    </dataValidation>
    <dataValidation type="list" allowBlank="1" showInputMessage="1" showErrorMessage="1" sqref="N34 J34 Q34 U34 X34 AB34" xr:uid="{F1A4FCE5-0A08-4106-92AE-FD02F287C420}">
      <formula1>$CA$119:$CA$122</formula1>
    </dataValidation>
    <dataValidation type="list" allowBlank="1" showInputMessage="1" showErrorMessage="1" sqref="L34 H34 O34 S34 V34 Z34" xr:uid="{AB92600C-BA68-4319-B211-9331735E48BA}">
      <formula1>$BZ$119:$BZ$142</formula1>
    </dataValidation>
    <dataValidation type="list" allowBlank="1" showInputMessage="1" showErrorMessage="1" sqref="BG27 BG51:BG54 BG44:BG47 E34 BG80:BG83 BD77:BF83 BG30:BG34 BG37:BG40 BG78 BG58:BG61" xr:uid="{8F2F1F79-C5C7-4F2C-B0CE-A472A5964A4C}">
      <formula1>$BN$120:$BN$121</formula1>
    </dataValidation>
    <dataValidation type="decimal" operator="lessThanOrEqual" allowBlank="1" showInputMessage="1" showErrorMessage="1" error="上段の「２．職員情報」で入力した医師の員数の範囲内の数値を入力してください。" sqref="Q91 AG91 U91 Y91 AC91 M91" xr:uid="{419F2DDD-980A-42FF-AC4C-FDAD0F7989C8}">
      <formula1>$AS$65</formula1>
    </dataValidation>
    <dataValidation type="textLength" operator="lessThanOrEqual" allowBlank="1" showInputMessage="1" showErrorMessage="1" error="休診日とされている日には外来患者数は入力しないでください。" sqref="AK97 U97 Y97 AC97 AG97 AK87 Q97 M97" xr:uid="{B719A41A-78C0-4336-AB0B-7A2AFCB163CF}">
      <formula1>IF(M85="休",0)</formula1>
    </dataValidation>
    <dataValidation type="decimal" operator="greaterThanOrEqual" allowBlank="1" showInputMessage="1" showErrorMessage="1" sqref="L18:M19 Q18:R19 V18:W19 AA18:AB19 AF18:AG19 G18:H19" xr:uid="{7CAE9463-6BFC-44E7-9337-45B0660C6559}">
      <formula1>0</formula1>
    </dataValidation>
    <dataValidation type="whole" operator="lessThanOrEqual" allowBlank="1" showInputMessage="1" showErrorMessage="1" error="上段の入院患者数の範囲内の人数を入力してください。" sqref="J32:AN32 J25:AN25 J39:AN39 J60:AN60 J53:AN53 J46:AN46" xr:uid="{1C6B425E-64A8-4A6E-A775-D8848505E2CA}">
      <formula1>IF(J24="",0,J24)</formula1>
    </dataValidation>
    <dataValidation type="whole" operator="greaterThanOrEqual" allowBlank="1" showInputMessage="1" showErrorMessage="1" sqref="BR68" xr:uid="{CA94C981-A6F7-49A7-AF88-66F9864CA54F}">
      <formula1>80</formula1>
    </dataValidation>
    <dataValidation type="whole" operator="greaterThanOrEqual" allowBlank="1" showInputMessage="1" showErrorMessage="1" sqref="BR65" xr:uid="{65F7DB2A-246C-4663-AA32-D446B432D26C}">
      <formula1>30</formula1>
    </dataValidation>
    <dataValidation type="whole" operator="greaterThanOrEqual" allowBlank="1" showInputMessage="1" showErrorMessage="1" error="休診日とされている日には外来患者数は入力しないでください。_x000a_整数値のみ入力し、「人」等の単位は入力しないでください。" sqref="J24:AN24 J38:AN38 J31:AN31 J59:AN59 J52:AN52 J45:AN45" xr:uid="{813D020C-36F7-4A0B-8D36-9B8861118A5F}">
      <formula1>0</formula1>
    </dataValidation>
    <dataValidation type="decimal" operator="lessThanOrEqual" allowBlank="1" showInputMessage="1" showErrorMessage="1" error="「２．職員情報」に入力した医師及び看護師の員数の範囲内の数値を入力してください。" sqref="H109:M110" xr:uid="{48765FC2-170B-4D01-ABEA-A11B14F3E351}">
      <formula1>SUM(AS65:AV75)</formula1>
    </dataValidation>
    <dataValidation type="decimal" operator="lessThanOrEqual" allowBlank="1" showInputMessage="1" showErrorMessage="1" error="上段に記載の最大勤務時間数（当該月の診療時間数の合計）の範囲内の数値を入力してください。" sqref="AG93:AJ93 AC93:AE93 W93:Z93 M93:U93" xr:uid="{BCDDD339-AEFF-4222-89D1-86240C30A8FD}">
      <formula1>M92</formula1>
    </dataValidation>
    <dataValidation type="decimal" operator="greaterThanOrEqual" allowBlank="1" showInputMessage="1" showErrorMessage="1" error="患者数及び基準人員に基づく必要配置時間数以上の数値を入力してください。（但し、過大と見受けられる場合は算定根拠につき御説明をお願いします。）" sqref="Y96 AG96 AC96 U96 M96:Q96" xr:uid="{2BCD584C-5093-438F-B2AA-4BB29C2968B3}">
      <formula1>M95</formula1>
    </dataValidation>
    <dataValidation type="decimal" operator="lessThanOrEqual" allowBlank="1" showInputMessage="1" showErrorMessage="1" sqref="M94:AJ94" xr:uid="{58A4CB94-CE67-46BD-B563-0D818CD1D582}">
      <formula1>SUM($AS$65:$AV$75)</formula1>
    </dataValidation>
  </dataValidations>
  <printOptions horizontalCentered="1"/>
  <pageMargins left="0.70866141732283472" right="0.70866141732283472" top="0.74803149606299213" bottom="0.74803149606299213" header="0.31496062992125984" footer="0.31496062992125984"/>
  <pageSetup paperSize="9" scale="43" fitToHeight="0" orientation="portrait" r:id="rId1"/>
  <rowBreaks count="2" manualBreakCount="2">
    <brk id="76" max="50" man="1"/>
    <brk id="98" max="50" man="1"/>
  </rowBreaks>
  <colBreaks count="1" manualBreakCount="1">
    <brk id="64" max="1048575" man="1"/>
  </colBreaks>
  <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1">
    <pageSetUpPr fitToPage="1"/>
  </sheetPr>
  <dimension ref="B1:BB57"/>
  <sheetViews>
    <sheetView showGridLines="0" view="pageBreakPreview" zoomScale="60" zoomScaleNormal="100" workbookViewId="0">
      <selection activeCell="X2" sqref="X2"/>
    </sheetView>
  </sheetViews>
  <sheetFormatPr defaultColWidth="5.625" defaultRowHeight="20.100000000000001" customHeight="1"/>
  <cols>
    <col min="1" max="1" width="1.625" style="695" customWidth="1"/>
    <col min="2" max="18" width="5.625" style="695" customWidth="1"/>
    <col min="19" max="19" width="1.625" style="695" customWidth="1"/>
    <col min="20" max="20" width="1.75" style="695" customWidth="1"/>
    <col min="21" max="22" width="10.125" style="695" customWidth="1"/>
    <col min="23" max="23" width="10.125" style="695" hidden="1" customWidth="1"/>
    <col min="24" max="24" width="15.625" style="695" customWidth="1"/>
    <col min="25" max="25" width="10.125" style="695" customWidth="1"/>
    <col min="26" max="26" width="7" style="695" customWidth="1"/>
    <col min="27" max="38" width="10.25" style="695" customWidth="1"/>
    <col min="39" max="39" width="4.625" style="695" customWidth="1"/>
    <col min="40" max="41" width="10.625" style="695" customWidth="1"/>
    <col min="42" max="42" width="4.625" style="695" customWidth="1"/>
    <col min="43" max="44" width="10.25" style="695" customWidth="1"/>
    <col min="45" max="47" width="6.625" style="695" customWidth="1"/>
    <col min="48" max="54" width="10.25" style="695" customWidth="1"/>
    <col min="55" max="16384" width="5.625" style="695"/>
  </cols>
  <sheetData>
    <row r="1" spans="2:54" ht="45" customHeight="1"/>
    <row r="2" spans="2:54" ht="20.100000000000001" customHeight="1">
      <c r="N2" s="1611" t="str">
        <f xml:space="preserve">
IF(表紙!$X$2="事前協議","（10月１日～３月31日分）",
IF(表紙!$X$2="交付申請（２次）","（10月１日～３月31日分）",
IF(表紙!$X$2="変更申請","（10月１日～３月31日分）",
IF(表紙!$X$2="実績報告（１次）","（５月８日～10月31日分）",
IF(表紙!$X$2="実績報告（２次）","（10月１日～３月31日分）",
IF(表紙!$X$2="交付申請兼実績報告","（10月１日～３月31日分）"))))))</f>
        <v>（10月１日～３月31日分）</v>
      </c>
      <c r="O2" s="1612"/>
      <c r="P2" s="1612"/>
      <c r="Q2" s="1612"/>
      <c r="R2" s="1612"/>
      <c r="X2" s="767" t="s">
        <v>484</v>
      </c>
    </row>
    <row r="3" spans="2:54" ht="20.100000000000001" customHeight="1">
      <c r="B3" s="695" t="str">
        <f xml:space="preserve">
IF(表紙!$X$2="事前協議","様式２",
IF(表紙!$X$2="交付申請（２次）","様式２",
IF(表紙!$X$2="変更申請","様式３",
IF(表紙!$X$2="実績報告（１次）","様式４",
IF(表紙!$X$2="実績報告（２次）","様式４",
IF(表紙!$X$2="交付申請兼実績報告","様式１"))))))</f>
        <v>様式２</v>
      </c>
    </row>
    <row r="4" spans="2:54" ht="20.100000000000001" customHeight="1">
      <c r="N4" s="1635" t="str">
        <f>IF(はじめに入力してください!H13="","",はじめに入力してください!H13)</f>
        <v/>
      </c>
      <c r="O4" s="1635"/>
      <c r="P4" s="1635"/>
      <c r="Q4" s="1635"/>
      <c r="Z4" s="1618"/>
      <c r="AA4" s="1618"/>
      <c r="AB4" s="1636"/>
      <c r="AC4" s="1618"/>
      <c r="AD4" s="1617"/>
      <c r="AE4" s="1617"/>
      <c r="AF4" s="1617"/>
      <c r="AG4" s="1618"/>
      <c r="AH4" s="1618"/>
      <c r="AI4" s="1617"/>
      <c r="AJ4" s="1617"/>
      <c r="AK4" s="1619"/>
      <c r="AL4" s="1619"/>
      <c r="AM4" s="1619"/>
      <c r="AN4" s="1619"/>
      <c r="AO4" s="1619"/>
      <c r="AP4" s="1619"/>
      <c r="AQ4" s="1619"/>
      <c r="AR4" s="1619"/>
      <c r="AS4" s="1617"/>
      <c r="AT4" s="1616"/>
      <c r="AU4" s="1616"/>
      <c r="AV4" s="1633"/>
      <c r="AW4" s="1633"/>
      <c r="AX4" s="1633"/>
      <c r="AY4" s="1633"/>
      <c r="AZ4" s="1633"/>
      <c r="BA4" s="1634"/>
      <c r="BB4" s="1634"/>
    </row>
    <row r="5" spans="2:54" ht="20.100000000000001" customHeight="1">
      <c r="N5" s="1613" t="str">
        <f>IF(はじめに入力してください!O12="×","令和　　年　月　　日",
"令和"&amp;はじめに入力してください!I12&amp;"年"&amp;はじめに入力してください!K12&amp;"月"&amp;はじめに入力してください!M12&amp;"日")</f>
        <v>令和　　年　月　　日</v>
      </c>
      <c r="O5" s="1614"/>
      <c r="P5" s="1614"/>
      <c r="Q5" s="1614"/>
      <c r="R5" s="914"/>
      <c r="Z5" s="1618"/>
      <c r="AA5" s="1618"/>
      <c r="AB5" s="1636"/>
      <c r="AC5" s="1618"/>
      <c r="AD5" s="1617"/>
      <c r="AE5" s="1617"/>
      <c r="AF5" s="1617"/>
      <c r="AG5" s="1618"/>
      <c r="AH5" s="1618"/>
      <c r="AI5" s="1617"/>
      <c r="AJ5" s="1617"/>
      <c r="AK5" s="426"/>
      <c r="AL5" s="694"/>
      <c r="AM5" s="426"/>
      <c r="AN5" s="694"/>
      <c r="AO5" s="1619"/>
      <c r="AP5" s="426"/>
      <c r="AQ5" s="694"/>
      <c r="AR5" s="1619"/>
      <c r="AS5" s="1617"/>
      <c r="AT5" s="1616"/>
      <c r="AU5" s="1616"/>
      <c r="AV5" s="1633"/>
      <c r="AW5" s="1633"/>
      <c r="AX5" s="1633"/>
      <c r="AY5" s="1633"/>
      <c r="AZ5" s="1633"/>
      <c r="BA5" s="1634"/>
      <c r="BB5" s="1634"/>
    </row>
    <row r="6" spans="2:54" ht="20.100000000000001" customHeight="1">
      <c r="B6" s="1626" t="s">
        <v>628</v>
      </c>
      <c r="C6" s="1626"/>
      <c r="D6" s="1626"/>
      <c r="E6" s="1626"/>
      <c r="F6" s="1626"/>
      <c r="G6" s="1626"/>
      <c r="Z6" s="427"/>
      <c r="AA6" s="699"/>
      <c r="AB6" s="699"/>
      <c r="AC6" s="428"/>
      <c r="AD6" s="428"/>
      <c r="AE6" s="428"/>
      <c r="AF6" s="428"/>
      <c r="AG6" s="428"/>
      <c r="AH6" s="428"/>
      <c r="AI6" s="428"/>
      <c r="AJ6" s="428"/>
      <c r="AK6" s="428"/>
      <c r="AL6" s="428"/>
      <c r="AM6" s="428"/>
      <c r="AN6" s="428"/>
      <c r="AO6" s="428"/>
      <c r="AP6" s="428"/>
      <c r="AQ6" s="428"/>
      <c r="AR6" s="428"/>
      <c r="AS6" s="699"/>
      <c r="AT6" s="429"/>
      <c r="AU6" s="699"/>
      <c r="AV6" s="699"/>
      <c r="AW6" s="699"/>
      <c r="AX6" s="699"/>
      <c r="AY6" s="699"/>
      <c r="AZ6" s="699"/>
      <c r="BA6" s="699"/>
      <c r="BB6" s="699"/>
    </row>
    <row r="8" spans="2:54" ht="20.100000000000001" customHeight="1">
      <c r="I8" s="1615" t="s">
        <v>629</v>
      </c>
      <c r="J8" s="1615"/>
      <c r="K8" s="1615"/>
      <c r="L8" s="1620" t="str">
        <f>IF(はじめに入力してください!O9="×","",はじめに入力してください!AF9)</f>
        <v/>
      </c>
      <c r="M8" s="1620"/>
      <c r="N8" s="1620"/>
      <c r="O8" s="1620"/>
      <c r="P8" s="1620"/>
      <c r="Q8" s="1620"/>
      <c r="R8" s="1620"/>
      <c r="V8" s="693"/>
      <c r="W8" s="695" t="s">
        <v>631</v>
      </c>
    </row>
    <row r="9" spans="2:54" ht="20.100000000000001" customHeight="1">
      <c r="I9" s="1615" t="s">
        <v>632</v>
      </c>
      <c r="J9" s="1615"/>
      <c r="K9" s="1615"/>
      <c r="L9" s="1623" t="str">
        <f xml:space="preserve">
IF(はじめに入力してください!O3="×","",
IF(はじめに入力してください!O3="○"&amp;CHAR(10)&amp;"（個人）",はじめに入力してください!AF6,
IF(はじめに入力してください!O3="○"&amp;CHAR(10)&amp;"（法人）",はじめに入力してください!AF6&amp;"("&amp;はじめに入力してください!AF10&amp;")",
IF(はじめに入力してください!O3="○"&amp;CHAR(10)&amp;"（公立）",はじめに入力してください!AF6&amp;"("&amp;はじめに入力してください!AF10&amp;")"))))</f>
        <v/>
      </c>
      <c r="M9" s="1623"/>
      <c r="N9" s="1623"/>
      <c r="O9" s="1623"/>
      <c r="P9" s="1623"/>
      <c r="Q9" s="1623"/>
      <c r="R9" s="1623"/>
      <c r="W9" s="695" t="s">
        <v>633</v>
      </c>
    </row>
    <row r="10" spans="2:54" ht="20.100000000000001" customHeight="1">
      <c r="I10" s="1615" t="s">
        <v>634</v>
      </c>
      <c r="J10" s="1615"/>
      <c r="K10" s="1615"/>
      <c r="L10" s="1624" t="str">
        <f xml:space="preserve">
IF(COUNTIF(はじめに入力してください!O7:O8,"○")&lt;&gt;2,"",はじめに入力してください!AF7&amp;"　"&amp;はじめに入力してください!AF8)</f>
        <v/>
      </c>
      <c r="M10" s="1624"/>
      <c r="N10" s="1624"/>
      <c r="O10" s="1624"/>
      <c r="P10" s="1624"/>
      <c r="Q10" s="1624"/>
      <c r="R10" s="1624"/>
      <c r="W10" s="695" t="s">
        <v>630</v>
      </c>
      <c r="AA10" s="430"/>
      <c r="AB10" s="430"/>
      <c r="AC10" s="430"/>
      <c r="AD10" s="430"/>
      <c r="AE10" s="430"/>
      <c r="AF10" s="430"/>
      <c r="AG10" s="430"/>
    </row>
    <row r="11" spans="2:54" ht="20.100000000000001" customHeight="1">
      <c r="AA11" s="430"/>
      <c r="AB11" s="430"/>
      <c r="AC11" s="430"/>
      <c r="AD11" s="430"/>
      <c r="AE11" s="430"/>
      <c r="AF11" s="430"/>
      <c r="AG11" s="430"/>
    </row>
    <row r="12" spans="2:54" ht="50.1" customHeight="1">
      <c r="B12" s="1625" t="str">
        <f xml:space="preserve">
IF(表紙!$X$2="事前協議",
"　　　　　　令和５年度新型コロナウイルス感染症患者等入院医療機関設備整備費補助金"&amp;CHAR(10)&amp;
"　　　　　　交付申請書（案）",
IF(表紙!$X$2="交付申請（２次）",
"　　　　　　令和５年度新型コロナウイルス感染症患者等入院医療機関設備整備費補助金"&amp;CHAR(10)&amp;
"　　　　　　交付申請書",
IF(表紙!$X$2="変更申請",
"　　　　　　令和５年度新型コロナウイルス感染症患者等入院医療機関設備整備費補助金"&amp;CHAR(10)&amp;
"　　　　　　変更交付申請書",
IF(表紙!$X$2="実績報告（１次）",
"　　　　　　令和５年度新型コロナウイルス感染症患者等入院医療機関設備整備費補助金"&amp;CHAR(10)&amp;
"　　　　　　事業実績報告書",
IF(表紙!$X$2="実績報告（２次）",
"　　　　　　令和５年度新型コロナウイルス感染症患者等入院医療機関設備整備費補助金"&amp;CHAR(10)&amp;
"　　　　　　事業実績報告書",
IF(表紙!$X$2="交付申請兼実績報告",
"　　　　　　令和５年度新型コロナウイルス感染症患者等入院医療機関設備整備費補助金"&amp;CHAR(10)&amp;
"　　　　　　交付申請書兼実績報告書兼請求書"))))))</f>
        <v>　　　　　　令和５年度新型コロナウイルス感染症患者等入院医療機関設備整備費補助金
　　　　　　交付申請書（案）</v>
      </c>
      <c r="C12" s="1625"/>
      <c r="D12" s="1625"/>
      <c r="E12" s="1625"/>
      <c r="F12" s="1625"/>
      <c r="G12" s="1625"/>
      <c r="H12" s="1625"/>
      <c r="I12" s="1625"/>
      <c r="J12" s="1625"/>
      <c r="K12" s="1625"/>
      <c r="L12" s="1625"/>
      <c r="M12" s="1625"/>
      <c r="N12" s="1625"/>
      <c r="O12" s="1625"/>
      <c r="P12" s="1625"/>
      <c r="Q12" s="1625"/>
      <c r="R12" s="1625"/>
    </row>
    <row r="14" spans="2:54" s="697" customFormat="1" ht="39.950000000000003" customHeight="1">
      <c r="B14" s="1627" t="str">
        <f xml:space="preserve">
IF(表紙!$X$2="事前協議",
"　　このことについて、下記により申請します。",
IF(表紙!$X$2="交付申請（２次）",
"　　このことについて、下記により申請します。",
IF(表紙!$X$2="変更申請",
"　　このことについて、下記により申請します。",
IF(表紙!$X$2="実績報告（１次）",
"　　このことについて、下記により提出します。",
IF(表紙!$X$2="実績報告（２次）",
"　　このことについて、下記により提出します。",
IF(表紙!$X$2="交付申請兼実績報告",
"　　このことについて、下記のとおり申請、実績額を報告の上、請求します。"&amp;CHAR(10)&amp;
"　　なお、支払は下記の口座に振り込んでください。"))))))</f>
        <v>　　このことについて、下記により申請します。</v>
      </c>
      <c r="C14" s="1632"/>
      <c r="D14" s="1632"/>
      <c r="E14" s="1632"/>
      <c r="F14" s="1632"/>
      <c r="G14" s="1632"/>
      <c r="H14" s="1632"/>
      <c r="I14" s="1632"/>
      <c r="J14" s="1632"/>
      <c r="K14" s="1632"/>
      <c r="L14" s="1632"/>
      <c r="M14" s="1632"/>
      <c r="N14" s="1632"/>
      <c r="O14" s="1632"/>
      <c r="P14" s="1632"/>
      <c r="Q14" s="1632"/>
      <c r="R14" s="1632"/>
    </row>
    <row r="15" spans="2:54" ht="20.100000000000001" customHeight="1">
      <c r="B15" s="1615" t="s">
        <v>635</v>
      </c>
      <c r="C15" s="1615"/>
      <c r="D15" s="1615"/>
      <c r="E15" s="1615"/>
      <c r="F15" s="1615"/>
      <c r="G15" s="1615"/>
      <c r="H15" s="1615"/>
      <c r="I15" s="1615"/>
      <c r="J15" s="1615"/>
      <c r="K15" s="1615"/>
      <c r="L15" s="1615"/>
      <c r="M15" s="1615"/>
      <c r="N15" s="1615"/>
      <c r="O15" s="1615"/>
      <c r="P15" s="1615"/>
      <c r="Q15" s="1615"/>
      <c r="R15" s="1615"/>
    </row>
    <row r="16" spans="2:54" ht="20.100000000000001" customHeight="1">
      <c r="B16" s="695" t="s">
        <v>6</v>
      </c>
      <c r="C16" s="693"/>
      <c r="D16" s="693"/>
      <c r="E16" s="693"/>
      <c r="F16" s="693"/>
      <c r="G16" s="693"/>
      <c r="H16" s="693"/>
      <c r="I16" s="693"/>
      <c r="J16" s="693"/>
      <c r="K16" s="693"/>
      <c r="L16" s="693"/>
      <c r="M16" s="693"/>
      <c r="N16" s="693"/>
      <c r="O16" s="693"/>
      <c r="P16" s="693"/>
      <c r="Q16" s="693"/>
      <c r="R16" s="693"/>
    </row>
    <row r="17" spans="2:21" ht="20.100000000000001" customHeight="1">
      <c r="C17" s="1626" t="str">
        <f>IF(はじめに入力してください!O10="×","",はじめに入力してください!AF10)</f>
        <v/>
      </c>
      <c r="D17" s="1626"/>
      <c r="E17" s="1626"/>
      <c r="F17" s="1626"/>
      <c r="G17" s="1626"/>
      <c r="H17" s="1626"/>
      <c r="I17" s="1626"/>
      <c r="J17" s="1626"/>
      <c r="K17" s="1626"/>
      <c r="L17" s="1626"/>
      <c r="M17" s="1626"/>
      <c r="N17" s="1626"/>
      <c r="O17" s="1626"/>
      <c r="P17" s="1626"/>
      <c r="Q17" s="1626"/>
      <c r="R17" s="1626"/>
    </row>
    <row r="18" spans="2:21" ht="20.100000000000001" customHeight="1">
      <c r="C18" s="1626" t="str">
        <f>IF(はじめに入力してください!O11="×","",はじめに入力してください!AF11)</f>
        <v/>
      </c>
      <c r="D18" s="1626"/>
      <c r="E18" s="1626"/>
      <c r="F18" s="1626"/>
      <c r="G18" s="1626"/>
      <c r="H18" s="1626"/>
      <c r="I18" s="1626"/>
      <c r="J18" s="1626"/>
      <c r="K18" s="1626"/>
      <c r="L18" s="1626"/>
      <c r="M18" s="1626"/>
      <c r="N18" s="1626"/>
      <c r="O18" s="1626"/>
      <c r="P18" s="1626"/>
      <c r="Q18" s="1626"/>
      <c r="R18" s="1626"/>
    </row>
    <row r="19" spans="2:21" ht="20.100000000000001" customHeight="1">
      <c r="B19" s="1621" t="str">
        <f xml:space="preserve">
IF(表紙!$X$2="事前協議","２　補助金申請額",
IF(表紙!$X$2="交付申請（２次）","２　補助金申請額",
IF(表紙!$X$2="変更申請","２　補助金申請額",
IF(表紙!$X$2="実績報告（１次）","２　補助金精算額",
IF(表紙!$X$2="実績報告（２次）","２　補助金精算額",
IF(表紙!$X$2="交付申請兼実績報告","２　補助金精算額"))))))</f>
        <v>２　補助金申請額</v>
      </c>
      <c r="C19" s="1621"/>
      <c r="D19" s="1621"/>
      <c r="E19" s="1621"/>
      <c r="F19" s="1621"/>
      <c r="G19" s="1621"/>
      <c r="H19" s="1621"/>
      <c r="I19" s="1621"/>
      <c r="J19" s="1621"/>
      <c r="K19" s="1621"/>
      <c r="L19" s="1621"/>
      <c r="M19" s="1621"/>
      <c r="N19" s="1621"/>
      <c r="O19" s="1621"/>
      <c r="P19" s="1621"/>
      <c r="Q19" s="1621"/>
    </row>
    <row r="20" spans="2:21" ht="20.100000000000001" customHeight="1">
      <c r="B20" s="1627" t="str">
        <f xml:space="preserve">
IF(表紙!$X$2="事前協議","",
IF(表紙!$X$2="交付申請（２次）","",
IF(表紙!$X$2="変更申請","（１）申請額",
IF(表紙!$X$2="実績報告（１次）","",
IF(表紙!$X$2="実績報告（２次）","",
IF(表紙!$X$2="交付申請兼実績報告",""))))))</f>
        <v/>
      </c>
      <c r="C20" s="1621"/>
      <c r="D20" s="1621"/>
      <c r="E20" s="1621"/>
      <c r="F20" s="1621"/>
      <c r="G20" s="1628" t="str">
        <f xml:space="preserve">
IF(はじめに入力してください!F58="×","金　　　　　　　　　円",
IF(表紙!$X$2="事前協議",経費書!K47,
IF(表紙!$X$2="交付申請（２次）",経費書!K47,
IF(表紙!$X$2="変更申請",経費書!K47,
IF(表紙!$X$2="実績報告（１次）",経費書!O48,
IF(表紙!$X$2="実績報告（２次）",経費書!O48,
IF(表紙!$X$2="交付申請兼実績報告",経費書!K47)))))))</f>
        <v>金　　　　　　　　　円</v>
      </c>
      <c r="H20" s="1629"/>
      <c r="I20" s="1629"/>
      <c r="J20" s="1629"/>
      <c r="K20" s="1629"/>
      <c r="L20" s="698"/>
      <c r="M20" s="1630" t="str">
        <f xml:space="preserve">
IF(表紙!$X$2="事前協議","",
IF(表紙!$X$2="交付申請（２次）","",
IF(表紙!$X$2="変更申請","",
IF(AND(表紙!$X$2="実績報告（１次）",はじめに入力してください!F58="×"),"",
IF(AND(表紙!$X$2="実績報告（１次）",はじめに入力してください!F58="○"),
"　　交付決定額：　"&amp;TEXT(経費書!O47,"#,###円")&amp;CHAR(10)
&amp;IF(経費書!O47=経費書!O48,"　→交付決定の額と一致","　→差　引　額："&amp;TEXT(経費書!O48-経費書!O47,"△"&amp;"#,##0円")),
IF(AND(表紙!$X$2="実績報告（２次）",はじめに入力してください!F58="×"),"",
IF(AND(表紙!$X$2="実績報告（２次）",はじめに入力してください!F58="○"),
"　　交付決定額：　"&amp;TEXT(経費書!O47,"#,###円")&amp;CHAR(10)
&amp;IF(経費書!O47=経費書!O48,"　→交付決定の額と一致","　→差　引　額："&amp;TEXT(経費書!O48-経費書!O47,"△"&amp;"#,##0円")),
IF(表紙!$X$2="交付申請兼実績報告",""))))))))</f>
        <v/>
      </c>
      <c r="N20" s="1631"/>
      <c r="O20" s="1631"/>
      <c r="P20" s="1631"/>
      <c r="Q20" s="1631"/>
      <c r="R20" s="1631"/>
    </row>
    <row r="21" spans="2:21" ht="20.100000000000001" customHeight="1">
      <c r="B21" s="1621" t="str">
        <f xml:space="preserve">
IF(表紙!$X$2="事前協議","",
IF(表紙!$X$2="交付申請（２次）","",
IF(表紙!$X$2="変更申請","（２）既交付決定額",
IF(表紙!$X$2="実績報告（１次）","",
IF(表紙!$X$2="実績報告（２次）","",
IF(表紙!$X$2="交付申請兼実績報告",""))))))</f>
        <v/>
      </c>
      <c r="C21" s="1621"/>
      <c r="D21" s="1621"/>
      <c r="E21" s="1621"/>
      <c r="F21" s="1621"/>
      <c r="G21" s="1622" t="str">
        <f xml:space="preserve">
IF(表紙!$X$2="事前協議","",
IF(表紙!$X$2="交付申請（２次）","",
IF(AND(表紙!$X$2="変更申請",はじめに入力してください!L18=""),"金　　　　　　　　　円",
IF(AND(表紙!$X$2="変更申請",はじめに入力してください!L18&lt;&gt;""),VLOOKUP(はじめに入力してください!L18,リスト!A:B,2,FALSE),
IF(表紙!$X$2="実績報告（１次）","",
IF(表紙!$X$2="実績報告（２次）","",
IF(表紙!$X$2="交付申請兼実績報告","")))))))</f>
        <v/>
      </c>
      <c r="H21" s="1622"/>
      <c r="I21" s="1622"/>
      <c r="J21" s="1622"/>
      <c r="K21" s="1622"/>
      <c r="L21" s="696"/>
      <c r="M21" s="1631"/>
      <c r="N21" s="1631"/>
      <c r="O21" s="1631"/>
      <c r="P21" s="1631"/>
      <c r="Q21" s="1631"/>
      <c r="R21" s="1631"/>
    </row>
    <row r="22" spans="2:21" ht="20.100000000000001" customHeight="1">
      <c r="B22" s="1627" t="str">
        <f xml:space="preserve">
IF(表紙!$X$2="事前協議","",
IF(表紙!$X$2="交付申請（２次）","",
IF(表紙!$X$2="変更申請","（３）差引増減額",
IF(表紙!$X$2="実績報告（１次）","",
IF(表紙!$X$2="実績報告（２次）","",
IF(表紙!$X$2="交付申請兼実績報告",""))))))</f>
        <v/>
      </c>
      <c r="C22" s="1621"/>
      <c r="D22" s="1621"/>
      <c r="E22" s="1621"/>
      <c r="F22" s="1621"/>
      <c r="G22" s="1637" t="str">
        <f xml:space="preserve">
IF(表紙!$X$2="事前協議","",
IF(表紙!$X$2="交付申請（２次）","",
IF(AND(表紙!$X$2="変更申請",はじめに入力してください!L18=""),"金　　　　　　　　　円",
IF(AND(表紙!$X$2="変更申請",はじめに入力してください!L18&lt;&gt;""),G20-G21,
IF(表紙!$X$2="実績報告（１次）","",
IF(表紙!$X$2="実績報告（２次）","",
IF(表紙!$X$2="交付申請兼実績報告","")))))))</f>
        <v/>
      </c>
      <c r="H22" s="1637"/>
      <c r="I22" s="1637"/>
      <c r="J22" s="1637"/>
      <c r="K22" s="1637"/>
      <c r="L22" s="696"/>
      <c r="M22" s="696"/>
      <c r="N22" s="696"/>
      <c r="O22" s="696"/>
      <c r="P22" s="696"/>
    </row>
    <row r="23" spans="2:21" ht="20.100000000000001" customHeight="1">
      <c r="B23" s="1624" t="str">
        <f xml:space="preserve">
IF(表紙!$X$2="事前協議","３　所要額調書設備整備基準算出内訳及び対象経費支出予定額内訳（様式２－４、２－５）",
IF(表紙!$X$2="交付申請（２次）","３　所要額調書設備整備基準算出内訳及び対象経費支出予定額内訳（様式２－４、２－５）",
IF(表紙!$X$2="変更申請","３　所要額調書設備整備基準算出内訳及び対象経費支出予定額内訳（様式２－４、２－５）",
IF(表紙!$X$2="実績報告（１次）","３　経費精算書、設備整備基準算出内訳及び対象経費実支出額内訳（様式１－１、１－２）",
IF(表紙!$X$2="実績報告（２次）","３　経費精算書、設備整備基準算出内訳及び対象経費実支出額内訳（様式１－４、１－５）",
IF(表紙!$X$2="交付申請兼実績報告","３　経費精算書、設備整備基準算出内訳及び対象経費実支出額内訳（様式１－４、１－５）"))))))</f>
        <v>３　所要額調書設備整備基準算出内訳及び対象経費支出予定額内訳（様式２－４、２－５）</v>
      </c>
      <c r="C23" s="917"/>
      <c r="D23" s="917"/>
      <c r="E23" s="917"/>
      <c r="F23" s="917"/>
      <c r="G23" s="917"/>
      <c r="H23" s="917"/>
      <c r="I23" s="917"/>
      <c r="J23" s="917"/>
      <c r="K23" s="917"/>
      <c r="L23" s="917"/>
      <c r="M23" s="917"/>
      <c r="N23" s="917"/>
      <c r="O23" s="917"/>
      <c r="P23" s="917"/>
      <c r="Q23" s="917"/>
      <c r="R23" s="917"/>
    </row>
    <row r="24" spans="2:21" ht="20.100000000000001" customHeight="1">
      <c r="B24" s="431" t="s">
        <v>636</v>
      </c>
      <c r="C24" s="432"/>
      <c r="D24" s="432"/>
      <c r="E24" s="432"/>
      <c r="F24" s="432"/>
      <c r="G24" s="432"/>
      <c r="H24" s="432"/>
      <c r="I24" s="432"/>
      <c r="J24" s="432"/>
      <c r="K24" s="432"/>
      <c r="L24" s="432"/>
      <c r="M24" s="432"/>
    </row>
    <row r="25" spans="2:21" ht="20.100000000000001" customHeight="1">
      <c r="B25" s="1625" t="str">
        <f xml:space="preserve">
IF(表紙!$X$2="事前協議","（１）歳入歳出予算書（又は見込書）抄本（様式２－３）",
IF(表紙!$X$2="交付申請（２次）","（１）歳入歳出予算書（又は見込書）抄本（様式２－３）",
IF(表紙!$X$2="変更申請","（１）歳入歳出予算書（又は見込書）抄本（様式２－３）",
IF(表紙!$X$2="実績報告（１次）","（１）歳入歳出決算書（見込書）抄本（様式１－３）",
IF(表紙!$X$2="実績報告（２次）","（１）歳入歳出決算書（見込書）抄本（様式１－３）",
IF(表紙!$X$2="交付申請兼実績報告","（１）歳入歳出決算書（見込書）抄本（様式１－３）"))))))</f>
        <v>（１）歳入歳出予算書（又は見込書）抄本（様式２－３）</v>
      </c>
      <c r="C25" s="1625"/>
      <c r="D25" s="1625"/>
      <c r="E25" s="1625"/>
      <c r="F25" s="1625"/>
      <c r="G25" s="1625"/>
      <c r="H25" s="1625"/>
      <c r="I25" s="1625"/>
      <c r="J25" s="1625"/>
      <c r="K25" s="1625"/>
      <c r="L25" s="1625"/>
      <c r="M25" s="1625"/>
      <c r="N25" s="1625"/>
      <c r="O25" s="1625"/>
      <c r="P25" s="1625"/>
      <c r="Q25" s="1625"/>
      <c r="R25" s="1625"/>
    </row>
    <row r="26" spans="2:21" ht="20.100000000000001" customHeight="1">
      <c r="B26" s="1625" t="str">
        <f xml:space="preserve">
IF(表紙!$X$2="事前協議","　　（注）予算書には、当該事業の補助対象事業に係る額を備考欄に記入すること。",
IF(表紙!$X$2="交付申請（２次）","　　（注）予算書には、当該事業の補助対象事業に係る額を備考欄に記入すること。",
IF(表紙!$X$2="変更申請","　　（注）予算書には、当該事業の補助対象事業に係る額を備考欄に記入すること。",
IF(表紙!$X$2="実績報告（１次）","　　（注）決算書には、当該事業の補助対象事業に係る額を備考欄に記入すること。",
IF(表紙!$X$2="実績報告（２次）","　　（注）決算書には、当該事業の補助対象事業に係る額を備考欄に記入すること。",
IF(表紙!$X$2="交付申請兼実績報告","　　（注）決算書には、当該事業の補助対象事業に係る額を備考欄に記入すること。"))))))</f>
        <v>　　（注）予算書には、当該事業の補助対象事業に係る額を備考欄に記入すること。</v>
      </c>
      <c r="C26" s="1625"/>
      <c r="D26" s="1625"/>
      <c r="E26" s="1625"/>
      <c r="F26" s="1625"/>
      <c r="G26" s="1625"/>
      <c r="H26" s="1625"/>
      <c r="I26" s="1625"/>
      <c r="J26" s="1625"/>
      <c r="K26" s="1625"/>
      <c r="L26" s="1625"/>
      <c r="M26" s="1625"/>
      <c r="N26" s="1625"/>
      <c r="O26" s="1625"/>
      <c r="P26" s="1625"/>
      <c r="Q26" s="1625"/>
      <c r="R26" s="1625"/>
    </row>
    <row r="27" spans="2:21" ht="20.100000000000001" customHeight="1">
      <c r="B27" s="1625" t="str">
        <f xml:space="preserve">
IF(表紙!$X$2="事前協議","（２）見積書の写し等整備品目の規格（型式）、数量、単価及び金額の確認資料",
IF(表紙!$X$2="交付申請（２次）","（２）見積書の写し等整備品目の規格（型式）、数量、単価及び金額の確認資料",
IF(表紙!$X$2="変更申請","（２）見積書の写し等整備品目の規格（型式）、数量、単価及び金額の確認資料",
IF(表紙!$X$2="実績報告（１次）","（２）設備を配置したフロアの平面図、整備仕様書、作業手順書",
IF(表紙!$X$2="実績報告（２次）","（２）設備を配置したフロアの平面図、整備仕様書、作業手順書",
IF(表紙!$X$2="交付申請兼実績報告","（２）設備を配置したフロアの平面図、整備仕様書、作業手順書"))))))</f>
        <v>（２）見積書の写し等整備品目の規格（型式）、数量、単価及び金額の確認資料</v>
      </c>
      <c r="C27" s="1625"/>
      <c r="D27" s="1625"/>
      <c r="E27" s="1625"/>
      <c r="F27" s="1625"/>
      <c r="G27" s="1625"/>
      <c r="H27" s="1625"/>
      <c r="I27" s="1625"/>
      <c r="J27" s="1625"/>
      <c r="K27" s="1625"/>
      <c r="L27" s="1625"/>
      <c r="M27" s="1625"/>
      <c r="N27" s="1625"/>
      <c r="O27" s="1625"/>
      <c r="P27" s="1625"/>
      <c r="Q27" s="1625"/>
      <c r="R27" s="1625"/>
    </row>
    <row r="28" spans="2:21" ht="20.100000000000001" customHeight="1">
      <c r="B28" s="1625" t="str">
        <f xml:space="preserve">
IF(表紙!$X$2="事前協議","",
IF(表紙!$X$2="交付申請（２次）","",
IF(表紙!$X$2="変更申請","",
IF(表紙!$X$2="実績報告（１次）","　（注）交付申請書又は変更交付申請書に添付した書類に変更がない場合は、省略することができる。",
IF(表紙!$X$2="実績報告（２次）","　（注）交付申請書又は変更交付申請書に添付した書類に変更がない場合は、省略することができる。",
IF(表紙!$X$2="交付申請兼実績報告","　（注）交付申請書又は変更交付申請書に添付した書類に変更がない場合は、省略することができる。"))))))</f>
        <v/>
      </c>
      <c r="C28" s="1625"/>
      <c r="D28" s="1625"/>
      <c r="E28" s="1625"/>
      <c r="F28" s="1625"/>
      <c r="G28" s="1625"/>
      <c r="H28" s="1625"/>
      <c r="I28" s="1625"/>
      <c r="J28" s="1625"/>
      <c r="K28" s="1625"/>
      <c r="L28" s="1625"/>
      <c r="M28" s="1625"/>
      <c r="N28" s="1625"/>
      <c r="O28" s="1625"/>
      <c r="P28" s="1625"/>
      <c r="Q28" s="1625"/>
      <c r="R28" s="1625"/>
    </row>
    <row r="29" spans="2:21" ht="20.100000000000001" customHeight="1">
      <c r="B29" s="1625" t="str">
        <f xml:space="preserve">
IF(表紙!$X$2="事前協議","（３）以下に示す内容がわかる資料",
IF(表紙!$X$2="交付申請（２次）","（３）以下に示す内容がわかる資料",
IF(表紙!$X$2="変更申請","（３）以下に示す内容がわかる資料",
IF(表紙!$X$2="実績報告（１次）","（３）契約書及び納品書の写し、検収調書の写し等事業経費等を確認できる書類",
IF(表紙!$X$2="実績報告（２次）","（３）契約書及び納品書の写し、検収調書の写し等事業経費等を確認できる書類",
IF(表紙!$X$2="交付申請兼実績報告","（３）契約書及び納品書の写し、検収調書の写し等事業経費等を確認できる書類及び以下の内容がわかる資料"))))))</f>
        <v>（３）以下に示す内容がわかる資料</v>
      </c>
      <c r="C29" s="1625"/>
      <c r="D29" s="1625"/>
      <c r="E29" s="1625"/>
      <c r="F29" s="1625"/>
      <c r="G29" s="1625"/>
      <c r="H29" s="1625"/>
      <c r="I29" s="1625"/>
      <c r="J29" s="1625"/>
      <c r="K29" s="1625"/>
      <c r="L29" s="1625"/>
      <c r="M29" s="1625"/>
      <c r="N29" s="1625"/>
      <c r="O29" s="1625"/>
      <c r="P29" s="1625"/>
      <c r="Q29" s="1625"/>
      <c r="R29" s="1625"/>
    </row>
    <row r="30" spans="2:21" ht="20.100000000000001" customHeight="1">
      <c r="B30" s="696" t="s">
        <v>637</v>
      </c>
      <c r="C30" s="1627" t="str">
        <f xml:space="preserve">
IF(表紙!$X$2="事前協議","ア　初度設備関係",
IF(表紙!$X$2="交付申請（２次）","ア　初度設備関係",
IF(表紙!$X$2="変更申請","ア　初度設備関係",
IF(表紙!$X$2="実績報告（１次）","",
IF(表紙!$X$2="実績報告（２次）","",
IF(表紙!$X$2="交付申請兼実績報告","ア　初度設備関係"))))))</f>
        <v>ア　初度設備関係</v>
      </c>
      <c r="D30" s="1627"/>
      <c r="E30" s="1627"/>
      <c r="F30" s="1627"/>
      <c r="G30" s="1627"/>
      <c r="H30" s="1627"/>
      <c r="I30" s="1627"/>
      <c r="J30" s="1627"/>
      <c r="K30" s="1627"/>
      <c r="L30" s="1627"/>
      <c r="M30" s="1627"/>
      <c r="N30" s="1627"/>
      <c r="O30" s="1627"/>
      <c r="P30" s="1627"/>
      <c r="Q30" s="1627"/>
      <c r="R30" s="1627"/>
      <c r="U30" s="697" t="s">
        <v>638</v>
      </c>
    </row>
    <row r="31" spans="2:21" ht="20.100000000000001" customHeight="1">
      <c r="B31" s="696"/>
      <c r="C31" s="1627" t="str">
        <f xml:space="preserve">
IF(表紙!$X$2="事前協議",
"　　設備を配置するフロアの平面図、整備仕様書等、院内感染防止に配慮した病床"&amp;CHAR(10)&amp;
"　の新築又は増築する数及びこれに伴う整備であることのがわかる確認資料",
IF(表紙!$X$2="交付申請（２次）",
"　　設備を配置するフロアの平面図、整備仕様書等、院内感染防止に配慮した病床"&amp;CHAR(10)&amp;
"　の新築又は増築する数及びこれに伴う整備であることのがわかる確認資料",
IF(表紙!$X$2="変更申請",
"　　設備を配置するフロアの平面図、整備仕様書等、院内感染防止に配慮した病床"&amp;CHAR(10)&amp;
"　の新築又は増築する数及びこれに伴う整備であることのがわかる確認資料",
IF(表紙!$X$2="実績報告（１次）","",
IF(表紙!$X$2="実績報告（２次）","",
IF(表紙!$X$2="交付申請兼実績報告",
"　　設備を配置するフロアの平面図、整備仕様書等、院内感染防止に配慮した病床"&amp;CHAR(10)&amp;
"　の新築又は増築する数及びこれに伴う整備であることのがわかる確認資料"))))))</f>
        <v>　　設備を配置するフロアの平面図、整備仕様書等、院内感染防止に配慮した病床
　の新築又は増築する数及びこれに伴う整備であることのがわかる確認資料</v>
      </c>
      <c r="D31" s="1627"/>
      <c r="E31" s="1627"/>
      <c r="F31" s="1627"/>
      <c r="G31" s="1627"/>
      <c r="H31" s="1627"/>
      <c r="I31" s="1627"/>
      <c r="J31" s="1627"/>
      <c r="K31" s="1627"/>
      <c r="L31" s="1627"/>
      <c r="M31" s="1627"/>
      <c r="N31" s="1627"/>
      <c r="O31" s="1627"/>
      <c r="P31" s="1627"/>
      <c r="Q31" s="1627"/>
      <c r="R31" s="1627"/>
      <c r="U31" s="697" t="s">
        <v>639</v>
      </c>
    </row>
    <row r="32" spans="2:21" ht="20.100000000000001" customHeight="1">
      <c r="B32" s="696"/>
      <c r="C32" s="1627" t="str">
        <f xml:space="preserve">
IF(表紙!$X$2="事前協議","イ　簡易病室関係及び紫外線照射装置導入関係"&amp;CHAR(10)&amp;
"　　使用する場所・設備の仕様"&amp;CHAR(10)&amp;
"　　事業の完成を確認できる全景及び室内主要部の写真",
IF(表紙!$X$2="交付申請（２次）",
"イ　簡易病室関係及び紫外線照射装置導入関係"&amp;CHAR(10)&amp;
"　　使用する場所・設備の仕様"&amp;CHAR(10)&amp;
"　　事業の完成を確認できる全景及び室内主要部の写真",
IF(表紙!$X$2="変更申請",
"イ　簡易病室関係及び紫外線照射装置導入関係"&amp;CHAR(10)&amp;
"　　使用する場所・設備の仕様"&amp;CHAR(10)&amp;
"　　事業の完成を確認できる全景及び室内主要部の写真",
IF(表紙!$X$2="実績報告（１次）","",
IF(表紙!$X$2="実績報告（２次）","",
IF(表紙!$X$2="交付申請兼実績報告",
"イ　簡易病室関係及び紫外線照射装置導入関係"&amp;CHAR(10)&amp;
"　　使用する場所・設備の仕様"&amp;CHAR(10)&amp;
"　　事業の完成を確認できる全景及び室内主要部の写真"))))))</f>
        <v>イ　簡易病室関係及び紫外線照射装置導入関係
　　使用する場所・設備の仕様
　　事業の完成を確認できる全景及び室内主要部の写真</v>
      </c>
      <c r="D32" s="1627"/>
      <c r="E32" s="1627"/>
      <c r="F32" s="1627"/>
      <c r="G32" s="1627"/>
      <c r="H32" s="1627"/>
      <c r="I32" s="1627"/>
      <c r="J32" s="1627"/>
      <c r="K32" s="1627"/>
      <c r="L32" s="1627"/>
      <c r="M32" s="1627"/>
      <c r="N32" s="1627"/>
      <c r="O32" s="1627"/>
      <c r="P32" s="1627"/>
      <c r="Q32" s="1627"/>
      <c r="R32" s="1627"/>
    </row>
    <row r="33" spans="2:18" ht="20.100000000000001" customHeight="1">
      <c r="B33" s="1625" t="s">
        <v>1383</v>
      </c>
      <c r="C33" s="1625"/>
      <c r="D33" s="1625"/>
      <c r="E33" s="1625"/>
      <c r="F33" s="1625"/>
      <c r="G33" s="1625"/>
      <c r="H33" s="1625"/>
      <c r="I33" s="1625"/>
      <c r="J33" s="1625"/>
      <c r="K33" s="1625"/>
      <c r="L33" s="1625"/>
      <c r="M33" s="1625"/>
      <c r="N33" s="1625"/>
      <c r="O33" s="1625"/>
      <c r="P33" s="1625"/>
      <c r="Q33" s="1625"/>
      <c r="R33" s="1625"/>
    </row>
    <row r="34" spans="2:18" ht="39.950000000000003" customHeight="1">
      <c r="B34" s="1625" t="str">
        <f xml:space="preserve">
IF(表紙!$X$2="事前協議","",
IF(表紙!$X$2="交付申請（２次）","",
IF(表紙!$X$2="変更申請","",
IF(表紙!$X$2="実績報告（１次）","",
IF(表紙!$X$2="実績報告（２次）","",
IF(表紙!$X$2="交付申請兼実績報告",
"５　支払先口座情報（金融機関名・支店名・口座種別・口座番号）"&amp;CHAR(10)
&amp;IF(はじめに入力してください!O20="○","　　"&amp;はじめに入力してください!H20,"")
&amp;IF(はじめに入力してください!O22="○","・"&amp;はじめに入力してください!H22,"")
&amp;IF(はじめに入力してください!H23=1,"・普通",IF(はじめに入力してください!H23=2,"・当座",""))
&amp;IF(はじめに入力してください!O24="○","・"&amp;はじめに入力してください!AF24,"")))))))</f>
        <v/>
      </c>
      <c r="C34" s="1642"/>
      <c r="D34" s="1642"/>
      <c r="E34" s="1642"/>
      <c r="F34" s="1642"/>
      <c r="G34" s="1642"/>
      <c r="H34" s="1642"/>
      <c r="I34" s="1642"/>
      <c r="J34" s="1642"/>
      <c r="K34" s="1642"/>
      <c r="L34" s="1642"/>
      <c r="M34" s="1642"/>
      <c r="N34" s="1642"/>
      <c r="O34" s="1642"/>
      <c r="P34" s="1642"/>
      <c r="Q34" s="1642"/>
      <c r="R34" s="1642"/>
    </row>
    <row r="35" spans="2:18" ht="20.100000000000001" customHeight="1">
      <c r="B35" s="696"/>
      <c r="C35" s="696"/>
      <c r="D35" s="696"/>
      <c r="E35" s="696"/>
      <c r="F35" s="696"/>
      <c r="G35" s="696"/>
      <c r="H35" s="696"/>
      <c r="I35" s="696"/>
      <c r="J35" s="696"/>
      <c r="K35" s="696"/>
      <c r="L35" s="696"/>
      <c r="M35" s="696"/>
      <c r="N35" s="696"/>
      <c r="O35" s="696"/>
      <c r="P35" s="696"/>
      <c r="Q35" s="696"/>
      <c r="R35" s="696"/>
    </row>
    <row r="36" spans="2:18" ht="20.100000000000001" customHeight="1">
      <c r="B36" s="1621" t="str">
        <f xml:space="preserve">
IF(表紙!$X$2="事前協議","【申請にあたっての申立事項】",
IF(表紙!$X$2="交付申請（２次）","【申請にあたっての申立事項】",
IF(表紙!$X$2="変更申請","",
IF(表紙!$X$2="実績報告（１次）","",
IF(表紙!$X$2="実績報告（２次）","",
IF(表紙!$X$2="交付申請兼実績報告","【申請にあたっての申立事項】"))))))</f>
        <v>【申請にあたっての申立事項】</v>
      </c>
      <c r="C36" s="1631"/>
      <c r="D36" s="1631"/>
      <c r="E36" s="1631"/>
      <c r="F36" s="1631"/>
      <c r="G36" s="1631"/>
      <c r="H36" s="1631"/>
      <c r="I36" s="1631"/>
      <c r="J36" s="1631"/>
      <c r="K36" s="1631"/>
      <c r="L36" s="1631"/>
      <c r="M36" s="1631"/>
      <c r="N36" s="1631"/>
      <c r="O36" s="1631"/>
      <c r="P36" s="1631"/>
      <c r="Q36" s="1631"/>
      <c r="R36" s="1631"/>
    </row>
    <row r="37" spans="2:18" ht="20.100000000000001" customHeight="1">
      <c r="B37" s="1627" t="str">
        <f xml:space="preserve">
IF(AND(表紙!$X$2="事前協議",はじめに入力してください!O48="×"),U30,
IF(AND(表紙!$X$2="事前協議",はじめに入力してください!O48="○"),U31,
IF(AND(表紙!$X$2="交付申請（２次）",はじめに入力してください!O48="×"),U30,
IF(AND(表紙!$X$2="交付申請（２次）",はじめに入力してください!O48="○"),U31,
 IF(表紙!$X$2="変更申請","",
IF(表紙!$X$2="実績報告（１次）","",
IF(表紙!$X$2="実績報告（２次）","",
IF(AND(表紙!$X$2="交付申請兼実績報告",はじめに入力してください!O48="×"),U30,
IF(AND(表紙!$X$2="交付申請兼実績報告",はじめに入力してください!O48="○"),U31)))))))))</f>
        <v>　申請者は、以下いずれの事項にも該当するものであることを申し立てます。
□　補助を受ける経費について他の補助金等の交付を受けていないこと。
□　本補助金により整備した設備は新型コロナウイルス感染症対策の目的以外に使用しないこと。
□　本補助金の収入、支出等に係る証拠書類を５年間適切に整備保管すること。
□　暴力団員又は暴力団関係者と実質的を含めいかなる関係も有していないこと。</v>
      </c>
      <c r="C37" s="1627"/>
      <c r="D37" s="1627"/>
      <c r="E37" s="1627"/>
      <c r="F37" s="1627"/>
      <c r="G37" s="1627"/>
      <c r="H37" s="1627"/>
      <c r="I37" s="1627"/>
      <c r="J37" s="1627"/>
      <c r="K37" s="1627"/>
      <c r="L37" s="1627"/>
      <c r="M37" s="1627"/>
      <c r="N37" s="1627"/>
      <c r="O37" s="1627"/>
      <c r="P37" s="1627"/>
      <c r="Q37" s="1627"/>
      <c r="R37" s="1627"/>
    </row>
    <row r="38" spans="2:18" ht="20.100000000000001" customHeight="1">
      <c r="B38" s="1627"/>
      <c r="C38" s="1627"/>
      <c r="D38" s="1627"/>
      <c r="E38" s="1627"/>
      <c r="F38" s="1627"/>
      <c r="G38" s="1627"/>
      <c r="H38" s="1627"/>
      <c r="I38" s="1627"/>
      <c r="J38" s="1627"/>
      <c r="K38" s="1627"/>
      <c r="L38" s="1627"/>
      <c r="M38" s="1627"/>
      <c r="N38" s="1627"/>
      <c r="O38" s="1627"/>
      <c r="P38" s="1627"/>
      <c r="Q38" s="1627"/>
      <c r="R38" s="1627"/>
    </row>
    <row r="39" spans="2:18" ht="20.100000000000001" customHeight="1">
      <c r="B39" s="1627"/>
      <c r="C39" s="1627"/>
      <c r="D39" s="1627"/>
      <c r="E39" s="1627"/>
      <c r="F39" s="1627"/>
      <c r="G39" s="1627"/>
      <c r="H39" s="1627"/>
      <c r="I39" s="1627"/>
      <c r="J39" s="1627"/>
      <c r="K39" s="1627"/>
      <c r="L39" s="1627"/>
      <c r="M39" s="1627"/>
      <c r="N39" s="1627"/>
      <c r="O39" s="1627"/>
      <c r="P39" s="1627"/>
      <c r="Q39" s="1627"/>
      <c r="R39" s="1627"/>
    </row>
    <row r="40" spans="2:18" ht="20.100000000000001" customHeight="1">
      <c r="B40" s="1627"/>
      <c r="C40" s="1627"/>
      <c r="D40" s="1627"/>
      <c r="E40" s="1627"/>
      <c r="F40" s="1627"/>
      <c r="G40" s="1627"/>
      <c r="H40" s="1627"/>
      <c r="I40" s="1627"/>
      <c r="J40" s="1627"/>
      <c r="K40" s="1627"/>
      <c r="L40" s="1627"/>
      <c r="M40" s="1627"/>
      <c r="N40" s="1627"/>
      <c r="O40" s="1627"/>
      <c r="P40" s="1627"/>
      <c r="Q40" s="1627"/>
      <c r="R40" s="1627"/>
    </row>
    <row r="41" spans="2:18" ht="20.100000000000001" customHeight="1">
      <c r="B41" s="1627"/>
      <c r="C41" s="1627"/>
      <c r="D41" s="1627"/>
      <c r="E41" s="1627"/>
      <c r="F41" s="1627"/>
      <c r="G41" s="1627"/>
      <c r="H41" s="1627"/>
      <c r="I41" s="1627"/>
      <c r="J41" s="1627"/>
      <c r="K41" s="1627"/>
      <c r="L41" s="1627"/>
      <c r="M41" s="1627"/>
      <c r="N41" s="1627"/>
      <c r="O41" s="1627"/>
      <c r="P41" s="1627"/>
      <c r="Q41" s="1627"/>
      <c r="R41" s="1627"/>
    </row>
    <row r="43" spans="2:18" ht="20.100000000000001" customHeight="1">
      <c r="B43" s="1644" t="str">
        <f xml:space="preserve">
IF(表紙!$X$2="事前協議","",
IF(表紙!$X$2="事前協議","",
IF(表紙!$X$2="交付申請（２次）","",
IF(表紙!$X$2="交付申請（２次）","",
IF(表紙!$X$2="変更申請",
"（注）様式１－１において当初申請と異なる"&amp;CHAR(10)&amp;
"　　　箇所については、変更前を下段に（）"&amp;CHAR(10)&amp;
"　　　書きし、変更後を上段に対応して記入"&amp;CHAR(10)&amp;
" 　　　すること。",
IF(表紙!$X$2="実績報告（１次）","",
IF(表紙!$X$2="実績報告（２次）","",
IF(表紙!$X$2="交付申請兼実績報告",""))))))))</f>
        <v/>
      </c>
      <c r="C43" s="1645"/>
      <c r="D43" s="1645"/>
      <c r="E43" s="1645"/>
      <c r="F43" s="1645"/>
      <c r="G43" s="1645"/>
      <c r="H43" s="1645"/>
      <c r="J43" s="1638" t="s">
        <v>85</v>
      </c>
      <c r="K43" s="1638"/>
      <c r="L43" s="1639" t="str">
        <f>IF(はじめに入力してください!O14="×","",はじめに入力してください!AF14)</f>
        <v/>
      </c>
      <c r="M43" s="1639"/>
      <c r="N43" s="1639"/>
      <c r="O43" s="1639"/>
      <c r="P43" s="1639"/>
      <c r="Q43" s="1639"/>
      <c r="R43" s="1639"/>
    </row>
    <row r="44" spans="2:18" ht="20.100000000000001" customHeight="1">
      <c r="B44" s="1645"/>
      <c r="C44" s="1645"/>
      <c r="D44" s="1645"/>
      <c r="E44" s="1645"/>
      <c r="F44" s="1645"/>
      <c r="G44" s="1645"/>
      <c r="H44" s="1645"/>
      <c r="J44" s="1638" t="s">
        <v>86</v>
      </c>
      <c r="K44" s="1638"/>
      <c r="L44" s="1639" t="str">
        <f>IF(はじめに入力してください!O15="×","",はじめに入力してください!AF15)</f>
        <v/>
      </c>
      <c r="M44" s="1639"/>
      <c r="N44" s="1639"/>
      <c r="O44" s="1639"/>
      <c r="P44" s="1639"/>
      <c r="Q44" s="1639"/>
      <c r="R44" s="1639"/>
    </row>
    <row r="45" spans="2:18" ht="20.100000000000001" customHeight="1">
      <c r="B45" s="1645"/>
      <c r="C45" s="1645"/>
      <c r="D45" s="1645"/>
      <c r="E45" s="1645"/>
      <c r="F45" s="1645"/>
      <c r="G45" s="1645"/>
      <c r="H45" s="1645"/>
      <c r="J45" s="1638" t="s">
        <v>640</v>
      </c>
      <c r="K45" s="1638"/>
      <c r="L45" s="1639" t="str">
        <f>IF(はじめに入力してください!O16="×","",はじめに入力してください!AF16)</f>
        <v/>
      </c>
      <c r="M45" s="1639"/>
      <c r="N45" s="1639"/>
      <c r="O45" s="1639"/>
      <c r="P45" s="1639"/>
      <c r="Q45" s="1639"/>
      <c r="R45" s="1639"/>
    </row>
    <row r="46" spans="2:18" ht="20.100000000000001" customHeight="1">
      <c r="B46" s="1645"/>
      <c r="C46" s="1645"/>
      <c r="D46" s="1645"/>
      <c r="E46" s="1645"/>
      <c r="F46" s="1645"/>
      <c r="G46" s="1645"/>
      <c r="H46" s="1645"/>
      <c r="J46" s="1638" t="s">
        <v>641</v>
      </c>
      <c r="K46" s="1638"/>
      <c r="L46" s="1639" t="str">
        <f>IF(はじめに入力してください!O17="×","",はじめに入力してください!AF17)</f>
        <v/>
      </c>
      <c r="M46" s="1639"/>
      <c r="N46" s="1639"/>
      <c r="O46" s="1639"/>
      <c r="P46" s="1639"/>
      <c r="Q46" s="1639"/>
      <c r="R46" s="1639"/>
    </row>
    <row r="48" spans="2:18" ht="18" customHeight="1"/>
    <row r="49" spans="37:42" ht="18" customHeight="1"/>
    <row r="50" spans="37:42" ht="18" customHeight="1"/>
    <row r="51" spans="37:42" ht="30" customHeight="1">
      <c r="AM51" s="433"/>
      <c r="AN51" s="434"/>
      <c r="AO51" s="434"/>
      <c r="AP51" s="435"/>
    </row>
    <row r="52" spans="37:42" ht="30" customHeight="1">
      <c r="AM52" s="436"/>
      <c r="AN52" s="699"/>
      <c r="AO52" s="699"/>
      <c r="AP52" s="437"/>
    </row>
    <row r="53" spans="37:42" ht="27" customHeight="1">
      <c r="AM53" s="416"/>
      <c r="AN53" s="1640" t="str">
        <f>N5</f>
        <v>令和　　年　月　　日</v>
      </c>
      <c r="AO53" s="1641"/>
      <c r="AP53" s="417"/>
    </row>
    <row r="54" spans="37:42" ht="27" customHeight="1">
      <c r="AK54" s="444"/>
      <c r="AM54" s="418"/>
      <c r="AN54" s="1643" t="str">
        <f>IF(AK54="","","５入院第"&amp;AK54&amp;"号")</f>
        <v/>
      </c>
      <c r="AO54" s="1643"/>
      <c r="AP54" s="417"/>
    </row>
    <row r="55" spans="37:42" ht="24.95" customHeight="1">
      <c r="AM55" s="438"/>
      <c r="AN55" s="439"/>
      <c r="AO55" s="439"/>
      <c r="AP55" s="440"/>
    </row>
    <row r="56" spans="37:42" ht="30" customHeight="1">
      <c r="AM56" s="436"/>
      <c r="AN56" s="699"/>
      <c r="AO56" s="699"/>
      <c r="AP56" s="437"/>
    </row>
    <row r="57" spans="37:42" ht="20.100000000000001" customHeight="1">
      <c r="AM57" s="441"/>
      <c r="AN57" s="442"/>
      <c r="AO57" s="442"/>
      <c r="AP57" s="443"/>
    </row>
  </sheetData>
  <sheetProtection formatCells="0" formatColumns="0" formatRows="0"/>
  <mergeCells count="73">
    <mergeCell ref="AN54:AO54"/>
    <mergeCell ref="B37:R41"/>
    <mergeCell ref="J43:K43"/>
    <mergeCell ref="L43:R43"/>
    <mergeCell ref="J44:K44"/>
    <mergeCell ref="L44:R44"/>
    <mergeCell ref="J45:K45"/>
    <mergeCell ref="L45:R45"/>
    <mergeCell ref="B43:H46"/>
    <mergeCell ref="B33:R33"/>
    <mergeCell ref="B23:R23"/>
    <mergeCell ref="J46:K46"/>
    <mergeCell ref="L46:R46"/>
    <mergeCell ref="AN53:AO53"/>
    <mergeCell ref="B28:R28"/>
    <mergeCell ref="B29:R29"/>
    <mergeCell ref="C30:R30"/>
    <mergeCell ref="C31:R31"/>
    <mergeCell ref="C32:R32"/>
    <mergeCell ref="B36:R36"/>
    <mergeCell ref="B34:R34"/>
    <mergeCell ref="B22:F22"/>
    <mergeCell ref="G22:K22"/>
    <mergeCell ref="B25:R25"/>
    <mergeCell ref="B26:R26"/>
    <mergeCell ref="B27:R27"/>
    <mergeCell ref="AZ4:AZ5"/>
    <mergeCell ref="BA4:BA5"/>
    <mergeCell ref="BB4:BB5"/>
    <mergeCell ref="B6:G6"/>
    <mergeCell ref="AW4:AW5"/>
    <mergeCell ref="AX4:AX5"/>
    <mergeCell ref="AY4:AY5"/>
    <mergeCell ref="AJ4:AJ5"/>
    <mergeCell ref="N4:Q4"/>
    <mergeCell ref="Z4:Z5"/>
    <mergeCell ref="AA4:AA5"/>
    <mergeCell ref="AB4:AB5"/>
    <mergeCell ref="AC4:AC5"/>
    <mergeCell ref="AD4:AD5"/>
    <mergeCell ref="AU4:AU5"/>
    <mergeCell ref="AV4:AV5"/>
    <mergeCell ref="B21:F21"/>
    <mergeCell ref="G21:K21"/>
    <mergeCell ref="I9:K9"/>
    <mergeCell ref="L9:R9"/>
    <mergeCell ref="I10:K10"/>
    <mergeCell ref="L10:R10"/>
    <mergeCell ref="B12:R12"/>
    <mergeCell ref="B15:R15"/>
    <mergeCell ref="C17:R17"/>
    <mergeCell ref="C18:R18"/>
    <mergeCell ref="B19:Q19"/>
    <mergeCell ref="B20:F20"/>
    <mergeCell ref="G20:K20"/>
    <mergeCell ref="M20:R21"/>
    <mergeCell ref="B14:R14"/>
    <mergeCell ref="N2:R2"/>
    <mergeCell ref="N5:R5"/>
    <mergeCell ref="I8:K8"/>
    <mergeCell ref="AT4:AT5"/>
    <mergeCell ref="AE4:AE5"/>
    <mergeCell ref="AF4:AF5"/>
    <mergeCell ref="AG4:AG5"/>
    <mergeCell ref="AH4:AH5"/>
    <mergeCell ref="AI4:AI5"/>
    <mergeCell ref="AS4:AS5"/>
    <mergeCell ref="AK4:AL4"/>
    <mergeCell ref="AM4:AN4"/>
    <mergeCell ref="AO4:AO5"/>
    <mergeCell ref="AP4:AQ4"/>
    <mergeCell ref="AR4:AR5"/>
    <mergeCell ref="L8:R8"/>
  </mergeCells>
  <phoneticPr fontId="9"/>
  <conditionalFormatting sqref="G20:G22">
    <cfRule type="containsText" dxfId="163" priority="1" operator="containsText" text="不備">
      <formula>NOT(ISERROR(SEARCH("不備",G20)))</formula>
    </cfRule>
  </conditionalFormatting>
  <dataValidations count="1">
    <dataValidation type="list" allowBlank="1" showInputMessage="1" showErrorMessage="1" sqref="V8" xr:uid="{00000000-0002-0000-0700-000000000000}">
      <formula1>$W$8:$W$10</formula1>
    </dataValidation>
  </dataValidations>
  <printOptions horizontalCentered="1"/>
  <pageMargins left="0.59055118110236227" right="0.39370078740157483" top="0.39370078740157483" bottom="0.39370078740157483" header="0.31496062992125984" footer="0.31496062992125984"/>
  <pageSetup paperSize="9" scale="80" orientation="portrait" r:id="rId1"/>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000-000000000000}">
          <x14:formula1>
            <xm:f>テーブル!$C$2:$C$8</xm:f>
          </x14:formula1>
          <xm:sqref>X2</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34</vt:i4>
      </vt:variant>
      <vt:variant>
        <vt:lpstr>名前付き一覧</vt:lpstr>
      </vt:variant>
      <vt:variant>
        <vt:i4>37</vt:i4>
      </vt:variant>
    </vt:vector>
  </HeadingPairs>
  <TitlesOfParts>
    <vt:vector size="71" baseType="lpstr">
      <vt:lpstr>テーブル</vt:lpstr>
      <vt:lpstr>リスト</vt:lpstr>
      <vt:lpstr>計上</vt:lpstr>
      <vt:lpstr>はじめに入力してください</vt:lpstr>
      <vt:lpstr>協議書</vt:lpstr>
      <vt:lpstr>別紙</vt:lpstr>
      <vt:lpstr>《基礎情報》</vt:lpstr>
      <vt:lpstr>基礎情報</vt:lpstr>
      <vt:lpstr>表紙</vt:lpstr>
      <vt:lpstr>振込先情報</vt:lpstr>
      <vt:lpstr>請求書</vt:lpstr>
      <vt:lpstr>経費書</vt:lpstr>
      <vt:lpstr>額内訳書</vt:lpstr>
      <vt:lpstr>歳入歳出抄本</vt:lpstr>
      <vt:lpstr>明細→</vt:lpstr>
      <vt:lpstr>初度設備</vt:lpstr>
      <vt:lpstr>人工呼吸器</vt:lpstr>
      <vt:lpstr>防護具</vt:lpstr>
      <vt:lpstr>PPE差引簿</vt:lpstr>
      <vt:lpstr>簡易陰圧装置</vt:lpstr>
      <vt:lpstr>消毒経費</vt:lpstr>
      <vt:lpstr>人件費積算</vt:lpstr>
      <vt:lpstr>空清機・パーテ・ベッド</vt:lpstr>
      <vt:lpstr>体外式膜型人工肺</vt:lpstr>
      <vt:lpstr>簡易病室</vt:lpstr>
      <vt:lpstr>紫外線照射装置</vt:lpstr>
      <vt:lpstr>超音波画像診断装置</vt:lpstr>
      <vt:lpstr>血液浄化装置</vt:lpstr>
      <vt:lpstr>気管支鏡</vt:lpstr>
      <vt:lpstr>CT撮影装置</vt:lpstr>
      <vt:lpstr>生体情報モニタ</vt:lpstr>
      <vt:lpstr>分娩監視装置</vt:lpstr>
      <vt:lpstr>新生児モニタ</vt:lpstr>
      <vt:lpstr>審査意見書（申請の際は入力不要です。）</vt:lpstr>
      <vt:lpstr>《基礎情報》!Print_Area</vt:lpstr>
      <vt:lpstr>CT撮影装置!Print_Area</vt:lpstr>
      <vt:lpstr>はじめに入力してください!Print_Area</vt:lpstr>
      <vt:lpstr>リスト!Print_Area</vt:lpstr>
      <vt:lpstr>額内訳書!Print_Area</vt:lpstr>
      <vt:lpstr>簡易陰圧装置!Print_Area</vt:lpstr>
      <vt:lpstr>簡易病室!Print_Area</vt:lpstr>
      <vt:lpstr>基礎情報!Print_Area</vt:lpstr>
      <vt:lpstr>気管支鏡!Print_Area</vt:lpstr>
      <vt:lpstr>協議書!Print_Area</vt:lpstr>
      <vt:lpstr>空清機・パーテ・ベッド!Print_Area</vt:lpstr>
      <vt:lpstr>経費書!Print_Area</vt:lpstr>
      <vt:lpstr>血液浄化装置!Print_Area</vt:lpstr>
      <vt:lpstr>歳入歳出抄本!Print_Area</vt:lpstr>
      <vt:lpstr>紫外線照射装置!Print_Area</vt:lpstr>
      <vt:lpstr>初度設備!Print_Area</vt:lpstr>
      <vt:lpstr>消毒経費!Print_Area</vt:lpstr>
      <vt:lpstr>'審査意見書（申請の際は入力不要です。）'!Print_Area</vt:lpstr>
      <vt:lpstr>振込先情報!Print_Area</vt:lpstr>
      <vt:lpstr>新生児モニタ!Print_Area</vt:lpstr>
      <vt:lpstr>人件費積算!Print_Area</vt:lpstr>
      <vt:lpstr>人工呼吸器!Print_Area</vt:lpstr>
      <vt:lpstr>生体情報モニタ!Print_Area</vt:lpstr>
      <vt:lpstr>請求書!Print_Area</vt:lpstr>
      <vt:lpstr>体外式膜型人工肺!Print_Area</vt:lpstr>
      <vt:lpstr>超音波画像診断装置!Print_Area</vt:lpstr>
      <vt:lpstr>表紙!Print_Area</vt:lpstr>
      <vt:lpstr>分娩監視装置!Print_Area</vt:lpstr>
      <vt:lpstr>別紙!Print_Area</vt:lpstr>
      <vt:lpstr>防護具!Print_Area</vt:lpstr>
      <vt:lpstr>額内訳書!Print_Titles</vt:lpstr>
      <vt:lpstr>ガウン</vt:lpstr>
      <vt:lpstr>キャップ</vt:lpstr>
      <vt:lpstr>グローブ</vt:lpstr>
      <vt:lpstr>ゴーグル</vt:lpstr>
      <vt:lpstr>フェイスシールド</vt:lpstr>
      <vt:lpstr>マスク</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2024-02-01T05:41:37Z</dcterms:modified>
</cp:coreProperties>
</file>